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3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7"/>
  <workbookPr filterPrivacy="1"/>
  <xr:revisionPtr revIDLastSave="0" documentId="13_ncr:1_{DFCD3993-8555-4980-87AB-5F32B39CAC5B}" xr6:coauthVersionLast="36" xr6:coauthVersionMax="47" xr10:uidLastSave="{00000000-0000-0000-0000-000000000000}"/>
  <bookViews>
    <workbookView xWindow="28680" yWindow="-120" windowWidth="38640" windowHeight="21120" tabRatio="742" activeTab="9" xr2:uid="{00000000-000D-0000-FFFF-FFFF00000000}"/>
  </bookViews>
  <sheets>
    <sheet name="PF320" sheetId="18" r:id="rId1"/>
    <sheet name="PCH320" sheetId="20" r:id="rId2"/>
    <sheet name="PA320" sheetId="17" r:id="rId3"/>
    <sheet name="PF272" sheetId="21" r:id="rId4"/>
    <sheet name="PCH272" sheetId="23" r:id="rId5"/>
    <sheet name="PA272" sheetId="22" r:id="rId6"/>
    <sheet name="PF176" sheetId="24" r:id="rId7"/>
    <sheet name="PCH176" sheetId="26" r:id="rId8"/>
    <sheet name="PA176" sheetId="25" r:id="rId9"/>
    <sheet name="History" sheetId="27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0" i="17" l="1"/>
  <c r="Q10" i="22" l="1"/>
  <c r="S12" i="22"/>
  <c r="M10" i="17"/>
  <c r="S48" i="17"/>
  <c r="P103" i="26" l="1"/>
  <c r="O103" i="26"/>
  <c r="N103" i="26"/>
  <c r="M103" i="26"/>
  <c r="L103" i="26"/>
  <c r="K103" i="26"/>
  <c r="J103" i="26"/>
  <c r="I103" i="26"/>
  <c r="H103" i="26"/>
  <c r="G103" i="26"/>
  <c r="F103" i="26"/>
  <c r="F102" i="26"/>
  <c r="F102" i="20"/>
  <c r="F102" i="23"/>
  <c r="P103" i="23"/>
  <c r="O103" i="23"/>
  <c r="N103" i="23"/>
  <c r="M103" i="23"/>
  <c r="L103" i="23"/>
  <c r="K103" i="23"/>
  <c r="J103" i="23"/>
  <c r="I103" i="23"/>
  <c r="H103" i="23"/>
  <c r="G103" i="23"/>
  <c r="F103" i="23"/>
  <c r="P103" i="20"/>
  <c r="O103" i="20"/>
  <c r="N103" i="20"/>
  <c r="M103" i="20"/>
  <c r="L103" i="20"/>
  <c r="K103" i="20"/>
  <c r="J103" i="20"/>
  <c r="I103" i="20"/>
  <c r="H103" i="20"/>
  <c r="G103" i="20"/>
  <c r="F103" i="20"/>
  <c r="H277" i="26" l="1"/>
  <c r="F277" i="26"/>
  <c r="D277" i="26"/>
  <c r="H276" i="26"/>
  <c r="F276" i="26"/>
  <c r="D276" i="26"/>
  <c r="H275" i="26"/>
  <c r="F275" i="26"/>
  <c r="D275" i="26"/>
  <c r="H274" i="26"/>
  <c r="F274" i="26"/>
  <c r="D274" i="26"/>
  <c r="H273" i="26"/>
  <c r="F273" i="26"/>
  <c r="D273" i="26"/>
  <c r="H272" i="26"/>
  <c r="F272" i="26"/>
  <c r="D272" i="26"/>
  <c r="H271" i="26"/>
  <c r="F271" i="26"/>
  <c r="D271" i="26"/>
  <c r="H270" i="26"/>
  <c r="F270" i="26"/>
  <c r="D270" i="26"/>
  <c r="D266" i="26"/>
  <c r="D265" i="26"/>
  <c r="D264" i="26"/>
  <c r="D263" i="26"/>
  <c r="D262" i="26"/>
  <c r="D261" i="26"/>
  <c r="D252" i="26"/>
  <c r="D251" i="26"/>
  <c r="D250" i="26"/>
  <c r="D249" i="26"/>
  <c r="D248" i="26"/>
  <c r="D247" i="26"/>
  <c r="D246" i="26"/>
  <c r="D245" i="26"/>
  <c r="D244" i="26"/>
  <c r="D243" i="26"/>
  <c r="D242" i="26"/>
  <c r="D241" i="26"/>
  <c r="D240" i="26"/>
  <c r="D239" i="26"/>
  <c r="D238" i="26"/>
  <c r="D237" i="26"/>
  <c r="D236" i="26"/>
  <c r="D235" i="26"/>
  <c r="D234" i="26"/>
  <c r="D233" i="26"/>
  <c r="D232" i="26"/>
  <c r="D231" i="26"/>
  <c r="D230" i="26"/>
  <c r="D229" i="26"/>
  <c r="D228" i="26"/>
  <c r="D227" i="26"/>
  <c r="D168" i="26"/>
  <c r="D167" i="26"/>
  <c r="D166" i="26"/>
  <c r="D165" i="26"/>
  <c r="D164" i="26"/>
  <c r="D163" i="26"/>
  <c r="D162" i="26"/>
  <c r="D161" i="26"/>
  <c r="D160" i="26"/>
  <c r="D159" i="26"/>
  <c r="D158" i="26"/>
  <c r="D157" i="26"/>
  <c r="D156" i="26"/>
  <c r="D155" i="26"/>
  <c r="D154" i="26"/>
  <c r="D153" i="26"/>
  <c r="D152" i="26"/>
  <c r="D151" i="26"/>
  <c r="D150" i="26"/>
  <c r="D149" i="26"/>
  <c r="D148" i="26"/>
  <c r="D147" i="26"/>
  <c r="D146" i="26"/>
  <c r="D145" i="26"/>
  <c r="H277" i="23"/>
  <c r="F277" i="23"/>
  <c r="D277" i="23"/>
  <c r="H276" i="23"/>
  <c r="F276" i="23"/>
  <c r="D276" i="23"/>
  <c r="H275" i="23"/>
  <c r="F275" i="23"/>
  <c r="D275" i="23"/>
  <c r="H274" i="23"/>
  <c r="F274" i="23"/>
  <c r="D274" i="23"/>
  <c r="H273" i="23"/>
  <c r="F273" i="23"/>
  <c r="D273" i="23"/>
  <c r="H272" i="23"/>
  <c r="F272" i="23"/>
  <c r="D272" i="23"/>
  <c r="H271" i="23"/>
  <c r="F271" i="23"/>
  <c r="D271" i="23"/>
  <c r="H270" i="23"/>
  <c r="F270" i="23"/>
  <c r="D270" i="23"/>
  <c r="D266" i="23"/>
  <c r="D265" i="23"/>
  <c r="D264" i="23"/>
  <c r="D263" i="23"/>
  <c r="D262" i="23"/>
  <c r="D261" i="23"/>
  <c r="D252" i="23"/>
  <c r="D251" i="23"/>
  <c r="D250" i="23"/>
  <c r="D249" i="23"/>
  <c r="D248" i="23"/>
  <c r="D247" i="23"/>
  <c r="D246" i="23"/>
  <c r="D245" i="23"/>
  <c r="D244" i="23"/>
  <c r="D243" i="23"/>
  <c r="D242" i="23"/>
  <c r="D241" i="23"/>
  <c r="D240" i="23"/>
  <c r="D239" i="23"/>
  <c r="D238" i="23"/>
  <c r="D237" i="23"/>
  <c r="D236" i="23"/>
  <c r="D235" i="23"/>
  <c r="D234" i="23"/>
  <c r="D233" i="23"/>
  <c r="D232" i="23"/>
  <c r="D231" i="23"/>
  <c r="D230" i="23"/>
  <c r="D229" i="23"/>
  <c r="D228" i="23"/>
  <c r="D227" i="23"/>
  <c r="D256" i="26" l="1"/>
  <c r="D255" i="26"/>
  <c r="D172" i="26"/>
  <c r="D171" i="26"/>
  <c r="D256" i="23"/>
  <c r="D255" i="23"/>
  <c r="D168" i="23"/>
  <c r="D167" i="23"/>
  <c r="D166" i="23"/>
  <c r="D165" i="23"/>
  <c r="D164" i="23"/>
  <c r="D163" i="23"/>
  <c r="D162" i="23"/>
  <c r="D161" i="23"/>
  <c r="D160" i="23"/>
  <c r="D159" i="23"/>
  <c r="D158" i="23"/>
  <c r="D157" i="23"/>
  <c r="D156" i="23"/>
  <c r="D155" i="23"/>
  <c r="D154" i="23"/>
  <c r="D153" i="23"/>
  <c r="D152" i="23"/>
  <c r="D151" i="23"/>
  <c r="D150" i="23"/>
  <c r="D149" i="23"/>
  <c r="D148" i="23"/>
  <c r="D147" i="23"/>
  <c r="D146" i="23"/>
  <c r="D145" i="23"/>
  <c r="D257" i="26" l="1"/>
  <c r="D173" i="26"/>
  <c r="D257" i="23"/>
  <c r="D171" i="23"/>
  <c r="D172" i="23"/>
  <c r="D12" i="20"/>
  <c r="D266" i="20"/>
  <c r="D265" i="20"/>
  <c r="D264" i="20"/>
  <c r="D263" i="20"/>
  <c r="D262" i="20"/>
  <c r="D261" i="20"/>
  <c r="D252" i="20"/>
  <c r="AA170" i="21" l="1"/>
  <c r="D173" i="23"/>
  <c r="D271" i="20"/>
  <c r="H277" i="20"/>
  <c r="H276" i="20"/>
  <c r="H275" i="20"/>
  <c r="H274" i="20"/>
  <c r="H273" i="20"/>
  <c r="H272" i="20"/>
  <c r="F277" i="20"/>
  <c r="F276" i="20"/>
  <c r="F275" i="20"/>
  <c r="F274" i="20"/>
  <c r="F273" i="20"/>
  <c r="F272" i="20"/>
  <c r="H271" i="20"/>
  <c r="F271" i="20"/>
  <c r="D277" i="20"/>
  <c r="D276" i="20"/>
  <c r="D275" i="20"/>
  <c r="D274" i="20"/>
  <c r="D273" i="20"/>
  <c r="D272" i="20"/>
  <c r="AA171" i="21" l="1"/>
  <c r="AA182" i="21"/>
  <c r="AA174" i="21"/>
  <c r="AA181" i="21"/>
  <c r="AA173" i="21"/>
  <c r="AA172" i="21"/>
  <c r="AA179" i="21"/>
  <c r="AA177" i="21"/>
  <c r="AA175" i="21"/>
  <c r="AA180" i="21"/>
  <c r="AA178" i="21"/>
  <c r="AA176" i="21"/>
  <c r="AA62" i="21"/>
  <c r="AA64" i="21"/>
  <c r="AA63" i="21"/>
  <c r="H270" i="20"/>
  <c r="F270" i="20"/>
  <c r="D270" i="20"/>
  <c r="D251" i="20" l="1"/>
  <c r="D250" i="20"/>
  <c r="D249" i="20"/>
  <c r="D248" i="20"/>
  <c r="D247" i="20"/>
  <c r="D246" i="20"/>
  <c r="D245" i="20"/>
  <c r="D244" i="20"/>
  <c r="D243" i="20"/>
  <c r="D242" i="20"/>
  <c r="D241" i="20"/>
  <c r="D240" i="20"/>
  <c r="D239" i="20"/>
  <c r="D238" i="20"/>
  <c r="D237" i="20"/>
  <c r="D236" i="20"/>
  <c r="D235" i="20"/>
  <c r="D234" i="20"/>
  <c r="D233" i="20"/>
  <c r="D232" i="20"/>
  <c r="D231" i="20"/>
  <c r="D230" i="20"/>
  <c r="D229" i="20"/>
  <c r="D228" i="20"/>
  <c r="D227" i="20"/>
  <c r="D145" i="20"/>
  <c r="D256" i="20" l="1"/>
  <c r="D255" i="20"/>
  <c r="D168" i="20"/>
  <c r="D167" i="20"/>
  <c r="D166" i="20"/>
  <c r="D165" i="20"/>
  <c r="D164" i="20"/>
  <c r="D163" i="20"/>
  <c r="D162" i="20"/>
  <c r="D161" i="20"/>
  <c r="D160" i="20"/>
  <c r="D159" i="20"/>
  <c r="D158" i="20"/>
  <c r="D157" i="20"/>
  <c r="D156" i="20"/>
  <c r="AA174" i="18" l="1"/>
  <c r="D257" i="20"/>
  <c r="D155" i="20"/>
  <c r="D154" i="20"/>
  <c r="D153" i="20"/>
  <c r="D152" i="20"/>
  <c r="D151" i="20"/>
  <c r="D172" i="20"/>
  <c r="D150" i="20"/>
  <c r="D149" i="20"/>
  <c r="D148" i="20"/>
  <c r="D147" i="20"/>
  <c r="D146" i="20"/>
  <c r="D177" i="20"/>
  <c r="D171" i="20" l="1"/>
  <c r="F7" i="25" l="1"/>
  <c r="G7" i="25"/>
  <c r="H7" i="25"/>
  <c r="I7" i="25"/>
  <c r="J7" i="25"/>
  <c r="K7" i="25"/>
  <c r="L7" i="25"/>
  <c r="M7" i="25"/>
  <c r="N7" i="25"/>
  <c r="O7" i="25"/>
  <c r="P7" i="25"/>
  <c r="Q7" i="25"/>
  <c r="R7" i="25"/>
  <c r="S7" i="25"/>
  <c r="T7" i="25"/>
  <c r="U7" i="25"/>
  <c r="V7" i="25"/>
  <c r="W7" i="25"/>
  <c r="X7" i="25"/>
  <c r="Y7" i="25"/>
  <c r="Z7" i="25"/>
  <c r="AA7" i="25"/>
  <c r="AB7" i="25"/>
  <c r="AC7" i="25"/>
  <c r="AD7" i="25"/>
  <c r="AE7" i="25"/>
  <c r="AF7" i="25"/>
  <c r="AG7" i="25"/>
  <c r="AH7" i="25"/>
  <c r="AI7" i="25"/>
  <c r="AJ7" i="25"/>
  <c r="AK7" i="25"/>
  <c r="AL7" i="25"/>
  <c r="AM7" i="25"/>
  <c r="AN7" i="25"/>
  <c r="AO7" i="25"/>
  <c r="AP7" i="25"/>
  <c r="AQ7" i="25"/>
  <c r="AR7" i="25"/>
  <c r="AS7" i="25"/>
  <c r="AT7" i="25"/>
  <c r="AU7" i="25"/>
  <c r="AV7" i="25"/>
  <c r="AW7" i="25"/>
  <c r="AZ10" i="25"/>
  <c r="AZ11" i="25"/>
  <c r="AZ12" i="25"/>
  <c r="AZ13" i="25"/>
  <c r="AZ14" i="25"/>
  <c r="AZ15" i="25"/>
  <c r="AZ16" i="25"/>
  <c r="AZ17" i="25"/>
  <c r="AZ18" i="25"/>
  <c r="AZ19" i="25"/>
  <c r="AZ20" i="25"/>
  <c r="AZ21" i="25"/>
  <c r="AZ22" i="25"/>
  <c r="AZ23" i="25"/>
  <c r="AZ24" i="25"/>
  <c r="AZ25" i="25"/>
  <c r="AZ26" i="25"/>
  <c r="AZ27" i="25"/>
  <c r="AZ28" i="25"/>
  <c r="AZ29" i="25"/>
  <c r="AZ30" i="25"/>
  <c r="AZ31" i="25"/>
  <c r="AZ32" i="25"/>
  <c r="AZ33" i="25"/>
  <c r="AZ34" i="25"/>
  <c r="AZ35" i="25"/>
  <c r="AZ36" i="25"/>
  <c r="AZ37" i="25"/>
  <c r="AZ38" i="25"/>
  <c r="AZ39" i="25"/>
  <c r="AZ40" i="25"/>
  <c r="AZ41" i="25"/>
  <c r="AZ42" i="25"/>
  <c r="AZ43" i="25"/>
  <c r="AZ44" i="25"/>
  <c r="AZ45" i="25"/>
  <c r="AZ46" i="25"/>
  <c r="AZ47" i="25"/>
  <c r="AZ48" i="25"/>
  <c r="AZ49" i="25"/>
  <c r="AZ50" i="25"/>
  <c r="AZ51" i="25"/>
  <c r="AZ52" i="25"/>
  <c r="AZ53" i="25"/>
  <c r="AW56" i="25"/>
  <c r="AV56" i="25"/>
  <c r="AU56" i="25"/>
  <c r="AT56" i="25"/>
  <c r="AS56" i="25"/>
  <c r="AR56" i="25"/>
  <c r="AQ56" i="25"/>
  <c r="AP56" i="25"/>
  <c r="AO56" i="25"/>
  <c r="AN56" i="25"/>
  <c r="AM56" i="25"/>
  <c r="AL56" i="25"/>
  <c r="AK56" i="25"/>
  <c r="AJ56" i="25"/>
  <c r="AI56" i="25"/>
  <c r="AH56" i="25"/>
  <c r="AG56" i="25"/>
  <c r="AF56" i="25"/>
  <c r="AE56" i="25"/>
  <c r="AD56" i="25"/>
  <c r="AC56" i="25"/>
  <c r="AB56" i="25"/>
  <c r="AA56" i="25"/>
  <c r="Z56" i="25"/>
  <c r="Y56" i="25"/>
  <c r="X56" i="25"/>
  <c r="W56" i="25"/>
  <c r="V56" i="25"/>
  <c r="U56" i="25"/>
  <c r="T56" i="25"/>
  <c r="S56" i="25"/>
  <c r="R56" i="25"/>
  <c r="Q56" i="25"/>
  <c r="P56" i="25"/>
  <c r="O56" i="25"/>
  <c r="N56" i="25"/>
  <c r="M56" i="25"/>
  <c r="L56" i="25"/>
  <c r="K56" i="25"/>
  <c r="J56" i="25"/>
  <c r="I56" i="25"/>
  <c r="H56" i="25"/>
  <c r="G56" i="25"/>
  <c r="F56" i="25"/>
  <c r="C53" i="25"/>
  <c r="C52" i="25"/>
  <c r="C51" i="25"/>
  <c r="C50" i="25"/>
  <c r="C49" i="25"/>
  <c r="C48" i="25"/>
  <c r="C47" i="25"/>
  <c r="C46" i="25"/>
  <c r="C45" i="25"/>
  <c r="C44" i="25"/>
  <c r="C43" i="25"/>
  <c r="C42" i="25"/>
  <c r="C41" i="25"/>
  <c r="C40" i="25"/>
  <c r="C39" i="25"/>
  <c r="C38" i="25"/>
  <c r="C37" i="25"/>
  <c r="C35" i="25"/>
  <c r="C36" i="25"/>
  <c r="C34" i="25"/>
  <c r="C33" i="25"/>
  <c r="C32" i="25"/>
  <c r="C31" i="25"/>
  <c r="C30" i="25"/>
  <c r="C29" i="25"/>
  <c r="C28" i="25"/>
  <c r="C27" i="25"/>
  <c r="C26" i="25"/>
  <c r="C25" i="25"/>
  <c r="C24" i="25"/>
  <c r="C23" i="25"/>
  <c r="C22" i="25"/>
  <c r="C21" i="25"/>
  <c r="C20" i="25"/>
  <c r="C19" i="25"/>
  <c r="C18" i="25"/>
  <c r="C17" i="25"/>
  <c r="C16" i="25"/>
  <c r="C15" i="25"/>
  <c r="C14" i="25"/>
  <c r="C13" i="25"/>
  <c r="C12" i="25"/>
  <c r="C11" i="25"/>
  <c r="C10" i="25"/>
  <c r="E218" i="23" l="1"/>
  <c r="D218" i="23"/>
  <c r="E217" i="23"/>
  <c r="D217" i="23"/>
  <c r="E216" i="23"/>
  <c r="D216" i="23"/>
  <c r="E215" i="23"/>
  <c r="D215" i="23"/>
  <c r="E214" i="23"/>
  <c r="D214" i="23"/>
  <c r="E213" i="23"/>
  <c r="D213" i="23"/>
  <c r="E212" i="23"/>
  <c r="D212" i="23"/>
  <c r="E211" i="23"/>
  <c r="D211" i="23"/>
  <c r="E210" i="23"/>
  <c r="D210" i="23"/>
  <c r="E209" i="23"/>
  <c r="D209" i="23"/>
  <c r="E208" i="23"/>
  <c r="D208" i="23"/>
  <c r="E207" i="23"/>
  <c r="D207" i="23"/>
  <c r="E206" i="23"/>
  <c r="D206" i="23"/>
  <c r="E205" i="23"/>
  <c r="D205" i="23"/>
  <c r="E204" i="23"/>
  <c r="D204" i="23"/>
  <c r="E203" i="23"/>
  <c r="D203" i="23"/>
  <c r="E202" i="23"/>
  <c r="D202" i="23"/>
  <c r="E201" i="23"/>
  <c r="D201" i="23"/>
  <c r="E200" i="23"/>
  <c r="D200" i="23"/>
  <c r="E199" i="23"/>
  <c r="D199" i="23"/>
  <c r="E198" i="23"/>
  <c r="D198" i="23"/>
  <c r="E197" i="23"/>
  <c r="D197" i="23"/>
  <c r="E196" i="23"/>
  <c r="D196" i="23"/>
  <c r="E195" i="23"/>
  <c r="D195" i="23"/>
  <c r="E194" i="23"/>
  <c r="D194" i="23"/>
  <c r="E193" i="23"/>
  <c r="D193" i="23"/>
  <c r="E192" i="23"/>
  <c r="D192" i="23"/>
  <c r="E191" i="23"/>
  <c r="D191" i="23"/>
  <c r="E190" i="23"/>
  <c r="D190" i="23"/>
  <c r="E189" i="23"/>
  <c r="D189" i="23"/>
  <c r="E188" i="23"/>
  <c r="D188" i="23"/>
  <c r="E187" i="23"/>
  <c r="D187" i="23"/>
  <c r="E186" i="23"/>
  <c r="D186" i="23"/>
  <c r="E185" i="23"/>
  <c r="D185" i="23"/>
  <c r="E184" i="23"/>
  <c r="D184" i="23"/>
  <c r="E183" i="23"/>
  <c r="D183" i="23"/>
  <c r="E182" i="23"/>
  <c r="D182" i="23"/>
  <c r="E181" i="23"/>
  <c r="D181" i="23"/>
  <c r="E180" i="23"/>
  <c r="D180" i="23"/>
  <c r="E179" i="23"/>
  <c r="D179" i="23"/>
  <c r="E178" i="23"/>
  <c r="D178" i="23"/>
  <c r="E177" i="23"/>
  <c r="D177" i="23"/>
  <c r="F141" i="23"/>
  <c r="E141" i="23"/>
  <c r="D141" i="23"/>
  <c r="F140" i="23"/>
  <c r="E140" i="23"/>
  <c r="D140" i="23"/>
  <c r="F139" i="23"/>
  <c r="E139" i="23"/>
  <c r="D139" i="23"/>
  <c r="F138" i="23"/>
  <c r="E138" i="23"/>
  <c r="D138" i="23"/>
  <c r="F137" i="23"/>
  <c r="E137" i="23"/>
  <c r="D137" i="23"/>
  <c r="F136" i="23"/>
  <c r="E136" i="23"/>
  <c r="D136" i="23"/>
  <c r="F135" i="23"/>
  <c r="E135" i="23"/>
  <c r="D135" i="23"/>
  <c r="F134" i="23"/>
  <c r="E134" i="23"/>
  <c r="D134" i="23"/>
  <c r="F133" i="23"/>
  <c r="E133" i="23"/>
  <c r="D133" i="23"/>
  <c r="F132" i="23"/>
  <c r="E132" i="23"/>
  <c r="D132" i="23"/>
  <c r="F131" i="23"/>
  <c r="E131" i="23"/>
  <c r="D131" i="23"/>
  <c r="F130" i="23"/>
  <c r="E130" i="23"/>
  <c r="D130" i="23"/>
  <c r="F129" i="23"/>
  <c r="E129" i="23"/>
  <c r="D129" i="23"/>
  <c r="F128" i="23"/>
  <c r="E128" i="23"/>
  <c r="D128" i="23"/>
  <c r="F127" i="23"/>
  <c r="E127" i="23"/>
  <c r="D127" i="23"/>
  <c r="F126" i="23"/>
  <c r="E126" i="23"/>
  <c r="D126" i="23"/>
  <c r="F125" i="23"/>
  <c r="E125" i="23"/>
  <c r="D125" i="23"/>
  <c r="F124" i="23"/>
  <c r="E124" i="23"/>
  <c r="D124" i="23"/>
  <c r="F123" i="23"/>
  <c r="E123" i="23"/>
  <c r="D123" i="23"/>
  <c r="F122" i="23"/>
  <c r="E122" i="23"/>
  <c r="D122" i="23"/>
  <c r="F121" i="23"/>
  <c r="E121" i="23"/>
  <c r="D121" i="23"/>
  <c r="F120" i="23"/>
  <c r="E120" i="23"/>
  <c r="D120" i="23"/>
  <c r="F119" i="23"/>
  <c r="E119" i="23"/>
  <c r="D119" i="23"/>
  <c r="F118" i="23"/>
  <c r="E118" i="23"/>
  <c r="D118" i="23"/>
  <c r="F117" i="23"/>
  <c r="E117" i="23"/>
  <c r="D117" i="23"/>
  <c r="F116" i="23"/>
  <c r="E116" i="23"/>
  <c r="D116" i="23"/>
  <c r="F115" i="23"/>
  <c r="E115" i="23"/>
  <c r="D115" i="23"/>
  <c r="F114" i="23"/>
  <c r="E114" i="23"/>
  <c r="D114" i="23"/>
  <c r="F113" i="23"/>
  <c r="E113" i="23"/>
  <c r="D113" i="23"/>
  <c r="F112" i="23"/>
  <c r="E112" i="23"/>
  <c r="D112" i="23"/>
  <c r="F111" i="23"/>
  <c r="E111" i="23"/>
  <c r="D111" i="23"/>
  <c r="F110" i="23"/>
  <c r="E110" i="23"/>
  <c r="D110" i="23"/>
  <c r="F109" i="23"/>
  <c r="E109" i="23"/>
  <c r="D109" i="23"/>
  <c r="P105" i="23"/>
  <c r="O105" i="23"/>
  <c r="N105" i="23"/>
  <c r="M105" i="23"/>
  <c r="L105" i="23"/>
  <c r="K105" i="23"/>
  <c r="J105" i="23"/>
  <c r="I105" i="23"/>
  <c r="H105" i="23"/>
  <c r="G105" i="23"/>
  <c r="F105" i="23"/>
  <c r="E105" i="23"/>
  <c r="D105" i="23"/>
  <c r="P104" i="23"/>
  <c r="O104" i="23"/>
  <c r="N104" i="23"/>
  <c r="M104" i="23"/>
  <c r="L104" i="23"/>
  <c r="K104" i="23"/>
  <c r="J104" i="23"/>
  <c r="I104" i="23"/>
  <c r="H104" i="23"/>
  <c r="G104" i="23"/>
  <c r="F104" i="23"/>
  <c r="E104" i="23"/>
  <c r="D104" i="23"/>
  <c r="E103" i="23"/>
  <c r="D103" i="23"/>
  <c r="P102" i="23"/>
  <c r="O102" i="23"/>
  <c r="N102" i="23"/>
  <c r="M102" i="23"/>
  <c r="L102" i="23"/>
  <c r="K102" i="23"/>
  <c r="J102" i="23"/>
  <c r="I102" i="23"/>
  <c r="H102" i="23"/>
  <c r="G102" i="23"/>
  <c r="E102" i="23"/>
  <c r="D102" i="23"/>
  <c r="F99" i="23"/>
  <c r="E99" i="23"/>
  <c r="D99" i="23"/>
  <c r="F98" i="23"/>
  <c r="E98" i="23"/>
  <c r="D98" i="23"/>
  <c r="F97" i="23"/>
  <c r="E97" i="23"/>
  <c r="D97" i="23"/>
  <c r="F96" i="23"/>
  <c r="E96" i="23"/>
  <c r="D96" i="23"/>
  <c r="O93" i="23"/>
  <c r="N93" i="23"/>
  <c r="M93" i="23"/>
  <c r="L93" i="23"/>
  <c r="K93" i="23"/>
  <c r="J93" i="23"/>
  <c r="I93" i="23"/>
  <c r="H93" i="23"/>
  <c r="G93" i="23"/>
  <c r="F93" i="23"/>
  <c r="E93" i="23"/>
  <c r="D93" i="23"/>
  <c r="O92" i="23"/>
  <c r="N92" i="23"/>
  <c r="M92" i="23"/>
  <c r="L92" i="23"/>
  <c r="K92" i="23"/>
  <c r="J92" i="23"/>
  <c r="I92" i="23"/>
  <c r="H92" i="23"/>
  <c r="G92" i="23"/>
  <c r="F92" i="23"/>
  <c r="E92" i="23"/>
  <c r="D92" i="23"/>
  <c r="O91" i="23"/>
  <c r="N91" i="23"/>
  <c r="M91" i="23"/>
  <c r="L91" i="23"/>
  <c r="K91" i="23"/>
  <c r="J91" i="23"/>
  <c r="I91" i="23"/>
  <c r="H91" i="23"/>
  <c r="G91" i="23"/>
  <c r="F91" i="23"/>
  <c r="E91" i="23"/>
  <c r="D91" i="23"/>
  <c r="O90" i="23"/>
  <c r="N90" i="23"/>
  <c r="M90" i="23"/>
  <c r="L90" i="23"/>
  <c r="K90" i="23"/>
  <c r="J90" i="23"/>
  <c r="I90" i="23"/>
  <c r="H90" i="23"/>
  <c r="G90" i="23"/>
  <c r="F90" i="23"/>
  <c r="E90" i="23"/>
  <c r="D90" i="23"/>
  <c r="F87" i="23"/>
  <c r="E87" i="23"/>
  <c r="D87" i="23"/>
  <c r="F86" i="23"/>
  <c r="E86" i="23"/>
  <c r="D86" i="23"/>
  <c r="F85" i="23"/>
  <c r="E85" i="23"/>
  <c r="D85" i="23"/>
  <c r="F84" i="23"/>
  <c r="E84" i="23"/>
  <c r="D84" i="23"/>
  <c r="CI81" i="23"/>
  <c r="CH81" i="23"/>
  <c r="CG81" i="23"/>
  <c r="CF81" i="23"/>
  <c r="CE81" i="23"/>
  <c r="CD81" i="23"/>
  <c r="CC81" i="23"/>
  <c r="CB81" i="23"/>
  <c r="CA81" i="23"/>
  <c r="BZ81" i="23"/>
  <c r="BY81" i="23"/>
  <c r="BX81" i="23"/>
  <c r="BW81" i="23"/>
  <c r="BV81" i="23"/>
  <c r="BU81" i="23"/>
  <c r="BT81" i="23"/>
  <c r="BS81" i="23"/>
  <c r="BR81" i="23"/>
  <c r="BQ81" i="23"/>
  <c r="BP81" i="23"/>
  <c r="BO81" i="23"/>
  <c r="BN81" i="23"/>
  <c r="BM81" i="23"/>
  <c r="BL81" i="23"/>
  <c r="BK81" i="23"/>
  <c r="BJ81" i="23"/>
  <c r="BI81" i="23"/>
  <c r="BH81" i="23"/>
  <c r="BG81" i="23"/>
  <c r="BF81" i="23"/>
  <c r="BE81" i="23"/>
  <c r="BD81" i="23"/>
  <c r="BC81" i="23"/>
  <c r="BB81" i="23"/>
  <c r="BA81" i="23"/>
  <c r="AZ81" i="23"/>
  <c r="AY81" i="23"/>
  <c r="AX81" i="23"/>
  <c r="AW81" i="23"/>
  <c r="AV81" i="23"/>
  <c r="AU81" i="23"/>
  <c r="AT81" i="23"/>
  <c r="AS81" i="23"/>
  <c r="AR81" i="23"/>
  <c r="AQ81" i="23"/>
  <c r="AP81" i="23"/>
  <c r="AO81" i="23"/>
  <c r="AN81" i="23"/>
  <c r="AM81" i="23"/>
  <c r="AL81" i="23"/>
  <c r="AK81" i="23"/>
  <c r="AJ81" i="23"/>
  <c r="AI81" i="23"/>
  <c r="AH81" i="23"/>
  <c r="AG81" i="23"/>
  <c r="AF81" i="23"/>
  <c r="AE81" i="23"/>
  <c r="AD81" i="23"/>
  <c r="AC81" i="23"/>
  <c r="AB81" i="23"/>
  <c r="AA81" i="23"/>
  <c r="Z81" i="23"/>
  <c r="Y81" i="23"/>
  <c r="X81" i="23"/>
  <c r="W81" i="23"/>
  <c r="V81" i="23"/>
  <c r="U81" i="23"/>
  <c r="T81" i="23"/>
  <c r="S81" i="23"/>
  <c r="R81" i="23"/>
  <c r="Q81" i="23"/>
  <c r="P81" i="23"/>
  <c r="O81" i="23"/>
  <c r="N81" i="23"/>
  <c r="M81" i="23"/>
  <c r="L81" i="23"/>
  <c r="K81" i="23"/>
  <c r="J81" i="23"/>
  <c r="I81" i="23"/>
  <c r="H81" i="23"/>
  <c r="G81" i="23"/>
  <c r="F81" i="23"/>
  <c r="E81" i="23"/>
  <c r="D81" i="23"/>
  <c r="CI80" i="23"/>
  <c r="CH80" i="23"/>
  <c r="CG80" i="23"/>
  <c r="CF80" i="23"/>
  <c r="CE80" i="23"/>
  <c r="CD80" i="23"/>
  <c r="CC80" i="23"/>
  <c r="CB80" i="23"/>
  <c r="CA80" i="23"/>
  <c r="BZ80" i="23"/>
  <c r="BY80" i="23"/>
  <c r="BX80" i="23"/>
  <c r="BW80" i="23"/>
  <c r="BV80" i="23"/>
  <c r="BU80" i="23"/>
  <c r="BT80" i="23"/>
  <c r="BS80" i="23"/>
  <c r="BR80" i="23"/>
  <c r="BQ80" i="23"/>
  <c r="BP80" i="23"/>
  <c r="BO80" i="23"/>
  <c r="BN80" i="23"/>
  <c r="BM80" i="23"/>
  <c r="BL80" i="23"/>
  <c r="BK80" i="23"/>
  <c r="BJ80" i="23"/>
  <c r="BI80" i="23"/>
  <c r="BH80" i="23"/>
  <c r="BG80" i="23"/>
  <c r="BF80" i="23"/>
  <c r="BE80" i="23"/>
  <c r="BD80" i="23"/>
  <c r="BC80" i="23"/>
  <c r="BB80" i="23"/>
  <c r="BA80" i="23"/>
  <c r="AZ80" i="23"/>
  <c r="AY80" i="23"/>
  <c r="AX80" i="23"/>
  <c r="AW80" i="23"/>
  <c r="AV80" i="23"/>
  <c r="AU80" i="23"/>
  <c r="AT80" i="23"/>
  <c r="AS80" i="23"/>
  <c r="AR80" i="23"/>
  <c r="AQ80" i="23"/>
  <c r="AP80" i="23"/>
  <c r="AO80" i="23"/>
  <c r="AN80" i="23"/>
  <c r="AM80" i="23"/>
  <c r="AL80" i="23"/>
  <c r="AK80" i="23"/>
  <c r="AJ80" i="23"/>
  <c r="AI80" i="23"/>
  <c r="AH80" i="23"/>
  <c r="AG80" i="23"/>
  <c r="AF80" i="23"/>
  <c r="AE80" i="23"/>
  <c r="AD80" i="23"/>
  <c r="AC80" i="23"/>
  <c r="AB80" i="23"/>
  <c r="AA80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N80" i="23"/>
  <c r="M80" i="23"/>
  <c r="L80" i="23"/>
  <c r="K80" i="23"/>
  <c r="J80" i="23"/>
  <c r="I80" i="23"/>
  <c r="H80" i="23"/>
  <c r="G80" i="23"/>
  <c r="F80" i="23"/>
  <c r="E80" i="23"/>
  <c r="D80" i="23"/>
  <c r="CI79" i="23"/>
  <c r="CH79" i="23"/>
  <c r="CG79" i="23"/>
  <c r="CF79" i="23"/>
  <c r="CE79" i="23"/>
  <c r="CD79" i="23"/>
  <c r="CC79" i="23"/>
  <c r="CB79" i="23"/>
  <c r="CA79" i="23"/>
  <c r="BZ79" i="23"/>
  <c r="BY79" i="23"/>
  <c r="BX79" i="23"/>
  <c r="BW79" i="23"/>
  <c r="BV79" i="23"/>
  <c r="BU79" i="23"/>
  <c r="BT79" i="23"/>
  <c r="BS79" i="23"/>
  <c r="BR79" i="23"/>
  <c r="BQ79" i="23"/>
  <c r="BP79" i="23"/>
  <c r="BO79" i="23"/>
  <c r="BN79" i="23"/>
  <c r="BM79" i="23"/>
  <c r="BL79" i="23"/>
  <c r="BK79" i="23"/>
  <c r="BJ79" i="23"/>
  <c r="BI79" i="23"/>
  <c r="BH79" i="23"/>
  <c r="BG79" i="23"/>
  <c r="BF79" i="23"/>
  <c r="BE79" i="23"/>
  <c r="BD79" i="23"/>
  <c r="BC79" i="23"/>
  <c r="BB79" i="23"/>
  <c r="BA79" i="23"/>
  <c r="AZ79" i="23"/>
  <c r="AY79" i="23"/>
  <c r="AX79" i="23"/>
  <c r="AW79" i="23"/>
  <c r="AV79" i="23"/>
  <c r="AU79" i="23"/>
  <c r="AT79" i="23"/>
  <c r="AS79" i="23"/>
  <c r="AR79" i="23"/>
  <c r="AQ79" i="23"/>
  <c r="AP79" i="23"/>
  <c r="AO79" i="23"/>
  <c r="AN79" i="23"/>
  <c r="AM79" i="23"/>
  <c r="AL79" i="23"/>
  <c r="AK79" i="23"/>
  <c r="AJ79" i="23"/>
  <c r="AI79" i="23"/>
  <c r="AH79" i="23"/>
  <c r="AG79" i="23"/>
  <c r="AF79" i="23"/>
  <c r="AE79" i="23"/>
  <c r="AD79" i="23"/>
  <c r="AC79" i="23"/>
  <c r="AB79" i="23"/>
  <c r="AA79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N79" i="23"/>
  <c r="M79" i="23"/>
  <c r="L79" i="23"/>
  <c r="K79" i="23"/>
  <c r="J79" i="23"/>
  <c r="I79" i="23"/>
  <c r="H79" i="23"/>
  <c r="G79" i="23"/>
  <c r="F79" i="23"/>
  <c r="E79" i="23"/>
  <c r="D79" i="23"/>
  <c r="CI78" i="23"/>
  <c r="CH78" i="23"/>
  <c r="CG78" i="23"/>
  <c r="CF78" i="23"/>
  <c r="CE78" i="23"/>
  <c r="CD78" i="23"/>
  <c r="CC78" i="23"/>
  <c r="CB78" i="23"/>
  <c r="CA78" i="23"/>
  <c r="BZ78" i="23"/>
  <c r="BY78" i="23"/>
  <c r="BX78" i="23"/>
  <c r="BW78" i="23"/>
  <c r="BV78" i="23"/>
  <c r="BU78" i="23"/>
  <c r="BT78" i="23"/>
  <c r="BS78" i="23"/>
  <c r="BR78" i="23"/>
  <c r="BQ78" i="23"/>
  <c r="BP78" i="23"/>
  <c r="BO78" i="23"/>
  <c r="BN78" i="23"/>
  <c r="BM78" i="23"/>
  <c r="BL78" i="23"/>
  <c r="BK78" i="23"/>
  <c r="BJ78" i="23"/>
  <c r="BI78" i="23"/>
  <c r="BH78" i="23"/>
  <c r="BG78" i="23"/>
  <c r="BF78" i="23"/>
  <c r="BE78" i="23"/>
  <c r="BD78" i="23"/>
  <c r="BC78" i="23"/>
  <c r="BB78" i="23"/>
  <c r="BA78" i="23"/>
  <c r="AZ78" i="23"/>
  <c r="AY78" i="23"/>
  <c r="AX78" i="23"/>
  <c r="AW78" i="23"/>
  <c r="AV78" i="23"/>
  <c r="AU78" i="23"/>
  <c r="AT78" i="23"/>
  <c r="AS78" i="23"/>
  <c r="AR78" i="23"/>
  <c r="AQ78" i="23"/>
  <c r="AP78" i="23"/>
  <c r="AO78" i="23"/>
  <c r="AN78" i="23"/>
  <c r="AM78" i="23"/>
  <c r="AL78" i="23"/>
  <c r="AK78" i="23"/>
  <c r="AJ78" i="23"/>
  <c r="AI78" i="23"/>
  <c r="AH78" i="23"/>
  <c r="AG78" i="23"/>
  <c r="AF78" i="23"/>
  <c r="AE78" i="23"/>
  <c r="AD78" i="23"/>
  <c r="AC78" i="23"/>
  <c r="AB78" i="23"/>
  <c r="AA78" i="23"/>
  <c r="Z78" i="23"/>
  <c r="Y78" i="23"/>
  <c r="X78" i="23"/>
  <c r="W78" i="23"/>
  <c r="V78" i="23"/>
  <c r="U78" i="23"/>
  <c r="T78" i="23"/>
  <c r="S78" i="23"/>
  <c r="R78" i="23"/>
  <c r="Q78" i="23"/>
  <c r="P78" i="23"/>
  <c r="O78" i="23"/>
  <c r="N78" i="23"/>
  <c r="M78" i="23"/>
  <c r="L78" i="23"/>
  <c r="K78" i="23"/>
  <c r="J78" i="23"/>
  <c r="I78" i="23"/>
  <c r="H78" i="23"/>
  <c r="G78" i="23"/>
  <c r="F78" i="23"/>
  <c r="E78" i="23"/>
  <c r="D78" i="23"/>
  <c r="F75" i="23"/>
  <c r="E75" i="23"/>
  <c r="D75" i="23"/>
  <c r="F74" i="23"/>
  <c r="E74" i="23"/>
  <c r="D74" i="23"/>
  <c r="F73" i="23"/>
  <c r="E73" i="23"/>
  <c r="D73" i="23"/>
  <c r="F72" i="23"/>
  <c r="E72" i="23"/>
  <c r="D72" i="23"/>
  <c r="N57" i="23"/>
  <c r="M57" i="23"/>
  <c r="L57" i="23"/>
  <c r="K57" i="23"/>
  <c r="J57" i="23"/>
  <c r="I57" i="23"/>
  <c r="H57" i="23"/>
  <c r="G57" i="23"/>
  <c r="F57" i="23"/>
  <c r="E57" i="23"/>
  <c r="D57" i="23"/>
  <c r="N56" i="23"/>
  <c r="M56" i="23"/>
  <c r="L56" i="23"/>
  <c r="K56" i="23"/>
  <c r="J56" i="23"/>
  <c r="I56" i="23"/>
  <c r="H56" i="23"/>
  <c r="G56" i="23"/>
  <c r="F56" i="23"/>
  <c r="E56" i="23"/>
  <c r="D56" i="23"/>
  <c r="N55" i="23"/>
  <c r="M55" i="23"/>
  <c r="L55" i="23"/>
  <c r="K55" i="23"/>
  <c r="J55" i="23"/>
  <c r="I55" i="23"/>
  <c r="H55" i="23"/>
  <c r="G55" i="23"/>
  <c r="F55" i="23"/>
  <c r="E55" i="23"/>
  <c r="D55" i="23"/>
  <c r="N54" i="23"/>
  <c r="M54" i="23"/>
  <c r="L54" i="23"/>
  <c r="K54" i="23"/>
  <c r="J54" i="23"/>
  <c r="I54" i="23"/>
  <c r="H54" i="23"/>
  <c r="G54" i="23"/>
  <c r="F54" i="23"/>
  <c r="E54" i="23"/>
  <c r="D54" i="23"/>
  <c r="N53" i="23"/>
  <c r="M53" i="23"/>
  <c r="L53" i="23"/>
  <c r="K53" i="23"/>
  <c r="J53" i="23"/>
  <c r="I53" i="23"/>
  <c r="H53" i="23"/>
  <c r="G53" i="23"/>
  <c r="F53" i="23"/>
  <c r="E53" i="23"/>
  <c r="D53" i="23"/>
  <c r="N52" i="23"/>
  <c r="M52" i="23"/>
  <c r="L52" i="23"/>
  <c r="K52" i="23"/>
  <c r="J52" i="23"/>
  <c r="I52" i="23"/>
  <c r="H52" i="23"/>
  <c r="G52" i="23"/>
  <c r="F52" i="23"/>
  <c r="E52" i="23"/>
  <c r="D52" i="23"/>
  <c r="N51" i="23"/>
  <c r="M51" i="23"/>
  <c r="L51" i="23"/>
  <c r="K51" i="23"/>
  <c r="J51" i="23"/>
  <c r="I51" i="23"/>
  <c r="H51" i="23"/>
  <c r="G51" i="23"/>
  <c r="F51" i="23"/>
  <c r="E51" i="23"/>
  <c r="D51" i="23"/>
  <c r="N50" i="23"/>
  <c r="M50" i="23"/>
  <c r="L50" i="23"/>
  <c r="K50" i="23"/>
  <c r="J50" i="23"/>
  <c r="I50" i="23"/>
  <c r="H50" i="23"/>
  <c r="G50" i="23"/>
  <c r="F50" i="23"/>
  <c r="E50" i="23"/>
  <c r="D50" i="23"/>
  <c r="N49" i="23"/>
  <c r="M49" i="23"/>
  <c r="L49" i="23"/>
  <c r="K49" i="23"/>
  <c r="J49" i="23"/>
  <c r="I49" i="23"/>
  <c r="H49" i="23"/>
  <c r="G49" i="23"/>
  <c r="F49" i="23"/>
  <c r="E49" i="23"/>
  <c r="D49" i="23"/>
  <c r="N48" i="23"/>
  <c r="M48" i="23"/>
  <c r="L48" i="23"/>
  <c r="K48" i="23"/>
  <c r="J48" i="23"/>
  <c r="I48" i="23"/>
  <c r="H48" i="23"/>
  <c r="G48" i="23"/>
  <c r="F48" i="23"/>
  <c r="E48" i="23"/>
  <c r="D48" i="23"/>
  <c r="N47" i="23"/>
  <c r="M47" i="23"/>
  <c r="L47" i="23"/>
  <c r="K47" i="23"/>
  <c r="J47" i="23"/>
  <c r="I47" i="23"/>
  <c r="H47" i="23"/>
  <c r="G47" i="23"/>
  <c r="F47" i="23"/>
  <c r="E47" i="23"/>
  <c r="D47" i="23"/>
  <c r="N46" i="23"/>
  <c r="M46" i="23"/>
  <c r="L46" i="23"/>
  <c r="K46" i="23"/>
  <c r="J46" i="23"/>
  <c r="I46" i="23"/>
  <c r="H46" i="23"/>
  <c r="G46" i="23"/>
  <c r="F46" i="23"/>
  <c r="E46" i="23"/>
  <c r="D46" i="23"/>
  <c r="N45" i="23"/>
  <c r="M45" i="23"/>
  <c r="L45" i="23"/>
  <c r="K45" i="23"/>
  <c r="J45" i="23"/>
  <c r="I45" i="23"/>
  <c r="H45" i="23"/>
  <c r="G45" i="23"/>
  <c r="F45" i="23"/>
  <c r="E45" i="23"/>
  <c r="D45" i="23"/>
  <c r="N44" i="23"/>
  <c r="M44" i="23"/>
  <c r="L44" i="23"/>
  <c r="K44" i="23"/>
  <c r="J44" i="23"/>
  <c r="I44" i="23"/>
  <c r="H44" i="23"/>
  <c r="G44" i="23"/>
  <c r="F44" i="23"/>
  <c r="E44" i="23"/>
  <c r="D44" i="23"/>
  <c r="N43" i="23"/>
  <c r="M43" i="23"/>
  <c r="L43" i="23"/>
  <c r="K43" i="23"/>
  <c r="J43" i="23"/>
  <c r="I43" i="23"/>
  <c r="H43" i="23"/>
  <c r="G43" i="23"/>
  <c r="F43" i="23"/>
  <c r="E43" i="23"/>
  <c r="D43" i="23"/>
  <c r="N42" i="23"/>
  <c r="M42" i="23"/>
  <c r="L42" i="23"/>
  <c r="K42" i="23"/>
  <c r="J42" i="23"/>
  <c r="I42" i="23"/>
  <c r="H42" i="23"/>
  <c r="G42" i="23"/>
  <c r="F42" i="23"/>
  <c r="E42" i="23"/>
  <c r="D42" i="23"/>
  <c r="N41" i="23"/>
  <c r="M41" i="23"/>
  <c r="L41" i="23"/>
  <c r="K41" i="23"/>
  <c r="J41" i="23"/>
  <c r="I41" i="23"/>
  <c r="H41" i="23"/>
  <c r="G41" i="23"/>
  <c r="F41" i="23"/>
  <c r="E41" i="23"/>
  <c r="D41" i="23"/>
  <c r="N40" i="23"/>
  <c r="M40" i="23"/>
  <c r="L40" i="23"/>
  <c r="K40" i="23"/>
  <c r="J40" i="23"/>
  <c r="I40" i="23"/>
  <c r="H40" i="23"/>
  <c r="G40" i="23"/>
  <c r="F40" i="23"/>
  <c r="E40" i="23"/>
  <c r="D40" i="23"/>
  <c r="N39" i="23"/>
  <c r="M39" i="23"/>
  <c r="L39" i="23"/>
  <c r="K39" i="23"/>
  <c r="J39" i="23"/>
  <c r="I39" i="23"/>
  <c r="H39" i="23"/>
  <c r="G39" i="23"/>
  <c r="F39" i="23"/>
  <c r="E39" i="23"/>
  <c r="D39" i="23"/>
  <c r="N38" i="23"/>
  <c r="M38" i="23"/>
  <c r="L38" i="23"/>
  <c r="K38" i="23"/>
  <c r="J38" i="23"/>
  <c r="I38" i="23"/>
  <c r="H38" i="23"/>
  <c r="G38" i="23"/>
  <c r="F38" i="23"/>
  <c r="E38" i="23"/>
  <c r="D38" i="23"/>
  <c r="N37" i="23"/>
  <c r="M37" i="23"/>
  <c r="L37" i="23"/>
  <c r="K37" i="23"/>
  <c r="J37" i="23"/>
  <c r="I37" i="23"/>
  <c r="H37" i="23"/>
  <c r="G37" i="23"/>
  <c r="F37" i="23"/>
  <c r="E37" i="23"/>
  <c r="D37" i="23"/>
  <c r="N36" i="23"/>
  <c r="M36" i="23"/>
  <c r="L36" i="23"/>
  <c r="K36" i="23"/>
  <c r="J36" i="23"/>
  <c r="I36" i="23"/>
  <c r="H36" i="23"/>
  <c r="G36" i="23"/>
  <c r="F36" i="23"/>
  <c r="E36" i="23"/>
  <c r="D36" i="23"/>
  <c r="N35" i="23"/>
  <c r="M35" i="23"/>
  <c r="L35" i="23"/>
  <c r="K35" i="23"/>
  <c r="J35" i="23"/>
  <c r="I35" i="23"/>
  <c r="H35" i="23"/>
  <c r="G35" i="23"/>
  <c r="F35" i="23"/>
  <c r="E35" i="23"/>
  <c r="D35" i="23"/>
  <c r="N34" i="23"/>
  <c r="M34" i="23"/>
  <c r="L34" i="23"/>
  <c r="K34" i="23"/>
  <c r="J34" i="23"/>
  <c r="I34" i="23"/>
  <c r="H34" i="23"/>
  <c r="G34" i="23"/>
  <c r="F34" i="23"/>
  <c r="E34" i="23"/>
  <c r="D34" i="23"/>
  <c r="N33" i="23"/>
  <c r="M33" i="23"/>
  <c r="L33" i="23"/>
  <c r="K33" i="23"/>
  <c r="J33" i="23"/>
  <c r="I33" i="23"/>
  <c r="H33" i="23"/>
  <c r="G33" i="23"/>
  <c r="F33" i="23"/>
  <c r="E33" i="23"/>
  <c r="D33" i="23"/>
  <c r="N32" i="23"/>
  <c r="M32" i="23"/>
  <c r="L32" i="23"/>
  <c r="K32" i="23"/>
  <c r="J32" i="23"/>
  <c r="I32" i="23"/>
  <c r="H32" i="23"/>
  <c r="G32" i="23"/>
  <c r="F32" i="23"/>
  <c r="E32" i="23"/>
  <c r="D32" i="23"/>
  <c r="N31" i="23"/>
  <c r="M31" i="23"/>
  <c r="L31" i="23"/>
  <c r="K31" i="23"/>
  <c r="J31" i="23"/>
  <c r="I31" i="23"/>
  <c r="H31" i="23"/>
  <c r="G31" i="23"/>
  <c r="F31" i="23"/>
  <c r="E31" i="23"/>
  <c r="D31" i="23"/>
  <c r="N30" i="23"/>
  <c r="M30" i="23"/>
  <c r="L30" i="23"/>
  <c r="K30" i="23"/>
  <c r="J30" i="23"/>
  <c r="I30" i="23"/>
  <c r="H30" i="23"/>
  <c r="G30" i="23"/>
  <c r="F30" i="23"/>
  <c r="E30" i="23"/>
  <c r="D30" i="23"/>
  <c r="N29" i="23"/>
  <c r="M29" i="23"/>
  <c r="L29" i="23"/>
  <c r="K29" i="23"/>
  <c r="J29" i="23"/>
  <c r="I29" i="23"/>
  <c r="H29" i="23"/>
  <c r="G29" i="23"/>
  <c r="F29" i="23"/>
  <c r="E29" i="23"/>
  <c r="D29" i="23"/>
  <c r="N28" i="23"/>
  <c r="M28" i="23"/>
  <c r="L28" i="23"/>
  <c r="K28" i="23"/>
  <c r="J28" i="23"/>
  <c r="I28" i="23"/>
  <c r="H28" i="23"/>
  <c r="G28" i="23"/>
  <c r="F28" i="23"/>
  <c r="E28" i="23"/>
  <c r="D28" i="23"/>
  <c r="N27" i="23"/>
  <c r="M27" i="23"/>
  <c r="L27" i="23"/>
  <c r="K27" i="23"/>
  <c r="J27" i="23"/>
  <c r="I27" i="23"/>
  <c r="H27" i="23"/>
  <c r="G27" i="23"/>
  <c r="F27" i="23"/>
  <c r="E27" i="23"/>
  <c r="D27" i="23"/>
  <c r="N26" i="23"/>
  <c r="M26" i="23"/>
  <c r="L26" i="23"/>
  <c r="K26" i="23"/>
  <c r="J26" i="23"/>
  <c r="I26" i="23"/>
  <c r="H26" i="23"/>
  <c r="G26" i="23"/>
  <c r="F26" i="23"/>
  <c r="E26" i="23"/>
  <c r="D26" i="23"/>
  <c r="N25" i="23"/>
  <c r="M25" i="23"/>
  <c r="L25" i="23"/>
  <c r="K25" i="23"/>
  <c r="J25" i="23"/>
  <c r="I25" i="23"/>
  <c r="H25" i="23"/>
  <c r="G25" i="23"/>
  <c r="F25" i="23"/>
  <c r="E25" i="23"/>
  <c r="D25" i="23"/>
  <c r="N24" i="23"/>
  <c r="M24" i="23"/>
  <c r="L24" i="23"/>
  <c r="K24" i="23"/>
  <c r="J24" i="23"/>
  <c r="I24" i="23"/>
  <c r="H24" i="23"/>
  <c r="G24" i="23"/>
  <c r="F24" i="23"/>
  <c r="E24" i="23"/>
  <c r="D24" i="23"/>
  <c r="N23" i="23"/>
  <c r="M23" i="23"/>
  <c r="L23" i="23"/>
  <c r="K23" i="23"/>
  <c r="J23" i="23"/>
  <c r="I23" i="23"/>
  <c r="H23" i="23"/>
  <c r="G23" i="23"/>
  <c r="F23" i="23"/>
  <c r="E23" i="23"/>
  <c r="D23" i="23"/>
  <c r="W19" i="23"/>
  <c r="V19" i="23"/>
  <c r="U19" i="23"/>
  <c r="T19" i="23"/>
  <c r="S19" i="23"/>
  <c r="R19" i="23"/>
  <c r="Q19" i="23"/>
  <c r="P19" i="23"/>
  <c r="O19" i="23"/>
  <c r="N19" i="23"/>
  <c r="M19" i="23"/>
  <c r="L19" i="23"/>
  <c r="K19" i="23"/>
  <c r="J19" i="23"/>
  <c r="I19" i="23"/>
  <c r="H19" i="23"/>
  <c r="G19" i="23"/>
  <c r="F19" i="23"/>
  <c r="E19" i="23"/>
  <c r="D19" i="23"/>
  <c r="W18" i="23"/>
  <c r="V18" i="23"/>
  <c r="U18" i="23"/>
  <c r="T18" i="23"/>
  <c r="S18" i="23"/>
  <c r="R18" i="23"/>
  <c r="Q18" i="23"/>
  <c r="P18" i="23"/>
  <c r="O18" i="23"/>
  <c r="N18" i="23"/>
  <c r="M18" i="23"/>
  <c r="L18" i="23"/>
  <c r="K18" i="23"/>
  <c r="J18" i="23"/>
  <c r="I18" i="23"/>
  <c r="H18" i="23"/>
  <c r="G18" i="23"/>
  <c r="F18" i="23"/>
  <c r="E18" i="23"/>
  <c r="D18" i="23"/>
  <c r="W17" i="23"/>
  <c r="V17" i="23"/>
  <c r="U17" i="23"/>
  <c r="T17" i="23"/>
  <c r="S17" i="23"/>
  <c r="R17" i="23"/>
  <c r="Q17" i="23"/>
  <c r="P17" i="23"/>
  <c r="O17" i="23"/>
  <c r="N17" i="23"/>
  <c r="M17" i="23"/>
  <c r="L17" i="23"/>
  <c r="K17" i="23"/>
  <c r="J17" i="23"/>
  <c r="I17" i="23"/>
  <c r="H17" i="23"/>
  <c r="G17" i="23"/>
  <c r="F17" i="23"/>
  <c r="E17" i="23"/>
  <c r="D17" i="23"/>
  <c r="H13" i="23"/>
  <c r="G13" i="23"/>
  <c r="F13" i="23"/>
  <c r="E13" i="23"/>
  <c r="D13" i="23"/>
  <c r="H12" i="23"/>
  <c r="G12" i="23"/>
  <c r="F12" i="23"/>
  <c r="E12" i="23"/>
  <c r="D12" i="23"/>
  <c r="H9" i="23"/>
  <c r="G9" i="23"/>
  <c r="F9" i="23"/>
  <c r="E9" i="23"/>
  <c r="D9" i="23"/>
  <c r="H8" i="23"/>
  <c r="G8" i="23"/>
  <c r="F8" i="23"/>
  <c r="E8" i="23"/>
  <c r="D8" i="23"/>
  <c r="AM12" i="22"/>
  <c r="AM14" i="22"/>
  <c r="AM16" i="22"/>
  <c r="AM20" i="22"/>
  <c r="AM22" i="22"/>
  <c r="AM24" i="22"/>
  <c r="AM32" i="22"/>
  <c r="AM34" i="22"/>
  <c r="AM38" i="22"/>
  <c r="AM40" i="22"/>
  <c r="AM42" i="22"/>
  <c r="AK10" i="22"/>
  <c r="AK12" i="22"/>
  <c r="AK14" i="22"/>
  <c r="AK16" i="22"/>
  <c r="AK20" i="22"/>
  <c r="AK22" i="22"/>
  <c r="AK24" i="22"/>
  <c r="AK26" i="22"/>
  <c r="AK28" i="22"/>
  <c r="AK30" i="22"/>
  <c r="AK32" i="22"/>
  <c r="AK34" i="22"/>
  <c r="AK36" i="22"/>
  <c r="AK38" i="22"/>
  <c r="AK40" i="22"/>
  <c r="AK42" i="22"/>
  <c r="AK44" i="22"/>
  <c r="AI10" i="22"/>
  <c r="AI12" i="22"/>
  <c r="AI14" i="22"/>
  <c r="AI16" i="22"/>
  <c r="AI18" i="22"/>
  <c r="AI20" i="22"/>
  <c r="AI22" i="22"/>
  <c r="AI24" i="22"/>
  <c r="AI26" i="22"/>
  <c r="AI28" i="22"/>
  <c r="AI30" i="22"/>
  <c r="AI32" i="22"/>
  <c r="AI34" i="22"/>
  <c r="AI36" i="22"/>
  <c r="AI38" i="22"/>
  <c r="AI40" i="22"/>
  <c r="AI42" i="22"/>
  <c r="AI44" i="22"/>
  <c r="AG44" i="22"/>
  <c r="AG42" i="22"/>
  <c r="AG40" i="22"/>
  <c r="AG38" i="22"/>
  <c r="AG36" i="22"/>
  <c r="AG34" i="22"/>
  <c r="AG32" i="22"/>
  <c r="AG30" i="22"/>
  <c r="AG28" i="22"/>
  <c r="AG24" i="22"/>
  <c r="AG22" i="22"/>
  <c r="AG20" i="22"/>
  <c r="AG18" i="22"/>
  <c r="AG16" i="22"/>
  <c r="AG14" i="22"/>
  <c r="AG12" i="22"/>
  <c r="AG10" i="22"/>
  <c r="AE10" i="22"/>
  <c r="AE12" i="22"/>
  <c r="AE14" i="22"/>
  <c r="AE16" i="22"/>
  <c r="AE40" i="22"/>
  <c r="AE42" i="22"/>
  <c r="AE44" i="22"/>
  <c r="AC10" i="22"/>
  <c r="AC12" i="22"/>
  <c r="AC14" i="22"/>
  <c r="AC16" i="22"/>
  <c r="AC22" i="22"/>
  <c r="AC32" i="22"/>
  <c r="AC38" i="22"/>
  <c r="AC40" i="22"/>
  <c r="AC42" i="22"/>
  <c r="AC44" i="22"/>
  <c r="AA10" i="22"/>
  <c r="AA12" i="22"/>
  <c r="AA14" i="22"/>
  <c r="AA16" i="22"/>
  <c r="AA20" i="22"/>
  <c r="AA34" i="22"/>
  <c r="AA38" i="22"/>
  <c r="AA40" i="22"/>
  <c r="AA42" i="22"/>
  <c r="AA44" i="22"/>
  <c r="Y16" i="22"/>
  <c r="Y14" i="22"/>
  <c r="Y12" i="22"/>
  <c r="Y10" i="22"/>
  <c r="Y38" i="22"/>
  <c r="Y40" i="22"/>
  <c r="Y42" i="22"/>
  <c r="Y44" i="22"/>
  <c r="W16" i="22"/>
  <c r="W14" i="22"/>
  <c r="W12" i="22"/>
  <c r="W10" i="22"/>
  <c r="W38" i="22"/>
  <c r="W40" i="22"/>
  <c r="W42" i="22"/>
  <c r="W44" i="22"/>
  <c r="U14" i="22"/>
  <c r="U12" i="22"/>
  <c r="U10" i="22"/>
  <c r="U38" i="22"/>
  <c r="U40" i="22"/>
  <c r="U42" i="22"/>
  <c r="U44" i="22"/>
  <c r="S16" i="22"/>
  <c r="S14" i="22"/>
  <c r="S10" i="22"/>
  <c r="S38" i="22"/>
  <c r="S40" i="22"/>
  <c r="S42" i="22"/>
  <c r="S44" i="22"/>
  <c r="S34" i="22"/>
  <c r="Q12" i="22"/>
  <c r="Q14" i="22"/>
  <c r="Q16" i="22"/>
  <c r="Q20" i="22"/>
  <c r="Q34" i="22"/>
  <c r="Q38" i="22"/>
  <c r="Q40" i="22"/>
  <c r="Q42" i="22"/>
  <c r="Q44" i="22"/>
  <c r="O10" i="22"/>
  <c r="O12" i="22"/>
  <c r="O14" i="22"/>
  <c r="O16" i="22"/>
  <c r="O22" i="22"/>
  <c r="O32" i="22"/>
  <c r="O38" i="22"/>
  <c r="O40" i="22"/>
  <c r="O42" i="22"/>
  <c r="O44" i="22"/>
  <c r="M16" i="22"/>
  <c r="M14" i="22"/>
  <c r="M12" i="22"/>
  <c r="M10" i="22"/>
  <c r="M40" i="22"/>
  <c r="M42" i="22"/>
  <c r="M44" i="22"/>
  <c r="K44" i="22"/>
  <c r="K42" i="22"/>
  <c r="K40" i="22"/>
  <c r="K38" i="22"/>
  <c r="K36" i="22"/>
  <c r="K34" i="22"/>
  <c r="K32" i="22"/>
  <c r="K30" i="22"/>
  <c r="K28" i="22"/>
  <c r="K26" i="22"/>
  <c r="K24" i="22"/>
  <c r="K22" i="22"/>
  <c r="K20" i="22"/>
  <c r="K18" i="22"/>
  <c r="K16" i="22"/>
  <c r="K14" i="22"/>
  <c r="K12" i="22"/>
  <c r="K10" i="22"/>
  <c r="I44" i="22"/>
  <c r="I42" i="22"/>
  <c r="I38" i="22"/>
  <c r="I36" i="22"/>
  <c r="I34" i="22"/>
  <c r="I32" i="22"/>
  <c r="I30" i="22"/>
  <c r="I26" i="22"/>
  <c r="I24" i="22"/>
  <c r="I20" i="22"/>
  <c r="I18" i="22"/>
  <c r="I16" i="22"/>
  <c r="I14" i="22"/>
  <c r="I12" i="22"/>
  <c r="I10" i="22"/>
  <c r="D221" i="23" l="1"/>
  <c r="E221" i="23"/>
  <c r="D222" i="23"/>
  <c r="E222" i="23"/>
  <c r="E65" i="23"/>
  <c r="M65" i="23"/>
  <c r="J66" i="23"/>
  <c r="G67" i="23"/>
  <c r="H65" i="23"/>
  <c r="E66" i="23"/>
  <c r="M66" i="23"/>
  <c r="J67" i="23"/>
  <c r="K65" i="23"/>
  <c r="H66" i="23"/>
  <c r="E67" i="23"/>
  <c r="M67" i="23"/>
  <c r="H63" i="23"/>
  <c r="E64" i="23"/>
  <c r="M64" i="23"/>
  <c r="F65" i="23"/>
  <c r="N65" i="23"/>
  <c r="K66" i="23"/>
  <c r="H67" i="23"/>
  <c r="D60" i="23"/>
  <c r="L60" i="23"/>
  <c r="I61" i="23"/>
  <c r="F62" i="23"/>
  <c r="N62" i="23"/>
  <c r="E63" i="23"/>
  <c r="M63" i="23"/>
  <c r="J64" i="23"/>
  <c r="G60" i="23"/>
  <c r="L61" i="23"/>
  <c r="D61" i="23"/>
  <c r="I62" i="23"/>
  <c r="I65" i="23"/>
  <c r="F66" i="23"/>
  <c r="N66" i="23"/>
  <c r="K67" i="23"/>
  <c r="J65" i="23"/>
  <c r="G66" i="23"/>
  <c r="D67" i="23"/>
  <c r="L67" i="23"/>
  <c r="E60" i="23"/>
  <c r="M60" i="23"/>
  <c r="J61" i="23"/>
  <c r="G62" i="23"/>
  <c r="F63" i="23"/>
  <c r="N63" i="23"/>
  <c r="K64" i="23"/>
  <c r="F60" i="23"/>
  <c r="N60" i="23"/>
  <c r="K61" i="23"/>
  <c r="H62" i="23"/>
  <c r="G63" i="23"/>
  <c r="D64" i="23"/>
  <c r="L64" i="23"/>
  <c r="G65" i="23"/>
  <c r="D66" i="23"/>
  <c r="L66" i="23"/>
  <c r="I67" i="23"/>
  <c r="H60" i="23"/>
  <c r="E61" i="23"/>
  <c r="M61" i="23"/>
  <c r="J62" i="23"/>
  <c r="I63" i="23"/>
  <c r="F64" i="23"/>
  <c r="N64" i="23"/>
  <c r="I60" i="23"/>
  <c r="F61" i="23"/>
  <c r="N61" i="23"/>
  <c r="K62" i="23"/>
  <c r="J63" i="23"/>
  <c r="G64" i="23"/>
  <c r="J60" i="23"/>
  <c r="G61" i="23"/>
  <c r="D62" i="23"/>
  <c r="L62" i="23"/>
  <c r="K63" i="23"/>
  <c r="H64" i="23"/>
  <c r="K60" i="23"/>
  <c r="H61" i="23"/>
  <c r="E62" i="23"/>
  <c r="M62" i="23"/>
  <c r="D63" i="23"/>
  <c r="L63" i="23"/>
  <c r="I64" i="23"/>
  <c r="D65" i="23"/>
  <c r="L65" i="23"/>
  <c r="I66" i="23"/>
  <c r="F67" i="23"/>
  <c r="N67" i="23"/>
  <c r="G44" i="22"/>
  <c r="G38" i="22"/>
  <c r="G36" i="22"/>
  <c r="G34" i="22"/>
  <c r="G32" i="22"/>
  <c r="G30" i="22"/>
  <c r="G28" i="22"/>
  <c r="G24" i="22"/>
  <c r="G20" i="22"/>
  <c r="G18" i="22"/>
  <c r="G16" i="22"/>
  <c r="G14" i="22"/>
  <c r="G12" i="22"/>
  <c r="G10" i="22"/>
  <c r="E223" i="23" l="1"/>
  <c r="D223" i="23"/>
  <c r="D68" i="23"/>
  <c r="I68" i="23"/>
  <c r="AA55" i="21" s="1"/>
  <c r="G68" i="23"/>
  <c r="K68" i="23"/>
  <c r="F68" i="23"/>
  <c r="L68" i="23"/>
  <c r="H68" i="23"/>
  <c r="AA51" i="21" s="1"/>
  <c r="J68" i="23"/>
  <c r="M68" i="23"/>
  <c r="N68" i="23"/>
  <c r="E68" i="23"/>
  <c r="E40" i="22"/>
  <c r="E38" i="22"/>
  <c r="E36" i="22"/>
  <c r="E34" i="22"/>
  <c r="E32" i="22"/>
  <c r="E30" i="22"/>
  <c r="E28" i="22"/>
  <c r="E24" i="22"/>
  <c r="E20" i="22"/>
  <c r="E18" i="22"/>
  <c r="E16" i="22"/>
  <c r="E14" i="22"/>
  <c r="AM44" i="22"/>
  <c r="AM36" i="22"/>
  <c r="AM30" i="22"/>
  <c r="AM28" i="22"/>
  <c r="AM26" i="22"/>
  <c r="AM10" i="22"/>
  <c r="AG26" i="22"/>
  <c r="AE38" i="22"/>
  <c r="AC34" i="22"/>
  <c r="AC30" i="22"/>
  <c r="AC28" i="22"/>
  <c r="AC26" i="22"/>
  <c r="AC24" i="22"/>
  <c r="AC20" i="22"/>
  <c r="AA32" i="22"/>
  <c r="AA22" i="22"/>
  <c r="Y34" i="22"/>
  <c r="Y30" i="22"/>
  <c r="Y28" i="22"/>
  <c r="Y26" i="22"/>
  <c r="Y24" i="22"/>
  <c r="Y20" i="22"/>
  <c r="W34" i="22"/>
  <c r="W30" i="22"/>
  <c r="W28" i="22"/>
  <c r="W26" i="22"/>
  <c r="W24" i="22"/>
  <c r="W20" i="22"/>
  <c r="U34" i="22"/>
  <c r="U30" i="22"/>
  <c r="U28" i="22"/>
  <c r="U26" i="22"/>
  <c r="U24" i="22"/>
  <c r="U20" i="22"/>
  <c r="U16" i="22"/>
  <c r="S30" i="22"/>
  <c r="S28" i="22"/>
  <c r="S26" i="22"/>
  <c r="S24" i="22"/>
  <c r="S20" i="22"/>
  <c r="AA58" i="21" l="1"/>
  <c r="AA59" i="21"/>
  <c r="AA56" i="21"/>
  <c r="AA57" i="21"/>
  <c r="AA54" i="21"/>
  <c r="AA50" i="21"/>
  <c r="AA48" i="21"/>
  <c r="AA49" i="21"/>
  <c r="AA11" i="21"/>
  <c r="AA216" i="21"/>
  <c r="AA215" i="21"/>
  <c r="AA217" i="21"/>
  <c r="AA218" i="21"/>
  <c r="AA228" i="21"/>
  <c r="AA227" i="21"/>
  <c r="AA226" i="21"/>
  <c r="AA225" i="21"/>
  <c r="AA224" i="21"/>
  <c r="AA223" i="21"/>
  <c r="AA222" i="21"/>
  <c r="AA205" i="21"/>
  <c r="AA204" i="21"/>
  <c r="AA203" i="21"/>
  <c r="AA202" i="21"/>
  <c r="AA201" i="21"/>
  <c r="AA200" i="21"/>
  <c r="AA199" i="21"/>
  <c r="AA166" i="21"/>
  <c r="AA167" i="21"/>
  <c r="AA168" i="21"/>
  <c r="AA169" i="21"/>
  <c r="AA165" i="21"/>
  <c r="AA164" i="21"/>
  <c r="AA162" i="21"/>
  <c r="AA163" i="21"/>
  <c r="AA159" i="21"/>
  <c r="AA158" i="21"/>
  <c r="AA157" i="21"/>
  <c r="AA156" i="21"/>
  <c r="AA154" i="21"/>
  <c r="AA155" i="21"/>
  <c r="AA146" i="21"/>
  <c r="AA145" i="21"/>
  <c r="AA144" i="21"/>
  <c r="AA143" i="21"/>
  <c r="AA142" i="21"/>
  <c r="AA147" i="21"/>
  <c r="AA139" i="21"/>
  <c r="AA138" i="21"/>
  <c r="AA137" i="21"/>
  <c r="AA134" i="21"/>
  <c r="AA135" i="21"/>
  <c r="AA136" i="21"/>
  <c r="AA132" i="21"/>
  <c r="AA131" i="21"/>
  <c r="AA130" i="21"/>
  <c r="AA129" i="21"/>
  <c r="AA128" i="21"/>
  <c r="AA127" i="21"/>
  <c r="AA126" i="21"/>
  <c r="AA124" i="21"/>
  <c r="AA123" i="21"/>
  <c r="AA122" i="21"/>
  <c r="AA121" i="21"/>
  <c r="AA120" i="21"/>
  <c r="AA119" i="21"/>
  <c r="AA41" i="21"/>
  <c r="AA112" i="21"/>
  <c r="AA111" i="21"/>
  <c r="AA110" i="21"/>
  <c r="AA109" i="21"/>
  <c r="AA108" i="21"/>
  <c r="AA106" i="21"/>
  <c r="AA107" i="21"/>
  <c r="AA98" i="21"/>
  <c r="AA102" i="21"/>
  <c r="AA101" i="21"/>
  <c r="AA100" i="21"/>
  <c r="AA99" i="21"/>
  <c r="AA103" i="21"/>
  <c r="AA96" i="21"/>
  <c r="AA95" i="21"/>
  <c r="AA94" i="21"/>
  <c r="AA93" i="21"/>
  <c r="AA92" i="21"/>
  <c r="AA91" i="21"/>
  <c r="AA90" i="21"/>
  <c r="AA33" i="21"/>
  <c r="AA85" i="21"/>
  <c r="AA83" i="21"/>
  <c r="AA82" i="21"/>
  <c r="AA84" i="21"/>
  <c r="AA86" i="21"/>
  <c r="AA75" i="21"/>
  <c r="AA74" i="21"/>
  <c r="AA73" i="21"/>
  <c r="AA72" i="21"/>
  <c r="AA71" i="21"/>
  <c r="AA76" i="21"/>
  <c r="AA52" i="21"/>
  <c r="AA47" i="21"/>
  <c r="AA46" i="21"/>
  <c r="AA39" i="21"/>
  <c r="AA38" i="21"/>
  <c r="AA37" i="21"/>
  <c r="AA36" i="21"/>
  <c r="AA35" i="21"/>
  <c r="AA40" i="21"/>
  <c r="AA31" i="21"/>
  <c r="AA30" i="21"/>
  <c r="AA29" i="21"/>
  <c r="AA28" i="21"/>
  <c r="AA27" i="21"/>
  <c r="AA32" i="21"/>
  <c r="AA18" i="21"/>
  <c r="AA25" i="21"/>
  <c r="AA26" i="21"/>
  <c r="AA10" i="21"/>
  <c r="AA22" i="21"/>
  <c r="AA23" i="21"/>
  <c r="AA24" i="21"/>
  <c r="AA20" i="21"/>
  <c r="AA19" i="21"/>
  <c r="AA17" i="21"/>
  <c r="AA16" i="21"/>
  <c r="AA21" i="21"/>
  <c r="AA12" i="21"/>
  <c r="AA15" i="21"/>
  <c r="AA14" i="21"/>
  <c r="AA13" i="21"/>
  <c r="Q32" i="22"/>
  <c r="Q22" i="22"/>
  <c r="O34" i="22"/>
  <c r="O30" i="22"/>
  <c r="O28" i="22" l="1"/>
  <c r="O26" i="22"/>
  <c r="O24" i="22"/>
  <c r="O20" i="22" l="1"/>
  <c r="M38" i="22"/>
  <c r="E44" i="22"/>
  <c r="G42" i="22"/>
  <c r="E42" i="22"/>
  <c r="I40" i="22"/>
  <c r="G40" i="22"/>
  <c r="I28" i="22"/>
  <c r="G26" i="22"/>
  <c r="E26" i="22"/>
  <c r="I22" i="22"/>
  <c r="G22" i="22"/>
  <c r="E22" i="22"/>
  <c r="AM18" i="22"/>
  <c r="AK18" i="22"/>
  <c r="E12" i="22"/>
  <c r="E10" i="22"/>
  <c r="E218" i="20" l="1"/>
  <c r="D218" i="20"/>
  <c r="E217" i="20"/>
  <c r="D217" i="20"/>
  <c r="E216" i="20"/>
  <c r="D216" i="20"/>
  <c r="E215" i="20"/>
  <c r="D215" i="20"/>
  <c r="D212" i="20"/>
  <c r="E214" i="20"/>
  <c r="D214" i="20"/>
  <c r="E213" i="20"/>
  <c r="D213" i="20"/>
  <c r="E212" i="20"/>
  <c r="E211" i="20"/>
  <c r="D211" i="20"/>
  <c r="E210" i="20"/>
  <c r="D210" i="20"/>
  <c r="E209" i="20"/>
  <c r="D209" i="20"/>
  <c r="E208" i="20"/>
  <c r="D208" i="20"/>
  <c r="D207" i="20"/>
  <c r="E207" i="20"/>
  <c r="D205" i="20"/>
  <c r="E206" i="20"/>
  <c r="D206" i="20"/>
  <c r="E205" i="20"/>
  <c r="D203" i="20"/>
  <c r="E204" i="20"/>
  <c r="D204" i="20"/>
  <c r="E203" i="20"/>
  <c r="D201" i="20"/>
  <c r="E202" i="20"/>
  <c r="D202" i="20"/>
  <c r="E201" i="20"/>
  <c r="D200" i="20"/>
  <c r="E200" i="20"/>
  <c r="D198" i="20"/>
  <c r="E199" i="20"/>
  <c r="D199" i="20"/>
  <c r="E198" i="20"/>
  <c r="D197" i="20"/>
  <c r="E197" i="20"/>
  <c r="D196" i="20"/>
  <c r="E196" i="20"/>
  <c r="E195" i="20"/>
  <c r="D195" i="20"/>
  <c r="E194" i="20"/>
  <c r="D194" i="20"/>
  <c r="E193" i="20"/>
  <c r="D193" i="20"/>
  <c r="D192" i="20"/>
  <c r="E192" i="20"/>
  <c r="D191" i="20"/>
  <c r="E191" i="20"/>
  <c r="D190" i="20"/>
  <c r="E190" i="20"/>
  <c r="D189" i="20"/>
  <c r="E189" i="20"/>
  <c r="E188" i="20"/>
  <c r="D188" i="20"/>
  <c r="E187" i="20"/>
  <c r="D187" i="20"/>
  <c r="D186" i="20"/>
  <c r="E181" i="20"/>
  <c r="E186" i="20"/>
  <c r="E185" i="20"/>
  <c r="D185" i="20"/>
  <c r="D184" i="20"/>
  <c r="E184" i="20"/>
  <c r="D183" i="20"/>
  <c r="E183" i="20"/>
  <c r="E182" i="20"/>
  <c r="D182" i="20"/>
  <c r="D181" i="20"/>
  <c r="D180" i="20"/>
  <c r="E180" i="20"/>
  <c r="D179" i="20"/>
  <c r="E179" i="20"/>
  <c r="D178" i="20"/>
  <c r="E178" i="20"/>
  <c r="E177" i="20"/>
  <c r="D102" i="20"/>
  <c r="D222" i="20" l="1"/>
  <c r="D221" i="20"/>
  <c r="E221" i="20"/>
  <c r="E222" i="20"/>
  <c r="F105" i="20"/>
  <c r="P105" i="20"/>
  <c r="O105" i="20"/>
  <c r="N105" i="20"/>
  <c r="M105" i="20"/>
  <c r="L105" i="20"/>
  <c r="K105" i="20"/>
  <c r="J105" i="20"/>
  <c r="I105" i="20"/>
  <c r="H105" i="20"/>
  <c r="G105" i="20"/>
  <c r="E105" i="20"/>
  <c r="D105" i="20"/>
  <c r="P104" i="20"/>
  <c r="O104" i="20"/>
  <c r="N104" i="20"/>
  <c r="M104" i="20"/>
  <c r="L104" i="20"/>
  <c r="K104" i="20"/>
  <c r="J104" i="20"/>
  <c r="I104" i="20"/>
  <c r="H104" i="20"/>
  <c r="G104" i="20"/>
  <c r="F104" i="20"/>
  <c r="E104" i="20"/>
  <c r="D104" i="20"/>
  <c r="E103" i="20"/>
  <c r="D103" i="20"/>
  <c r="P102" i="20"/>
  <c r="O102" i="20"/>
  <c r="N102" i="20"/>
  <c r="M102" i="20"/>
  <c r="L102" i="20"/>
  <c r="K102" i="20"/>
  <c r="J102" i="20"/>
  <c r="I102" i="20"/>
  <c r="H102" i="20"/>
  <c r="G102" i="20"/>
  <c r="E102" i="20"/>
  <c r="F99" i="20"/>
  <c r="E99" i="20"/>
  <c r="D99" i="20"/>
  <c r="F98" i="20"/>
  <c r="E98" i="20"/>
  <c r="D98" i="20"/>
  <c r="F97" i="20"/>
  <c r="E97" i="20"/>
  <c r="D97" i="20"/>
  <c r="F96" i="20"/>
  <c r="E96" i="20"/>
  <c r="D96" i="20"/>
  <c r="O91" i="20"/>
  <c r="O93" i="20"/>
  <c r="N93" i="20"/>
  <c r="M93" i="20"/>
  <c r="L93" i="20"/>
  <c r="K93" i="20"/>
  <c r="J93" i="20"/>
  <c r="I93" i="20"/>
  <c r="H93" i="20"/>
  <c r="G93" i="20"/>
  <c r="F93" i="20"/>
  <c r="E93" i="20"/>
  <c r="D93" i="20"/>
  <c r="O92" i="20"/>
  <c r="N92" i="20"/>
  <c r="M92" i="20"/>
  <c r="L92" i="20"/>
  <c r="K92" i="20"/>
  <c r="J92" i="20"/>
  <c r="I92" i="20"/>
  <c r="H92" i="20"/>
  <c r="G92" i="20"/>
  <c r="F92" i="20"/>
  <c r="E92" i="20"/>
  <c r="D92" i="20"/>
  <c r="N91" i="20"/>
  <c r="M91" i="20"/>
  <c r="L91" i="20"/>
  <c r="K91" i="20"/>
  <c r="J91" i="20"/>
  <c r="I91" i="20"/>
  <c r="H91" i="20"/>
  <c r="G91" i="20"/>
  <c r="F91" i="20"/>
  <c r="E91" i="20"/>
  <c r="D91" i="20"/>
  <c r="O90" i="20"/>
  <c r="N90" i="20"/>
  <c r="M90" i="20"/>
  <c r="L90" i="20"/>
  <c r="K90" i="20"/>
  <c r="J90" i="20"/>
  <c r="I90" i="20"/>
  <c r="H90" i="20"/>
  <c r="G90" i="20"/>
  <c r="F90" i="20"/>
  <c r="E90" i="20"/>
  <c r="D90" i="20"/>
  <c r="F87" i="20"/>
  <c r="E87" i="20"/>
  <c r="D87" i="20"/>
  <c r="D86" i="20"/>
  <c r="E86" i="20"/>
  <c r="F86" i="20"/>
  <c r="F85" i="20"/>
  <c r="E85" i="20"/>
  <c r="D85" i="20"/>
  <c r="F84" i="20"/>
  <c r="E84" i="20"/>
  <c r="D84" i="20"/>
  <c r="D75" i="20"/>
  <c r="D74" i="20"/>
  <c r="D73" i="20"/>
  <c r="D72" i="20"/>
  <c r="AC80" i="20"/>
  <c r="CI80" i="20"/>
  <c r="CH80" i="20"/>
  <c r="CG80" i="20"/>
  <c r="CF80" i="20"/>
  <c r="CE80" i="20"/>
  <c r="CD80" i="20"/>
  <c r="CC80" i="20"/>
  <c r="CB80" i="20"/>
  <c r="CA80" i="20"/>
  <c r="BZ80" i="20"/>
  <c r="BY80" i="20"/>
  <c r="BX80" i="20"/>
  <c r="BW80" i="20"/>
  <c r="BV80" i="20"/>
  <c r="BU80" i="20"/>
  <c r="BT80" i="20"/>
  <c r="BS80" i="20"/>
  <c r="BR80" i="20"/>
  <c r="BQ80" i="20"/>
  <c r="BP80" i="20"/>
  <c r="BO80" i="20"/>
  <c r="BN80" i="20"/>
  <c r="BM80" i="20"/>
  <c r="BL80" i="20"/>
  <c r="BK80" i="20"/>
  <c r="BJ80" i="20"/>
  <c r="BI80" i="20"/>
  <c r="BH80" i="20"/>
  <c r="BG80" i="20"/>
  <c r="BF80" i="20"/>
  <c r="BE80" i="20"/>
  <c r="BD80" i="20"/>
  <c r="BC80" i="20"/>
  <c r="BB80" i="20"/>
  <c r="BA80" i="20"/>
  <c r="AZ80" i="20"/>
  <c r="AY80" i="20"/>
  <c r="AX80" i="20"/>
  <c r="AW80" i="20"/>
  <c r="AV80" i="20"/>
  <c r="AU80" i="20"/>
  <c r="AT80" i="20"/>
  <c r="AS80" i="20"/>
  <c r="AR80" i="20"/>
  <c r="AQ80" i="20"/>
  <c r="AP80" i="20"/>
  <c r="AO80" i="20"/>
  <c r="AN80" i="20"/>
  <c r="AM80" i="20"/>
  <c r="AL80" i="20"/>
  <c r="AK80" i="20"/>
  <c r="AJ80" i="20"/>
  <c r="AI80" i="20"/>
  <c r="AH80" i="20"/>
  <c r="AG80" i="20"/>
  <c r="AF80" i="20"/>
  <c r="AE80" i="20"/>
  <c r="AD80" i="20"/>
  <c r="AB80" i="20"/>
  <c r="AA80" i="20"/>
  <c r="Z80" i="20"/>
  <c r="Y80" i="20"/>
  <c r="X80" i="20"/>
  <c r="W80" i="20"/>
  <c r="V80" i="20"/>
  <c r="U80" i="20"/>
  <c r="T80" i="20"/>
  <c r="S80" i="20"/>
  <c r="R80" i="20"/>
  <c r="Q80" i="20"/>
  <c r="P80" i="20"/>
  <c r="O80" i="20"/>
  <c r="N80" i="20"/>
  <c r="M80" i="20"/>
  <c r="L80" i="20"/>
  <c r="K80" i="20"/>
  <c r="J80" i="20"/>
  <c r="I80" i="20"/>
  <c r="H80" i="20"/>
  <c r="G80" i="20"/>
  <c r="F80" i="20"/>
  <c r="E80" i="20"/>
  <c r="D80" i="20"/>
  <c r="CG81" i="20"/>
  <c r="CF81" i="20"/>
  <c r="CE81" i="20"/>
  <c r="CD81" i="20"/>
  <c r="CC81" i="20"/>
  <c r="CB81" i="20"/>
  <c r="CA81" i="20"/>
  <c r="BZ81" i="20"/>
  <c r="BY81" i="20"/>
  <c r="BX81" i="20"/>
  <c r="BW81" i="20"/>
  <c r="BV81" i="20"/>
  <c r="BU81" i="20"/>
  <c r="BT81" i="20"/>
  <c r="BS81" i="20"/>
  <c r="BR81" i="20"/>
  <c r="BQ81" i="20"/>
  <c r="BP81" i="20"/>
  <c r="BO81" i="20"/>
  <c r="BN81" i="20"/>
  <c r="BM81" i="20"/>
  <c r="BL81" i="20"/>
  <c r="BK81" i="20"/>
  <c r="BJ81" i="20"/>
  <c r="BI81" i="20"/>
  <c r="BH81" i="20"/>
  <c r="BG81" i="20"/>
  <c r="BF81" i="20"/>
  <c r="BE81" i="20"/>
  <c r="BD81" i="20"/>
  <c r="BC81" i="20"/>
  <c r="BB81" i="20"/>
  <c r="BA81" i="20"/>
  <c r="AZ81" i="20"/>
  <c r="AY81" i="20"/>
  <c r="AX81" i="20"/>
  <c r="AW81" i="20"/>
  <c r="AV81" i="20"/>
  <c r="AU81" i="20"/>
  <c r="AT81" i="20"/>
  <c r="AS81" i="20"/>
  <c r="AR81" i="20"/>
  <c r="AQ81" i="20"/>
  <c r="AP81" i="20"/>
  <c r="AO81" i="20"/>
  <c r="AN81" i="20"/>
  <c r="AM81" i="20"/>
  <c r="AL81" i="20"/>
  <c r="AK81" i="20"/>
  <c r="AJ81" i="20"/>
  <c r="AI81" i="20"/>
  <c r="AH81" i="20"/>
  <c r="AG81" i="20"/>
  <c r="AF81" i="20"/>
  <c r="AE81" i="20"/>
  <c r="AD81" i="20"/>
  <c r="AC81" i="20"/>
  <c r="AB81" i="20"/>
  <c r="AA81" i="20"/>
  <c r="Z81" i="20"/>
  <c r="Y81" i="20"/>
  <c r="X81" i="20"/>
  <c r="W81" i="20"/>
  <c r="V81" i="20"/>
  <c r="U81" i="20"/>
  <c r="T81" i="20"/>
  <c r="S81" i="20"/>
  <c r="R81" i="20"/>
  <c r="Q81" i="20"/>
  <c r="P81" i="20"/>
  <c r="O81" i="20"/>
  <c r="N81" i="20"/>
  <c r="M81" i="20"/>
  <c r="L81" i="20"/>
  <c r="K81" i="20"/>
  <c r="J81" i="20"/>
  <c r="I81" i="20"/>
  <c r="H81" i="20"/>
  <c r="G81" i="20"/>
  <c r="F81" i="20"/>
  <c r="E81" i="20"/>
  <c r="D81" i="20"/>
  <c r="CG79" i="20"/>
  <c r="CF79" i="20"/>
  <c r="CE79" i="20"/>
  <c r="CD79" i="20"/>
  <c r="CC79" i="20"/>
  <c r="CB79" i="20"/>
  <c r="CA79" i="20"/>
  <c r="BZ79" i="20"/>
  <c r="BY79" i="20"/>
  <c r="BX79" i="20"/>
  <c r="BW79" i="20"/>
  <c r="BV79" i="20"/>
  <c r="BU79" i="20"/>
  <c r="BT79" i="20"/>
  <c r="BS79" i="20"/>
  <c r="BR79" i="20"/>
  <c r="BQ79" i="20"/>
  <c r="BP79" i="20"/>
  <c r="BO79" i="20"/>
  <c r="BN79" i="20"/>
  <c r="BM79" i="20"/>
  <c r="BL79" i="20"/>
  <c r="BK79" i="20"/>
  <c r="BJ79" i="20"/>
  <c r="BI79" i="20"/>
  <c r="BH79" i="20"/>
  <c r="BG79" i="20"/>
  <c r="BF79" i="20"/>
  <c r="BE79" i="20"/>
  <c r="BD79" i="20"/>
  <c r="BC79" i="20"/>
  <c r="BB79" i="20"/>
  <c r="BA79" i="20"/>
  <c r="AZ79" i="20"/>
  <c r="AY79" i="20"/>
  <c r="AX79" i="20"/>
  <c r="AW79" i="20"/>
  <c r="AV79" i="20"/>
  <c r="AU79" i="20"/>
  <c r="AT79" i="20"/>
  <c r="AS79" i="20"/>
  <c r="AR79" i="20"/>
  <c r="AQ79" i="20"/>
  <c r="AP79" i="20"/>
  <c r="AO79" i="20"/>
  <c r="AN79" i="20"/>
  <c r="AM79" i="20"/>
  <c r="AL79" i="20"/>
  <c r="AK79" i="20"/>
  <c r="AJ79" i="20"/>
  <c r="AI79" i="20"/>
  <c r="AH79" i="20"/>
  <c r="AG79" i="20"/>
  <c r="AF79" i="20"/>
  <c r="AE79" i="20"/>
  <c r="AC79" i="20"/>
  <c r="AB79" i="20"/>
  <c r="AA79" i="20"/>
  <c r="Z79" i="20"/>
  <c r="Y79" i="20"/>
  <c r="X79" i="20"/>
  <c r="W79" i="20"/>
  <c r="V79" i="20"/>
  <c r="U79" i="20"/>
  <c r="T79" i="20"/>
  <c r="S79" i="20"/>
  <c r="R79" i="20"/>
  <c r="Q79" i="20"/>
  <c r="P79" i="20"/>
  <c r="O79" i="20"/>
  <c r="N79" i="20"/>
  <c r="M79" i="20"/>
  <c r="L79" i="20"/>
  <c r="K79" i="20"/>
  <c r="J79" i="20"/>
  <c r="I79" i="20"/>
  <c r="H79" i="20"/>
  <c r="G79" i="20"/>
  <c r="F79" i="20"/>
  <c r="E79" i="20"/>
  <c r="D79" i="20"/>
  <c r="CG78" i="20"/>
  <c r="CF78" i="20"/>
  <c r="CE78" i="20"/>
  <c r="CD78" i="20"/>
  <c r="CC78" i="20"/>
  <c r="CB78" i="20"/>
  <c r="CA78" i="20"/>
  <c r="BZ78" i="20"/>
  <c r="BY78" i="20"/>
  <c r="BX78" i="20"/>
  <c r="BW78" i="20"/>
  <c r="BV78" i="20"/>
  <c r="BU78" i="20"/>
  <c r="BT78" i="20"/>
  <c r="BS78" i="20"/>
  <c r="BR78" i="20"/>
  <c r="BQ78" i="20"/>
  <c r="BP78" i="20"/>
  <c r="BO78" i="20"/>
  <c r="BN78" i="20"/>
  <c r="BM78" i="20"/>
  <c r="BL78" i="20"/>
  <c r="BK78" i="20"/>
  <c r="BJ78" i="20"/>
  <c r="BI78" i="20"/>
  <c r="BH78" i="20"/>
  <c r="BG78" i="20"/>
  <c r="BF78" i="20"/>
  <c r="BE78" i="20"/>
  <c r="BD78" i="20"/>
  <c r="BC78" i="20"/>
  <c r="BB78" i="20"/>
  <c r="BA78" i="20"/>
  <c r="AZ78" i="20"/>
  <c r="AY78" i="20"/>
  <c r="AX78" i="20"/>
  <c r="AW78" i="20"/>
  <c r="AV78" i="20"/>
  <c r="AU78" i="20"/>
  <c r="AT78" i="20"/>
  <c r="AS78" i="20"/>
  <c r="AR78" i="20"/>
  <c r="AQ78" i="20"/>
  <c r="AP78" i="20"/>
  <c r="AO78" i="20"/>
  <c r="AN78" i="20"/>
  <c r="AM78" i="20"/>
  <c r="AL78" i="20"/>
  <c r="AK78" i="20"/>
  <c r="AJ78" i="20"/>
  <c r="AI78" i="20"/>
  <c r="AH78" i="20"/>
  <c r="AG78" i="20"/>
  <c r="AF78" i="20"/>
  <c r="AE78" i="20"/>
  <c r="AD78" i="20"/>
  <c r="AC78" i="20"/>
  <c r="AB78" i="20"/>
  <c r="AA78" i="20"/>
  <c r="Z78" i="20"/>
  <c r="Y78" i="20"/>
  <c r="X78" i="20"/>
  <c r="W78" i="20"/>
  <c r="V78" i="20"/>
  <c r="U78" i="20"/>
  <c r="T78" i="20"/>
  <c r="S78" i="20"/>
  <c r="R78" i="20"/>
  <c r="Q78" i="20"/>
  <c r="P78" i="20"/>
  <c r="O78" i="20"/>
  <c r="N78" i="20"/>
  <c r="M78" i="20"/>
  <c r="L78" i="20"/>
  <c r="K78" i="20"/>
  <c r="J78" i="20"/>
  <c r="I78" i="20"/>
  <c r="H78" i="20"/>
  <c r="G78" i="20"/>
  <c r="F78" i="20"/>
  <c r="E78" i="20"/>
  <c r="D78" i="20"/>
  <c r="CH81" i="20"/>
  <c r="CH79" i="20"/>
  <c r="CH78" i="20"/>
  <c r="CI81" i="20"/>
  <c r="CI79" i="20"/>
  <c r="CI78" i="20"/>
  <c r="F75" i="20"/>
  <c r="F74" i="20"/>
  <c r="E75" i="20"/>
  <c r="E74" i="20"/>
  <c r="E73" i="20"/>
  <c r="F73" i="20"/>
  <c r="F72" i="20"/>
  <c r="E72" i="20"/>
  <c r="D57" i="20"/>
  <c r="D223" i="20" l="1"/>
  <c r="E223" i="20"/>
  <c r="N57" i="20"/>
  <c r="M57" i="20"/>
  <c r="L57" i="20"/>
  <c r="K57" i="20"/>
  <c r="J57" i="20"/>
  <c r="I57" i="20"/>
  <c r="H57" i="20"/>
  <c r="G57" i="20"/>
  <c r="F57" i="20"/>
  <c r="E57" i="20"/>
  <c r="N56" i="20"/>
  <c r="M56" i="20"/>
  <c r="L56" i="20"/>
  <c r="K56" i="20"/>
  <c r="J56" i="20"/>
  <c r="I56" i="20"/>
  <c r="H56" i="20"/>
  <c r="G56" i="20"/>
  <c r="F56" i="20"/>
  <c r="E56" i="20"/>
  <c r="D56" i="20"/>
  <c r="N55" i="20"/>
  <c r="M55" i="20"/>
  <c r="L55" i="20"/>
  <c r="K55" i="20"/>
  <c r="J55" i="20"/>
  <c r="I55" i="20"/>
  <c r="H55" i="20"/>
  <c r="G55" i="20"/>
  <c r="F55" i="20"/>
  <c r="E55" i="20"/>
  <c r="D55" i="20"/>
  <c r="N54" i="20"/>
  <c r="N67" i="20" s="1"/>
  <c r="M54" i="20"/>
  <c r="M67" i="20" s="1"/>
  <c r="L54" i="20"/>
  <c r="K54" i="20"/>
  <c r="J54" i="20"/>
  <c r="I54" i="20"/>
  <c r="H54" i="20"/>
  <c r="G54" i="20"/>
  <c r="F54" i="20"/>
  <c r="E54" i="20"/>
  <c r="D54" i="20"/>
  <c r="D67" i="20" s="1"/>
  <c r="N53" i="20"/>
  <c r="M53" i="20"/>
  <c r="L53" i="20"/>
  <c r="K53" i="20"/>
  <c r="J53" i="20"/>
  <c r="I53" i="20"/>
  <c r="H53" i="20"/>
  <c r="G53" i="20"/>
  <c r="F53" i="20"/>
  <c r="E53" i="20"/>
  <c r="D53" i="20"/>
  <c r="N52" i="20"/>
  <c r="M52" i="20"/>
  <c r="L52" i="20"/>
  <c r="K52" i="20"/>
  <c r="J52" i="20"/>
  <c r="I52" i="20"/>
  <c r="H52" i="20"/>
  <c r="G52" i="20"/>
  <c r="F52" i="20"/>
  <c r="E52" i="20"/>
  <c r="D52" i="20"/>
  <c r="N51" i="20"/>
  <c r="M51" i="20"/>
  <c r="L51" i="20"/>
  <c r="K51" i="20"/>
  <c r="J51" i="20"/>
  <c r="I51" i="20"/>
  <c r="H51" i="20"/>
  <c r="G51" i="20"/>
  <c r="F51" i="20"/>
  <c r="E51" i="20"/>
  <c r="D51" i="20"/>
  <c r="N50" i="20"/>
  <c r="M50" i="20"/>
  <c r="L50" i="20"/>
  <c r="K50" i="20"/>
  <c r="J50" i="20"/>
  <c r="I50" i="20"/>
  <c r="H50" i="20"/>
  <c r="G50" i="20"/>
  <c r="F50" i="20"/>
  <c r="E50" i="20"/>
  <c r="D50" i="20"/>
  <c r="N49" i="20"/>
  <c r="M49" i="20"/>
  <c r="L49" i="20"/>
  <c r="K49" i="20"/>
  <c r="J49" i="20"/>
  <c r="I49" i="20"/>
  <c r="H49" i="20"/>
  <c r="G49" i="20"/>
  <c r="F49" i="20"/>
  <c r="E49" i="20"/>
  <c r="D49" i="20"/>
  <c r="N48" i="20"/>
  <c r="M48" i="20"/>
  <c r="L48" i="20"/>
  <c r="K48" i="20"/>
  <c r="J48" i="20"/>
  <c r="I48" i="20"/>
  <c r="H48" i="20"/>
  <c r="G48" i="20"/>
  <c r="F48" i="20"/>
  <c r="E48" i="20"/>
  <c r="D48" i="20"/>
  <c r="N47" i="20"/>
  <c r="M47" i="20"/>
  <c r="L47" i="20"/>
  <c r="K47" i="20"/>
  <c r="J47" i="20"/>
  <c r="I47" i="20"/>
  <c r="H47" i="20"/>
  <c r="G47" i="20"/>
  <c r="F47" i="20"/>
  <c r="E47" i="20"/>
  <c r="D47" i="20"/>
  <c r="N46" i="20"/>
  <c r="M46" i="20"/>
  <c r="L46" i="20"/>
  <c r="K46" i="20"/>
  <c r="J46" i="20"/>
  <c r="I46" i="20"/>
  <c r="H46" i="20"/>
  <c r="G46" i="20"/>
  <c r="F46" i="20"/>
  <c r="E46" i="20"/>
  <c r="D46" i="20"/>
  <c r="N45" i="20"/>
  <c r="M45" i="20"/>
  <c r="L45" i="20"/>
  <c r="K45" i="20"/>
  <c r="J45" i="20"/>
  <c r="I45" i="20"/>
  <c r="H45" i="20"/>
  <c r="G45" i="20"/>
  <c r="F45" i="20"/>
  <c r="E45" i="20"/>
  <c r="D45" i="20"/>
  <c r="N44" i="20"/>
  <c r="M44" i="20"/>
  <c r="L44" i="20"/>
  <c r="K44" i="20"/>
  <c r="J44" i="20"/>
  <c r="I44" i="20"/>
  <c r="H44" i="20"/>
  <c r="G44" i="20"/>
  <c r="F44" i="20"/>
  <c r="E44" i="20"/>
  <c r="D44" i="20"/>
  <c r="N43" i="20"/>
  <c r="M43" i="20"/>
  <c r="L43" i="20"/>
  <c r="K43" i="20"/>
  <c r="J43" i="20"/>
  <c r="I43" i="20"/>
  <c r="H43" i="20"/>
  <c r="G43" i="20"/>
  <c r="F43" i="20"/>
  <c r="E43" i="20"/>
  <c r="D43" i="20"/>
  <c r="N42" i="20"/>
  <c r="M42" i="20"/>
  <c r="L42" i="20"/>
  <c r="K42" i="20"/>
  <c r="J42" i="20"/>
  <c r="I42" i="20"/>
  <c r="H42" i="20"/>
  <c r="G42" i="20"/>
  <c r="F42" i="20"/>
  <c r="E42" i="20"/>
  <c r="D42" i="20"/>
  <c r="N41" i="20"/>
  <c r="M41" i="20"/>
  <c r="L41" i="20"/>
  <c r="K41" i="20"/>
  <c r="J41" i="20"/>
  <c r="I41" i="20"/>
  <c r="H41" i="20"/>
  <c r="G41" i="20"/>
  <c r="F41" i="20"/>
  <c r="E41" i="20"/>
  <c r="D41" i="20"/>
  <c r="N40" i="20"/>
  <c r="M40" i="20"/>
  <c r="L40" i="20"/>
  <c r="K40" i="20"/>
  <c r="J40" i="20"/>
  <c r="I40" i="20"/>
  <c r="H40" i="20"/>
  <c r="G40" i="20"/>
  <c r="F40" i="20"/>
  <c r="E40" i="20"/>
  <c r="D40" i="20"/>
  <c r="J37" i="20"/>
  <c r="N37" i="20"/>
  <c r="M37" i="20"/>
  <c r="L37" i="20"/>
  <c r="K37" i="20"/>
  <c r="I37" i="20"/>
  <c r="H37" i="20"/>
  <c r="G37" i="20"/>
  <c r="F37" i="20"/>
  <c r="E37" i="20"/>
  <c r="D37" i="20"/>
  <c r="N39" i="20"/>
  <c r="M39" i="20"/>
  <c r="L39" i="20"/>
  <c r="K39" i="20"/>
  <c r="J39" i="20"/>
  <c r="I39" i="20"/>
  <c r="H39" i="20"/>
  <c r="G39" i="20"/>
  <c r="F39" i="20"/>
  <c r="E39" i="20"/>
  <c r="D39" i="20"/>
  <c r="N38" i="20"/>
  <c r="M38" i="20"/>
  <c r="L38" i="20"/>
  <c r="K38" i="20"/>
  <c r="J38" i="20"/>
  <c r="I38" i="20"/>
  <c r="H38" i="20"/>
  <c r="G38" i="20"/>
  <c r="F38" i="20"/>
  <c r="E38" i="20"/>
  <c r="D38" i="20"/>
  <c r="N36" i="20"/>
  <c r="M36" i="20"/>
  <c r="L36" i="20"/>
  <c r="K36" i="20"/>
  <c r="J36" i="20"/>
  <c r="I36" i="20"/>
  <c r="H36" i="20"/>
  <c r="G36" i="20"/>
  <c r="F36" i="20"/>
  <c r="E36" i="20"/>
  <c r="D36" i="20"/>
  <c r="N34" i="20"/>
  <c r="M34" i="20"/>
  <c r="L34" i="20"/>
  <c r="K34" i="20"/>
  <c r="J34" i="20"/>
  <c r="I34" i="20"/>
  <c r="H34" i="20"/>
  <c r="G34" i="20"/>
  <c r="F34" i="20"/>
  <c r="E34" i="20"/>
  <c r="D34" i="20"/>
  <c r="N31" i="20"/>
  <c r="M31" i="20"/>
  <c r="L31" i="20"/>
  <c r="K31" i="20"/>
  <c r="J31" i="20"/>
  <c r="I31" i="20"/>
  <c r="H31" i="20"/>
  <c r="G31" i="20"/>
  <c r="F31" i="20"/>
  <c r="E31" i="20"/>
  <c r="D31" i="20"/>
  <c r="N35" i="20"/>
  <c r="M35" i="20"/>
  <c r="L35" i="20"/>
  <c r="K35" i="20"/>
  <c r="J35" i="20"/>
  <c r="I35" i="20"/>
  <c r="H35" i="20"/>
  <c r="G35" i="20"/>
  <c r="F35" i="20"/>
  <c r="E35" i="20"/>
  <c r="D35" i="20"/>
  <c r="N33" i="20"/>
  <c r="M33" i="20"/>
  <c r="L33" i="20"/>
  <c r="K33" i="20"/>
  <c r="J33" i="20"/>
  <c r="I33" i="20"/>
  <c r="H33" i="20"/>
  <c r="G33" i="20"/>
  <c r="F33" i="20"/>
  <c r="E33" i="20"/>
  <c r="D33" i="20"/>
  <c r="N32" i="20"/>
  <c r="M32" i="20"/>
  <c r="L32" i="20"/>
  <c r="K32" i="20"/>
  <c r="J32" i="20"/>
  <c r="I32" i="20"/>
  <c r="H32" i="20"/>
  <c r="G32" i="20"/>
  <c r="F32" i="20"/>
  <c r="E32" i="20"/>
  <c r="D32" i="20"/>
  <c r="N30" i="20"/>
  <c r="M30" i="20"/>
  <c r="L30" i="20"/>
  <c r="K30" i="20"/>
  <c r="J30" i="20"/>
  <c r="I30" i="20"/>
  <c r="H30" i="20"/>
  <c r="G30" i="20"/>
  <c r="F30" i="20"/>
  <c r="E30" i="20"/>
  <c r="D30" i="20"/>
  <c r="N29" i="20"/>
  <c r="M29" i="20"/>
  <c r="L29" i="20"/>
  <c r="K29" i="20"/>
  <c r="J29" i="20"/>
  <c r="I29" i="20"/>
  <c r="H29" i="20"/>
  <c r="G29" i="20"/>
  <c r="F29" i="20"/>
  <c r="E29" i="20"/>
  <c r="D29" i="20"/>
  <c r="N28" i="20"/>
  <c r="M28" i="20"/>
  <c r="L28" i="20"/>
  <c r="K28" i="20"/>
  <c r="J28" i="20"/>
  <c r="I28" i="20"/>
  <c r="H28" i="20"/>
  <c r="G28" i="20"/>
  <c r="F28" i="20"/>
  <c r="E28" i="20"/>
  <c r="D28" i="20"/>
  <c r="N27" i="20"/>
  <c r="M27" i="20"/>
  <c r="L27" i="20"/>
  <c r="K27" i="20"/>
  <c r="J27" i="20"/>
  <c r="I27" i="20"/>
  <c r="H27" i="20"/>
  <c r="G27" i="20"/>
  <c r="F27" i="20"/>
  <c r="E27" i="20"/>
  <c r="D27" i="20"/>
  <c r="N25" i="20"/>
  <c r="M25" i="20"/>
  <c r="L25" i="20"/>
  <c r="K25" i="20"/>
  <c r="J25" i="20"/>
  <c r="I25" i="20"/>
  <c r="H25" i="20"/>
  <c r="G25" i="20"/>
  <c r="F25" i="20"/>
  <c r="E25" i="20"/>
  <c r="D25" i="20"/>
  <c r="N26" i="20"/>
  <c r="M26" i="20"/>
  <c r="L26" i="20"/>
  <c r="K26" i="20"/>
  <c r="J26" i="20"/>
  <c r="I26" i="20"/>
  <c r="H26" i="20"/>
  <c r="G26" i="20"/>
  <c r="F26" i="20"/>
  <c r="E26" i="20"/>
  <c r="D26" i="20"/>
  <c r="N24" i="20"/>
  <c r="M24" i="20"/>
  <c r="L24" i="20"/>
  <c r="K24" i="20"/>
  <c r="J24" i="20"/>
  <c r="I24" i="20"/>
  <c r="H24" i="20"/>
  <c r="G24" i="20"/>
  <c r="F24" i="20"/>
  <c r="E24" i="20"/>
  <c r="D24" i="20"/>
  <c r="G23" i="20"/>
  <c r="N23" i="20"/>
  <c r="M23" i="20"/>
  <c r="L23" i="20"/>
  <c r="K23" i="20"/>
  <c r="J23" i="20"/>
  <c r="I23" i="20"/>
  <c r="H23" i="20"/>
  <c r="F23" i="20"/>
  <c r="E23" i="20"/>
  <c r="D23" i="20"/>
  <c r="K67" i="20" l="1"/>
  <c r="E67" i="20"/>
  <c r="F67" i="20"/>
  <c r="J67" i="20"/>
  <c r="I67" i="20"/>
  <c r="H67" i="20"/>
  <c r="AA234" i="18"/>
  <c r="AA249" i="18"/>
  <c r="AA241" i="18"/>
  <c r="AA248" i="18"/>
  <c r="AA240" i="18"/>
  <c r="AA247" i="18"/>
  <c r="AA246" i="18"/>
  <c r="AA238" i="18"/>
  <c r="AA245" i="18"/>
  <c r="AA237" i="18"/>
  <c r="AA244" i="18"/>
  <c r="AA236" i="18"/>
  <c r="AA243" i="18"/>
  <c r="AA235" i="18"/>
  <c r="AA242" i="18"/>
  <c r="AA239" i="18"/>
  <c r="AA156" i="18"/>
  <c r="AA169" i="18"/>
  <c r="AA137" i="18"/>
  <c r="M66" i="20"/>
  <c r="D60" i="20"/>
  <c r="J66" i="20"/>
  <c r="E66" i="20"/>
  <c r="H65" i="20"/>
  <c r="G67" i="20"/>
  <c r="E65" i="20"/>
  <c r="M65" i="20"/>
  <c r="J65" i="20"/>
  <c r="G66" i="20"/>
  <c r="F65" i="20"/>
  <c r="N65" i="20"/>
  <c r="K66" i="20"/>
  <c r="G65" i="20"/>
  <c r="D66" i="20"/>
  <c r="L66" i="20"/>
  <c r="K61" i="20"/>
  <c r="K62" i="20"/>
  <c r="E63" i="20"/>
  <c r="M63" i="20"/>
  <c r="J64" i="20"/>
  <c r="I61" i="20"/>
  <c r="H60" i="20"/>
  <c r="G62" i="20"/>
  <c r="J61" i="20"/>
  <c r="D61" i="20"/>
  <c r="L61" i="20"/>
  <c r="I65" i="20"/>
  <c r="F66" i="20"/>
  <c r="N66" i="20"/>
  <c r="L67" i="20"/>
  <c r="I62" i="20"/>
  <c r="J62" i="20"/>
  <c r="D63" i="20"/>
  <c r="L63" i="20"/>
  <c r="I64" i="20"/>
  <c r="F60" i="20"/>
  <c r="G60" i="20"/>
  <c r="E62" i="20"/>
  <c r="M62" i="20"/>
  <c r="G63" i="20"/>
  <c r="D64" i="20"/>
  <c r="L64" i="20"/>
  <c r="F62" i="20"/>
  <c r="N62" i="20"/>
  <c r="N60" i="20"/>
  <c r="E61" i="20"/>
  <c r="M61" i="20"/>
  <c r="I63" i="20"/>
  <c r="F64" i="20"/>
  <c r="N64" i="20"/>
  <c r="J60" i="20"/>
  <c r="H62" i="20"/>
  <c r="K63" i="20"/>
  <c r="H64" i="20"/>
  <c r="L60" i="20"/>
  <c r="H61" i="20"/>
  <c r="D65" i="20"/>
  <c r="L65" i="20"/>
  <c r="I66" i="20"/>
  <c r="M60" i="20"/>
  <c r="E60" i="20"/>
  <c r="D62" i="20"/>
  <c r="L62" i="20"/>
  <c r="F63" i="20"/>
  <c r="N63" i="20"/>
  <c r="K64" i="20"/>
  <c r="H63" i="20"/>
  <c r="E64" i="20"/>
  <c r="M64" i="20"/>
  <c r="I60" i="20"/>
  <c r="F61" i="20"/>
  <c r="N61" i="20"/>
  <c r="J63" i="20"/>
  <c r="G64" i="20"/>
  <c r="K60" i="20"/>
  <c r="G61" i="20"/>
  <c r="K65" i="20"/>
  <c r="H66" i="20"/>
  <c r="W19" i="20"/>
  <c r="W18" i="20"/>
  <c r="W17" i="20"/>
  <c r="V19" i="20"/>
  <c r="V18" i="20"/>
  <c r="V17" i="20"/>
  <c r="U19" i="20"/>
  <c r="U18" i="20"/>
  <c r="U17" i="20"/>
  <c r="T19" i="20"/>
  <c r="T18" i="20"/>
  <c r="T17" i="20"/>
  <c r="S19" i="20"/>
  <c r="S18" i="20"/>
  <c r="S17" i="20"/>
  <c r="R19" i="20"/>
  <c r="R18" i="20"/>
  <c r="R17" i="20"/>
  <c r="Q19" i="20"/>
  <c r="Q18" i="20"/>
  <c r="Q17" i="20"/>
  <c r="P19" i="20"/>
  <c r="P18" i="20"/>
  <c r="P17" i="20"/>
  <c r="O19" i="20"/>
  <c r="O18" i="20"/>
  <c r="O17" i="20"/>
  <c r="N19" i="20"/>
  <c r="N18" i="20"/>
  <c r="N17" i="20"/>
  <c r="M19" i="20"/>
  <c r="M18" i="20"/>
  <c r="M17" i="20"/>
  <c r="L19" i="20"/>
  <c r="L18" i="20"/>
  <c r="L17" i="20"/>
  <c r="I68" i="20" l="1"/>
  <c r="J68" i="20"/>
  <c r="F68" i="20"/>
  <c r="D68" i="20"/>
  <c r="AA24" i="18" s="1"/>
  <c r="M68" i="20"/>
  <c r="H68" i="20"/>
  <c r="N68" i="20"/>
  <c r="G68" i="20"/>
  <c r="L68" i="20"/>
  <c r="E68" i="20"/>
  <c r="AA151" i="18" s="1"/>
  <c r="K68" i="20"/>
  <c r="H12" i="20"/>
  <c r="H13" i="20"/>
  <c r="G13" i="20"/>
  <c r="F13" i="20"/>
  <c r="G12" i="20"/>
  <c r="F12" i="20"/>
  <c r="AA23" i="18" l="1"/>
  <c r="AA141" i="18"/>
  <c r="AA138" i="18"/>
  <c r="AA139" i="18"/>
  <c r="AA140" i="18"/>
  <c r="AA136" i="18"/>
  <c r="AA135" i="18"/>
  <c r="AA134" i="18"/>
  <c r="AA133" i="18"/>
  <c r="AA132" i="18"/>
  <c r="AA130" i="18"/>
  <c r="AA131" i="18"/>
  <c r="AA30" i="18"/>
  <c r="AA29" i="18"/>
  <c r="AA22" i="18"/>
  <c r="AA52" i="18"/>
  <c r="AA10" i="18"/>
  <c r="AA232" i="18"/>
  <c r="AA231" i="18"/>
  <c r="AA230" i="18"/>
  <c r="AA229" i="18"/>
  <c r="AA228" i="18"/>
  <c r="AA227" i="18"/>
  <c r="AA226" i="18"/>
  <c r="AA221" i="18"/>
  <c r="AA220" i="18"/>
  <c r="AA219" i="18"/>
  <c r="AA222" i="18"/>
  <c r="AA209" i="18"/>
  <c r="AA208" i="18"/>
  <c r="AA207" i="18"/>
  <c r="AA206" i="18"/>
  <c r="AA205" i="18"/>
  <c r="AA204" i="18"/>
  <c r="AA203" i="18"/>
  <c r="AA170" i="18"/>
  <c r="AA171" i="18"/>
  <c r="AA173" i="18"/>
  <c r="AA172" i="18"/>
  <c r="AA167" i="18"/>
  <c r="AA166" i="18"/>
  <c r="AA168" i="18"/>
  <c r="AA162" i="18"/>
  <c r="AA161" i="18"/>
  <c r="AA160" i="18"/>
  <c r="AA159" i="18"/>
  <c r="AA158" i="18"/>
  <c r="AA163" i="18"/>
  <c r="AA149" i="18"/>
  <c r="AA150" i="18"/>
  <c r="AA146" i="18"/>
  <c r="AA148" i="18"/>
  <c r="AA147" i="18"/>
  <c r="AA143" i="18"/>
  <c r="AA142" i="18"/>
  <c r="AA127" i="18"/>
  <c r="AA126" i="18"/>
  <c r="AA125" i="18"/>
  <c r="AA124" i="18"/>
  <c r="AA123" i="18"/>
  <c r="AA128" i="18"/>
  <c r="AA45" i="18"/>
  <c r="AA116" i="18"/>
  <c r="AA115" i="18"/>
  <c r="AA114" i="18"/>
  <c r="AA113" i="18"/>
  <c r="AA112" i="18"/>
  <c r="AA111" i="18"/>
  <c r="AA110" i="18"/>
  <c r="AA106" i="18"/>
  <c r="AA105" i="18"/>
  <c r="AA104" i="18"/>
  <c r="AA103" i="18"/>
  <c r="AA102" i="18"/>
  <c r="AA107" i="18"/>
  <c r="AA99" i="18"/>
  <c r="AA96" i="18"/>
  <c r="AA98" i="18"/>
  <c r="AA97" i="18"/>
  <c r="AA95" i="18"/>
  <c r="AA94" i="18"/>
  <c r="AA100" i="18"/>
  <c r="AA90" i="18"/>
  <c r="AA87" i="18"/>
  <c r="AA86" i="18"/>
  <c r="AA88" i="18"/>
  <c r="AA89" i="18"/>
  <c r="AA79" i="18"/>
  <c r="AA78" i="18"/>
  <c r="AA77" i="18"/>
  <c r="AA76" i="18"/>
  <c r="AA75" i="18"/>
  <c r="AA80" i="18"/>
  <c r="AA44" i="18"/>
  <c r="AA56" i="18"/>
  <c r="AA51" i="18"/>
  <c r="AA50" i="18"/>
  <c r="AA42" i="18"/>
  <c r="AA43" i="18"/>
  <c r="AA37" i="18"/>
  <c r="AA41" i="18"/>
  <c r="AA40" i="18"/>
  <c r="AA39" i="18"/>
  <c r="AA38" i="18"/>
  <c r="AA35" i="18"/>
  <c r="AA34" i="18"/>
  <c r="AA33" i="18"/>
  <c r="AA32" i="18"/>
  <c r="AA31" i="18"/>
  <c r="AA27" i="18"/>
  <c r="AA28" i="18"/>
  <c r="AA26" i="18"/>
  <c r="AA25" i="18"/>
  <c r="AA21" i="18"/>
  <c r="AA20" i="18"/>
  <c r="AA19" i="18"/>
  <c r="AA18" i="18"/>
  <c r="AA17" i="18"/>
  <c r="AA16" i="18"/>
  <c r="AA12" i="18"/>
  <c r="AA15" i="18"/>
  <c r="AA14" i="18"/>
  <c r="AA13" i="18"/>
  <c r="AA11" i="18"/>
  <c r="F141" i="20"/>
  <c r="E141" i="20"/>
  <c r="D141" i="20"/>
  <c r="F140" i="20"/>
  <c r="E140" i="20"/>
  <c r="D140" i="20"/>
  <c r="F139" i="20"/>
  <c r="E139" i="20"/>
  <c r="D139" i="20"/>
  <c r="F138" i="20"/>
  <c r="E138" i="20"/>
  <c r="D138" i="20"/>
  <c r="F137" i="20"/>
  <c r="E137" i="20"/>
  <c r="D137" i="20"/>
  <c r="F136" i="20"/>
  <c r="E136" i="20"/>
  <c r="D136" i="20"/>
  <c r="F135" i="20"/>
  <c r="E135" i="20"/>
  <c r="D135" i="20"/>
  <c r="F134" i="20"/>
  <c r="E134" i="20"/>
  <c r="D134" i="20"/>
  <c r="F133" i="20"/>
  <c r="E133" i="20"/>
  <c r="D133" i="20"/>
  <c r="F132" i="20"/>
  <c r="E132" i="20"/>
  <c r="D132" i="20"/>
  <c r="F131" i="20"/>
  <c r="E131" i="20"/>
  <c r="D131" i="20"/>
  <c r="F130" i="20"/>
  <c r="E130" i="20"/>
  <c r="D130" i="20"/>
  <c r="F129" i="20"/>
  <c r="E129" i="20"/>
  <c r="D129" i="20"/>
  <c r="F128" i="20"/>
  <c r="E128" i="20"/>
  <c r="D128" i="20"/>
  <c r="F127" i="20"/>
  <c r="E127" i="20"/>
  <c r="D127" i="20"/>
  <c r="F126" i="20"/>
  <c r="E126" i="20"/>
  <c r="D126" i="20"/>
  <c r="F125" i="20"/>
  <c r="E125" i="20"/>
  <c r="D125" i="20"/>
  <c r="F124" i="20"/>
  <c r="E124" i="20"/>
  <c r="D124" i="20"/>
  <c r="F123" i="20"/>
  <c r="E123" i="20"/>
  <c r="D123" i="20"/>
  <c r="F122" i="20"/>
  <c r="E122" i="20"/>
  <c r="D122" i="20"/>
  <c r="F121" i="20"/>
  <c r="E121" i="20"/>
  <c r="D121" i="20"/>
  <c r="F120" i="20"/>
  <c r="E120" i="20"/>
  <c r="D120" i="20"/>
  <c r="F119" i="20"/>
  <c r="E119" i="20"/>
  <c r="D119" i="20"/>
  <c r="F118" i="20"/>
  <c r="E118" i="20"/>
  <c r="D118" i="20"/>
  <c r="F117" i="20"/>
  <c r="E117" i="20"/>
  <c r="D117" i="20"/>
  <c r="F116" i="20"/>
  <c r="E116" i="20"/>
  <c r="D116" i="20"/>
  <c r="F115" i="20"/>
  <c r="E115" i="20"/>
  <c r="D115" i="20"/>
  <c r="F114" i="20"/>
  <c r="E114" i="20"/>
  <c r="D114" i="20"/>
  <c r="F113" i="20"/>
  <c r="E113" i="20"/>
  <c r="D113" i="20"/>
  <c r="F112" i="20"/>
  <c r="E112" i="20"/>
  <c r="D112" i="20"/>
  <c r="F111" i="20"/>
  <c r="E111" i="20"/>
  <c r="D111" i="20"/>
  <c r="F110" i="20"/>
  <c r="E110" i="20"/>
  <c r="D110" i="20"/>
  <c r="F109" i="20"/>
  <c r="E109" i="20"/>
  <c r="D109" i="20"/>
  <c r="AD79" i="20"/>
  <c r="K19" i="20"/>
  <c r="J19" i="20"/>
  <c r="I19" i="20"/>
  <c r="H19" i="20"/>
  <c r="G19" i="20"/>
  <c r="F19" i="20"/>
  <c r="E19" i="20"/>
  <c r="D19" i="20"/>
  <c r="K18" i="20"/>
  <c r="J18" i="20"/>
  <c r="I18" i="20"/>
  <c r="H18" i="20"/>
  <c r="G18" i="20"/>
  <c r="F18" i="20"/>
  <c r="E18" i="20"/>
  <c r="D18" i="20"/>
  <c r="K17" i="20"/>
  <c r="J17" i="20"/>
  <c r="I17" i="20"/>
  <c r="H17" i="20"/>
  <c r="G17" i="20"/>
  <c r="F17" i="20"/>
  <c r="E17" i="20"/>
  <c r="D17" i="20"/>
  <c r="E13" i="20"/>
  <c r="D13" i="20"/>
  <c r="E12" i="20"/>
  <c r="H9" i="20"/>
  <c r="G9" i="20"/>
  <c r="F9" i="20"/>
  <c r="E9" i="20"/>
  <c r="D9" i="20"/>
  <c r="H8" i="20"/>
  <c r="G8" i="20"/>
  <c r="F8" i="20"/>
  <c r="E8" i="20"/>
  <c r="D8" i="20"/>
  <c r="AQ46" i="17"/>
  <c r="AQ44" i="17"/>
  <c r="AQ42" i="17"/>
  <c r="AQ40" i="17"/>
  <c r="AQ38" i="17"/>
  <c r="AQ34" i="17"/>
  <c r="AQ32" i="17"/>
  <c r="AQ24" i="17"/>
  <c r="AQ22" i="17"/>
  <c r="AQ20" i="17"/>
  <c r="AQ18" i="17"/>
  <c r="AQ16" i="17"/>
  <c r="AQ14" i="17"/>
  <c r="AQ12" i="17"/>
  <c r="AO10" i="17"/>
  <c r="AO48" i="17"/>
  <c r="AO46" i="17"/>
  <c r="AO44" i="17"/>
  <c r="AO42" i="17"/>
  <c r="AO40" i="17"/>
  <c r="AO38" i="17"/>
  <c r="AO36" i="17"/>
  <c r="AO34" i="17"/>
  <c r="AO32" i="17"/>
  <c r="AO30" i="17"/>
  <c r="AO28" i="17"/>
  <c r="AO26" i="17"/>
  <c r="AO24" i="17"/>
  <c r="AO22" i="17"/>
  <c r="AO20" i="17"/>
  <c r="AO18" i="17"/>
  <c r="AO16" i="17"/>
  <c r="AO14" i="17"/>
  <c r="AO12" i="17"/>
  <c r="AM10" i="17"/>
  <c r="AM48" i="17"/>
  <c r="AM46" i="17"/>
  <c r="AM44" i="17"/>
  <c r="AM42" i="17"/>
  <c r="AM40" i="17"/>
  <c r="AM38" i="17"/>
  <c r="AM36" i="17"/>
  <c r="AM34" i="17"/>
  <c r="AM32" i="17"/>
  <c r="AM30" i="17"/>
  <c r="AM24" i="17"/>
  <c r="AM22" i="17"/>
  <c r="AM20" i="17"/>
  <c r="AM18" i="17"/>
  <c r="AM16" i="17"/>
  <c r="AM12" i="17"/>
  <c r="AQ48" i="17"/>
  <c r="AQ36" i="17"/>
  <c r="AQ30" i="17"/>
  <c r="AQ28" i="17"/>
  <c r="AQ26" i="17"/>
  <c r="AM26" i="17"/>
  <c r="AQ10" i="17"/>
  <c r="AM28" i="17"/>
  <c r="AG24" i="17"/>
  <c r="AM14" i="17"/>
  <c r="AK14" i="17"/>
  <c r="AK46" i="17"/>
  <c r="AK48" i="17"/>
  <c r="AK44" i="17"/>
  <c r="AK12" i="17"/>
  <c r="AK10" i="17"/>
  <c r="AI10" i="17"/>
  <c r="AI14" i="17"/>
  <c r="AI12" i="17"/>
  <c r="AI18" i="17"/>
  <c r="AI20" i="17"/>
  <c r="AI22" i="17"/>
  <c r="AI24" i="17"/>
  <c r="AI26" i="17"/>
  <c r="AI28" i="17"/>
  <c r="AI30" i="17"/>
  <c r="AI32" i="17"/>
  <c r="AI34" i="17"/>
  <c r="AI36" i="17"/>
  <c r="AI38" i="17"/>
  <c r="AI40" i="17"/>
  <c r="AI44" i="17"/>
  <c r="AI46" i="17"/>
  <c r="AI48" i="17"/>
  <c r="AG48" i="17"/>
  <c r="AG12" i="17"/>
  <c r="AG10" i="17"/>
  <c r="AG14" i="17"/>
  <c r="AG18" i="17"/>
  <c r="AG22" i="17"/>
  <c r="AG36" i="17"/>
  <c r="AG40" i="17"/>
  <c r="AG46" i="17"/>
  <c r="AG38" i="17"/>
  <c r="AG44" i="17"/>
  <c r="AG34" i="17"/>
  <c r="AG32" i="17"/>
  <c r="AG30" i="17"/>
  <c r="AG28" i="17"/>
  <c r="AG26" i="17"/>
  <c r="AG20" i="17"/>
  <c r="AE18" i="17"/>
  <c r="AE10" i="17"/>
  <c r="AE12" i="17"/>
  <c r="AE14" i="17"/>
  <c r="AE20" i="17"/>
  <c r="AE38" i="17"/>
  <c r="AE40" i="17"/>
  <c r="AE44" i="17"/>
  <c r="AE46" i="17"/>
  <c r="AE48" i="17"/>
  <c r="AC40" i="17"/>
  <c r="AC18" i="17"/>
  <c r="AC14" i="17"/>
  <c r="AC12" i="17"/>
  <c r="AC10" i="17"/>
  <c r="AC46" i="17"/>
  <c r="AC48" i="17"/>
  <c r="AC38" i="17"/>
  <c r="AC34" i="17"/>
  <c r="AC32" i="17"/>
  <c r="AC30" i="17"/>
  <c r="AC28" i="17"/>
  <c r="AC26" i="17"/>
  <c r="AC24" i="17"/>
  <c r="AC20" i="17"/>
  <c r="AA18" i="17"/>
  <c r="AA14" i="17"/>
  <c r="AA12" i="17"/>
  <c r="AA10" i="17"/>
  <c r="AC44" i="17"/>
  <c r="AA44" i="17"/>
  <c r="AA46" i="17"/>
  <c r="AA40" i="17"/>
  <c r="AA48" i="17"/>
  <c r="AA38" i="17"/>
  <c r="AA34" i="17"/>
  <c r="AA32" i="17"/>
  <c r="AA30" i="17"/>
  <c r="AA28" i="17"/>
  <c r="AA26" i="17"/>
  <c r="AA24" i="17"/>
  <c r="AA20" i="17"/>
  <c r="Y18" i="17"/>
  <c r="Y14" i="17"/>
  <c r="Y12" i="17"/>
  <c r="Y10" i="17"/>
  <c r="Y40" i="17"/>
  <c r="Y44" i="17"/>
  <c r="Y46" i="17"/>
  <c r="Y48" i="17"/>
  <c r="Y38" i="17"/>
  <c r="Y34" i="17"/>
  <c r="Y32" i="17"/>
  <c r="Y30" i="17"/>
  <c r="Y28" i="17"/>
  <c r="Y26" i="17"/>
  <c r="Y24" i="17"/>
  <c r="W18" i="17"/>
  <c r="W24" i="17"/>
  <c r="Y20" i="17"/>
  <c r="D173" i="20" l="1"/>
  <c r="W12" i="17"/>
  <c r="W10" i="17"/>
  <c r="W40" i="17"/>
  <c r="W44" i="17"/>
  <c r="W46" i="17"/>
  <c r="W48" i="17"/>
  <c r="U48" i="17"/>
  <c r="W38" i="17"/>
  <c r="W34" i="17"/>
  <c r="W32" i="17"/>
  <c r="W30" i="17"/>
  <c r="W28" i="17"/>
  <c r="W26" i="17"/>
  <c r="W20" i="17"/>
  <c r="U20" i="17"/>
  <c r="W14" i="17"/>
  <c r="U14" i="17"/>
  <c r="U44" i="17"/>
  <c r="U46" i="17"/>
  <c r="U40" i="17"/>
  <c r="S40" i="17"/>
  <c r="U18" i="17"/>
  <c r="U12" i="17"/>
  <c r="U10" i="17"/>
  <c r="S10" i="17"/>
  <c r="U38" i="17"/>
  <c r="U34" i="17"/>
  <c r="U32" i="17"/>
  <c r="U30" i="17"/>
  <c r="U28" i="17"/>
  <c r="U26" i="17"/>
  <c r="U24" i="17"/>
  <c r="S20" i="17"/>
  <c r="S12" i="17"/>
  <c r="S14" i="17"/>
  <c r="S18" i="17"/>
  <c r="S44" i="17"/>
  <c r="S46" i="17"/>
  <c r="Q48" i="17"/>
  <c r="S38" i="17"/>
  <c r="S34" i="17"/>
  <c r="S32" i="17"/>
  <c r="S30" i="17"/>
  <c r="S28" i="17"/>
  <c r="S26" i="17"/>
  <c r="S24" i="17"/>
  <c r="Q20" i="17"/>
  <c r="Q12" i="17"/>
  <c r="Q14" i="17"/>
  <c r="Q18" i="17"/>
  <c r="Q38" i="17"/>
  <c r="Q40" i="17"/>
  <c r="Q44" i="17"/>
  <c r="Q46" i="17"/>
  <c r="O48" i="17"/>
  <c r="O14" i="17"/>
  <c r="O12" i="17"/>
  <c r="O10" i="17"/>
  <c r="O18" i="17"/>
  <c r="O22" i="17"/>
  <c r="M22" i="17"/>
  <c r="O36" i="17"/>
  <c r="O40" i="17"/>
  <c r="O44" i="17"/>
  <c r="O46" i="17"/>
  <c r="M48" i="17"/>
  <c r="O38" i="17"/>
  <c r="O34" i="17"/>
  <c r="O32" i="17"/>
  <c r="O30" i="17"/>
  <c r="O28" i="17"/>
  <c r="O26" i="17"/>
  <c r="O24" i="17"/>
  <c r="O20" i="17"/>
  <c r="M34" i="17"/>
  <c r="M32" i="17"/>
  <c r="M30" i="17"/>
  <c r="M28" i="17"/>
  <c r="M26" i="17"/>
  <c r="M24" i="17"/>
  <c r="M20" i="17"/>
  <c r="M14" i="17"/>
  <c r="M12" i="17"/>
  <c r="M36" i="17"/>
  <c r="M38" i="17"/>
  <c r="M40" i="17"/>
  <c r="M44" i="17"/>
  <c r="M46" i="17"/>
  <c r="K48" i="17"/>
  <c r="AA186" i="18" l="1"/>
  <c r="AA185" i="18"/>
  <c r="AA177" i="18"/>
  <c r="AA178" i="18"/>
  <c r="AA184" i="18"/>
  <c r="AA176" i="18"/>
  <c r="AA175" i="18"/>
  <c r="AA183" i="18"/>
  <c r="AA182" i="18"/>
  <c r="AA66" i="18"/>
  <c r="AA181" i="18"/>
  <c r="AA180" i="18"/>
  <c r="AA179" i="18"/>
  <c r="AA53" i="18"/>
  <c r="AA54" i="18"/>
  <c r="AA68" i="18"/>
  <c r="AA67" i="18"/>
  <c r="AA55" i="18"/>
  <c r="AA60" i="18"/>
  <c r="AA59" i="18"/>
  <c r="AA58" i="18"/>
  <c r="AA63" i="18"/>
  <c r="AA62" i="18"/>
  <c r="AA61" i="18"/>
  <c r="K14" i="17"/>
  <c r="K12" i="17"/>
  <c r="K46" i="17"/>
  <c r="I46" i="17"/>
  <c r="I48" i="17"/>
  <c r="I42" i="17"/>
  <c r="I40" i="17"/>
  <c r="I38" i="17"/>
  <c r="I36" i="17"/>
  <c r="I34" i="17"/>
  <c r="I32" i="17"/>
  <c r="I30" i="17"/>
  <c r="M18" i="17"/>
  <c r="I28" i="17"/>
  <c r="I26" i="17"/>
  <c r="I24" i="17"/>
  <c r="I22" i="17"/>
  <c r="I20" i="17"/>
  <c r="I18" i="17"/>
  <c r="I16" i="17"/>
  <c r="I12" i="17"/>
  <c r="I10" i="17"/>
  <c r="K44" i="17"/>
  <c r="I44" i="17"/>
  <c r="E48" i="17"/>
  <c r="G48" i="17"/>
  <c r="G46" i="17"/>
  <c r="G44" i="17"/>
  <c r="G42" i="17"/>
  <c r="G40" i="17"/>
  <c r="G38" i="17"/>
  <c r="G36" i="17"/>
  <c r="G34" i="17"/>
  <c r="G32" i="17"/>
  <c r="G30" i="17"/>
  <c r="G28" i="17"/>
  <c r="G26" i="17"/>
  <c r="G24" i="17"/>
  <c r="G22" i="17"/>
  <c r="G20" i="17"/>
  <c r="G18" i="17"/>
  <c r="G16" i="17"/>
  <c r="G14" i="17"/>
  <c r="G12" i="17"/>
  <c r="G10" i="17"/>
  <c r="I14" i="17"/>
  <c r="E38" i="17"/>
  <c r="E36" i="17"/>
  <c r="E34" i="17"/>
  <c r="E32" i="17"/>
  <c r="E30" i="17"/>
  <c r="E28" i="17"/>
  <c r="E26" i="17"/>
  <c r="E24" i="17"/>
  <c r="E22" i="17"/>
  <c r="E20" i="17"/>
  <c r="E18" i="17"/>
  <c r="E40" i="17"/>
  <c r="E42" i="17"/>
  <c r="E44" i="17"/>
  <c r="E46" i="17"/>
  <c r="E16" i="17"/>
  <c r="E14" i="17"/>
  <c r="E12" i="17"/>
  <c r="K10" i="17"/>
  <c r="E10" i="17" l="1"/>
  <c r="E218" i="26"/>
  <c r="E186" i="26"/>
  <c r="D127" i="26"/>
  <c r="G105" i="26"/>
  <c r="F93" i="26"/>
  <c r="BV81" i="26"/>
  <c r="J81" i="26"/>
  <c r="AD80" i="26"/>
  <c r="AX79" i="26"/>
  <c r="D198" i="26"/>
  <c r="F134" i="26"/>
  <c r="E113" i="26"/>
  <c r="E102" i="26"/>
  <c r="D87" i="26"/>
  <c r="AG81" i="26"/>
  <c r="BA80" i="26"/>
  <c r="E201" i="26"/>
  <c r="D137" i="26"/>
  <c r="F115" i="26"/>
  <c r="L102" i="26"/>
  <c r="H90" i="26"/>
  <c r="AN81" i="26"/>
  <c r="BH80" i="26"/>
  <c r="CB79" i="26"/>
  <c r="P79" i="26"/>
  <c r="D189" i="26"/>
  <c r="F128" i="26"/>
  <c r="L105" i="26"/>
  <c r="K93" i="26"/>
  <c r="CA81" i="26"/>
  <c r="O81" i="26"/>
  <c r="AI80" i="26"/>
  <c r="BC79" i="26"/>
  <c r="BW78" i="26"/>
  <c r="E212" i="26"/>
  <c r="E180" i="26"/>
  <c r="D123" i="26"/>
  <c r="H104" i="26"/>
  <c r="F92" i="26"/>
  <c r="BJ81" i="26"/>
  <c r="CD80" i="26"/>
  <c r="R80" i="26"/>
  <c r="D208" i="26"/>
  <c r="E141" i="26"/>
  <c r="D120" i="26"/>
  <c r="I91" i="26"/>
  <c r="BA81" i="26"/>
  <c r="BU80" i="26"/>
  <c r="I80" i="26"/>
  <c r="E211" i="26"/>
  <c r="E179" i="26"/>
  <c r="E122" i="26"/>
  <c r="F104" i="26"/>
  <c r="D92" i="26"/>
  <c r="BH81" i="26"/>
  <c r="CB80" i="26"/>
  <c r="P80" i="26"/>
  <c r="AJ79" i="26"/>
  <c r="BD78" i="26"/>
  <c r="D72" i="26"/>
  <c r="D199" i="26"/>
  <c r="E135" i="26"/>
  <c r="D114" i="26"/>
  <c r="G102" i="26"/>
  <c r="F87" i="26"/>
  <c r="AI81" i="26"/>
  <c r="BC80" i="26"/>
  <c r="BW79" i="26"/>
  <c r="AA79" i="26"/>
  <c r="W78" i="26"/>
  <c r="I51" i="26"/>
  <c r="I43" i="26"/>
  <c r="K37" i="26"/>
  <c r="M31" i="26"/>
  <c r="D26" i="26"/>
  <c r="L18" i="26"/>
  <c r="BM78" i="26"/>
  <c r="I57" i="26"/>
  <c r="E214" i="26"/>
  <c r="E182" i="26"/>
  <c r="E124" i="26"/>
  <c r="L104" i="26"/>
  <c r="J92" i="26"/>
  <c r="BN81" i="26"/>
  <c r="CH80" i="26"/>
  <c r="V80" i="26"/>
  <c r="AP79" i="26"/>
  <c r="D194" i="26"/>
  <c r="D132" i="26"/>
  <c r="F110" i="26"/>
  <c r="F97" i="26"/>
  <c r="E84" i="26"/>
  <c r="Y81" i="26"/>
  <c r="AS80" i="26"/>
  <c r="E197" i="26"/>
  <c r="E134" i="26"/>
  <c r="D113" i="26"/>
  <c r="D102" i="26"/>
  <c r="F86" i="26"/>
  <c r="AF81" i="26"/>
  <c r="AZ80" i="26"/>
  <c r="BT79" i="26"/>
  <c r="D217" i="26"/>
  <c r="D185" i="26"/>
  <c r="D126" i="26"/>
  <c r="D105" i="26"/>
  <c r="O92" i="26"/>
  <c r="BS81" i="26"/>
  <c r="G81" i="26"/>
  <c r="AA80" i="26"/>
  <c r="AU79" i="26"/>
  <c r="BO78" i="26"/>
  <c r="E208" i="26"/>
  <c r="F141" i="26"/>
  <c r="E120" i="26"/>
  <c r="J91" i="26"/>
  <c r="BB81" i="26"/>
  <c r="BV80" i="26"/>
  <c r="J80" i="26"/>
  <c r="D204" i="26"/>
  <c r="F138" i="26"/>
  <c r="E117" i="26"/>
  <c r="D103" i="26"/>
  <c r="M90" i="26"/>
  <c r="AS81" i="26"/>
  <c r="BM80" i="26"/>
  <c r="CG79" i="26"/>
  <c r="E207" i="26"/>
  <c r="D141" i="26"/>
  <c r="F119" i="26"/>
  <c r="H91" i="26"/>
  <c r="AZ81" i="26"/>
  <c r="BT80" i="26"/>
  <c r="H80" i="26"/>
  <c r="AB79" i="26"/>
  <c r="AV78" i="26"/>
  <c r="G57" i="26"/>
  <c r="D195" i="26"/>
  <c r="F132" i="26"/>
  <c r="E111" i="26"/>
  <c r="E98" i="26"/>
  <c r="D85" i="26"/>
  <c r="AA81" i="26"/>
  <c r="AU80" i="26"/>
  <c r="BO79" i="26"/>
  <c r="N79" i="26"/>
  <c r="N78" i="26"/>
  <c r="L50" i="26"/>
  <c r="L42" i="26"/>
  <c r="N36" i="26"/>
  <c r="E210" i="26"/>
  <c r="E178" i="26"/>
  <c r="F121" i="26"/>
  <c r="D104" i="26"/>
  <c r="N91" i="26"/>
  <c r="BF81" i="26"/>
  <c r="BZ80" i="26"/>
  <c r="N80" i="26"/>
  <c r="AH79" i="26"/>
  <c r="D190" i="26"/>
  <c r="E129" i="26"/>
  <c r="N105" i="26"/>
  <c r="M93" i="26"/>
  <c r="CC81" i="26"/>
  <c r="Q81" i="26"/>
  <c r="AK80" i="26"/>
  <c r="E193" i="26"/>
  <c r="F131" i="26"/>
  <c r="E110" i="26"/>
  <c r="E97" i="26"/>
  <c r="D84" i="26"/>
  <c r="X81" i="26"/>
  <c r="AR80" i="26"/>
  <c r="BL79" i="26"/>
  <c r="D213" i="26"/>
  <c r="D181" i="26"/>
  <c r="E123" i="26"/>
  <c r="I104" i="26"/>
  <c r="G92" i="26"/>
  <c r="BK81" i="26"/>
  <c r="CE80" i="26"/>
  <c r="S80" i="26"/>
  <c r="AM79" i="26"/>
  <c r="BG78" i="26"/>
  <c r="E204" i="26"/>
  <c r="D139" i="26"/>
  <c r="F117" i="26"/>
  <c r="E103" i="26"/>
  <c r="N90" i="26"/>
  <c r="AT81" i="26"/>
  <c r="BN80" i="26"/>
  <c r="CH79" i="26"/>
  <c r="D200" i="26"/>
  <c r="D136" i="26"/>
  <c r="F114" i="26"/>
  <c r="I102" i="26"/>
  <c r="E90" i="26"/>
  <c r="AK81" i="26"/>
  <c r="BE80" i="26"/>
  <c r="BY79" i="26"/>
  <c r="E203" i="26"/>
  <c r="E138" i="26"/>
  <c r="D117" i="26"/>
  <c r="P102" i="26"/>
  <c r="L90" i="26"/>
  <c r="AR81" i="26"/>
  <c r="BL80" i="26"/>
  <c r="CF79" i="26"/>
  <c r="T79" i="26"/>
  <c r="AN78" i="26"/>
  <c r="J56" i="26"/>
  <c r="D191" i="26"/>
  <c r="D130" i="26"/>
  <c r="P105" i="26"/>
  <c r="O93" i="26"/>
  <c r="CE81" i="26"/>
  <c r="S81" i="26"/>
  <c r="AM80" i="26"/>
  <c r="BG79" i="26"/>
  <c r="CI78" i="26"/>
  <c r="E78" i="26"/>
  <c r="D50" i="26"/>
  <c r="D42" i="26"/>
  <c r="F36" i="26"/>
  <c r="H30" i="26"/>
  <c r="I19" i="26"/>
  <c r="M80" i="26"/>
  <c r="AR78" i="26"/>
  <c r="L55" i="26"/>
  <c r="D47" i="26"/>
  <c r="D39" i="26"/>
  <c r="F33" i="26"/>
  <c r="P17" i="26"/>
  <c r="BK78" i="26"/>
  <c r="H57" i="26"/>
  <c r="E206" i="26"/>
  <c r="E140" i="26"/>
  <c r="D119" i="26"/>
  <c r="F91" i="26"/>
  <c r="AX81" i="26"/>
  <c r="BR80" i="26"/>
  <c r="F80" i="26"/>
  <c r="D218" i="26"/>
  <c r="D186" i="26"/>
  <c r="F126" i="26"/>
  <c r="F105" i="26"/>
  <c r="E93" i="26"/>
  <c r="BU81" i="26"/>
  <c r="I81" i="26"/>
  <c r="AC80" i="26"/>
  <c r="E189" i="26"/>
  <c r="D129" i="26"/>
  <c r="M105" i="26"/>
  <c r="L93" i="26"/>
  <c r="CB81" i="26"/>
  <c r="P81" i="26"/>
  <c r="AJ80" i="26"/>
  <c r="BD79" i="26"/>
  <c r="D209" i="26"/>
  <c r="D177" i="26"/>
  <c r="F120" i="26"/>
  <c r="K91" i="26"/>
  <c r="BC81" i="26"/>
  <c r="BW80" i="26"/>
  <c r="K80" i="26"/>
  <c r="AE79" i="26"/>
  <c r="AY78" i="26"/>
  <c r="E200" i="26"/>
  <c r="E136" i="26"/>
  <c r="D115" i="26"/>
  <c r="J102" i="26"/>
  <c r="F90" i="26"/>
  <c r="AL81" i="26"/>
  <c r="BF80" i="26"/>
  <c r="BZ79" i="26"/>
  <c r="D196" i="26"/>
  <c r="E133" i="26"/>
  <c r="D112" i="26"/>
  <c r="D99" i="26"/>
  <c r="F85" i="26"/>
  <c r="AC81" i="26"/>
  <c r="AW80" i="26"/>
  <c r="BQ79" i="26"/>
  <c r="E199" i="26"/>
  <c r="F135" i="26"/>
  <c r="E114" i="26"/>
  <c r="H102" i="26"/>
  <c r="D90" i="26"/>
  <c r="AJ81" i="26"/>
  <c r="BD80" i="26"/>
  <c r="BX79" i="26"/>
  <c r="L79" i="26"/>
  <c r="AF78" i="26"/>
  <c r="M55" i="26"/>
  <c r="D187" i="26"/>
  <c r="E127" i="26"/>
  <c r="H105" i="26"/>
  <c r="G93" i="26"/>
  <c r="BW81" i="26"/>
  <c r="K81" i="26"/>
  <c r="AE80" i="26"/>
  <c r="AY79" i="26"/>
  <c r="BY78" i="26"/>
  <c r="E73" i="26"/>
  <c r="G49" i="26"/>
  <c r="G41" i="26"/>
  <c r="I35" i="26"/>
  <c r="K29" i="26"/>
  <c r="U18" i="26"/>
  <c r="AT79" i="26"/>
  <c r="AG78" i="26"/>
  <c r="E202" i="26"/>
  <c r="F137" i="26"/>
  <c r="E116" i="26"/>
  <c r="N102" i="26"/>
  <c r="J90" i="26"/>
  <c r="AP81" i="26"/>
  <c r="BJ80" i="26"/>
  <c r="CD79" i="26"/>
  <c r="D214" i="26"/>
  <c r="D182" i="26"/>
  <c r="D124" i="26"/>
  <c r="K104" i="26"/>
  <c r="I92" i="26"/>
  <c r="BM81" i="26"/>
  <c r="CG80" i="26"/>
  <c r="E217" i="26"/>
  <c r="E185" i="26"/>
  <c r="E126" i="26"/>
  <c r="E105" i="26"/>
  <c r="D93" i="26"/>
  <c r="BT81" i="26"/>
  <c r="H81" i="26"/>
  <c r="AB80" i="26"/>
  <c r="AV79" i="26"/>
  <c r="D205" i="26"/>
  <c r="E139" i="26"/>
  <c r="D118" i="26"/>
  <c r="O90" i="26"/>
  <c r="AU81" i="26"/>
  <c r="BO80" i="26"/>
  <c r="CI79" i="26"/>
  <c r="W79" i="26"/>
  <c r="AQ78" i="26"/>
  <c r="E196" i="26"/>
  <c r="F133" i="26"/>
  <c r="E112" i="26"/>
  <c r="E99" i="26"/>
  <c r="D86" i="26"/>
  <c r="AD81" i="26"/>
  <c r="AX80" i="26"/>
  <c r="BR79" i="26"/>
  <c r="D192" i="26"/>
  <c r="F130" i="26"/>
  <c r="E109" i="26"/>
  <c r="E96" i="26"/>
  <c r="CG81" i="26"/>
  <c r="U81" i="26"/>
  <c r="AO80" i="26"/>
  <c r="BI79" i="26"/>
  <c r="E195" i="26"/>
  <c r="D133" i="26"/>
  <c r="F111" i="26"/>
  <c r="F98" i="26"/>
  <c r="E85" i="26"/>
  <c r="AB81" i="26"/>
  <c r="AV80" i="26"/>
  <c r="BP79" i="26"/>
  <c r="D79" i="26"/>
  <c r="X78" i="26"/>
  <c r="D215" i="26"/>
  <c r="D183" i="26"/>
  <c r="F124" i="26"/>
  <c r="M104" i="26"/>
  <c r="K92" i="26"/>
  <c r="BO81" i="26"/>
  <c r="CI80" i="26"/>
  <c r="W80" i="26"/>
  <c r="AQ79" i="26"/>
  <c r="BN78" i="26"/>
  <c r="J57" i="26"/>
  <c r="J48" i="26"/>
  <c r="J40" i="26"/>
  <c r="L34" i="26"/>
  <c r="E198" i="26"/>
  <c r="D135" i="26"/>
  <c r="F113" i="26"/>
  <c r="E87" i="26"/>
  <c r="AH81" i="26"/>
  <c r="BB80" i="26"/>
  <c r="BV79" i="26"/>
  <c r="D210" i="26"/>
  <c r="D178" i="26"/>
  <c r="E121" i="26"/>
  <c r="M91" i="26"/>
  <c r="BE81" i="26"/>
  <c r="BY80" i="26"/>
  <c r="E213" i="26"/>
  <c r="E181" i="26"/>
  <c r="F123" i="26"/>
  <c r="J104" i="26"/>
  <c r="H92" i="26"/>
  <c r="BL81" i="26"/>
  <c r="CF80" i="26"/>
  <c r="T80" i="26"/>
  <c r="AN79" i="26"/>
  <c r="D201" i="26"/>
  <c r="F136" i="26"/>
  <c r="E115" i="26"/>
  <c r="K102" i="26"/>
  <c r="G90" i="26"/>
  <c r="AM81" i="26"/>
  <c r="BG80" i="26"/>
  <c r="CA79" i="26"/>
  <c r="O79" i="26"/>
  <c r="AI78" i="26"/>
  <c r="E192" i="26"/>
  <c r="D131" i="26"/>
  <c r="F109" i="26"/>
  <c r="F96" i="26"/>
  <c r="CH81" i="26"/>
  <c r="V81" i="26"/>
  <c r="AP80" i="26"/>
  <c r="BJ79" i="26"/>
  <c r="D188" i="26"/>
  <c r="D128" i="26"/>
  <c r="J105" i="26"/>
  <c r="I93" i="26"/>
  <c r="BY81" i="26"/>
  <c r="M81" i="26"/>
  <c r="AG80" i="26"/>
  <c r="BA79" i="26"/>
  <c r="E191" i="26"/>
  <c r="E130" i="26"/>
  <c r="D109" i="26"/>
  <c r="D96" i="26"/>
  <c r="CF81" i="26"/>
  <c r="T81" i="26"/>
  <c r="AN80" i="26"/>
  <c r="BH79" i="26"/>
  <c r="CB78" i="26"/>
  <c r="P78" i="26"/>
  <c r="D211" i="26"/>
  <c r="D179" i="26"/>
  <c r="D122" i="26"/>
  <c r="E104" i="26"/>
  <c r="O91" i="26"/>
  <c r="BG81" i="26"/>
  <c r="CA80" i="26"/>
  <c r="O80" i="26"/>
  <c r="AI79" i="26"/>
  <c r="BC78" i="26"/>
  <c r="L56" i="26"/>
  <c r="M47" i="26"/>
  <c r="E194" i="26"/>
  <c r="E132" i="26"/>
  <c r="D111" i="26"/>
  <c r="D98" i="26"/>
  <c r="F84" i="26"/>
  <c r="Z81" i="26"/>
  <c r="AT80" i="26"/>
  <c r="BN79" i="26"/>
  <c r="D206" i="26"/>
  <c r="D140" i="26"/>
  <c r="F118" i="26"/>
  <c r="E91" i="26"/>
  <c r="AW81" i="26"/>
  <c r="BQ80" i="26"/>
  <c r="E209" i="26"/>
  <c r="E177" i="26"/>
  <c r="D121" i="26"/>
  <c r="L91" i="26"/>
  <c r="BD81" i="26"/>
  <c r="BX80" i="26"/>
  <c r="L80" i="26"/>
  <c r="AF79" i="26"/>
  <c r="D197" i="26"/>
  <c r="D134" i="26"/>
  <c r="F112" i="26"/>
  <c r="F99" i="26"/>
  <c r="E86" i="26"/>
  <c r="AE81" i="26"/>
  <c r="AY80" i="26"/>
  <c r="BS79" i="26"/>
  <c r="G79" i="26"/>
  <c r="AA78" i="26"/>
  <c r="E188" i="26"/>
  <c r="E128" i="26"/>
  <c r="K105" i="26"/>
  <c r="J93" i="26"/>
  <c r="BZ81" i="26"/>
  <c r="N81" i="26"/>
  <c r="AH80" i="26"/>
  <c r="D216" i="26"/>
  <c r="D184" i="26"/>
  <c r="E125" i="26"/>
  <c r="O104" i="26"/>
  <c r="M92" i="26"/>
  <c r="BQ81" i="26"/>
  <c r="E81" i="26"/>
  <c r="Y80" i="26"/>
  <c r="AS79" i="26"/>
  <c r="E187" i="26"/>
  <c r="F127" i="26"/>
  <c r="I105" i="26"/>
  <c r="H93" i="26"/>
  <c r="BX81" i="26"/>
  <c r="L81" i="26"/>
  <c r="AF80" i="26"/>
  <c r="AZ79" i="26"/>
  <c r="BT78" i="26"/>
  <c r="H78" i="26"/>
  <c r="D207" i="26"/>
  <c r="F140" i="26"/>
  <c r="E119" i="26"/>
  <c r="G91" i="26"/>
  <c r="AY81" i="26"/>
  <c r="BS80" i="26"/>
  <c r="G80" i="26"/>
  <c r="U80" i="26"/>
  <c r="AS78" i="26"/>
  <c r="N55" i="26"/>
  <c r="E190" i="26"/>
  <c r="F129" i="26"/>
  <c r="O105" i="26"/>
  <c r="N93" i="26"/>
  <c r="CD81" i="26"/>
  <c r="R81" i="26"/>
  <c r="AL80" i="26"/>
  <c r="BF79" i="26"/>
  <c r="D202" i="26"/>
  <c r="E137" i="26"/>
  <c r="D116" i="26"/>
  <c r="M102" i="26"/>
  <c r="I90" i="26"/>
  <c r="AO81" i="26"/>
  <c r="BI80" i="26"/>
  <c r="E205" i="26"/>
  <c r="F139" i="26"/>
  <c r="E118" i="26"/>
  <c r="D91" i="26"/>
  <c r="AV81" i="26"/>
  <c r="BP80" i="26"/>
  <c r="D80" i="26"/>
  <c r="X79" i="26"/>
  <c r="D193" i="26"/>
  <c r="E131" i="26"/>
  <c r="D110" i="26"/>
  <c r="D97" i="26"/>
  <c r="CI81" i="26"/>
  <c r="W81" i="26"/>
  <c r="AQ80" i="26"/>
  <c r="BK79" i="26"/>
  <c r="CE78" i="26"/>
  <c r="E216" i="26"/>
  <c r="E184" i="26"/>
  <c r="F125" i="26"/>
  <c r="P104" i="26"/>
  <c r="N92" i="26"/>
  <c r="BR81" i="26"/>
  <c r="F81" i="26"/>
  <c r="Z80" i="26"/>
  <c r="D212" i="26"/>
  <c r="D180" i="26"/>
  <c r="F122" i="26"/>
  <c r="G104" i="26"/>
  <c r="E92" i="26"/>
  <c r="BI81" i="26"/>
  <c r="CC80" i="26"/>
  <c r="Q80" i="26"/>
  <c r="E215" i="26"/>
  <c r="E183" i="26"/>
  <c r="D125" i="26"/>
  <c r="N104" i="26"/>
  <c r="L92" i="26"/>
  <c r="BP81" i="26"/>
  <c r="D81" i="26"/>
  <c r="X80" i="26"/>
  <c r="AR79" i="26"/>
  <c r="BL78" i="26"/>
  <c r="F74" i="26"/>
  <c r="D203" i="26"/>
  <c r="D138" i="26"/>
  <c r="F116" i="26"/>
  <c r="O102" i="26"/>
  <c r="K90" i="26"/>
  <c r="AQ81" i="26"/>
  <c r="BK80" i="26"/>
  <c r="CE79" i="26"/>
  <c r="AW79" i="26"/>
  <c r="AH78" i="26"/>
  <c r="E55" i="26"/>
  <c r="E47" i="26"/>
  <c r="E31" i="26"/>
  <c r="F13" i="26"/>
  <c r="V78" i="26"/>
  <c r="N49" i="26"/>
  <c r="F41" i="26"/>
  <c r="K34" i="26"/>
  <c r="H19" i="26"/>
  <c r="BA78" i="26"/>
  <c r="K55" i="26"/>
  <c r="F46" i="26"/>
  <c r="F38" i="26"/>
  <c r="H32" i="26"/>
  <c r="J26" i="26"/>
  <c r="G17" i="26"/>
  <c r="J79" i="26"/>
  <c r="K78" i="26"/>
  <c r="I50" i="26"/>
  <c r="F43" i="26"/>
  <c r="H37" i="26"/>
  <c r="J31" i="26"/>
  <c r="V19" i="26"/>
  <c r="H12" i="26"/>
  <c r="AK79" i="26"/>
  <c r="AC78" i="26"/>
  <c r="M51" i="26"/>
  <c r="D46" i="26"/>
  <c r="L38" i="26"/>
  <c r="N32" i="26"/>
  <c r="E27" i="26"/>
  <c r="D9" i="26"/>
  <c r="CC78" i="26"/>
  <c r="E74" i="26"/>
  <c r="J49" i="26"/>
  <c r="J41" i="26"/>
  <c r="L35" i="26"/>
  <c r="N29" i="26"/>
  <c r="D19" i="26"/>
  <c r="BF78" i="26"/>
  <c r="N56" i="26"/>
  <c r="D48" i="26"/>
  <c r="D40" i="26"/>
  <c r="F34" i="26"/>
  <c r="H28" i="26"/>
  <c r="G18" i="26"/>
  <c r="BB79" i="26"/>
  <c r="AJ78" i="26"/>
  <c r="F55" i="26"/>
  <c r="I46" i="26"/>
  <c r="I38" i="26"/>
  <c r="K32" i="26"/>
  <c r="M26" i="26"/>
  <c r="J17" i="26"/>
  <c r="K26" i="26"/>
  <c r="H46" i="26"/>
  <c r="N28" i="26"/>
  <c r="E8" i="26"/>
  <c r="M78" i="26"/>
  <c r="F49" i="26"/>
  <c r="I40" i="26"/>
  <c r="N33" i="26"/>
  <c r="H17" i="26"/>
  <c r="AP78" i="26"/>
  <c r="G51" i="26"/>
  <c r="G43" i="26"/>
  <c r="I37" i="26"/>
  <c r="K31" i="26"/>
  <c r="W19" i="26"/>
  <c r="D13" i="26"/>
  <c r="CF78" i="26"/>
  <c r="E75" i="26"/>
  <c r="L49" i="26"/>
  <c r="I42" i="26"/>
  <c r="K36" i="26"/>
  <c r="M30" i="26"/>
  <c r="N19" i="26"/>
  <c r="E9" i="26"/>
  <c r="U79" i="26"/>
  <c r="S78" i="26"/>
  <c r="E51" i="26"/>
  <c r="M43" i="26"/>
  <c r="D38" i="26"/>
  <c r="F32" i="26"/>
  <c r="H26" i="26"/>
  <c r="L17" i="26"/>
  <c r="BR78" i="26"/>
  <c r="M57" i="26"/>
  <c r="M48" i="26"/>
  <c r="M40" i="26"/>
  <c r="D35" i="26"/>
  <c r="F29" i="26"/>
  <c r="P18" i="26"/>
  <c r="AU78" i="26"/>
  <c r="E56" i="26"/>
  <c r="G47" i="26"/>
  <c r="G39" i="26"/>
  <c r="I33" i="26"/>
  <c r="K27" i="26"/>
  <c r="S17" i="26"/>
  <c r="AC79" i="26"/>
  <c r="Y78" i="26"/>
  <c r="J51" i="26"/>
  <c r="J43" i="26"/>
  <c r="L37" i="26"/>
  <c r="N31" i="26"/>
  <c r="E26" i="26"/>
  <c r="G13" i="26"/>
  <c r="P19" i="26"/>
  <c r="M39" i="26"/>
  <c r="F28" i="26"/>
  <c r="E13" i="26"/>
  <c r="D78" i="26"/>
  <c r="I48" i="26"/>
  <c r="L39" i="26"/>
  <c r="I32" i="26"/>
  <c r="E80" i="26"/>
  <c r="AE78" i="26"/>
  <c r="J50" i="26"/>
  <c r="J42" i="26"/>
  <c r="L36" i="26"/>
  <c r="N30" i="26"/>
  <c r="O19" i="26"/>
  <c r="F9" i="26"/>
  <c r="BU78" i="26"/>
  <c r="E72" i="26"/>
  <c r="D49" i="26"/>
  <c r="L41" i="26"/>
  <c r="N35" i="26"/>
  <c r="E30" i="26"/>
  <c r="F19" i="26"/>
  <c r="I18" i="26"/>
  <c r="I79" i="26"/>
  <c r="J78" i="26"/>
  <c r="H50" i="26"/>
  <c r="E43" i="26"/>
  <c r="G37" i="26"/>
  <c r="I31" i="26"/>
  <c r="U19" i="26"/>
  <c r="D17" i="26"/>
  <c r="BH78" i="26"/>
  <c r="D57" i="26"/>
  <c r="E48" i="26"/>
  <c r="E40" i="26"/>
  <c r="G34" i="26"/>
  <c r="I28" i="26"/>
  <c r="BE79" i="26"/>
  <c r="AK78" i="26"/>
  <c r="G55" i="26"/>
  <c r="J46" i="26"/>
  <c r="J38" i="26"/>
  <c r="L32" i="26"/>
  <c r="N26" i="26"/>
  <c r="K17" i="26"/>
  <c r="Q79" i="26"/>
  <c r="O78" i="26"/>
  <c r="M50" i="26"/>
  <c r="M42" i="26"/>
  <c r="D37" i="26"/>
  <c r="F31" i="26"/>
  <c r="R19" i="26"/>
  <c r="D12" i="26"/>
  <c r="T18" i="26"/>
  <c r="E39" i="26"/>
  <c r="I27" i="26"/>
  <c r="Z79" i="26"/>
  <c r="D73" i="26"/>
  <c r="L47" i="26"/>
  <c r="G38" i="26"/>
  <c r="L31" i="26"/>
  <c r="AO79" i="26"/>
  <c r="U78" i="26"/>
  <c r="M49" i="26"/>
  <c r="M41" i="26"/>
  <c r="D36" i="26"/>
  <c r="F30" i="26"/>
  <c r="G19" i="26"/>
  <c r="H18" i="26"/>
  <c r="BJ78" i="26"/>
  <c r="F57" i="26"/>
  <c r="G48" i="26"/>
  <c r="D41" i="26"/>
  <c r="F35" i="26"/>
  <c r="H29" i="26"/>
  <c r="R18" i="26"/>
  <c r="M17" i="26"/>
  <c r="CD78" i="26"/>
  <c r="D75" i="26"/>
  <c r="K49" i="26"/>
  <c r="H42" i="26"/>
  <c r="J36" i="26"/>
  <c r="L30" i="26"/>
  <c r="M19" i="26"/>
  <c r="D8" i="26"/>
  <c r="AW78" i="26"/>
  <c r="F56" i="26"/>
  <c r="H47" i="26"/>
  <c r="H39" i="26"/>
  <c r="J33" i="26"/>
  <c r="L27" i="26"/>
  <c r="AD79" i="26"/>
  <c r="Z78" i="26"/>
  <c r="K51" i="26"/>
  <c r="K43" i="26"/>
  <c r="M37" i="26"/>
  <c r="D32" i="26"/>
  <c r="F26" i="26"/>
  <c r="H13" i="26"/>
  <c r="E79" i="26"/>
  <c r="F78" i="26"/>
  <c r="E50" i="26"/>
  <c r="E42" i="26"/>
  <c r="G36" i="26"/>
  <c r="I30" i="26"/>
  <c r="J19" i="26"/>
  <c r="F8" i="26"/>
  <c r="D18" i="26"/>
  <c r="H38" i="26"/>
  <c r="L26" i="26"/>
  <c r="M79" i="26"/>
  <c r="K56" i="26"/>
  <c r="G46" i="26"/>
  <c r="J37" i="26"/>
  <c r="D31" i="26"/>
  <c r="Y79" i="26"/>
  <c r="L78" i="26"/>
  <c r="E49" i="26"/>
  <c r="E41" i="26"/>
  <c r="G35" i="26"/>
  <c r="I29" i="26"/>
  <c r="S18" i="26"/>
  <c r="F12" i="26"/>
  <c r="AZ78" i="26"/>
  <c r="H56" i="26"/>
  <c r="J47" i="26"/>
  <c r="G40" i="26"/>
  <c r="I34" i="26"/>
  <c r="K28" i="26"/>
  <c r="J18" i="26"/>
  <c r="G12" i="26"/>
  <c r="BS78" i="26"/>
  <c r="N57" i="26"/>
  <c r="N48" i="26"/>
  <c r="K41" i="26"/>
  <c r="M35" i="26"/>
  <c r="D30" i="26"/>
  <c r="E19" i="26"/>
  <c r="BM79" i="26"/>
  <c r="AL78" i="26"/>
  <c r="H55" i="26"/>
  <c r="K46" i="26"/>
  <c r="K38" i="26"/>
  <c r="M32" i="26"/>
  <c r="D27" i="26"/>
  <c r="R79" i="26"/>
  <c r="Q78" i="26"/>
  <c r="N50" i="26"/>
  <c r="N42" i="26"/>
  <c r="E37" i="26"/>
  <c r="G31" i="26"/>
  <c r="S19" i="26"/>
  <c r="E12" i="26"/>
  <c r="BZ78" i="26"/>
  <c r="F73" i="26"/>
  <c r="H49" i="26"/>
  <c r="H41" i="26"/>
  <c r="J35" i="26"/>
  <c r="L29" i="26"/>
  <c r="V18" i="26"/>
  <c r="E18" i="26"/>
  <c r="D34" i="26"/>
  <c r="Q19" i="26"/>
  <c r="CH78" i="26"/>
  <c r="D55" i="26"/>
  <c r="H43" i="26"/>
  <c r="M36" i="26"/>
  <c r="G30" i="26"/>
  <c r="K79" i="26"/>
  <c r="F75" i="26"/>
  <c r="H48" i="26"/>
  <c r="H40" i="26"/>
  <c r="J34" i="26"/>
  <c r="L28" i="26"/>
  <c r="K18" i="26"/>
  <c r="CC79" i="26"/>
  <c r="AO78" i="26"/>
  <c r="J55" i="26"/>
  <c r="M46" i="26"/>
  <c r="J39" i="26"/>
  <c r="L33" i="26"/>
  <c r="N27" i="26"/>
  <c r="V17" i="26"/>
  <c r="T17" i="26"/>
  <c r="BI78" i="26"/>
  <c r="E57" i="26"/>
  <c r="F48" i="26"/>
  <c r="N40" i="26"/>
  <c r="E35" i="26"/>
  <c r="G29" i="26"/>
  <c r="Q18" i="26"/>
  <c r="AG79" i="26"/>
  <c r="AB78" i="26"/>
  <c r="L51" i="26"/>
  <c r="L43" i="26"/>
  <c r="N37" i="26"/>
  <c r="E32" i="26"/>
  <c r="G26" i="26"/>
  <c r="F79" i="26"/>
  <c r="G78" i="26"/>
  <c r="F50" i="26"/>
  <c r="F42" i="26"/>
  <c r="H36" i="26"/>
  <c r="J30" i="26"/>
  <c r="K19" i="26"/>
  <c r="G8" i="26"/>
  <c r="BP78" i="26"/>
  <c r="K57" i="26"/>
  <c r="K48" i="26"/>
  <c r="K40" i="26"/>
  <c r="M34" i="26"/>
  <c r="D29" i="26"/>
  <c r="N18" i="26"/>
  <c r="I17" i="26"/>
  <c r="G33" i="26"/>
  <c r="M18" i="26"/>
  <c r="BX78" i="26"/>
  <c r="H51" i="26"/>
  <c r="K42" i="26"/>
  <c r="E36" i="26"/>
  <c r="J29" i="26"/>
  <c r="CG78" i="26"/>
  <c r="F72" i="26"/>
  <c r="K47" i="26"/>
  <c r="K39" i="26"/>
  <c r="M33" i="26"/>
  <c r="D28" i="26"/>
  <c r="W17" i="26"/>
  <c r="AL79" i="26"/>
  <c r="AD78" i="26"/>
  <c r="N51" i="26"/>
  <c r="E46" i="26"/>
  <c r="M38" i="26"/>
  <c r="D33" i="26"/>
  <c r="F27" i="26"/>
  <c r="N17" i="26"/>
  <c r="H8" i="26"/>
  <c r="AX78" i="26"/>
  <c r="G56" i="26"/>
  <c r="I47" i="26"/>
  <c r="F40" i="26"/>
  <c r="H34" i="26"/>
  <c r="J28" i="26"/>
  <c r="U17" i="26"/>
  <c r="S79" i="26"/>
  <c r="R78" i="26"/>
  <c r="D51" i="26"/>
  <c r="D43" i="26"/>
  <c r="F37" i="26"/>
  <c r="H31" i="26"/>
  <c r="T19" i="26"/>
  <c r="CA78" i="26"/>
  <c r="D74" i="26"/>
  <c r="I49" i="26"/>
  <c r="I41" i="26"/>
  <c r="K35" i="26"/>
  <c r="M29" i="26"/>
  <c r="W18" i="26"/>
  <c r="E28" i="26"/>
  <c r="BE78" i="26"/>
  <c r="M56" i="26"/>
  <c r="N47" i="26"/>
  <c r="N39" i="26"/>
  <c r="E34" i="26"/>
  <c r="G28" i="26"/>
  <c r="F18" i="26"/>
  <c r="H9" i="26"/>
  <c r="J32" i="26"/>
  <c r="Q17" i="26"/>
  <c r="BB78" i="26"/>
  <c r="K50" i="26"/>
  <c r="N41" i="26"/>
  <c r="H35" i="26"/>
  <c r="M28" i="26"/>
  <c r="BV78" i="26"/>
  <c r="I56" i="26"/>
  <c r="N46" i="26"/>
  <c r="N38" i="26"/>
  <c r="E33" i="26"/>
  <c r="G27" i="26"/>
  <c r="O17" i="26"/>
  <c r="V79" i="26"/>
  <c r="T78" i="26"/>
  <c r="F51" i="26"/>
  <c r="N43" i="26"/>
  <c r="E38" i="26"/>
  <c r="G32" i="26"/>
  <c r="I26" i="26"/>
  <c r="F17" i="26"/>
  <c r="BU79" i="26"/>
  <c r="AM78" i="26"/>
  <c r="I55" i="26"/>
  <c r="L46" i="26"/>
  <c r="I39" i="26"/>
  <c r="K33" i="26"/>
  <c r="M27" i="26"/>
  <c r="E17" i="26"/>
  <c r="H79" i="26"/>
  <c r="I78" i="26"/>
  <c r="G50" i="26"/>
  <c r="G42" i="26"/>
  <c r="I36" i="26"/>
  <c r="K30" i="26"/>
  <c r="L19" i="26"/>
  <c r="BQ78" i="26"/>
  <c r="L57" i="26"/>
  <c r="L48" i="26"/>
  <c r="L40" i="26"/>
  <c r="N34" i="26"/>
  <c r="E29" i="26"/>
  <c r="O18" i="26"/>
  <c r="G9" i="26"/>
  <c r="AT78" i="26"/>
  <c r="D56" i="26"/>
  <c r="F47" i="26"/>
  <c r="F39" i="26"/>
  <c r="H33" i="26"/>
  <c r="J27" i="26"/>
  <c r="R17" i="26"/>
  <c r="H27" i="26"/>
  <c r="I45" i="26"/>
  <c r="M24" i="26"/>
  <c r="D53" i="26"/>
  <c r="I25" i="26"/>
  <c r="J53" i="26"/>
  <c r="H53" i="26"/>
  <c r="I44" i="26"/>
  <c r="I54" i="26"/>
  <c r="H25" i="26"/>
  <c r="I53" i="26"/>
  <c r="D45" i="26"/>
  <c r="M54" i="26"/>
  <c r="N45" i="26"/>
  <c r="D25" i="26"/>
  <c r="F25" i="26"/>
  <c r="M44" i="26"/>
  <c r="H24" i="26"/>
  <c r="I52" i="26"/>
  <c r="E24" i="26"/>
  <c r="F53" i="26"/>
  <c r="K25" i="26"/>
  <c r="F44" i="26"/>
  <c r="J25" i="26"/>
  <c r="L53" i="26"/>
  <c r="J24" i="26"/>
  <c r="G53" i="26"/>
  <c r="K45" i="26"/>
  <c r="E53" i="26"/>
  <c r="I24" i="26"/>
  <c r="J44" i="26"/>
  <c r="F52" i="26"/>
  <c r="L54" i="26"/>
  <c r="N52" i="26"/>
  <c r="D44" i="26"/>
  <c r="K53" i="26"/>
  <c r="D24" i="26"/>
  <c r="K44" i="26"/>
  <c r="N24" i="26"/>
  <c r="E52" i="26"/>
  <c r="H45" i="26"/>
  <c r="M25" i="26"/>
  <c r="N53" i="26"/>
  <c r="J52" i="26"/>
  <c r="N44" i="26"/>
  <c r="K24" i="26"/>
  <c r="L52" i="26"/>
  <c r="L65" i="26" s="1"/>
  <c r="E54" i="26"/>
  <c r="F45" i="26"/>
  <c r="E45" i="26"/>
  <c r="H44" i="26"/>
  <c r="G44" i="26"/>
  <c r="F54" i="26"/>
  <c r="J54" i="26"/>
  <c r="M45" i="26"/>
  <c r="L45" i="26"/>
  <c r="N25" i="26"/>
  <c r="J45" i="26"/>
  <c r="E25" i="26"/>
  <c r="N23" i="26"/>
  <c r="G52" i="26"/>
  <c r="L24" i="26"/>
  <c r="M52" i="26"/>
  <c r="M65" i="26" s="1"/>
  <c r="K52" i="26"/>
  <c r="D52" i="26"/>
  <c r="K54" i="26"/>
  <c r="H52" i="26"/>
  <c r="G54" i="26"/>
  <c r="G67" i="26" s="1"/>
  <c r="G25" i="26"/>
  <c r="D54" i="26"/>
  <c r="E44" i="26"/>
  <c r="G24" i="26"/>
  <c r="M53" i="26"/>
  <c r="G45" i="26"/>
  <c r="N54" i="26"/>
  <c r="L25" i="26"/>
  <c r="F24" i="26"/>
  <c r="L44" i="26"/>
  <c r="H54" i="26"/>
  <c r="H23" i="26"/>
  <c r="G23" i="26"/>
  <c r="M23" i="26"/>
  <c r="I23" i="26"/>
  <c r="D23" i="26"/>
  <c r="E23" i="26"/>
  <c r="L23" i="26"/>
  <c r="F23" i="26"/>
  <c r="J23" i="26"/>
  <c r="K23" i="26"/>
  <c r="K65" i="26" l="1"/>
  <c r="E65" i="26"/>
  <c r="J67" i="26"/>
  <c r="H67" i="26"/>
  <c r="N66" i="26"/>
  <c r="D221" i="26"/>
  <c r="E221" i="26"/>
  <c r="E222" i="26"/>
  <c r="D222" i="26"/>
  <c r="L66" i="26"/>
  <c r="N65" i="26"/>
  <c r="I67" i="26"/>
  <c r="J66" i="26"/>
  <c r="F65" i="26"/>
  <c r="D67" i="26"/>
  <c r="M67" i="26"/>
  <c r="J63" i="26"/>
  <c r="H65" i="26"/>
  <c r="G64" i="26"/>
  <c r="M64" i="26"/>
  <c r="I62" i="26"/>
  <c r="G66" i="26"/>
  <c r="M60" i="26"/>
  <c r="L64" i="26"/>
  <c r="F60" i="26"/>
  <c r="F67" i="26"/>
  <c r="N63" i="26"/>
  <c r="E66" i="26"/>
  <c r="J64" i="26"/>
  <c r="M63" i="26"/>
  <c r="F62" i="26"/>
  <c r="F63" i="26"/>
  <c r="H63" i="26"/>
  <c r="E63" i="26"/>
  <c r="E67" i="26"/>
  <c r="G65" i="26"/>
  <c r="N64" i="26"/>
  <c r="J65" i="26"/>
  <c r="K66" i="26"/>
  <c r="K67" i="26"/>
  <c r="E64" i="26"/>
  <c r="E62" i="26"/>
  <c r="K64" i="26"/>
  <c r="L62" i="26"/>
  <c r="N67" i="26"/>
  <c r="D62" i="26"/>
  <c r="H66" i="26"/>
  <c r="N60" i="26"/>
  <c r="D63" i="26"/>
  <c r="I66" i="26"/>
  <c r="M66" i="26"/>
  <c r="N62" i="26"/>
  <c r="I65" i="26"/>
  <c r="H64" i="26"/>
  <c r="D65" i="26"/>
  <c r="I63" i="26"/>
  <c r="L61" i="26"/>
  <c r="J60" i="26"/>
  <c r="H60" i="26"/>
  <c r="E61" i="26"/>
  <c r="F64" i="26"/>
  <c r="J61" i="26"/>
  <c r="D61" i="26"/>
  <c r="L67" i="26"/>
  <c r="M62" i="26"/>
  <c r="H62" i="26"/>
  <c r="L63" i="26"/>
  <c r="K61" i="26"/>
  <c r="G60" i="26"/>
  <c r="M61" i="26"/>
  <c r="G62" i="26"/>
  <c r="F66" i="26"/>
  <c r="G63" i="26"/>
  <c r="N61" i="26"/>
  <c r="L60" i="26"/>
  <c r="E60" i="26"/>
  <c r="K63" i="26"/>
  <c r="D64" i="26"/>
  <c r="D60" i="26"/>
  <c r="H61" i="26"/>
  <c r="F61" i="26"/>
  <c r="I60" i="26"/>
  <c r="G61" i="26"/>
  <c r="I61" i="26"/>
  <c r="J62" i="26"/>
  <c r="D66" i="26"/>
  <c r="K60" i="26"/>
  <c r="K62" i="26"/>
  <c r="I64" i="26"/>
  <c r="D223" i="26" l="1"/>
  <c r="E223" i="26"/>
  <c r="N68" i="26"/>
  <c r="M68" i="26"/>
  <c r="F68" i="26"/>
  <c r="E68" i="26"/>
  <c r="H68" i="26"/>
  <c r="J68" i="26"/>
  <c r="G68" i="26"/>
  <c r="L68" i="26"/>
  <c r="I68" i="26"/>
  <c r="D68" i="26"/>
  <c r="K68" i="26"/>
  <c r="AA180" i="24" s="1"/>
  <c r="AA17" i="24" l="1"/>
  <c r="AA11" i="24"/>
  <c r="AA181" i="24"/>
  <c r="AA182" i="24"/>
  <c r="AA184" i="24"/>
  <c r="AA183" i="24"/>
  <c r="AA179" i="24"/>
  <c r="AA178" i="24"/>
  <c r="AA177" i="24"/>
  <c r="AA173" i="24"/>
  <c r="AA172" i="24"/>
  <c r="AA170" i="24"/>
  <c r="AA174" i="24"/>
  <c r="AA171" i="24"/>
  <c r="AA30" i="24"/>
  <c r="AA168" i="24"/>
  <c r="AA156" i="24"/>
  <c r="AA155" i="24"/>
  <c r="AA154" i="24"/>
  <c r="AA153" i="24"/>
  <c r="AA152" i="24"/>
  <c r="AA151" i="24"/>
  <c r="AA148" i="24"/>
  <c r="AA145" i="24"/>
  <c r="AA147" i="24"/>
  <c r="AA143" i="24"/>
  <c r="AA146" i="24"/>
  <c r="AA144" i="24"/>
  <c r="AA134" i="24"/>
  <c r="AA135" i="24"/>
  <c r="AA136" i="24"/>
  <c r="AA137" i="24"/>
  <c r="AA133" i="24"/>
  <c r="AA138" i="24"/>
  <c r="AA139" i="24"/>
  <c r="AA131" i="24"/>
  <c r="AA129" i="24"/>
  <c r="AA128" i="24"/>
  <c r="AA127" i="24"/>
  <c r="AA126" i="24"/>
  <c r="AA130" i="24"/>
  <c r="AA39" i="24"/>
  <c r="AA117" i="24"/>
  <c r="AA116" i="24"/>
  <c r="AA115" i="24"/>
  <c r="AA118" i="24"/>
  <c r="AA16" i="24"/>
  <c r="AA15" i="24"/>
  <c r="AA108" i="24"/>
  <c r="AA109" i="24"/>
  <c r="AA107" i="24"/>
  <c r="AA112" i="24"/>
  <c r="AA111" i="24"/>
  <c r="AA110" i="24"/>
  <c r="AA100" i="24"/>
  <c r="AA104" i="24"/>
  <c r="AA103" i="24"/>
  <c r="AA102" i="24"/>
  <c r="AA101" i="24"/>
  <c r="AA99" i="24"/>
  <c r="AA105" i="24"/>
  <c r="AA93" i="24"/>
  <c r="AA92" i="24"/>
  <c r="AA91" i="24"/>
  <c r="AA90" i="24"/>
  <c r="AA89" i="24"/>
  <c r="AA79" i="24"/>
  <c r="AA78" i="24"/>
  <c r="AA77" i="24"/>
  <c r="AA76" i="24"/>
  <c r="AA75" i="24"/>
  <c r="AA74" i="24"/>
  <c r="AA25" i="24"/>
  <c r="AA29" i="24"/>
  <c r="AA62" i="24"/>
  <c r="AA60" i="24"/>
  <c r="AA59" i="24"/>
  <c r="AA58" i="24"/>
  <c r="AA57" i="24"/>
  <c r="AA61" i="24"/>
  <c r="AA27" i="24"/>
  <c r="AA26" i="24"/>
  <c r="AA28" i="24"/>
  <c r="AA50" i="24"/>
  <c r="AA49" i="24"/>
  <c r="AA48" i="24"/>
  <c r="AA47" i="24"/>
  <c r="AA46" i="24"/>
  <c r="AA45" i="24"/>
  <c r="AA44" i="24"/>
  <c r="AA19" i="24"/>
  <c r="AA13" i="24"/>
  <c r="AA20" i="24"/>
  <c r="AA18" i="24"/>
  <c r="AA36" i="24"/>
  <c r="AA37" i="24"/>
  <c r="AA35" i="24"/>
  <c r="AA34" i="24"/>
  <c r="AA33" i="24"/>
  <c r="AA38" i="24"/>
  <c r="AA21" i="24"/>
  <c r="AA12" i="24"/>
  <c r="AA14" i="24"/>
  <c r="AA24" i="24"/>
  <c r="AA22" i="24"/>
  <c r="AA23" i="2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作成者</author>
  </authors>
  <commentList>
    <comment ref="Y8" authorId="0" shapeId="0" xr:uid="{964218D5-DA4F-4925-B955-3028A5F9A52F}">
      <text>
        <r>
          <rPr>
            <sz val="9"/>
            <color indexed="81"/>
            <rFont val="Arial"/>
            <family val="2"/>
          </rPr>
          <t xml:space="preserve">- The selected pin cell is yellow. 
- Duplicate pin names are red. </t>
        </r>
      </text>
    </comment>
    <comment ref="Z8" authorId="0" shapeId="0" xr:uid="{DB0B4604-A12A-48B7-B6BD-CAC6678F365C}">
      <text>
        <r>
          <rPr>
            <sz val="9"/>
            <color indexed="81"/>
            <rFont val="Arial"/>
            <family val="2"/>
          </rPr>
          <t xml:space="preserve">- The selected pin cell is yellow.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作成者</author>
  </authors>
  <commentList>
    <comment ref="Y8" authorId="0" shapeId="0" xr:uid="{7F946019-8F2C-4632-A351-70F145C8E6C1}">
      <text>
        <r>
          <rPr>
            <sz val="9"/>
            <color indexed="81"/>
            <rFont val="Arial"/>
            <family val="2"/>
          </rPr>
          <t xml:space="preserve">- The selected pin cell is yellow. 
- Duplicate pin names are red. </t>
        </r>
      </text>
    </comment>
    <comment ref="Z8" authorId="0" shapeId="0" xr:uid="{C28C573E-B7BF-46A0-8AAF-FC1E3500EA32}">
      <text>
        <r>
          <rPr>
            <sz val="9"/>
            <color indexed="81"/>
            <rFont val="Arial"/>
            <family val="2"/>
          </rPr>
          <t xml:space="preserve">- The selected pin cell is yellow.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作成者</author>
  </authors>
  <commentList>
    <comment ref="Y8" authorId="0" shapeId="0" xr:uid="{218F9480-60F3-4393-9382-999F00D90A36}">
      <text>
        <r>
          <rPr>
            <sz val="9"/>
            <color indexed="81"/>
            <rFont val="Arial"/>
            <family val="2"/>
          </rPr>
          <t xml:space="preserve">- The selected pin cell is yellow. 
- Duplicate pin names are red. </t>
        </r>
      </text>
    </comment>
    <comment ref="Z8" authorId="0" shapeId="0" xr:uid="{770B6780-EC17-46DE-95B4-487C64283D1C}">
      <text>
        <r>
          <rPr>
            <sz val="9"/>
            <color indexed="81"/>
            <rFont val="Arial"/>
            <family val="2"/>
          </rPr>
          <t xml:space="preserve">- The selected pin cell is yellow. </t>
        </r>
      </text>
    </comment>
  </commentList>
</comments>
</file>

<file path=xl/sharedStrings.xml><?xml version="1.0" encoding="utf-8"?>
<sst xmlns="http://schemas.openxmlformats.org/spreadsheetml/2006/main" count="22151" uniqueCount="2730">
  <si>
    <t>HCon#9</t>
  </si>
  <si>
    <t>HCon#10</t>
  </si>
  <si>
    <t>HCon#11</t>
  </si>
  <si>
    <t>HCon#16</t>
  </si>
  <si>
    <t>HCon#17</t>
  </si>
  <si>
    <t>HCon#18</t>
  </si>
  <si>
    <t>HCon#19</t>
  </si>
  <si>
    <t>HCon#20</t>
  </si>
  <si>
    <t>HCon#21</t>
  </si>
  <si>
    <t>HCon#26</t>
  </si>
  <si>
    <t>HCon#27</t>
  </si>
  <si>
    <t>ACT #1</t>
  </si>
  <si>
    <t>ACT #2</t>
  </si>
  <si>
    <t>ACT #3</t>
  </si>
  <si>
    <t>ACT #4</t>
  </si>
  <si>
    <t>ACT #5</t>
  </si>
  <si>
    <t>ACT #6</t>
  </si>
  <si>
    <t>ACT #7</t>
  </si>
  <si>
    <t>ACT #8</t>
  </si>
  <si>
    <t>ACT #9</t>
  </si>
  <si>
    <t>ACT #10</t>
  </si>
  <si>
    <t>ACT #11</t>
  </si>
  <si>
    <t>P0.0</t>
  </si>
  <si>
    <t>LIN1_RX</t>
  </si>
  <si>
    <t>P0.1</t>
  </si>
  <si>
    <t>LIN1_TX</t>
  </si>
  <si>
    <t>P0.2</t>
  </si>
  <si>
    <t>LIN1_EN</t>
  </si>
  <si>
    <t>CAN0_1_TX</t>
  </si>
  <si>
    <t>P0.3</t>
  </si>
  <si>
    <t>CAN0_1_RX</t>
  </si>
  <si>
    <t>P1.0</t>
  </si>
  <si>
    <t>P1.1</t>
  </si>
  <si>
    <t>P1.2</t>
  </si>
  <si>
    <t>TRIG_IN[0]</t>
  </si>
  <si>
    <t>P1.3</t>
  </si>
  <si>
    <t>TRIG_IN[1]</t>
  </si>
  <si>
    <t>P2.0</t>
  </si>
  <si>
    <t>LIN0_RX</t>
  </si>
  <si>
    <t>CAN0_0_TX</t>
  </si>
  <si>
    <t>TRIG_IN[2]</t>
  </si>
  <si>
    <t>P2.1</t>
  </si>
  <si>
    <t>LIN0_TX</t>
  </si>
  <si>
    <t>CAN0_0_RX</t>
  </si>
  <si>
    <t>TRIG_IN[3]</t>
  </si>
  <si>
    <t>P2.2</t>
  </si>
  <si>
    <t>LIN0_EN</t>
  </si>
  <si>
    <t>TRIG_IN[4]</t>
  </si>
  <si>
    <t>P2.3</t>
  </si>
  <si>
    <t>LIN5_RX</t>
  </si>
  <si>
    <t>TRIG_IN[5]</t>
  </si>
  <si>
    <t>P2.4</t>
  </si>
  <si>
    <t>LIN5_TX</t>
  </si>
  <si>
    <t>TRIG_IN[6]</t>
  </si>
  <si>
    <t>P2.5</t>
  </si>
  <si>
    <t>LIN5_EN</t>
  </si>
  <si>
    <t>TRIG_IN[7]</t>
  </si>
  <si>
    <t>P3.0</t>
  </si>
  <si>
    <t>P3.1</t>
  </si>
  <si>
    <t>P3.2</t>
  </si>
  <si>
    <t>P3.3</t>
  </si>
  <si>
    <t>P3.4</t>
  </si>
  <si>
    <t>P3.5</t>
  </si>
  <si>
    <t>P4.0</t>
  </si>
  <si>
    <t>EXT_MUX[0]_0</t>
  </si>
  <si>
    <t>TRIG_IN[10]</t>
  </si>
  <si>
    <t>P4.1</t>
  </si>
  <si>
    <t>EXT_MUX[0]_1</t>
  </si>
  <si>
    <t>TRIG_IN[11]</t>
  </si>
  <si>
    <t>P4.2</t>
  </si>
  <si>
    <t>EXT_MUX[0]_2</t>
  </si>
  <si>
    <t>TRIG_IN[12]</t>
  </si>
  <si>
    <t>P4.3</t>
  </si>
  <si>
    <t>TRIG_IN[13]</t>
  </si>
  <si>
    <t>P4.4</t>
  </si>
  <si>
    <t>P5.0</t>
  </si>
  <si>
    <t>LIN7_RX</t>
  </si>
  <si>
    <t>P5.1</t>
  </si>
  <si>
    <t>LIN7_TX</t>
  </si>
  <si>
    <t>P5.2</t>
  </si>
  <si>
    <t>LIN7_EN</t>
  </si>
  <si>
    <t>P5.3</t>
  </si>
  <si>
    <t>LIN2_RX</t>
  </si>
  <si>
    <t>P5.4</t>
  </si>
  <si>
    <t>LIN2_TX</t>
  </si>
  <si>
    <t>P5.5</t>
  </si>
  <si>
    <t>LIN2_EN</t>
  </si>
  <si>
    <t>P6.0</t>
  </si>
  <si>
    <t>LIN3_RX</t>
  </si>
  <si>
    <t>P6.1</t>
  </si>
  <si>
    <t>LIN3_TX</t>
  </si>
  <si>
    <t>P6.2</t>
  </si>
  <si>
    <t>LIN3_EN</t>
  </si>
  <si>
    <t>CAN0_2_TX</t>
  </si>
  <si>
    <t>P6.3</t>
  </si>
  <si>
    <t>LIN4_RX</t>
  </si>
  <si>
    <t>CAN0_2_RX</t>
  </si>
  <si>
    <t>P6.4</t>
  </si>
  <si>
    <t>LIN4_TX</t>
  </si>
  <si>
    <t>P6.5</t>
  </si>
  <si>
    <t>LIN4_EN</t>
  </si>
  <si>
    <t>P6.6</t>
  </si>
  <si>
    <t>TRIG_IN[8]</t>
  </si>
  <si>
    <t>P6.7</t>
  </si>
  <si>
    <t>TRIG_IN[9]</t>
  </si>
  <si>
    <t>P7.0</t>
  </si>
  <si>
    <t>P7.1</t>
  </si>
  <si>
    <t>P7.2</t>
  </si>
  <si>
    <t>P7.3</t>
  </si>
  <si>
    <t>P7.4</t>
  </si>
  <si>
    <t>P7.5</t>
  </si>
  <si>
    <t>P7.6</t>
  </si>
  <si>
    <t>TRIG_IN[16]</t>
  </si>
  <si>
    <t>P7.7</t>
  </si>
  <si>
    <t>TRIG_IN[17]</t>
  </si>
  <si>
    <t>P8.0</t>
  </si>
  <si>
    <t>P8.1</t>
  </si>
  <si>
    <t>TRIG_IN[14]</t>
  </si>
  <si>
    <t>P8.2</t>
  </si>
  <si>
    <t>TRIG_IN[15]</t>
  </si>
  <si>
    <t>P8.3</t>
  </si>
  <si>
    <t>P8.4</t>
  </si>
  <si>
    <t>P9.0</t>
  </si>
  <si>
    <t>P9.1</t>
  </si>
  <si>
    <t>P9.2</t>
  </si>
  <si>
    <t>P9.3</t>
  </si>
  <si>
    <t>P10.0</t>
  </si>
  <si>
    <t>TRIG_IN[18]</t>
  </si>
  <si>
    <t>P10.1</t>
  </si>
  <si>
    <t>TRIG_IN[19]</t>
  </si>
  <si>
    <t>P10.2</t>
  </si>
  <si>
    <t>P10.3</t>
  </si>
  <si>
    <t>P10.4</t>
  </si>
  <si>
    <t>P10.5</t>
  </si>
  <si>
    <t>P10.6</t>
  </si>
  <si>
    <t>P10.7</t>
  </si>
  <si>
    <t>P11.0</t>
  </si>
  <si>
    <t>P11.1</t>
  </si>
  <si>
    <t>P11.2</t>
  </si>
  <si>
    <t>P12.0</t>
  </si>
  <si>
    <t>TRIG_IN[20]</t>
  </si>
  <si>
    <t>P12.1</t>
  </si>
  <si>
    <t>LIN6_EN</t>
  </si>
  <si>
    <t>TRIG_IN[21]</t>
  </si>
  <si>
    <t>P12.2</t>
  </si>
  <si>
    <t>EXT_MUX[1]_EN</t>
  </si>
  <si>
    <t>LIN6_RX</t>
  </si>
  <si>
    <t>P12.3</t>
  </si>
  <si>
    <t>EXT_MUX[1]_0</t>
  </si>
  <si>
    <t>LIN6_TX</t>
  </si>
  <si>
    <t>P12.4</t>
  </si>
  <si>
    <t>EXT_MUX[1]_1</t>
  </si>
  <si>
    <t>P12.5</t>
  </si>
  <si>
    <t>EXT_MUX[1]_2</t>
  </si>
  <si>
    <t>P12.6</t>
  </si>
  <si>
    <t>P12.7</t>
  </si>
  <si>
    <t>P13.0</t>
  </si>
  <si>
    <t>EXT_MUX[2]_0</t>
  </si>
  <si>
    <t>P13.1</t>
  </si>
  <si>
    <t>EXT_MUX[2]_1</t>
  </si>
  <si>
    <t>P13.2</t>
  </si>
  <si>
    <t>EXT_MUX[2]_2</t>
  </si>
  <si>
    <t>P13.3</t>
  </si>
  <si>
    <t>EXT_MUX[2]_EN</t>
  </si>
  <si>
    <t>P13.4</t>
  </si>
  <si>
    <t>P13.5</t>
  </si>
  <si>
    <t>P13.6</t>
  </si>
  <si>
    <t>TRIG_IN[22]</t>
  </si>
  <si>
    <t>P13.7</t>
  </si>
  <si>
    <t>TRIG_IN[23]</t>
  </si>
  <si>
    <t>P14.0</t>
  </si>
  <si>
    <t>CAN1_0_TX</t>
  </si>
  <si>
    <t>P14.1</t>
  </si>
  <si>
    <t>CAN1_0_RX</t>
  </si>
  <si>
    <t>P14.2</t>
  </si>
  <si>
    <t>P14.3</t>
  </si>
  <si>
    <t>P14.4</t>
  </si>
  <si>
    <t>P14.5</t>
  </si>
  <si>
    <t>P14.6</t>
  </si>
  <si>
    <t>TRIG_IN[24]</t>
  </si>
  <si>
    <t>P14.7</t>
  </si>
  <si>
    <t>TRIG_IN[25]</t>
  </si>
  <si>
    <t>P15.0</t>
  </si>
  <si>
    <t>P15.1</t>
  </si>
  <si>
    <t>P15.2</t>
  </si>
  <si>
    <t>P15.3</t>
  </si>
  <si>
    <t>P16.0</t>
  </si>
  <si>
    <t>P16.1</t>
  </si>
  <si>
    <t>P16.2</t>
  </si>
  <si>
    <t>P16.3</t>
  </si>
  <si>
    <t>P17.0</t>
  </si>
  <si>
    <t>CAN1_1_TX</t>
  </si>
  <si>
    <t>P17.1</t>
  </si>
  <si>
    <t>CAN1_1_RX</t>
  </si>
  <si>
    <t>P17.2</t>
  </si>
  <si>
    <t>P17.3</t>
  </si>
  <si>
    <t>TRIG_IN[26]</t>
  </si>
  <si>
    <t>P17.4</t>
  </si>
  <si>
    <t>TRIG_IN[27]</t>
  </si>
  <si>
    <t>P17.5</t>
  </si>
  <si>
    <t>P17.6</t>
  </si>
  <si>
    <t>P17.7</t>
  </si>
  <si>
    <t>P18.0</t>
  </si>
  <si>
    <t>P18.1</t>
  </si>
  <si>
    <t>P18.2</t>
  </si>
  <si>
    <t>P18.3</t>
  </si>
  <si>
    <t>P18.4</t>
  </si>
  <si>
    <t>P18.5</t>
  </si>
  <si>
    <t>P18.6</t>
  </si>
  <si>
    <t>CAN1_2_TX</t>
  </si>
  <si>
    <t>P18.7</t>
  </si>
  <si>
    <t>CAN1_2_RX</t>
  </si>
  <si>
    <t>P19.0</t>
  </si>
  <si>
    <t>P19.1</t>
  </si>
  <si>
    <t>P19.2</t>
  </si>
  <si>
    <t>TRIG_IN[28]</t>
  </si>
  <si>
    <t>P19.3</t>
  </si>
  <si>
    <t>TRIG_IN[29]</t>
  </si>
  <si>
    <t>P19.4</t>
  </si>
  <si>
    <t>P20.0</t>
  </si>
  <si>
    <t>P20.1</t>
  </si>
  <si>
    <t>P20.2</t>
  </si>
  <si>
    <t>P20.3</t>
  </si>
  <si>
    <t>P20.4</t>
  </si>
  <si>
    <t>P20.5</t>
  </si>
  <si>
    <t>P20.6</t>
  </si>
  <si>
    <t>P20.7</t>
  </si>
  <si>
    <t>P21.0</t>
  </si>
  <si>
    <t>P21.1</t>
  </si>
  <si>
    <t>P21.2</t>
  </si>
  <si>
    <t>EXT_CLK</t>
  </si>
  <si>
    <t>P21.3</t>
  </si>
  <si>
    <t>P21.4</t>
  </si>
  <si>
    <t>P21.5</t>
  </si>
  <si>
    <t>P21.6</t>
  </si>
  <si>
    <t>P21.7</t>
  </si>
  <si>
    <t>P22.1</t>
  </si>
  <si>
    <t>P22.2</t>
  </si>
  <si>
    <t>P22.3</t>
  </si>
  <si>
    <t>P22.4</t>
  </si>
  <si>
    <t>P22.5</t>
  </si>
  <si>
    <t>P22.6</t>
  </si>
  <si>
    <t>P22.7</t>
  </si>
  <si>
    <t>P23.0</t>
  </si>
  <si>
    <t>P23.1</t>
  </si>
  <si>
    <t>P23.2</t>
  </si>
  <si>
    <t>P23.3</t>
  </si>
  <si>
    <t>TRIG_IN[30]</t>
  </si>
  <si>
    <t>P23.4</t>
  </si>
  <si>
    <t>TRIG_IN[31]</t>
  </si>
  <si>
    <t>P23.5</t>
  </si>
  <si>
    <t>P23.6</t>
  </si>
  <si>
    <t>P23.7</t>
  </si>
  <si>
    <t>VSSD</t>
    <phoneticPr fontId="3"/>
  </si>
  <si>
    <t>VDDD</t>
    <phoneticPr fontId="3"/>
  </si>
  <si>
    <t>VDDIO_1</t>
    <phoneticPr fontId="3"/>
  </si>
  <si>
    <t>VCCD</t>
    <phoneticPr fontId="3"/>
  </si>
  <si>
    <t>VREFL</t>
    <phoneticPr fontId="3"/>
  </si>
  <si>
    <t>VSSA</t>
    <phoneticPr fontId="3"/>
  </si>
  <si>
    <t>VDDA</t>
    <phoneticPr fontId="3"/>
  </si>
  <si>
    <t>VREFH</t>
    <phoneticPr fontId="3"/>
  </si>
  <si>
    <t>XRES_L</t>
    <phoneticPr fontId="3"/>
  </si>
  <si>
    <t>Selected Pin Attribute</t>
    <phoneticPr fontId="4"/>
  </si>
  <si>
    <t>Function</t>
    <phoneticPr fontId="4"/>
  </si>
  <si>
    <t>Analog</t>
  </si>
  <si>
    <t>HCon#14</t>
  </si>
  <si>
    <t>HCon#29</t>
  </si>
  <si>
    <t>HCon#30</t>
  </si>
  <si>
    <t>Pin</t>
  </si>
  <si>
    <t>DS #1</t>
  </si>
  <si>
    <t>DS #2</t>
  </si>
  <si>
    <t>GPIO_ENH</t>
  </si>
  <si>
    <t>GPIO_STD</t>
  </si>
  <si>
    <t>NA</t>
  </si>
  <si>
    <t>SWJ_TRSTN</t>
  </si>
  <si>
    <t>ADC[0]_0</t>
  </si>
  <si>
    <t>ADC[0]_1</t>
  </si>
  <si>
    <t>ADC[0]_2</t>
  </si>
  <si>
    <t>ADC[0]_3</t>
  </si>
  <si>
    <t>ADC[0]_4</t>
  </si>
  <si>
    <t>ADC[0]_5</t>
  </si>
  <si>
    <t>ADC[0]_6</t>
  </si>
  <si>
    <t>ADC[0]_7</t>
  </si>
  <si>
    <t>ADC[0]_8</t>
  </si>
  <si>
    <t>ADC[0]_9</t>
  </si>
  <si>
    <t>ADC[0]_10</t>
  </si>
  <si>
    <t>ADC[0]_11</t>
  </si>
  <si>
    <t>ADC[0]_12</t>
  </si>
  <si>
    <t>ADC[0]_13</t>
  </si>
  <si>
    <t>ADC[0]_14</t>
  </si>
  <si>
    <t>ADC[0]_15</t>
  </si>
  <si>
    <t>ADC[0]_16</t>
  </si>
  <si>
    <t>ADC[0]_17</t>
  </si>
  <si>
    <t>ADC[0]_18</t>
  </si>
  <si>
    <t>ADC[0]_19</t>
  </si>
  <si>
    <t>ADC[0]_20</t>
  </si>
  <si>
    <t>ADC[0]_21</t>
  </si>
  <si>
    <t>ADC[0]_22</t>
  </si>
  <si>
    <t>ADC[0]_23</t>
  </si>
  <si>
    <t>ADC[1]_0</t>
  </si>
  <si>
    <t>ADC[1]_1</t>
  </si>
  <si>
    <t>ADC[1]_2</t>
  </si>
  <si>
    <t>ADC[1]_3</t>
  </si>
  <si>
    <t>ADC[0]_M</t>
  </si>
  <si>
    <t>ADC[1]_M</t>
  </si>
  <si>
    <t>ADC[2]_M</t>
  </si>
  <si>
    <t>ADC[1]_4</t>
  </si>
  <si>
    <t>ADC[1]_5</t>
  </si>
  <si>
    <t>ADC[1]_6</t>
  </si>
  <si>
    <t>ADC[1]_7</t>
  </si>
  <si>
    <t>ADC[1]_8</t>
  </si>
  <si>
    <t>ADC[1]_9</t>
  </si>
  <si>
    <t>ADC[1]_10</t>
  </si>
  <si>
    <t>ADC[1]_11</t>
  </si>
  <si>
    <t>ADC[1]_12</t>
  </si>
  <si>
    <t>ADC[1]_13</t>
  </si>
  <si>
    <t>ADC[1]_14</t>
  </si>
  <si>
    <t>ADC[1]_15</t>
  </si>
  <si>
    <t>ADC[1]_16</t>
  </si>
  <si>
    <t>ADC[1]_17</t>
  </si>
  <si>
    <t>ADC[1]_18</t>
  </si>
  <si>
    <t>ADC[1]_19</t>
  </si>
  <si>
    <t>ADC[1]_20</t>
  </si>
  <si>
    <t>ADC[1]_21</t>
  </si>
  <si>
    <t>ADC[1]_22</t>
  </si>
  <si>
    <t>ADC[1]_23</t>
  </si>
  <si>
    <t>ADC[1]_24</t>
  </si>
  <si>
    <t>ADC[1]_25</t>
  </si>
  <si>
    <t>ADC[1]_26</t>
  </si>
  <si>
    <t>ADC[1]_27</t>
  </si>
  <si>
    <t>ADC[1]_28</t>
  </si>
  <si>
    <t>ADC[1]_29</t>
  </si>
  <si>
    <t>ADC[1]_30</t>
  </si>
  <si>
    <t>ADC[1]_31</t>
  </si>
  <si>
    <t>ADC[2]_0</t>
  </si>
  <si>
    <t>ADC[2]_1</t>
  </si>
  <si>
    <t>ADC[2]_2</t>
  </si>
  <si>
    <t>ADC[2]_3</t>
  </si>
  <si>
    <t>ADC[2]_4</t>
  </si>
  <si>
    <t>ADC[2]_5</t>
  </si>
  <si>
    <t>ADC[2]_6</t>
  </si>
  <si>
    <t>ADC[2]_7</t>
  </si>
  <si>
    <t>DS #0</t>
    <phoneticPr fontId="3"/>
  </si>
  <si>
    <t>HCon#8</t>
    <phoneticPr fontId="3"/>
  </si>
  <si>
    <t>ACT #0</t>
    <phoneticPr fontId="3"/>
  </si>
  <si>
    <t>WCO_IN</t>
    <phoneticPr fontId="3"/>
  </si>
  <si>
    <t>WCO_OUT</t>
    <phoneticPr fontId="3"/>
  </si>
  <si>
    <t>ECO_IN</t>
    <phoneticPr fontId="3"/>
  </si>
  <si>
    <t>ECO_OUT</t>
    <phoneticPr fontId="3"/>
  </si>
  <si>
    <t>HIBERNATE_WAKEUP[1]</t>
    <phoneticPr fontId="3"/>
  </si>
  <si>
    <t>HIBERNATE_WAKEUP[0]</t>
    <phoneticPr fontId="3"/>
  </si>
  <si>
    <t>VDDIO_2</t>
    <phoneticPr fontId="3"/>
  </si>
  <si>
    <t>176-LQFP</t>
    <phoneticPr fontId="3"/>
  </si>
  <si>
    <t>NA</t>
    <phoneticPr fontId="3"/>
  </si>
  <si>
    <t>Note</t>
    <phoneticPr fontId="4"/>
  </si>
  <si>
    <t>CAN1</t>
    <phoneticPr fontId="3"/>
  </si>
  <si>
    <t>Board Connection</t>
    <phoneticPr fontId="3"/>
  </si>
  <si>
    <t>GPIO</t>
    <phoneticPr fontId="3"/>
  </si>
  <si>
    <t>LIN</t>
    <phoneticPr fontId="3"/>
  </si>
  <si>
    <t>CAN0</t>
    <phoneticPr fontId="3"/>
  </si>
  <si>
    <t>SCB</t>
    <phoneticPr fontId="3"/>
  </si>
  <si>
    <t>SCB0</t>
    <phoneticPr fontId="3"/>
  </si>
  <si>
    <t>SCB1</t>
    <phoneticPr fontId="3"/>
  </si>
  <si>
    <t>SCB2</t>
    <phoneticPr fontId="3"/>
  </si>
  <si>
    <t>SCB3</t>
    <phoneticPr fontId="3"/>
  </si>
  <si>
    <t>SCB7</t>
    <phoneticPr fontId="3"/>
  </si>
  <si>
    <t>SCB6</t>
    <phoneticPr fontId="3"/>
  </si>
  <si>
    <t>SCB5</t>
    <phoneticPr fontId="3"/>
  </si>
  <si>
    <t>SCB4</t>
    <phoneticPr fontId="3"/>
  </si>
  <si>
    <t>TX</t>
    <phoneticPr fontId="3"/>
  </si>
  <si>
    <t>RX</t>
    <phoneticPr fontId="3"/>
  </si>
  <si>
    <t>LIN0</t>
    <phoneticPr fontId="3"/>
  </si>
  <si>
    <t>LIN1</t>
  </si>
  <si>
    <t>LIN2</t>
  </si>
  <si>
    <t>LIN3</t>
  </si>
  <si>
    <t>LIN4</t>
  </si>
  <si>
    <t>LIN5</t>
  </si>
  <si>
    <t>LIN6</t>
  </si>
  <si>
    <t>LIN7</t>
  </si>
  <si>
    <t>EN</t>
    <phoneticPr fontId="3"/>
  </si>
  <si>
    <t>Number of pins used</t>
    <phoneticPr fontId="3"/>
  </si>
  <si>
    <t>CAN0_1</t>
    <phoneticPr fontId="3"/>
  </si>
  <si>
    <t>CAN0_0</t>
    <phoneticPr fontId="3"/>
  </si>
  <si>
    <t>CAN0_2</t>
    <phoneticPr fontId="3"/>
  </si>
  <si>
    <t>CAN1_0</t>
    <phoneticPr fontId="3"/>
  </si>
  <si>
    <t>CAN1_2</t>
    <phoneticPr fontId="3"/>
  </si>
  <si>
    <t>CAN1_1</t>
    <phoneticPr fontId="3"/>
  </si>
  <si>
    <t>ADC</t>
    <phoneticPr fontId="3"/>
  </si>
  <si>
    <t>ADC[0]</t>
    <phoneticPr fontId="3"/>
  </si>
  <si>
    <t>ADC[1]</t>
    <phoneticPr fontId="3"/>
  </si>
  <si>
    <t>ADC[2]</t>
    <phoneticPr fontId="3"/>
  </si>
  <si>
    <t>PWM</t>
    <phoneticPr fontId="3"/>
  </si>
  <si>
    <t>TR0</t>
    <phoneticPr fontId="3"/>
  </si>
  <si>
    <t>TR1</t>
    <phoneticPr fontId="3"/>
  </si>
  <si>
    <t>PWM_N</t>
    <phoneticPr fontId="3"/>
  </si>
  <si>
    <t>Number of pins used
for UART</t>
    <phoneticPr fontId="3"/>
  </si>
  <si>
    <t>Number of pins used
for SPI</t>
    <phoneticPr fontId="3"/>
  </si>
  <si>
    <t>Number of pins used
for I2C</t>
    <phoneticPr fontId="3"/>
  </si>
  <si>
    <t>Number of pins used
for PWM output</t>
    <phoneticPr fontId="3"/>
  </si>
  <si>
    <t>Number of pins used
for trigger output</t>
    <phoneticPr fontId="3"/>
  </si>
  <si>
    <t>CNT0</t>
    <phoneticPr fontId="3"/>
  </si>
  <si>
    <t>CNT1</t>
  </si>
  <si>
    <t>CNT2</t>
  </si>
  <si>
    <t>CNT3</t>
  </si>
  <si>
    <t>CNT4</t>
  </si>
  <si>
    <t>CNT5</t>
  </si>
  <si>
    <t>CNT6</t>
  </si>
  <si>
    <t>CNT7</t>
  </si>
  <si>
    <t>CNT8</t>
  </si>
  <si>
    <t>CNT9</t>
  </si>
  <si>
    <t>CNT10</t>
  </si>
  <si>
    <t>CNT11</t>
  </si>
  <si>
    <t>CNT12</t>
  </si>
  <si>
    <t>CNT13</t>
  </si>
  <si>
    <t>CNT14</t>
  </si>
  <si>
    <t>CNT15</t>
  </si>
  <si>
    <t>CNT16</t>
  </si>
  <si>
    <t>CNT17</t>
  </si>
  <si>
    <t>CNT18</t>
  </si>
  <si>
    <t>CNT19</t>
  </si>
  <si>
    <t>CNT20</t>
  </si>
  <si>
    <t>CNT21</t>
  </si>
  <si>
    <t>CNT22</t>
  </si>
  <si>
    <t>CNT23</t>
  </si>
  <si>
    <t>CNT24</t>
  </si>
  <si>
    <t>CNT25</t>
  </si>
  <si>
    <t>CNT26</t>
  </si>
  <si>
    <t>CNT27</t>
  </si>
  <si>
    <t>CNT28</t>
  </si>
  <si>
    <t>CNT29</t>
  </si>
  <si>
    <t>CNT30</t>
  </si>
  <si>
    <t>CNT31</t>
  </si>
  <si>
    <t>CNT32</t>
  </si>
  <si>
    <t>CNT33</t>
  </si>
  <si>
    <t>CNT34</t>
  </si>
  <si>
    <t>CNT35</t>
  </si>
  <si>
    <t>CNT36</t>
  </si>
  <si>
    <t>CNT37</t>
  </si>
  <si>
    <t>CNT38</t>
  </si>
  <si>
    <t>CNT39</t>
  </si>
  <si>
    <t>CNT40</t>
  </si>
  <si>
    <t>CNT41</t>
  </si>
  <si>
    <t>CNT42</t>
  </si>
  <si>
    <t>CNT43</t>
  </si>
  <si>
    <t>CNT44</t>
  </si>
  <si>
    <t>CNT45</t>
  </si>
  <si>
    <t>CNT46</t>
  </si>
  <si>
    <t>CNT47</t>
  </si>
  <si>
    <t>CNT48</t>
  </si>
  <si>
    <t>CNT49</t>
  </si>
  <si>
    <t>CNT50</t>
  </si>
  <si>
    <t>CNT51</t>
  </si>
  <si>
    <t>CNT52</t>
  </si>
  <si>
    <t>CNT53</t>
  </si>
  <si>
    <t>CNT54</t>
  </si>
  <si>
    <t>CNT55</t>
  </si>
  <si>
    <t>CNT56</t>
  </si>
  <si>
    <t>CNT57</t>
  </si>
  <si>
    <t>CNT58</t>
  </si>
  <si>
    <t>CNT59</t>
  </si>
  <si>
    <t>CNT60</t>
  </si>
  <si>
    <t>CNT61</t>
  </si>
  <si>
    <t>CNT62</t>
  </si>
  <si>
    <t>Analog Inputs_0</t>
    <phoneticPr fontId="3"/>
  </si>
  <si>
    <t>Analog Inputs_1</t>
  </si>
  <si>
    <t>Analog Inputs_2</t>
  </si>
  <si>
    <t>Analog Inputs_3</t>
  </si>
  <si>
    <t>Analog Inputs_4</t>
  </si>
  <si>
    <t>Analog Inputs_5</t>
  </si>
  <si>
    <t>Analog Inputs_6</t>
  </si>
  <si>
    <t>Analog Inputs_7</t>
  </si>
  <si>
    <t>Analog Inputs_8</t>
  </si>
  <si>
    <t>Analog Inputs_9</t>
  </si>
  <si>
    <t>Analog Inputs_10</t>
  </si>
  <si>
    <t>Analog Inputs_11</t>
  </si>
  <si>
    <t>Analog Inputs_12</t>
  </si>
  <si>
    <t>Analog Inputs_13</t>
  </si>
  <si>
    <t>Analog Inputs_14</t>
  </si>
  <si>
    <t>Analog Inputs_15</t>
  </si>
  <si>
    <t>Analog Inputs_16</t>
  </si>
  <si>
    <t>Analog Inputs_17</t>
  </si>
  <si>
    <t>Analog Inputs_18</t>
  </si>
  <si>
    <t>Analog Inputs_19</t>
  </si>
  <si>
    <t>Analog Inputs_20</t>
  </si>
  <si>
    <t>Analog Inputs_21</t>
  </si>
  <si>
    <t>Analog Inputs_22</t>
  </si>
  <si>
    <t>Analog Inputs_23</t>
  </si>
  <si>
    <t>Analog Inputs_24</t>
  </si>
  <si>
    <t>Analog Inputs_25</t>
  </si>
  <si>
    <t>Analog Inputs_26</t>
  </si>
  <si>
    <t>Analog Inputs_27</t>
  </si>
  <si>
    <t>Analog Inputs_28</t>
  </si>
  <si>
    <t>Analog Inputs_29</t>
  </si>
  <si>
    <t>Analog Inputs_30</t>
  </si>
  <si>
    <t>Analog Inputs_31</t>
  </si>
  <si>
    <t>(I2C)</t>
    <phoneticPr fontId="3"/>
  </si>
  <si>
    <t>(SPI)</t>
    <phoneticPr fontId="3"/>
  </si>
  <si>
    <t>(LIN)</t>
    <phoneticPr fontId="3"/>
  </si>
  <si>
    <t>(Others)</t>
    <phoneticPr fontId="3"/>
  </si>
  <si>
    <t>Active Mapping</t>
    <phoneticPr fontId="3"/>
  </si>
  <si>
    <t>Main digital supply</t>
    <phoneticPr fontId="3"/>
  </si>
  <si>
    <t>Main digital ground</t>
    <phoneticPr fontId="3"/>
  </si>
  <si>
    <t>I/O supply for analog I/Os</t>
    <phoneticPr fontId="3"/>
  </si>
  <si>
    <t>Main regulated supply</t>
    <phoneticPr fontId="3"/>
  </si>
  <si>
    <t>Low reference voltage for SAR ADCs</t>
    <phoneticPr fontId="3"/>
  </si>
  <si>
    <t>High reference voltage for SAR ADCs</t>
    <phoneticPr fontId="3"/>
  </si>
  <si>
    <t>Main analog ground</t>
    <phoneticPr fontId="3"/>
  </si>
  <si>
    <t>Main analog supply for SAR ADCs</t>
    <phoneticPr fontId="3"/>
  </si>
  <si>
    <t>Active LOW external reset input</t>
    <phoneticPr fontId="3"/>
  </si>
  <si>
    <t>Power
Source</t>
    <phoneticPr fontId="3"/>
  </si>
  <si>
    <t>-</t>
    <phoneticPr fontId="3"/>
  </si>
  <si>
    <t>Type</t>
    <phoneticPr fontId="3"/>
  </si>
  <si>
    <t>I/O Port</t>
    <phoneticPr fontId="3"/>
  </si>
  <si>
    <t>HCon#22</t>
  </si>
  <si>
    <t>HCon#23</t>
  </si>
  <si>
    <t>HCon#24</t>
  </si>
  <si>
    <t>HCon#25</t>
  </si>
  <si>
    <t>ACT #12</t>
  </si>
  <si>
    <t>ACT #13</t>
  </si>
  <si>
    <t>ACT #14</t>
  </si>
  <si>
    <t>ACT #15</t>
  </si>
  <si>
    <t>PWM1_18</t>
  </si>
  <si>
    <t>PWM1_22_N</t>
  </si>
  <si>
    <t>TC1_18_TR0</t>
  </si>
  <si>
    <t>TC1_22_TR1</t>
  </si>
  <si>
    <t>SCB0_RX (0)</t>
  </si>
  <si>
    <t>SCB7_SDA (2)</t>
  </si>
  <si>
    <t>PWM0_H_0</t>
  </si>
  <si>
    <t>PWM1_17</t>
  </si>
  <si>
    <t>PWM1_18_N</t>
  </si>
  <si>
    <t>TC1_17_TR0</t>
  </si>
  <si>
    <t>TC1_18_TR1</t>
  </si>
  <si>
    <t>SCB0_TX (0)</t>
  </si>
  <si>
    <t>SCB7_SCL (2)</t>
  </si>
  <si>
    <t>PWM0_H_0_N</t>
  </si>
  <si>
    <t>PWM1_14</t>
  </si>
  <si>
    <t>PWM1_17_N</t>
  </si>
  <si>
    <t>TC1_14_TR0</t>
  </si>
  <si>
    <t>TC1_17_TR1</t>
  </si>
  <si>
    <t>SCB0_RTS (0)</t>
  </si>
  <si>
    <t>PWM1_13</t>
  </si>
  <si>
    <t>PWM1_14_N</t>
  </si>
  <si>
    <t>TC1_13_TR0</t>
  </si>
  <si>
    <t>TC1_14_TR1</t>
  </si>
  <si>
    <t>SCB0_CTS (0)</t>
  </si>
  <si>
    <t>SCB4_MOSI (2)</t>
  </si>
  <si>
    <t>TC0_H_0_TR1</t>
  </si>
  <si>
    <t>PWM1_12</t>
  </si>
  <si>
    <t>PWM1_13_N</t>
  </si>
  <si>
    <t>TC1_12_TR0</t>
  </si>
  <si>
    <t>TC1_13_TR1</t>
  </si>
  <si>
    <t>PWM1_H_4</t>
  </si>
  <si>
    <t>SCB4_CLK (2)</t>
  </si>
  <si>
    <t>PWM1_11</t>
  </si>
  <si>
    <t>PWM1_12_N</t>
  </si>
  <si>
    <t>TC1_11_TR0</t>
  </si>
  <si>
    <t>TC1_12_TR1</t>
  </si>
  <si>
    <t>PWM1_H_5</t>
  </si>
  <si>
    <t>PWM1_10</t>
  </si>
  <si>
    <t>PWM1_11_N</t>
  </si>
  <si>
    <t>TC1_10_TR0</t>
  </si>
  <si>
    <t>TC1_11_TR1</t>
  </si>
  <si>
    <t>PWM1_H_6</t>
  </si>
  <si>
    <t>PWM1_8</t>
  </si>
  <si>
    <t>PWM1_10_N</t>
  </si>
  <si>
    <t>TC1_8_TR0</t>
  </si>
  <si>
    <t>TC1_10_TR1</t>
  </si>
  <si>
    <t>PWM1_H_7</t>
  </si>
  <si>
    <t>P1.4</t>
  </si>
  <si>
    <t>PWM1_71</t>
  </si>
  <si>
    <t>PWM1_70_N</t>
  </si>
  <si>
    <t>TC1_71_TR0</t>
  </si>
  <si>
    <t>TC1_70_TR1</t>
  </si>
  <si>
    <t>SCB8_RX (1)</t>
  </si>
  <si>
    <t>SCB8_MISO (1)</t>
  </si>
  <si>
    <t>LIN8_RX</t>
  </si>
  <si>
    <t>P1.5</t>
  </si>
  <si>
    <t>SCB8_TX (1)</t>
  </si>
  <si>
    <t>SCB8_SDA (1)</t>
  </si>
  <si>
    <t>SCB8_MOSI (1)</t>
  </si>
  <si>
    <t>LIN8_TX</t>
  </si>
  <si>
    <t>P1.6</t>
  </si>
  <si>
    <t>SCB8_RTS (1)</t>
  </si>
  <si>
    <t>SCB8_SCL (1)</t>
  </si>
  <si>
    <t>SCB8_CLK (1)</t>
  </si>
  <si>
    <t>LIN8_EN</t>
  </si>
  <si>
    <t>PWM1_7</t>
  </si>
  <si>
    <t>PWM1_8_N</t>
  </si>
  <si>
    <t>TC1_7_TR0</t>
  </si>
  <si>
    <t>TC1_8_TR1</t>
  </si>
  <si>
    <t>TC1_H_4_TR0</t>
  </si>
  <si>
    <t>SCB7_RX (0)</t>
  </si>
  <si>
    <t>PWM1_6</t>
  </si>
  <si>
    <t>PWM1_7_N</t>
  </si>
  <si>
    <t>TC1_6_TR0</t>
  </si>
  <si>
    <t>TC1_7_TR1</t>
  </si>
  <si>
    <t>TC1_H_5_TR0</t>
  </si>
  <si>
    <t>SCB7_TX (0)</t>
  </si>
  <si>
    <t>SCB7_SDA (0)</t>
  </si>
  <si>
    <t>SCB7_MOSI (0)</t>
  </si>
  <si>
    <t>PWM1_5</t>
  </si>
  <si>
    <t>PWM1_6_N</t>
  </si>
  <si>
    <t>TC1_5_TR0</t>
  </si>
  <si>
    <t>TC1_6_TR1</t>
  </si>
  <si>
    <t>TC1_H_6_TR0</t>
  </si>
  <si>
    <t>SCB7_RTS (0)</t>
  </si>
  <si>
    <t>SCB7_SCL (0)</t>
  </si>
  <si>
    <t>SCB7_CLK (0)</t>
  </si>
  <si>
    <t>PWM1_4</t>
  </si>
  <si>
    <t>PWM1_5_N</t>
  </si>
  <si>
    <t>TC1_4_TR0</t>
  </si>
  <si>
    <t>TC1_5_TR1</t>
  </si>
  <si>
    <t>TC1_H_7_TR0</t>
  </si>
  <si>
    <t>SCB7_CTS (0)</t>
  </si>
  <si>
    <t>SCB7_SEL0 (0)</t>
  </si>
  <si>
    <t>PWM1_3</t>
  </si>
  <si>
    <t>PWM1_4_N</t>
  </si>
  <si>
    <t>TC1_3_TR0</t>
  </si>
  <si>
    <t>TC1_4_TR1</t>
  </si>
  <si>
    <t>PWM1_H_4_N</t>
  </si>
  <si>
    <t>SCB7_SEL1 (0)</t>
  </si>
  <si>
    <t>PWM1_2</t>
  </si>
  <si>
    <t>PWM1_3_N</t>
  </si>
  <si>
    <t>TC1_2_TR0</t>
  </si>
  <si>
    <t>TC1_3_TR1</t>
  </si>
  <si>
    <t>PWM1_H_5_N</t>
  </si>
  <si>
    <t>SCB7_SEL2 (0)</t>
  </si>
  <si>
    <t>P2.6</t>
  </si>
  <si>
    <t>PWM1_72</t>
  </si>
  <si>
    <t>PWM1_71_N</t>
  </si>
  <si>
    <t>TC1_72_TR0</t>
  </si>
  <si>
    <t>TC1_71_TR1</t>
  </si>
  <si>
    <t>SCB8_CTS (1)</t>
  </si>
  <si>
    <t>SCB8_SEL0 (1)</t>
  </si>
  <si>
    <t>P2.7</t>
  </si>
  <si>
    <t>PWM1_73</t>
  </si>
  <si>
    <t>PWM1_72_N</t>
  </si>
  <si>
    <t>TC1_73_TR0</t>
  </si>
  <si>
    <t>TC1_72_TR1</t>
  </si>
  <si>
    <t>SCB8_SEL1 (1)</t>
  </si>
  <si>
    <t>LIN11_RX</t>
  </si>
  <si>
    <t>PWM1_1</t>
  </si>
  <si>
    <t>PWM1_2_N</t>
  </si>
  <si>
    <t>TC1_1_TR0</t>
  </si>
  <si>
    <t>TC1_2_TR1</t>
  </si>
  <si>
    <t>PWM1_H_6_N</t>
  </si>
  <si>
    <t>SCB6_MISO (0)</t>
  </si>
  <si>
    <t>CAN0_3_TX</t>
  </si>
  <si>
    <t>ETH0_MDIO (0)</t>
  </si>
  <si>
    <t>PWM1_0</t>
  </si>
  <si>
    <t>PWM1_1_N</t>
  </si>
  <si>
    <t>TC1_0_TR0</t>
  </si>
  <si>
    <t>TC1_1_TR1</t>
  </si>
  <si>
    <t>PWM1_H_7_N</t>
  </si>
  <si>
    <t>SCB6_TX (0)</t>
  </si>
  <si>
    <t>SCB6_SDA (0)</t>
  </si>
  <si>
    <t>SCB6_MOSI (0)</t>
  </si>
  <si>
    <t>CAN0_3_RX</t>
  </si>
  <si>
    <t>ETH0_MDC (0)</t>
  </si>
  <si>
    <t>PWM1_M_3</t>
  </si>
  <si>
    <t>PWM1_0_N</t>
  </si>
  <si>
    <t>TC1_M_3_TR0</t>
  </si>
  <si>
    <t>TC1_0_TR1</t>
  </si>
  <si>
    <t>TC1_H_4_TR1</t>
  </si>
  <si>
    <t>SCB6_RTS (0)</t>
  </si>
  <si>
    <t>SCB6_SCL (0)</t>
  </si>
  <si>
    <t>PWM1_M_2</t>
  </si>
  <si>
    <t>PWM1_M_3_N</t>
  </si>
  <si>
    <t>TC1_M_2_TR0</t>
  </si>
  <si>
    <t>TC1_M_3_TR1</t>
  </si>
  <si>
    <t>TC1_H_5_TR1</t>
  </si>
  <si>
    <t>SCB6_CTS (0)</t>
  </si>
  <si>
    <t>PWM1_M_1</t>
  </si>
  <si>
    <t>PWM1_M_2_N</t>
  </si>
  <si>
    <t>TC1_M_1_TR0</t>
  </si>
  <si>
    <t>TC1_M_2_TR1</t>
  </si>
  <si>
    <t>TC1_H_6_TR1</t>
  </si>
  <si>
    <t>TC0_H_0_TR0</t>
    <phoneticPr fontId="3"/>
  </si>
  <si>
    <t>PWM1_18</t>
    <phoneticPr fontId="3"/>
  </si>
  <si>
    <t>ETH0_RX_ER (0)</t>
    <phoneticPr fontId="3"/>
  </si>
  <si>
    <t>TC1_22_TR1</t>
    <phoneticPr fontId="3"/>
  </si>
  <si>
    <t>TC1_18_TR1</t>
    <phoneticPr fontId="3"/>
  </si>
  <si>
    <t>TC1_17_TR1</t>
    <phoneticPr fontId="3"/>
  </si>
  <si>
    <t>TC1_14_TR1</t>
    <phoneticPr fontId="3"/>
  </si>
  <si>
    <t>TC1_13_TR1</t>
    <phoneticPr fontId="3"/>
  </si>
  <si>
    <t>TC1_12_TR1</t>
    <phoneticPr fontId="3"/>
  </si>
  <si>
    <t>TC1_70_TR1</t>
    <phoneticPr fontId="3"/>
  </si>
  <si>
    <t>TC1_8_TR1</t>
    <phoneticPr fontId="3"/>
  </si>
  <si>
    <t>TC1_7_TR1</t>
    <phoneticPr fontId="3"/>
  </si>
  <si>
    <t>TC1_5_TR1</t>
    <phoneticPr fontId="3"/>
  </si>
  <si>
    <t>TC1_4_TR1</t>
    <phoneticPr fontId="3"/>
  </si>
  <si>
    <t>TC1_3_TR1</t>
    <phoneticPr fontId="3"/>
  </si>
  <si>
    <t>TC1_71_TR1</t>
    <phoneticPr fontId="3"/>
  </si>
  <si>
    <t>TC1_72_TR1</t>
    <phoneticPr fontId="3"/>
  </si>
  <si>
    <t>TC1_2_TR1</t>
    <phoneticPr fontId="3"/>
  </si>
  <si>
    <t>SCB6_RX (0)</t>
    <phoneticPr fontId="3"/>
  </si>
  <si>
    <t>ETH0_ETH_TSU_TIMER_CMP_VAL (0)</t>
    <phoneticPr fontId="3"/>
  </si>
  <si>
    <t>TRIG_DBG[0]</t>
    <phoneticPr fontId="3"/>
  </si>
  <si>
    <t>TRIG_DBG[1]</t>
    <phoneticPr fontId="3"/>
  </si>
  <si>
    <t>SCB6_CLK (0)</t>
    <phoneticPr fontId="3"/>
  </si>
  <si>
    <t>SCB6_SEL0 (0)</t>
    <phoneticPr fontId="3"/>
  </si>
  <si>
    <t>SCB6_SEL1 (0)</t>
    <phoneticPr fontId="3"/>
  </si>
  <si>
    <t>PWM1_M_0</t>
  </si>
  <si>
    <t>PWM1_M_1_N</t>
  </si>
  <si>
    <t>TC1_M_0_TR0</t>
  </si>
  <si>
    <t>TC1_M_1_TR1</t>
  </si>
  <si>
    <t>TC1_H_7_TR1</t>
  </si>
  <si>
    <t>SCB6_SEL2 (0)</t>
  </si>
  <si>
    <t>P3.6</t>
  </si>
  <si>
    <t>PWM1_74</t>
  </si>
  <si>
    <t>PWM1_73_N</t>
  </si>
  <si>
    <t>TC1_74_TR0</t>
  </si>
  <si>
    <t>TC1_73_TR1</t>
  </si>
  <si>
    <t>SCB8_SEL2 (0)</t>
  </si>
  <si>
    <t>LIN11_TX</t>
  </si>
  <si>
    <t>P3.7</t>
  </si>
  <si>
    <t>PWM1_75</t>
  </si>
  <si>
    <t>PWM1_74_N</t>
  </si>
  <si>
    <t>TC1_75_TR0</t>
  </si>
  <si>
    <t>TC1_74_TR1</t>
  </si>
  <si>
    <t>LIN11_EN</t>
  </si>
  <si>
    <t>PWM1_M_0_N</t>
  </si>
  <si>
    <t>TC1_M_0_TR1</t>
  </si>
  <si>
    <t>SCB5_RX (0)</t>
  </si>
  <si>
    <t>SCB5_MISO (0)</t>
  </si>
  <si>
    <t>SCB5_TX (0)</t>
  </si>
  <si>
    <t>SCB5_SDA (0)</t>
  </si>
  <si>
    <t>SCB5_MOSI (0)</t>
  </si>
  <si>
    <t>SCB5_RTS (0)</t>
  </si>
  <si>
    <t>SCB5_SCL (0)</t>
  </si>
  <si>
    <t>SCB5_CLK (0)</t>
  </si>
  <si>
    <t>SCB5_CTS (0)</t>
  </si>
  <si>
    <t>SCB5_SEL0 (0)</t>
  </si>
  <si>
    <t>LIN15_RX</t>
  </si>
  <si>
    <t>SCB5_SEL1 (0)</t>
  </si>
  <si>
    <t>P4.5</t>
  </si>
  <si>
    <t>SCB9_RX (1)</t>
  </si>
  <si>
    <t>SCB9_MISO (1)</t>
  </si>
  <si>
    <t>TRIG_IN[32]</t>
  </si>
  <si>
    <t>P4.6</t>
  </si>
  <si>
    <t>SCB9_TX (1)</t>
  </si>
  <si>
    <t>SCB9_SDA (1)</t>
  </si>
  <si>
    <t>SCB9_MOSI (1)</t>
  </si>
  <si>
    <t>TRIG_IN[33]</t>
  </si>
  <si>
    <t>PWM1_9</t>
  </si>
  <si>
    <t>TC1_9_TR0</t>
  </si>
  <si>
    <t>PWM1_H_10</t>
  </si>
  <si>
    <t>LIN15_TX</t>
  </si>
  <si>
    <t>SCB5_SEL2 (0)</t>
  </si>
  <si>
    <t>PWM0_M_0</t>
  </si>
  <si>
    <t>TRIG_IN[38]</t>
  </si>
  <si>
    <t>PWM1_9_N</t>
  </si>
  <si>
    <t>TC1_9_TR1</t>
  </si>
  <si>
    <t>PWM1_H_10_N</t>
  </si>
  <si>
    <t>SCB9_SEL3 (1)</t>
  </si>
  <si>
    <t>TRIG_IN[39]</t>
  </si>
  <si>
    <t>TC1_H_10_TR0</t>
  </si>
  <si>
    <t>LIN10_RX</t>
  </si>
  <si>
    <t>TC1_H_10_TR1</t>
  </si>
  <si>
    <t>LIN10_TX</t>
  </si>
  <si>
    <t>PWM1_H_11</t>
  </si>
  <si>
    <t>LIN9_RX</t>
  </si>
  <si>
    <t>PWM1_H_11_N</t>
  </si>
  <si>
    <t>LIN9_TX</t>
  </si>
  <si>
    <t>TC1_H_11_TR0</t>
  </si>
  <si>
    <t>SCB4_RX (0)</t>
  </si>
  <si>
    <t>SCB4_MISO (0)</t>
  </si>
  <si>
    <t>PWM0_0</t>
  </si>
  <si>
    <t>LIN9_EN</t>
  </si>
  <si>
    <t>TC1_H_11_TR1</t>
  </si>
  <si>
    <t>SCB4_TX (0)</t>
  </si>
  <si>
    <t>SCB4_SDA (0)</t>
  </si>
  <si>
    <t>SCB4_MOSI (0)</t>
  </si>
  <si>
    <t>PWM1_H_12</t>
  </si>
  <si>
    <t>SCB4_RTS (0)</t>
  </si>
  <si>
    <t>SCB4_SCL (0)</t>
  </si>
  <si>
    <t>SCB4_CLK (0)</t>
  </si>
  <si>
    <t>PWM1_H_12_N</t>
  </si>
  <si>
    <t>SCB4_CTS (0)</t>
  </si>
  <si>
    <t>SCB4_SEL0 (0)</t>
  </si>
  <si>
    <t>SDHC_CARD_CMD (0)</t>
  </si>
  <si>
    <t>TC1_H_12_TR0</t>
  </si>
  <si>
    <t>SCB4_SEL1 (0)</t>
  </si>
  <si>
    <t>TC0_0_TR0</t>
  </si>
  <si>
    <t>SDHC_CLK_CARD (0)</t>
  </si>
  <si>
    <t>TC1_H_12_TR1</t>
  </si>
  <si>
    <t>SCB4_SEL2 (0)</t>
  </si>
  <si>
    <t>TC0_0_TR1</t>
  </si>
  <si>
    <t>SDHC_CARD_DETECT_N (0)</t>
  </si>
  <si>
    <t>SCB4_SEL3 (0)</t>
  </si>
  <si>
    <t>PWM1_M_4</t>
  </si>
  <si>
    <t>TC1_M_4_TR0</t>
  </si>
  <si>
    <t>SCB5_RX (1)</t>
  </si>
  <si>
    <t>SCB5_MISO (1)</t>
  </si>
  <si>
    <t>SDHC_CARD_IF_PWR_EN (0)</t>
  </si>
  <si>
    <t>PWM1_15</t>
  </si>
  <si>
    <t>PWM1_M_4_N</t>
  </si>
  <si>
    <t>TC1_15_TR0</t>
  </si>
  <si>
    <t>TC1_M_4_TR1</t>
  </si>
  <si>
    <t>SCB5_TX (1)</t>
  </si>
  <si>
    <t>SCB5_SDA (1)</t>
  </si>
  <si>
    <t>SCB5_MOSI (1)</t>
  </si>
  <si>
    <t>SDHC_CARD_DAT_3TO0_0 (0)</t>
  </si>
  <si>
    <t>PWM1_M_5</t>
  </si>
  <si>
    <t>PWM1_15_N</t>
  </si>
  <si>
    <t>TC1_M_5_TR0</t>
  </si>
  <si>
    <t>TC1_15_TR1</t>
  </si>
  <si>
    <t>SCB5_RTS (1)</t>
  </si>
  <si>
    <t>SCB5_SCL (1)</t>
  </si>
  <si>
    <t>SCB5_CLK (1)</t>
  </si>
  <si>
    <t>PWM0_1_N</t>
  </si>
  <si>
    <t>SDHC_CARD_DAT_3TO0_1 (0)</t>
  </si>
  <si>
    <t>PWM1_16</t>
  </si>
  <si>
    <t>PWM1_M_5_N</t>
  </si>
  <si>
    <t>TC1_16_TR0</t>
  </si>
  <si>
    <t>TC1_M_5_TR1</t>
  </si>
  <si>
    <t>SCB5_CTS (1)</t>
  </si>
  <si>
    <t>SCB5_SEL0 (1)</t>
  </si>
  <si>
    <t>CAN0_4_TX</t>
  </si>
  <si>
    <t>TC0_1_TR0</t>
  </si>
  <si>
    <t>SDHC_CARD_DAT_3TO0_2 (0)</t>
  </si>
  <si>
    <t>EXT_MUX[0]_EN</t>
    <phoneticPr fontId="3"/>
  </si>
  <si>
    <t>SPIHB_DATA2 (0)</t>
    <phoneticPr fontId="3"/>
  </si>
  <si>
    <t>SPIHB_DATA1 (0)</t>
    <phoneticPr fontId="3"/>
  </si>
  <si>
    <t>SPIHB_DATA0 (0)</t>
    <phoneticPr fontId="3"/>
  </si>
  <si>
    <t>SPIHB_SEL1 (0)</t>
    <phoneticPr fontId="3"/>
  </si>
  <si>
    <t>SPIHB_SEL0 (0)</t>
    <phoneticPr fontId="3"/>
  </si>
  <si>
    <t>SPIHB_CLK (0)</t>
    <phoneticPr fontId="3"/>
  </si>
  <si>
    <t>SDHC_CARD_MECH_WRITE_PROT (0)</t>
    <phoneticPr fontId="3"/>
  </si>
  <si>
    <t>PWM0_0_N</t>
    <phoneticPr fontId="3"/>
  </si>
  <si>
    <t>LIN9_EN</t>
    <phoneticPr fontId="3"/>
  </si>
  <si>
    <t>LIN9_TX</t>
    <phoneticPr fontId="3"/>
  </si>
  <si>
    <t>TC0_M_0_TR0</t>
    <phoneticPr fontId="3"/>
  </si>
  <si>
    <t>TC0_M_0_TR1</t>
    <phoneticPr fontId="3"/>
  </si>
  <si>
    <t>PWM0_M_0_N</t>
    <phoneticPr fontId="3"/>
  </si>
  <si>
    <t>PWM1_M_6</t>
  </si>
  <si>
    <t>PWM1_16_N</t>
  </si>
  <si>
    <t>TC1_M_6_TR0</t>
  </si>
  <si>
    <t>TC1_16_TR1</t>
  </si>
  <si>
    <t>SCB5_SEL1 (1)</t>
  </si>
  <si>
    <t>CAN0_4_RX</t>
  </si>
  <si>
    <t>TC0_1_TR1</t>
  </si>
  <si>
    <t>SDHC_CARD_DAT_3TO0_3 (0)</t>
  </si>
  <si>
    <t>PWM1_M_6_N</t>
  </si>
  <si>
    <t>TC1_M_6_TR1</t>
  </si>
  <si>
    <t>SCB5_SEL2 (1)</t>
  </si>
  <si>
    <t>PWM0_H_2</t>
  </si>
  <si>
    <t>SDHC_CARD_DAT_7TO4_0 (0)</t>
  </si>
  <si>
    <t>PWM1_M_7</t>
  </si>
  <si>
    <t>TC1_M_7_TR0</t>
  </si>
  <si>
    <t>PWM1_M_7_N</t>
  </si>
  <si>
    <t>TC1_M_7_TR1</t>
  </si>
  <si>
    <t>LIN10_EN</t>
  </si>
  <si>
    <t>PWM1_19</t>
  </si>
  <si>
    <t>TC1_19_TR0</t>
  </si>
  <si>
    <t>PWM1_H_8</t>
  </si>
  <si>
    <t>PWM0_H_2_N</t>
  </si>
  <si>
    <t>SDHC_CARD_DAT_7TO4_1 (0)</t>
  </si>
  <si>
    <t>PWM1_20</t>
  </si>
  <si>
    <t>PWM1_19_N</t>
  </si>
  <si>
    <t>TC1_20_TR0</t>
  </si>
  <si>
    <t>TC1_19_TR1</t>
  </si>
  <si>
    <t>PWM1_H_8_N</t>
  </si>
  <si>
    <t>TC0_H_2_TR0</t>
  </si>
  <si>
    <t>SDHC_CARD_DAT_7TO4_2 (0)</t>
  </si>
  <si>
    <t>PWM1_21</t>
  </si>
  <si>
    <t>PWM1_20_N</t>
  </si>
  <si>
    <t>TC1_21_TR0</t>
  </si>
  <si>
    <t>TC1_20_TR1</t>
  </si>
  <si>
    <t>TC1_H_8_TR0</t>
  </si>
  <si>
    <t>TC0_H_2_TR1</t>
  </si>
  <si>
    <t>SDHC_CARD_DAT_7TO4_3 (0)</t>
  </si>
  <si>
    <t>PWM1_22</t>
  </si>
  <si>
    <t>PWM1_21_N</t>
  </si>
  <si>
    <t>TC1_22_TR0</t>
  </si>
  <si>
    <t>TC1_21_TR1</t>
  </si>
  <si>
    <t>TC1_H_8_TR1</t>
  </si>
  <si>
    <t>LIN16_RX</t>
  </si>
  <si>
    <t>PWM1_23</t>
  </si>
  <si>
    <t>TC1_23_TR0</t>
  </si>
  <si>
    <t>LIN16_TX</t>
  </si>
  <si>
    <t>PWM1_24</t>
  </si>
  <si>
    <t>PWM1_23_N</t>
  </si>
  <si>
    <t>TC1_24_TR0</t>
  </si>
  <si>
    <t>TC1_23_TR1</t>
  </si>
  <si>
    <t>PWM1_H_9</t>
  </si>
  <si>
    <t>LIN16_EN</t>
  </si>
  <si>
    <t>PWM1_25</t>
  </si>
  <si>
    <t>PWM1_24_N</t>
  </si>
  <si>
    <t>TC1_25_TR0</t>
  </si>
  <si>
    <t>TC1_24_TR1</t>
  </si>
  <si>
    <t>PWM1_H_9_N</t>
  </si>
  <si>
    <t>LIN12_RX</t>
  </si>
  <si>
    <t>PWM1_26</t>
  </si>
  <si>
    <t>PWM1_25_N</t>
  </si>
  <si>
    <t>TC1_26_TR0</t>
  </si>
  <si>
    <t>TC1_25_TR1</t>
  </si>
  <si>
    <t>TC1_H_9_TR0</t>
  </si>
  <si>
    <t>LIN12_TX</t>
  </si>
  <si>
    <t>PWM1_27</t>
  </si>
  <si>
    <t>PWM1_26_N</t>
  </si>
  <si>
    <t>TC1_27_TR0</t>
  </si>
  <si>
    <t>TC1_26_TR1</t>
  </si>
  <si>
    <t>TC1_H_9_TR1</t>
  </si>
  <si>
    <t>LIN12_EN</t>
  </si>
  <si>
    <t>PWM1_28</t>
  </si>
  <si>
    <t>PWM1_27_N</t>
  </si>
  <si>
    <t>TC1_28_TR0</t>
  </si>
  <si>
    <t>TC1_27_TR1</t>
  </si>
  <si>
    <t>SCB4_RX (1)</t>
  </si>
  <si>
    <t>SCB4_MISO (1)</t>
  </si>
  <si>
    <t>PWM1_29</t>
  </si>
  <si>
    <t>PWM1_28_N</t>
  </si>
  <si>
    <t>TC1_29_TR0</t>
  </si>
  <si>
    <t>TC1_28_TR1</t>
  </si>
  <si>
    <t>SCB4_TX (1)</t>
  </si>
  <si>
    <t>SCB4_SDA (1)</t>
  </si>
  <si>
    <t>SCB4_MOSI (1)</t>
  </si>
  <si>
    <t>PWM1_30</t>
  </si>
  <si>
    <t>PWM1_29_N</t>
  </si>
  <si>
    <t>TC1_30_TR0</t>
  </si>
  <si>
    <t>TC1_29_TR1</t>
  </si>
  <si>
    <t>SCB4_RTS (1)</t>
  </si>
  <si>
    <t>SCB4_SCL (1)</t>
  </si>
  <si>
    <t>SCB4_CLK (1)</t>
  </si>
  <si>
    <t>PWM1_31</t>
  </si>
  <si>
    <t>PWM1_30_N</t>
  </si>
  <si>
    <t>TC1_31_TR0</t>
  </si>
  <si>
    <t>TC1_30_TR1</t>
  </si>
  <si>
    <t>SCB4_CTS (1)</t>
  </si>
  <si>
    <t>SCB4_SEL0 (1)</t>
  </si>
  <si>
    <t>PWM1_32</t>
  </si>
  <si>
    <t>PWM1_31_N</t>
  </si>
  <si>
    <t>TC1_32_TR0</t>
  </si>
  <si>
    <t>TC1_31_TR1</t>
  </si>
  <si>
    <t>SCB4_SEL1 (1)</t>
  </si>
  <si>
    <t>PWM1_33</t>
  </si>
  <si>
    <t>PWM1_32_N</t>
  </si>
  <si>
    <t>TC1_33_TR0</t>
  </si>
  <si>
    <t>TC1_32_TR1</t>
  </si>
  <si>
    <t>SCB4_SEL2 (1)</t>
  </si>
  <si>
    <t>LIN13_RX</t>
  </si>
  <si>
    <t>PWM1_33_N</t>
  </si>
  <si>
    <t>TC1_33_TR1</t>
  </si>
  <si>
    <t>TC1_34_TR0</t>
  </si>
  <si>
    <t>LIN13_TX</t>
  </si>
  <si>
    <t>PWM1_34</t>
  </si>
  <si>
    <t>PWM1_35</t>
  </si>
  <si>
    <t>PWM1_34_N</t>
  </si>
  <si>
    <t>TC1_35_TR0</t>
  </si>
  <si>
    <t>TC1_34_TR1</t>
  </si>
  <si>
    <t>LIN13_EN</t>
  </si>
  <si>
    <t>PWM1_61</t>
  </si>
  <si>
    <t>PWM1_62_N</t>
  </si>
  <si>
    <t>TC1_61_TR0</t>
  </si>
  <si>
    <t>TC1_62_TR1</t>
  </si>
  <si>
    <t>AUDIOSS0_MCLK</t>
  </si>
  <si>
    <t>PWM1_60</t>
  </si>
  <si>
    <t>PWM1_61_N</t>
  </si>
  <si>
    <t>TC1_60_TR0</t>
  </si>
  <si>
    <t>TC1_61_TR1</t>
  </si>
  <si>
    <t>AUDIOSS0_TX_SCK</t>
  </si>
  <si>
    <t>PWM1_59</t>
  </si>
  <si>
    <t>PWM1_60_N</t>
  </si>
  <si>
    <t>TC1_59_TR0</t>
  </si>
  <si>
    <t>TC1_60_TR1</t>
  </si>
  <si>
    <t>AUDIOSS0_TX_WS</t>
  </si>
  <si>
    <t>PWM1_36</t>
  </si>
  <si>
    <t>TC1_36_TR0</t>
  </si>
  <si>
    <t>SCB8_RX (0)</t>
  </si>
  <si>
    <t>TC1_35_TR1</t>
  </si>
  <si>
    <t>SCB8_MISO (0)</t>
  </si>
  <si>
    <t>PWM0_H_1</t>
  </si>
  <si>
    <t>PWM1_35 _N</t>
  </si>
  <si>
    <t>AUDIOSS0_TX_SDO</t>
  </si>
  <si>
    <t>PWM1_37</t>
  </si>
  <si>
    <t>PWM1_36_N</t>
  </si>
  <si>
    <t>TC1_37_TR0</t>
  </si>
  <si>
    <t>TC1_36_TR1</t>
  </si>
  <si>
    <t>SCB8_TX (0)</t>
  </si>
  <si>
    <t>SCB8_SDA (0)</t>
  </si>
  <si>
    <t>SCB8_MOSI (0)</t>
  </si>
  <si>
    <t>PWM0_H_1_N</t>
  </si>
  <si>
    <t>AUDIOSS0_CLK_I2S_IF</t>
  </si>
  <si>
    <t>PWM1_38</t>
  </si>
  <si>
    <t>PWM1_37_N</t>
  </si>
  <si>
    <t>TC1_38_TR0</t>
  </si>
  <si>
    <t>TC1_37_TR1</t>
  </si>
  <si>
    <t>SCB8_RTS (0)</t>
  </si>
  <si>
    <t>SCB8_SCL (0)</t>
  </si>
  <si>
    <t>SCB8_CLK (0)</t>
  </si>
  <si>
    <t>TC0_H_1_TR0</t>
  </si>
  <si>
    <t>AUDIOSS0_RX_SCK</t>
  </si>
  <si>
    <t>SPIHB_DATA7 (0)</t>
    <phoneticPr fontId="3"/>
  </si>
  <si>
    <t>SPIHB_DATA6 (0)</t>
    <phoneticPr fontId="3"/>
  </si>
  <si>
    <t>SPIHB_DATA5 (0)</t>
    <phoneticPr fontId="3"/>
  </si>
  <si>
    <t>SPIHB_DATA4 (0)</t>
    <phoneticPr fontId="3"/>
  </si>
  <si>
    <t>SPIHB_DATA3 (0)</t>
    <phoneticPr fontId="3"/>
  </si>
  <si>
    <t>PWM1_39</t>
  </si>
  <si>
    <t>PWM1_38_N</t>
  </si>
  <si>
    <t>TC1_39_TR0</t>
  </si>
  <si>
    <t>TC1_38_TR1</t>
  </si>
  <si>
    <t>SCB8_CTS (0)</t>
  </si>
  <si>
    <t>SCB8_SEL0 (0)</t>
  </si>
  <si>
    <t>TC0_H_1_TR1</t>
  </si>
  <si>
    <t>AUDIOSS0_RX_WS</t>
  </si>
  <si>
    <t>PWM1_40</t>
  </si>
  <si>
    <t>PWM1_39_N</t>
  </si>
  <si>
    <t>TC1_40_TR0</t>
  </si>
  <si>
    <t>TC1_39_TR1</t>
  </si>
  <si>
    <t>SCB8_SEL1 (0)</t>
  </si>
  <si>
    <t>TC0_2_TR1</t>
  </si>
  <si>
    <t>AUDIOSS0_RX_SDI</t>
  </si>
  <si>
    <t>PWM1_41</t>
  </si>
  <si>
    <t>PWM1_40_N</t>
  </si>
  <si>
    <t>TC1_41_TR0</t>
  </si>
  <si>
    <t>TC1_40_TR1</t>
  </si>
  <si>
    <t>PWM1_42</t>
  </si>
  <si>
    <t>PWM1_41_N</t>
  </si>
  <si>
    <t>TC1_42_TR0</t>
  </si>
  <si>
    <t>TC1_41_TR1</t>
  </si>
  <si>
    <t>PWM1_43</t>
  </si>
  <si>
    <t>PWM1_42_N</t>
  </si>
  <si>
    <t>TC1_43_TR0</t>
  </si>
  <si>
    <t>TC1_42_TR1</t>
  </si>
  <si>
    <t>PWM1_M_8</t>
  </si>
  <si>
    <t>PWM1_43_N</t>
  </si>
  <si>
    <t>TC1_M_8_TR0</t>
  </si>
  <si>
    <t>TC1_43_TR1</t>
  </si>
  <si>
    <t>SCB3_RX (0)</t>
  </si>
  <si>
    <t>SCB3_MISO (0)</t>
  </si>
  <si>
    <t>TC0_2_TR0</t>
  </si>
  <si>
    <t>AUDIOSS1_MCLK</t>
  </si>
  <si>
    <t>PWM1_44</t>
  </si>
  <si>
    <t>PWM1_M_8_N</t>
  </si>
  <si>
    <t>TC1_44_TR0</t>
  </si>
  <si>
    <t>TC1_M_8_TR1</t>
  </si>
  <si>
    <t>SCB3_TX (0)</t>
  </si>
  <si>
    <t>SCB3_SDA (0)</t>
  </si>
  <si>
    <t>SCB3_MOSI (0)</t>
  </si>
  <si>
    <t>PWM0_2_N</t>
  </si>
  <si>
    <t>AUDIOSS1_TX_SCK</t>
  </si>
  <si>
    <t>PWM1_M_9</t>
  </si>
  <si>
    <t>PWM1_44_N</t>
  </si>
  <si>
    <t>TC1_M_9_TR0</t>
  </si>
  <si>
    <t>TC1_44_TR1</t>
  </si>
  <si>
    <t>SCB3_RTS (0)</t>
  </si>
  <si>
    <t>SCB3_SCL (0)</t>
  </si>
  <si>
    <t>SCB3_CLK (0)</t>
  </si>
  <si>
    <t>PWM0_2</t>
  </si>
  <si>
    <t>AUDIOSS1_TX_WS</t>
  </si>
  <si>
    <t>PWM1_45</t>
  </si>
  <si>
    <t>PWM1_M_9_N</t>
  </si>
  <si>
    <t>TC1_45_TR0</t>
  </si>
  <si>
    <t>TC1_M_9_TR1</t>
  </si>
  <si>
    <t>SCB3_CTS (0)</t>
  </si>
  <si>
    <t>SCB3_SEL0 (0)</t>
  </si>
  <si>
    <t>AUDIOSS1_TX_SDO</t>
  </si>
  <si>
    <t>PWM1_45_N</t>
  </si>
  <si>
    <t>TC1_M_10_TR0</t>
  </si>
  <si>
    <t>TC1_45_TR1</t>
  </si>
  <si>
    <t>SCB3_SEL1 (0)</t>
  </si>
  <si>
    <t>AUDIOSS1_CLK_I2S_IF</t>
  </si>
  <si>
    <t>PWM1_46</t>
  </si>
  <si>
    <t>TC1_46_TR0</t>
  </si>
  <si>
    <t>SCB3_SEL2 (0)</t>
  </si>
  <si>
    <t>AUDIOSS1_RX_SCK</t>
  </si>
  <si>
    <t>PWM1_46_N</t>
  </si>
  <si>
    <t>TC1_M_11_TR0</t>
  </si>
  <si>
    <t>TC1_46_TR1</t>
  </si>
  <si>
    <t>SCB3_SEL3 (0)</t>
  </si>
  <si>
    <t>AUDIOSS1_RX_WS</t>
  </si>
  <si>
    <t>PWM1_47</t>
  </si>
  <si>
    <t>TC1_47_TR0</t>
  </si>
  <si>
    <t>AUDIOSS1_RX_SDI</t>
  </si>
  <si>
    <t>PWM1_48</t>
  </si>
  <si>
    <t>PWM1_47_N</t>
  </si>
  <si>
    <t>TC1_48_TR0</t>
  </si>
  <si>
    <t>TC1_47_TR1</t>
  </si>
  <si>
    <t>SCB2_MISO (0)</t>
  </si>
  <si>
    <t>SCB2_RX (0)</t>
  </si>
  <si>
    <t>PWM0_M_1</t>
  </si>
  <si>
    <t>AUDIOSS2_MCLK</t>
  </si>
  <si>
    <t>PWM1_49</t>
  </si>
  <si>
    <t>PWM1_48_N</t>
  </si>
  <si>
    <t>TC1_49_TR0</t>
  </si>
  <si>
    <t>TC1_48_TR1</t>
  </si>
  <si>
    <t>SCB2_MOSI (0)</t>
  </si>
  <si>
    <t>SCB2_SDA (0)</t>
  </si>
  <si>
    <t>SCB2_TX (0)</t>
  </si>
  <si>
    <t>PWM0_M_1_N</t>
  </si>
  <si>
    <t>AUDIOSS2_TX_SCK</t>
  </si>
  <si>
    <t>PWM1_50</t>
  </si>
  <si>
    <t>PWM1_49_N</t>
  </si>
  <si>
    <t>TC1_50_TR0</t>
  </si>
  <si>
    <t>TC1_49_TR1</t>
  </si>
  <si>
    <t>SCB2_CLK (0)</t>
  </si>
  <si>
    <t>SCB2_SCL (0)</t>
  </si>
  <si>
    <t>SCB2_RTS (0)</t>
  </si>
  <si>
    <t>TC0_M_1_TR0</t>
  </si>
  <si>
    <t>PWM1_51</t>
  </si>
  <si>
    <t>PWM1_50_N</t>
  </si>
  <si>
    <t>TC1_51_TR0</t>
  </si>
  <si>
    <t>TC1_50_TR1</t>
  </si>
  <si>
    <t>SCB2_SEL0 (0)</t>
  </si>
  <si>
    <t>SCB2_CTS (0)</t>
  </si>
  <si>
    <t>TC0_M_1_TR1</t>
  </si>
  <si>
    <t>PWM1_52</t>
  </si>
  <si>
    <t>PWM1_51_N</t>
  </si>
  <si>
    <t>TC1_52_TR0</t>
  </si>
  <si>
    <t>TC1_51_TR1</t>
  </si>
  <si>
    <t>AUDIOSS2_TX_WS</t>
  </si>
  <si>
    <t>PWM1_53</t>
  </si>
  <si>
    <t>PWM1_52_N</t>
  </si>
  <si>
    <t>TC1_53_TR0</t>
  </si>
  <si>
    <t>TC1_52_TR1</t>
  </si>
  <si>
    <t>LIN14_RX</t>
  </si>
  <si>
    <t>AUDIOSS2_TX_SDO</t>
  </si>
  <si>
    <t>PWM1_54</t>
  </si>
  <si>
    <t>PWM1_53_N</t>
  </si>
  <si>
    <t>TC1_54_TR0</t>
  </si>
  <si>
    <t>TC1_53_TR1</t>
  </si>
  <si>
    <t>LIN14_TX</t>
  </si>
  <si>
    <t>PWM1_55</t>
  </si>
  <si>
    <t>PWM1_54_N</t>
  </si>
  <si>
    <t>TC1_55_TR0</t>
  </si>
  <si>
    <t>TC1_54_TR1</t>
  </si>
  <si>
    <t>LIN14_EN</t>
  </si>
  <si>
    <t>PWM1_56</t>
  </si>
  <si>
    <t>PWM1_55_N</t>
  </si>
  <si>
    <t>TC1_56_TR0</t>
  </si>
  <si>
    <t>TC1_55_TR1</t>
  </si>
  <si>
    <t>SCB9_RX (0)</t>
  </si>
  <si>
    <t>SCB9_MISO (0)</t>
  </si>
  <si>
    <t>CAN1_3_TX</t>
  </si>
  <si>
    <t>AUDIOSS2_CLK_I2S_IF</t>
  </si>
  <si>
    <t>PWM1_57</t>
  </si>
  <si>
    <t>PWM1_56_N</t>
  </si>
  <si>
    <t>TC1_57_TR0</t>
  </si>
  <si>
    <t>TC1_56_TR1</t>
  </si>
  <si>
    <t>SCB9_TX (0)</t>
  </si>
  <si>
    <t>SCB9_SDA (0)</t>
  </si>
  <si>
    <t>SCB9_MOSI (0)</t>
  </si>
  <si>
    <t>CAN1_3_RX</t>
  </si>
  <si>
    <t>AUDIOSS2_RX_SCK</t>
  </si>
  <si>
    <t>PWM1_58</t>
  </si>
  <si>
    <t>PWM1_57_N</t>
  </si>
  <si>
    <t>TC1_58_TR0</t>
  </si>
  <si>
    <t>TC1_57_TR1</t>
  </si>
  <si>
    <t>SCB9_RTS (0)</t>
  </si>
  <si>
    <t>SCB9_SCL (0)</t>
  </si>
  <si>
    <t>SCB9_CLK (0)</t>
  </si>
  <si>
    <t>AUDIOSS2_RX_WS</t>
  </si>
  <si>
    <t>PWM1_58_N</t>
  </si>
  <si>
    <t>TC1_58_TR1</t>
  </si>
  <si>
    <t>SCB9_CTS (0)</t>
  </si>
  <si>
    <t>SCB9_SEL0 (0)</t>
  </si>
  <si>
    <t>AUDIOSS2_RX_SDI</t>
  </si>
  <si>
    <t>PWM1_59_N</t>
  </si>
  <si>
    <t>TC1_59_TR1</t>
  </si>
  <si>
    <t>PWM1_H_0</t>
  </si>
  <si>
    <t>SCB9_SEL1 (0)</t>
  </si>
  <si>
    <t>PWM1_H_0_N</t>
  </si>
  <si>
    <t>SCB9_SEL2 (0)</t>
  </si>
  <si>
    <t>PWM1_62</t>
  </si>
  <si>
    <t>TC1_62_TR0</t>
  </si>
  <si>
    <t>PWM1_H_1</t>
  </si>
  <si>
    <t>SCB9_SEL3 (0)</t>
  </si>
  <si>
    <t>PWM1_H_1_N</t>
  </si>
  <si>
    <t>LIN8_RX</t>
    <phoneticPr fontId="3"/>
  </si>
  <si>
    <t>PWM1_45_N</t>
    <phoneticPr fontId="3"/>
  </si>
  <si>
    <t>PWM1_46_N</t>
    <phoneticPr fontId="3"/>
  </si>
  <si>
    <t>PWM1_M_11</t>
    <phoneticPr fontId="3"/>
  </si>
  <si>
    <t>PWM1_M_10</t>
    <phoneticPr fontId="3"/>
  </si>
  <si>
    <t>SCB2_SEL1 (0)</t>
    <phoneticPr fontId="3"/>
  </si>
  <si>
    <t>SCB2_SEL2 (0)</t>
    <phoneticPr fontId="3"/>
  </si>
  <si>
    <t>P16.4</t>
  </si>
  <si>
    <t>PWM1_68</t>
  </si>
  <si>
    <t>PWM1_69_N</t>
  </si>
  <si>
    <t>TC1_68_TR0</t>
  </si>
  <si>
    <t>TC1_69_TR1</t>
  </si>
  <si>
    <t>P16.5</t>
  </si>
  <si>
    <t>PWM1_67</t>
  </si>
  <si>
    <t>PWM1_68_N</t>
  </si>
  <si>
    <t>TC1_67_TR0</t>
  </si>
  <si>
    <t>TC1_68_TR1</t>
  </si>
  <si>
    <t>P16.6</t>
  </si>
  <si>
    <t>PWM1_66</t>
  </si>
  <si>
    <t>PWM1_67_N</t>
  </si>
  <si>
    <t>TC1_66_TR0</t>
  </si>
  <si>
    <t>TC1_67_TR1</t>
  </si>
  <si>
    <t>P16.7</t>
  </si>
  <si>
    <t>PWM1_65</t>
  </si>
  <si>
    <t>PWM1_66_N</t>
  </si>
  <si>
    <t>TC1_65_TR0</t>
  </si>
  <si>
    <t>TC1_66_TR1</t>
  </si>
  <si>
    <t>SCB3_RX (1)</t>
  </si>
  <si>
    <t>SCB3_TX (1)</t>
  </si>
  <si>
    <t>SCB3_SDA (1)</t>
  </si>
  <si>
    <t>PWM1_H_3</t>
  </si>
  <si>
    <t>SCB3_RTS (1)</t>
  </si>
  <si>
    <t>SCB3_SCL (1)</t>
  </si>
  <si>
    <t>SCB3_CLK (1)</t>
  </si>
  <si>
    <t>PWM1_H_3_N</t>
  </si>
  <si>
    <t>SCB3_CTS (1)</t>
  </si>
  <si>
    <t>SCB3_SEL0 (1)</t>
  </si>
  <si>
    <t>PWM1_H_2</t>
  </si>
  <si>
    <t>SCB3_SEL1 (1)</t>
  </si>
  <si>
    <t>PWM1_H_2_N</t>
  </si>
  <si>
    <t>SCB3_SEL2 (1)</t>
  </si>
  <si>
    <t>LIN15_EN</t>
  </si>
  <si>
    <t>SCB1_RX (0)</t>
  </si>
  <si>
    <t>SCB1_MISO (0)</t>
  </si>
  <si>
    <t>SCB1_TX (0)</t>
  </si>
  <si>
    <t>SCB1_SDA (0)</t>
  </si>
  <si>
    <t>SCB1_MOSI (0)</t>
  </si>
  <si>
    <t>SCB3_MISO (1)</t>
  </si>
  <si>
    <t>ETH0_TX_CTL (0)</t>
  </si>
  <si>
    <t>SCB1_RTS (0)</t>
  </si>
  <si>
    <t>SCB1_SCL (0)</t>
  </si>
  <si>
    <t>SCB1_CLK (0)</t>
  </si>
  <si>
    <t>SCB3_MOSI (1)</t>
  </si>
  <si>
    <t>ETH0_TX_ER (0)</t>
  </si>
  <si>
    <t>SCB1_CTS (0)</t>
  </si>
  <si>
    <t>SCB1_SEL0 (0)</t>
  </si>
  <si>
    <t>SCB3_CLK (2)</t>
  </si>
  <si>
    <t>SCB1_SEL1 (0)</t>
  </si>
  <si>
    <t>SCB3_SEL0 (2)</t>
  </si>
  <si>
    <t>PWM0_M_2</t>
  </si>
  <si>
    <t>ETH0_TXD_0 (0)</t>
  </si>
  <si>
    <t>SCB1_SEL2 (0)</t>
  </si>
  <si>
    <t>PWM0_M_2_N</t>
  </si>
  <si>
    <t>ETH0_TXD_1 (0)</t>
  </si>
  <si>
    <t>SCB1_SEL3 (0)</t>
  </si>
  <si>
    <t>TC0_M_2_TR0</t>
  </si>
  <si>
    <t>ETH0_TXD_2 (0)</t>
  </si>
  <si>
    <t>TC0_M_2_TR1</t>
  </si>
  <si>
    <t>ETH0_TXD_3 (0)</t>
  </si>
  <si>
    <t>TC1_H_0_TR0</t>
  </si>
  <si>
    <t>SCB2_MISO (1)</t>
  </si>
  <si>
    <t>SCB2_RX (1)</t>
  </si>
  <si>
    <t>ETH0_RXD_0 (0)</t>
  </si>
  <si>
    <t>TC1_H_0_TR1</t>
  </si>
  <si>
    <t>SCB2_MOSI (1)</t>
  </si>
  <si>
    <t>SCB2_TX (1)</t>
  </si>
  <si>
    <t>ETH0_RXD_1 (0)</t>
  </si>
  <si>
    <t>TC1_H_1_TR0</t>
  </si>
  <si>
    <t>SCB2_CLK (1)</t>
  </si>
  <si>
    <t>SCB2_SCL (1)</t>
  </si>
  <si>
    <t>SCB2_RTS (1)</t>
  </si>
  <si>
    <t>ETH0_RXD_2 (0)</t>
  </si>
  <si>
    <t>TC1_H_1_TR1</t>
  </si>
  <si>
    <t>SCB2_SEL0 (1)</t>
  </si>
  <si>
    <t>SCB2_CTS (1)</t>
  </si>
  <si>
    <t>ETH0_RXD_3 (0)</t>
  </si>
  <si>
    <t>TC1_H_2_TR0</t>
  </si>
  <si>
    <t>SCB2_SEL1 (1)</t>
  </si>
  <si>
    <t>TC1_H_2_TR1</t>
  </si>
  <si>
    <t>SCB2_SEL2 (1)</t>
  </si>
  <si>
    <t>TC1_H_3_TR0</t>
  </si>
  <si>
    <t>TC1_H_3_TR1</t>
  </si>
  <si>
    <t>ETH0_REF_CLK (0)</t>
    <phoneticPr fontId="3"/>
  </si>
  <si>
    <t>TRACE_CLOCK (0)</t>
    <phoneticPr fontId="3"/>
  </si>
  <si>
    <t>ETH0_TX_CLK (0)</t>
    <phoneticPr fontId="3"/>
  </si>
  <si>
    <t>TRACE_DATA_0 (0)</t>
    <phoneticPr fontId="3"/>
  </si>
  <si>
    <t>TRACE_DATA_1 (0)</t>
    <phoneticPr fontId="3"/>
  </si>
  <si>
    <t>TRACE_DATA_2 (0)</t>
    <phoneticPr fontId="3"/>
  </si>
  <si>
    <t>TRACE_DATA_3 (0)</t>
    <phoneticPr fontId="3"/>
  </si>
  <si>
    <t>SCB1_RX (1)</t>
  </si>
  <si>
    <t>SCB1_MISO (1)</t>
  </si>
  <si>
    <t>SCB1_TX (1)</t>
  </si>
  <si>
    <t>SCB1_SDA (1)</t>
  </si>
  <si>
    <t>SCB1_MOSI (1)</t>
  </si>
  <si>
    <t>SCB1_RTS (1)</t>
  </si>
  <si>
    <t>SCB1_SCL (1)</t>
  </si>
  <si>
    <t>SCB1_CLK (1)</t>
  </si>
  <si>
    <t>SCB1_CTS (1)</t>
  </si>
  <si>
    <t>SCB1_SEL0 (1)</t>
  </si>
  <si>
    <t>CAN1_4_TX</t>
  </si>
  <si>
    <t>SCB1_SEL1 (1)</t>
  </si>
  <si>
    <t>CAN1_4_RX</t>
  </si>
  <si>
    <t>SCB1_SEL2 (1)</t>
  </si>
  <si>
    <t>ETH0_RX_CTL (0)</t>
  </si>
  <si>
    <t>SCB6_RX (1)</t>
  </si>
  <si>
    <t>SCB6_MISO (1)</t>
  </si>
  <si>
    <t>SCB6_TX (1)</t>
  </si>
  <si>
    <t>SCB6_SDA (1)</t>
  </si>
  <si>
    <t>SCB6_MOSI (1)</t>
  </si>
  <si>
    <t>SCB6_RTS (1)</t>
  </si>
  <si>
    <t>SCB6_SCL (1)</t>
  </si>
  <si>
    <t>SCB6_CLK (1)</t>
  </si>
  <si>
    <t>SCB6_CTS (1)</t>
  </si>
  <si>
    <t>SCB6_SEL0 (1)</t>
  </si>
  <si>
    <t>SCB6_SEL1 (1)</t>
  </si>
  <si>
    <t>SCB6_SEL2 (1)</t>
  </si>
  <si>
    <t>SCB7_RX (1)</t>
  </si>
  <si>
    <t>SCB7_MISO (1)</t>
  </si>
  <si>
    <t>SCB7_TX (1)</t>
  </si>
  <si>
    <t>SCB7_SDA (1)</t>
  </si>
  <si>
    <t>SCB7_MOSI (1)</t>
  </si>
  <si>
    <t>SCB7_RTS (1)</t>
  </si>
  <si>
    <t>SCB7_SCL (1)</t>
  </si>
  <si>
    <t>SCB7_CLK (1)</t>
  </si>
  <si>
    <t>SCB7_CTS (1)</t>
  </si>
  <si>
    <t>ETH0_RX_CLK (0)</t>
  </si>
  <si>
    <t>SCB2_MISO (2)</t>
  </si>
  <si>
    <t>SCB7_SEL1 (1)</t>
  </si>
  <si>
    <t>SCB2_MOSI (2)</t>
  </si>
  <si>
    <t>SCB7_SEL2 (1)</t>
  </si>
  <si>
    <t>SCB2_CLK (2)</t>
  </si>
  <si>
    <t>TRACE_DATA_0 (1)</t>
    <phoneticPr fontId="3"/>
  </si>
  <si>
    <t>TRACE_DATA_1 (1)</t>
    <phoneticPr fontId="3"/>
  </si>
  <si>
    <t>TRACE_DATA_2 (1)</t>
    <phoneticPr fontId="3"/>
  </si>
  <si>
    <t>TRACE_DATA_3 (1)</t>
    <phoneticPr fontId="3"/>
  </si>
  <si>
    <t>TRACE_CLOCK (1)</t>
    <phoneticPr fontId="3"/>
  </si>
  <si>
    <t>SCB2_SEL0 (2)</t>
  </si>
  <si>
    <t>P24.0</t>
  </si>
  <si>
    <t>SDHC_CARD_DETECT_N (1)</t>
  </si>
  <si>
    <t>P24.1</t>
  </si>
  <si>
    <t>P24.2</t>
  </si>
  <si>
    <t>SDHC_CLK_CARD (1)</t>
  </si>
  <si>
    <t>P24.3</t>
  </si>
  <si>
    <t>SDHC_CARD_CMD (1)</t>
  </si>
  <si>
    <t>P24.4</t>
  </si>
  <si>
    <t>SDHC_CARD_IF_PWR_EN (1)</t>
  </si>
  <si>
    <t>P25.0</t>
  </si>
  <si>
    <t>SDHC_CARD_DAT_3TO0_0 (1)</t>
  </si>
  <si>
    <t>P25.1</t>
  </si>
  <si>
    <t>SDHC_CARD_DAT_3TO0_1 (1)</t>
  </si>
  <si>
    <t>P25.2</t>
  </si>
  <si>
    <t>SDHC_CARD_DAT_3TO0_2 (1)</t>
  </si>
  <si>
    <t>P25.3</t>
  </si>
  <si>
    <t>SDHC_CARD_DAT_3TO0_3 (1)</t>
  </si>
  <si>
    <t>P25.4</t>
  </si>
  <si>
    <t>SDHC_CARD_DAT_7TO4_0 (1)</t>
  </si>
  <si>
    <t>P25.5</t>
  </si>
  <si>
    <t>SDHC_CARD_DAT_7TO4_1 (1)</t>
  </si>
  <si>
    <t>P25.6</t>
  </si>
  <si>
    <t>SDHC_CARD_DAT_7TO4_2 (1)</t>
  </si>
  <si>
    <t>P25.7</t>
  </si>
  <si>
    <t>SDHC_CARD_DAT_7TO4_3 (1)</t>
  </si>
  <si>
    <t>P26.0</t>
  </si>
  <si>
    <t>P26.1</t>
  </si>
  <si>
    <t>P26.2</t>
  </si>
  <si>
    <t>P26.3</t>
  </si>
  <si>
    <t>P26.4</t>
  </si>
  <si>
    <t>P26.5</t>
  </si>
  <si>
    <t>P26.6</t>
  </si>
  <si>
    <t>P26.7</t>
  </si>
  <si>
    <t>P27.0</t>
  </si>
  <si>
    <t>P27.1</t>
  </si>
  <si>
    <t>SPIHB_CLK (1)</t>
    <phoneticPr fontId="3"/>
  </si>
  <si>
    <t>SPIHB_SEL0 (1)</t>
    <phoneticPr fontId="3"/>
  </si>
  <si>
    <t>SPIHB_SEL1 (1)</t>
    <phoneticPr fontId="3"/>
  </si>
  <si>
    <t>SPIHB_DATA0 (1)</t>
    <phoneticPr fontId="3"/>
  </si>
  <si>
    <t>SPIHB_DATA1 (1)</t>
    <phoneticPr fontId="3"/>
  </si>
  <si>
    <t>SPIHB_DATA2 (1)</t>
    <phoneticPr fontId="3"/>
  </si>
  <si>
    <t>SPIHB_DATA3 (1)</t>
    <phoneticPr fontId="3"/>
  </si>
  <si>
    <t>SPIHB_DATA4 (1)</t>
    <phoneticPr fontId="3"/>
  </si>
  <si>
    <t>SPIHB_DATA5 (1)</t>
    <phoneticPr fontId="3"/>
  </si>
  <si>
    <t>SPIHB_DATA6 (1)</t>
    <phoneticPr fontId="3"/>
  </si>
  <si>
    <t>SPIHB_DATA7 (1)</t>
    <phoneticPr fontId="3"/>
  </si>
  <si>
    <t>SDHC_CARD_MECH_WRITE_PROT (1)</t>
    <phoneticPr fontId="3"/>
  </si>
  <si>
    <t>ETH1_REF_CLK (0)</t>
    <phoneticPr fontId="3"/>
  </si>
  <si>
    <t>ETH1_TX_CTL (0)</t>
    <phoneticPr fontId="3"/>
  </si>
  <si>
    <t>ETH1_TX_CLK (0)</t>
    <phoneticPr fontId="3"/>
  </si>
  <si>
    <t>ETH1_TXD_0 (0)</t>
    <phoneticPr fontId="3"/>
  </si>
  <si>
    <t>ETH1_TXD_1 (0)</t>
    <phoneticPr fontId="3"/>
  </si>
  <si>
    <t>ETH1_TXD_2 (0)</t>
    <phoneticPr fontId="3"/>
  </si>
  <si>
    <t>ETH1_TXD_3 (0)</t>
    <phoneticPr fontId="3"/>
  </si>
  <si>
    <t>ETH1_RXD_0 (0)</t>
    <phoneticPr fontId="3"/>
  </si>
  <si>
    <t>ETH1_RXD_1 (0)</t>
    <phoneticPr fontId="3"/>
  </si>
  <si>
    <t>ETH1_RXD_2 (0)</t>
    <phoneticPr fontId="3"/>
  </si>
  <si>
    <t>P27.2</t>
  </si>
  <si>
    <t>P27.3</t>
  </si>
  <si>
    <t>P27.4</t>
  </si>
  <si>
    <t>P27.5</t>
  </si>
  <si>
    <t>P27.6</t>
  </si>
  <si>
    <t>P28.0</t>
  </si>
  <si>
    <t>PWM1_63</t>
  </si>
  <si>
    <t>PWM1_65_N</t>
  </si>
  <si>
    <t>TC1_63_TR0</t>
  </si>
  <si>
    <t>TC1_65_TR1</t>
  </si>
  <si>
    <t>SCB10_RX (0)</t>
  </si>
  <si>
    <t>SCB10_MISO (0)</t>
  </si>
  <si>
    <t>P28.1</t>
  </si>
  <si>
    <t>PWM1_64</t>
  </si>
  <si>
    <t>PWM1_63_N</t>
  </si>
  <si>
    <t>TC1_64_TR0</t>
  </si>
  <si>
    <t>TC1_63_TR1</t>
  </si>
  <si>
    <t>SCB10_TX (0)</t>
  </si>
  <si>
    <t>SCB10_MOSI (0)</t>
  </si>
  <si>
    <t>LIN17_RX</t>
  </si>
  <si>
    <t>P28.2</t>
  </si>
  <si>
    <t>PWM1_64_N</t>
  </si>
  <si>
    <t>TC1_64_TR1</t>
  </si>
  <si>
    <t>SCB10_RTS (0)</t>
  </si>
  <si>
    <t>SCB10_SCL (0)</t>
  </si>
  <si>
    <t>SCB10_CLK (0)</t>
  </si>
  <si>
    <t>LIN17_TX</t>
  </si>
  <si>
    <t>P28.3</t>
  </si>
  <si>
    <t>SCB10_CTS (0)</t>
  </si>
  <si>
    <t>SCB10_SEL0 (0)</t>
  </si>
  <si>
    <t>LIN17_EN</t>
  </si>
  <si>
    <t>P28.4</t>
  </si>
  <si>
    <t>SCB10_SEL1 (0)</t>
  </si>
  <si>
    <t>LIN18_RX</t>
  </si>
  <si>
    <t>P28.5</t>
  </si>
  <si>
    <t>SCB10_SEL2 (0)</t>
  </si>
  <si>
    <t>LIN18_TX</t>
  </si>
  <si>
    <t>P28.6</t>
  </si>
  <si>
    <t>PWM1_69</t>
  </si>
  <si>
    <t>TC1_69_TR0</t>
  </si>
  <si>
    <t>SCB10_SEL3 (0)</t>
  </si>
  <si>
    <t>LIN18_EN</t>
  </si>
  <si>
    <t>P28.7</t>
  </si>
  <si>
    <t>PWM1_70</t>
  </si>
  <si>
    <t>TC1_70_TR0</t>
  </si>
  <si>
    <t>LIN19_RX</t>
  </si>
  <si>
    <t>P29.0</t>
  </si>
  <si>
    <t>PWM1_76</t>
  </si>
  <si>
    <t>PWM1_75_N</t>
  </si>
  <si>
    <t>TC1_76_TR0</t>
  </si>
  <si>
    <t>TC1_75_TR1</t>
  </si>
  <si>
    <t>LIN19_TX</t>
  </si>
  <si>
    <t>P29.1</t>
  </si>
  <si>
    <t>PWM1_77</t>
  </si>
  <si>
    <t>PWM1_76_N</t>
  </si>
  <si>
    <t>TC1_77_TR0</t>
  </si>
  <si>
    <t>TC1_76_TR1</t>
  </si>
  <si>
    <t>LIN19_EN</t>
  </si>
  <si>
    <t>P29.2</t>
  </si>
  <si>
    <t>PWM1_78</t>
  </si>
  <si>
    <t>PWM1_77_N</t>
  </si>
  <si>
    <t>TC1_78_TR0</t>
  </si>
  <si>
    <t>TC1_77_TR1</t>
  </si>
  <si>
    <t>P29.3</t>
  </si>
  <si>
    <t>PWM1_79</t>
  </si>
  <si>
    <t>PWM1_78_N</t>
  </si>
  <si>
    <t>TC1_79_TR0</t>
  </si>
  <si>
    <t>TC1_78_TR1</t>
  </si>
  <si>
    <t>P29.4</t>
  </si>
  <si>
    <t>PWM1_80</t>
  </si>
  <si>
    <t>PWM1_79_N</t>
  </si>
  <si>
    <t>TC1_80_TR0</t>
  </si>
  <si>
    <t>TC1_79_TR1</t>
  </si>
  <si>
    <t>P29.5</t>
  </si>
  <si>
    <t>PWM1_81</t>
  </si>
  <si>
    <t>PWM1_80_N</t>
  </si>
  <si>
    <t>TC1_81_TR0</t>
  </si>
  <si>
    <t>TC1_80_TR1</t>
  </si>
  <si>
    <t>P29.6</t>
  </si>
  <si>
    <t>PWM1_82</t>
  </si>
  <si>
    <t>PWM1_81_N</t>
  </si>
  <si>
    <t>TC1_82_TR0</t>
  </si>
  <si>
    <t>TC1_81_TR1</t>
  </si>
  <si>
    <t>P29.7</t>
  </si>
  <si>
    <t>PWM1_83</t>
  </si>
  <si>
    <t>PWM1_82_N</t>
  </si>
  <si>
    <t>TC1_83_TR0</t>
  </si>
  <si>
    <t>TC1_82_TR1</t>
  </si>
  <si>
    <t>P30.0</t>
  </si>
  <si>
    <t>PWM1_83_N</t>
  </si>
  <si>
    <t>TC1_83_TR1</t>
  </si>
  <si>
    <t>SCB9_RTS (1)</t>
  </si>
  <si>
    <t>SCB9_SCL (1)</t>
  </si>
  <si>
    <t>SCB9_CLK (1)</t>
  </si>
  <si>
    <t>TRIG_IN[34]</t>
  </si>
  <si>
    <t>P30.1</t>
  </si>
  <si>
    <t>SCB9_CTS (1)</t>
  </si>
  <si>
    <t>SCB9_SEL0 (1)</t>
  </si>
  <si>
    <t>TRIG_IN[35]</t>
  </si>
  <si>
    <t>P30.2</t>
  </si>
  <si>
    <t>SCB9_SEL1 (1)</t>
  </si>
  <si>
    <t>TRIG_IN[36]</t>
  </si>
  <si>
    <t>P30.3</t>
  </si>
  <si>
    <t>SCB9_SEL2 (1)</t>
  </si>
  <si>
    <t>TRIG_IN[37]</t>
  </si>
  <si>
    <t>P31.0</t>
  </si>
  <si>
    <t>P31.1</t>
  </si>
  <si>
    <t>ETH1_RXD_3 (0)</t>
    <phoneticPr fontId="3"/>
  </si>
  <si>
    <t>ETH1_RX_CTL (0)</t>
    <phoneticPr fontId="3"/>
  </si>
  <si>
    <t>ETH1_RX_CLK (0)</t>
    <phoneticPr fontId="3"/>
  </si>
  <si>
    <t>ETH1_MDIO (0)</t>
    <phoneticPr fontId="3"/>
  </si>
  <si>
    <t>ETH1_MDC (0)</t>
    <phoneticPr fontId="3"/>
  </si>
  <si>
    <t>ETH1_ETH_TSU_TIMER_CMP_VAL (0)</t>
    <phoneticPr fontId="3"/>
  </si>
  <si>
    <t>SCB10_SDA (0)</t>
    <phoneticPr fontId="3"/>
  </si>
  <si>
    <t>P31.2</t>
  </si>
  <si>
    <t>P32.0</t>
  </si>
  <si>
    <t>SCB10_RX (1)</t>
  </si>
  <si>
    <t>SCB10_MISO (1)</t>
  </si>
  <si>
    <t>TRIG_IN[40]</t>
  </si>
  <si>
    <t>P32.1</t>
  </si>
  <si>
    <t>SCB10_TX (1)</t>
  </si>
  <si>
    <t>SCB10_SDA (1)</t>
  </si>
  <si>
    <t>SCB10_MOSI (1)</t>
  </si>
  <si>
    <t>TRIG_IN[41]</t>
  </si>
  <si>
    <t>P32.2</t>
  </si>
  <si>
    <t>SCB10_RTS (1)</t>
  </si>
  <si>
    <t>SCB10_SCL (1)</t>
  </si>
  <si>
    <t>SCB10_CLK (1)</t>
  </si>
  <si>
    <t>TRIG_IN[42]</t>
  </si>
  <si>
    <t>P32.3</t>
  </si>
  <si>
    <t>SCB10_CTS (1)</t>
  </si>
  <si>
    <t>SCB10_SEL0 (1)</t>
  </si>
  <si>
    <t>TRIG_IN[43]</t>
  </si>
  <si>
    <t>P32.4</t>
  </si>
  <si>
    <t>SCB10_SEL1 (1)</t>
  </si>
  <si>
    <t>TRIG_IN[44]</t>
  </si>
  <si>
    <t>P32.5</t>
  </si>
  <si>
    <t>SCB10_SEL2 (1)</t>
  </si>
  <si>
    <t>TRIG_IN[45]</t>
  </si>
  <si>
    <t>P32.6</t>
  </si>
  <si>
    <t>SCB10_SEL3 (1)</t>
  </si>
  <si>
    <t>TRIG_IN[46]</t>
  </si>
  <si>
    <t>P32.7</t>
  </si>
  <si>
    <t>TRIG_IN[47]</t>
  </si>
  <si>
    <t>P33.0</t>
  </si>
  <si>
    <t>P33.1</t>
  </si>
  <si>
    <t>ETH0_TX_CTL (1)</t>
  </si>
  <si>
    <t>P33.2</t>
  </si>
  <si>
    <t>ETH0_TX_CLK (1)</t>
  </si>
  <si>
    <t>P33.3</t>
  </si>
  <si>
    <t>ETH0_TXD_0 (1)</t>
  </si>
  <si>
    <t>P33.4</t>
  </si>
  <si>
    <t>ETH0_TXD_1 (1)</t>
  </si>
  <si>
    <t>P33.5</t>
  </si>
  <si>
    <t>ETH0_TXD_2 (1)</t>
  </si>
  <si>
    <t>P33.6</t>
  </si>
  <si>
    <t>ETH0_TXD_3 (1)</t>
  </si>
  <si>
    <t>P33.7</t>
  </si>
  <si>
    <t>ETH0_RXD_0 (1)</t>
  </si>
  <si>
    <t>P34.0</t>
  </si>
  <si>
    <t>ETH0_RXD_1 (1)</t>
  </si>
  <si>
    <t>P34.1</t>
  </si>
  <si>
    <t>ETH0_RXD_2 (1)</t>
  </si>
  <si>
    <t>P34.2</t>
  </si>
  <si>
    <t>ETH0_RXD_3 (1)</t>
  </si>
  <si>
    <t>P34.3</t>
  </si>
  <si>
    <t>P34.4</t>
  </si>
  <si>
    <t>ETH0_RX_CLK (1)</t>
  </si>
  <si>
    <t>P34.5</t>
  </si>
  <si>
    <t>ETH0_MDIO (1)</t>
  </si>
  <si>
    <t>P34.6</t>
  </si>
  <si>
    <t>ETH0_MDC (1)</t>
  </si>
  <si>
    <t>P34.7</t>
  </si>
  <si>
    <t>ETH0_ETH_TSU_TIMER_CMP_VAL (1)</t>
    <phoneticPr fontId="3"/>
  </si>
  <si>
    <t>ETH0_RX_CTL (1)</t>
    <phoneticPr fontId="3"/>
  </si>
  <si>
    <t>ETH1_RX_ER (0)</t>
    <phoneticPr fontId="3"/>
  </si>
  <si>
    <t>ETH1_RXD_7 (0)</t>
    <phoneticPr fontId="3"/>
  </si>
  <si>
    <t>ETH1_RXD_6 (0)</t>
    <phoneticPr fontId="3"/>
  </si>
  <si>
    <t>ETH1_RXD_5 (0)</t>
    <phoneticPr fontId="3"/>
  </si>
  <si>
    <t>ETH1_RXD_4 (0)</t>
    <phoneticPr fontId="3"/>
  </si>
  <si>
    <t>ETH1_TXD_7 (0)</t>
    <phoneticPr fontId="3"/>
  </si>
  <si>
    <t>ETH1_TXD_6 (0)</t>
    <phoneticPr fontId="3"/>
  </si>
  <si>
    <t>ETH1_TXD_5 (0)</t>
    <phoneticPr fontId="3"/>
  </si>
  <si>
    <t>ETH1_TXD_4 (0)</t>
    <phoneticPr fontId="3"/>
  </si>
  <si>
    <t>ETH1_TX_ER (0)</t>
    <phoneticPr fontId="3"/>
  </si>
  <si>
    <t>ETH0_REF_CLK (1)</t>
    <phoneticPr fontId="3"/>
  </si>
  <si>
    <t>DeepSleep Mapping</t>
  </si>
  <si>
    <t>A18</t>
  </si>
  <si>
    <t>B18</t>
  </si>
  <si>
    <t>B17</t>
  </si>
  <si>
    <t>SCB0_MOSI (0)</t>
  </si>
  <si>
    <t>A17</t>
  </si>
  <si>
    <t>SCB0_CLK (0)</t>
  </si>
  <si>
    <t>C17</t>
  </si>
  <si>
    <t>B16</t>
  </si>
  <si>
    <t>SCB0_SDA (0)</t>
  </si>
  <si>
    <t>SCB0_SEL0 (0)</t>
  </si>
  <si>
    <t>A16</t>
  </si>
  <si>
    <t>SCB0_SCL (1)</t>
  </si>
  <si>
    <t>SCB0_MISO (1)</t>
  </si>
  <si>
    <t>A15</t>
  </si>
  <si>
    <t>SCB0_SDA (1)</t>
  </si>
  <si>
    <t>SCB0_MOSI (1)</t>
  </si>
  <si>
    <t>B15</t>
  </si>
  <si>
    <t>SCB0_CLK (1)</t>
  </si>
  <si>
    <t>C16</t>
  </si>
  <si>
    <t>C15</t>
  </si>
  <si>
    <t>SCB0_SEL0 (1)</t>
  </si>
  <si>
    <t>D15</t>
  </si>
  <si>
    <t>E15</t>
  </si>
  <si>
    <t>F14</t>
  </si>
  <si>
    <t>A14</t>
  </si>
  <si>
    <t>SCB0_SEL1 (0)</t>
  </si>
  <si>
    <t>B14</t>
  </si>
  <si>
    <t>SCB0_SEL2 (0)</t>
  </si>
  <si>
    <t>C14</t>
  </si>
  <si>
    <t>SCB0_SEL3 (0)</t>
  </si>
  <si>
    <t>D14</t>
  </si>
  <si>
    <t>B13</t>
  </si>
  <si>
    <t>E14</t>
  </si>
  <si>
    <t>C13</t>
  </si>
  <si>
    <t>D13</t>
  </si>
  <si>
    <t>E13</t>
  </si>
  <si>
    <t>F12</t>
  </si>
  <si>
    <t>SCB0_MISO (0)</t>
    <phoneticPr fontId="3"/>
  </si>
  <si>
    <t>A13</t>
  </si>
  <si>
    <t>A12</t>
  </si>
  <si>
    <t>B12</t>
  </si>
  <si>
    <t>C12</t>
  </si>
  <si>
    <t>D12</t>
  </si>
  <si>
    <t>E12</t>
  </si>
  <si>
    <t>B11</t>
  </si>
  <si>
    <t>C11</t>
  </si>
  <si>
    <t>E11</t>
  </si>
  <si>
    <t>D11</t>
  </si>
  <si>
    <t>A9</t>
  </si>
  <si>
    <t>A8</t>
  </si>
  <si>
    <t>B8</t>
  </si>
  <si>
    <t>C8</t>
  </si>
  <si>
    <t>D8</t>
  </si>
  <si>
    <t>E8</t>
  </si>
  <si>
    <t>A7</t>
  </si>
  <si>
    <t>B7</t>
  </si>
  <si>
    <t>A5</t>
  </si>
  <si>
    <t>A6</t>
  </si>
  <si>
    <t>B5</t>
  </si>
  <si>
    <t>B6</t>
  </si>
  <si>
    <t>C5</t>
  </si>
  <si>
    <t>C6</t>
  </si>
  <si>
    <t>A4</t>
  </si>
  <si>
    <t>D6</t>
  </si>
  <si>
    <t>B4</t>
  </si>
  <si>
    <t>C4</t>
  </si>
  <si>
    <t>D5</t>
  </si>
  <si>
    <t>A3</t>
  </si>
  <si>
    <t>B3</t>
  </si>
  <si>
    <t>A2</t>
  </si>
  <si>
    <t>B1</t>
  </si>
  <si>
    <t>B2</t>
  </si>
  <si>
    <t>C3</t>
  </si>
  <si>
    <t>C1</t>
  </si>
  <si>
    <t>C2</t>
  </si>
  <si>
    <t>D1</t>
  </si>
  <si>
    <t>F1</t>
  </si>
  <si>
    <t>E1</t>
  </si>
  <si>
    <t>F2</t>
  </si>
  <si>
    <t>E2</t>
  </si>
  <si>
    <t>G1</t>
  </si>
  <si>
    <t>G2</t>
  </si>
  <si>
    <t>G3</t>
  </si>
  <si>
    <t>F3</t>
  </si>
  <si>
    <t>G5</t>
  </si>
  <si>
    <t>F4</t>
  </si>
  <si>
    <t>G6</t>
  </si>
  <si>
    <t>H5</t>
  </si>
  <si>
    <t>H1</t>
  </si>
  <si>
    <t>H2</t>
  </si>
  <si>
    <t>G4</t>
  </si>
  <si>
    <t>ADC[0]_24</t>
  </si>
  <si>
    <t>H3</t>
  </si>
  <si>
    <t>ADC[0]_25</t>
  </si>
  <si>
    <t>J1</t>
  </si>
  <si>
    <t>ADC[0]_26</t>
  </si>
  <si>
    <t>J2</t>
  </si>
  <si>
    <t>H4</t>
  </si>
  <si>
    <t>ADC[0]_27</t>
  </si>
  <si>
    <t>K1</t>
  </si>
  <si>
    <t>ADC[0]_28</t>
  </si>
  <si>
    <t>K2</t>
  </si>
  <si>
    <t>ADC[0]_29</t>
  </si>
  <si>
    <t>J3</t>
  </si>
  <si>
    <t>ADC[0]_30</t>
  </si>
  <si>
    <t>J5</t>
  </si>
  <si>
    <t>ADC[0]_31</t>
  </si>
  <si>
    <t>K5</t>
  </si>
  <si>
    <t>M1</t>
  </si>
  <si>
    <t>L5</t>
  </si>
  <si>
    <t>N1</t>
  </si>
  <si>
    <t>M5</t>
  </si>
  <si>
    <t>N2</t>
  </si>
  <si>
    <t>N5</t>
  </si>
  <si>
    <t>N3</t>
  </si>
  <si>
    <t>R1</t>
  </si>
  <si>
    <t>N4</t>
  </si>
  <si>
    <t>R2</t>
  </si>
  <si>
    <t>P1</t>
  </si>
  <si>
    <t>R3</t>
  </si>
  <si>
    <t>P2</t>
  </si>
  <si>
    <t>T1</t>
  </si>
  <si>
    <t>P3</t>
  </si>
  <si>
    <t>P5</t>
  </si>
  <si>
    <t>M6</t>
  </si>
  <si>
    <t>P6</t>
  </si>
  <si>
    <t>P4</t>
  </si>
  <si>
    <t>R5</t>
  </si>
  <si>
    <t>R4</t>
  </si>
  <si>
    <t>T2</t>
  </si>
  <si>
    <t>T3</t>
  </si>
  <si>
    <t>U1</t>
  </si>
  <si>
    <t>U2</t>
  </si>
  <si>
    <t>U3</t>
  </si>
  <si>
    <t>V1</t>
  </si>
  <si>
    <t>V2</t>
  </si>
  <si>
    <t>W1</t>
  </si>
  <si>
    <t>Y2</t>
  </si>
  <si>
    <t>W2</t>
  </si>
  <si>
    <t>V3</t>
  </si>
  <si>
    <t>Y3</t>
  </si>
  <si>
    <t>W3</t>
  </si>
  <si>
    <t>V4</t>
  </si>
  <si>
    <t>Y4</t>
  </si>
  <si>
    <t>U4</t>
  </si>
  <si>
    <t>W4</t>
  </si>
  <si>
    <t>T4</t>
  </si>
  <si>
    <t>Y5</t>
  </si>
  <si>
    <t>U5</t>
  </si>
  <si>
    <t>W5</t>
  </si>
  <si>
    <t>T5</t>
  </si>
  <si>
    <t>V5</t>
  </si>
  <si>
    <t>V6</t>
  </si>
  <si>
    <t>Y6</t>
  </si>
  <si>
    <t>U6</t>
  </si>
  <si>
    <t>W6</t>
  </si>
  <si>
    <t>T6</t>
  </si>
  <si>
    <t>R6</t>
  </si>
  <si>
    <t>N7</t>
  </si>
  <si>
    <t>R7</t>
  </si>
  <si>
    <t>T7</t>
  </si>
  <si>
    <t>Y7</t>
  </si>
  <si>
    <t>V7</t>
  </si>
  <si>
    <t>W7</t>
  </si>
  <si>
    <t>U7</t>
  </si>
  <si>
    <t>V8</t>
  </si>
  <si>
    <t>T8</t>
  </si>
  <si>
    <t>U8</t>
  </si>
  <si>
    <t>T9</t>
  </si>
  <si>
    <t>V12</t>
  </si>
  <si>
    <t>T10</t>
  </si>
  <si>
    <t>U12</t>
  </si>
  <si>
    <t>T11</t>
  </si>
  <si>
    <t>V13</t>
  </si>
  <si>
    <t>T12</t>
  </si>
  <si>
    <t>U13</t>
  </si>
  <si>
    <t>T13</t>
  </si>
  <si>
    <t>Y12</t>
  </si>
  <si>
    <t>R13</t>
  </si>
  <si>
    <t>Y13</t>
  </si>
  <si>
    <t>T14</t>
  </si>
  <si>
    <t>Y14</t>
  </si>
  <si>
    <t>N12</t>
  </si>
  <si>
    <t>W14</t>
  </si>
  <si>
    <t>V14</t>
  </si>
  <si>
    <t>ADC[2]_8</t>
  </si>
  <si>
    <t>U14</t>
  </si>
  <si>
    <t>ADC[2]_9</t>
  </si>
  <si>
    <t>V15</t>
  </si>
  <si>
    <t>ADC[2]_10</t>
  </si>
  <si>
    <t>R14</t>
  </si>
  <si>
    <t>U15</t>
  </si>
  <si>
    <t>ADC[2]_11</t>
  </si>
  <si>
    <t>Y15</t>
  </si>
  <si>
    <t>T15</t>
  </si>
  <si>
    <t>ADC[2]_12</t>
  </si>
  <si>
    <t>W15</t>
  </si>
  <si>
    <t>V16</t>
  </si>
  <si>
    <t>ADC[2]_13</t>
  </si>
  <si>
    <t>Y16</t>
  </si>
  <si>
    <t>U16</t>
  </si>
  <si>
    <t>ADC[2]_14</t>
  </si>
  <si>
    <t>W16</t>
  </si>
  <si>
    <t>V17</t>
  </si>
  <si>
    <t>ADC[2]_15</t>
  </si>
  <si>
    <t>U18</t>
  </si>
  <si>
    <t>ADC[2]_16</t>
  </si>
  <si>
    <t>Y17</t>
  </si>
  <si>
    <t>U17</t>
  </si>
  <si>
    <t>ADC[2]_17</t>
  </si>
  <si>
    <t>W17</t>
  </si>
  <si>
    <t>T18</t>
  </si>
  <si>
    <t>ADC[2]_18</t>
  </si>
  <si>
    <t>Y18</t>
  </si>
  <si>
    <t>T17</t>
  </si>
  <si>
    <t>ADC[2]_19</t>
  </si>
  <si>
    <t>Y19</t>
  </si>
  <si>
    <t>T16</t>
  </si>
  <si>
    <t>ADC[2]_20</t>
  </si>
  <si>
    <t>R16</t>
  </si>
  <si>
    <t>ADC[2]_21</t>
  </si>
  <si>
    <t>R15</t>
  </si>
  <si>
    <t>ADC[2]_22</t>
  </si>
  <si>
    <t>P15</t>
  </si>
  <si>
    <t>ADC[2]_23</t>
  </si>
  <si>
    <t>P19</t>
  </si>
  <si>
    <t>R18</t>
  </si>
  <si>
    <t>ADC[2]_24</t>
  </si>
  <si>
    <t>P18</t>
  </si>
  <si>
    <t>R17</t>
  </si>
  <si>
    <t>ADC[2]_25</t>
  </si>
  <si>
    <t>P16</t>
  </si>
  <si>
    <t>P17</t>
  </si>
  <si>
    <t>ADC[2]_26</t>
  </si>
  <si>
    <t>ADC[2]_27</t>
  </si>
  <si>
    <t>N16</t>
  </si>
  <si>
    <t>N15</t>
  </si>
  <si>
    <t>ADC[2]_28</t>
  </si>
  <si>
    <t>N18</t>
  </si>
  <si>
    <t>ADC[2]_29</t>
  </si>
  <si>
    <t>M18</t>
  </si>
  <si>
    <t>M16</t>
  </si>
  <si>
    <t>ADC[2]_30</t>
  </si>
  <si>
    <t>M15</t>
  </si>
  <si>
    <t>ADC[2]_31</t>
  </si>
  <si>
    <t>L19</t>
  </si>
  <si>
    <t>M13</t>
  </si>
  <si>
    <t>L18</t>
  </si>
  <si>
    <t>L16</t>
  </si>
  <si>
    <t>L15</t>
  </si>
  <si>
    <t>K16</t>
  </si>
  <si>
    <t>J16</t>
  </si>
  <si>
    <t>K15</t>
  </si>
  <si>
    <t>N19</t>
  </si>
  <si>
    <t>N17</t>
  </si>
  <si>
    <t>N20</t>
  </si>
  <si>
    <t>M19</t>
  </si>
  <si>
    <t>M17</t>
  </si>
  <si>
    <t>M20</t>
  </si>
  <si>
    <t>K19</t>
  </si>
  <si>
    <t>L17</t>
  </si>
  <si>
    <t>J19</t>
  </si>
  <si>
    <t>K17</t>
  </si>
  <si>
    <t>H19</t>
  </si>
  <si>
    <t>J17</t>
  </si>
  <si>
    <t>H18</t>
  </si>
  <si>
    <t>H20</t>
  </si>
  <si>
    <t>G20</t>
  </si>
  <si>
    <t>G18</t>
  </si>
  <si>
    <t>F20</t>
  </si>
  <si>
    <t>F18</t>
  </si>
  <si>
    <t>G19</t>
  </si>
  <si>
    <t>H17</t>
  </si>
  <si>
    <t>H16</t>
  </si>
  <si>
    <t>H15</t>
  </si>
  <si>
    <t>G16</t>
  </si>
  <si>
    <t>G17</t>
  </si>
  <si>
    <t>F19</t>
  </si>
  <si>
    <t>G15</t>
  </si>
  <si>
    <t>E20</t>
  </si>
  <si>
    <t>G13</t>
  </si>
  <si>
    <t>E19</t>
  </si>
  <si>
    <t>F17</t>
  </si>
  <si>
    <t>E18</t>
  </si>
  <si>
    <t>F16</t>
  </si>
  <si>
    <t>D20</t>
  </si>
  <si>
    <t>F15</t>
  </si>
  <si>
    <t>E17</t>
  </si>
  <si>
    <t>HSIO_STD</t>
  </si>
  <si>
    <t>K3</t>
  </si>
  <si>
    <t>L1</t>
  </si>
  <si>
    <t>J4</t>
  </si>
  <si>
    <t>L2</t>
  </si>
  <si>
    <t>L3</t>
  </si>
  <si>
    <t>M2</t>
  </si>
  <si>
    <t>K4</t>
  </si>
  <si>
    <t>EXT_PS_CTL0</t>
    <phoneticPr fontId="3"/>
  </si>
  <si>
    <t>EXT_PS_CTL1</t>
    <phoneticPr fontId="3"/>
  </si>
  <si>
    <t>EXT_PS_CTL2</t>
    <phoneticPr fontId="3"/>
  </si>
  <si>
    <t>SWJ_SWO_TDO</t>
    <phoneticPr fontId="3"/>
  </si>
  <si>
    <t>SWJ_SWCLK_TCLK</t>
    <phoneticPr fontId="3"/>
  </si>
  <si>
    <t>SWJ_SWDIO_TMS</t>
    <phoneticPr fontId="3"/>
  </si>
  <si>
    <t>SWJ_SWDOE_TDI</t>
    <phoneticPr fontId="3"/>
  </si>
  <si>
    <t>M3</t>
  </si>
  <si>
    <t>L4</t>
  </si>
  <si>
    <t>M4</t>
  </si>
  <si>
    <t>Y8</t>
  </si>
  <si>
    <t>W8</t>
  </si>
  <si>
    <t>R8</t>
  </si>
  <si>
    <t>V9</t>
  </si>
  <si>
    <t>Y9</t>
  </si>
  <si>
    <t>U9</t>
  </si>
  <si>
    <t>W9</t>
  </si>
  <si>
    <t>R9</t>
  </si>
  <si>
    <t>Y10</t>
  </si>
  <si>
    <t>V10</t>
  </si>
  <si>
    <t>W10</t>
  </si>
  <si>
    <t>U10</t>
  </si>
  <si>
    <t>Y11</t>
  </si>
  <si>
    <t>R10</t>
  </si>
  <si>
    <t>W11</t>
  </si>
  <si>
    <t>V11</t>
  </si>
  <si>
    <t>U11</t>
  </si>
  <si>
    <t>W12</t>
  </si>
  <si>
    <t>R11</t>
  </si>
  <si>
    <t>W13</t>
  </si>
  <si>
    <t>R12</t>
  </si>
  <si>
    <t>E16</t>
  </si>
  <si>
    <t>D19</t>
  </si>
  <si>
    <t>D18</t>
  </si>
  <si>
    <t>C20</t>
  </si>
  <si>
    <t>D17</t>
  </si>
  <si>
    <t>C19</t>
  </si>
  <si>
    <t>D16</t>
  </si>
  <si>
    <t>B20</t>
  </si>
  <si>
    <t>C18</t>
  </si>
  <si>
    <t>B19</t>
  </si>
  <si>
    <t>A19</t>
  </si>
  <si>
    <t>A11</t>
  </si>
  <si>
    <t>A10</t>
  </si>
  <si>
    <t>B10</t>
  </si>
  <si>
    <t>C10</t>
  </si>
  <si>
    <t>E10</t>
  </si>
  <si>
    <t>D10</t>
  </si>
  <si>
    <t>B9</t>
  </si>
  <si>
    <t>C9</t>
  </si>
  <si>
    <t>E9</t>
  </si>
  <si>
    <t>C7</t>
  </si>
  <si>
    <t>D7</t>
  </si>
  <si>
    <t>F7</t>
  </si>
  <si>
    <t>E7</t>
  </si>
  <si>
    <t>E6</t>
  </si>
  <si>
    <t>D2</t>
  </si>
  <si>
    <t>D3</t>
  </si>
  <si>
    <t>E5</t>
  </si>
  <si>
    <t>E3</t>
  </si>
  <si>
    <t>D4</t>
  </si>
  <si>
    <t>F5</t>
  </si>
  <si>
    <t>E4</t>
  </si>
  <si>
    <t>W18</t>
  </si>
  <si>
    <t>W19</t>
  </si>
  <si>
    <t>V18</t>
  </si>
  <si>
    <t>W20</t>
  </si>
  <si>
    <t>V20</t>
  </si>
  <si>
    <t>V19</t>
  </si>
  <si>
    <t>U20</t>
  </si>
  <si>
    <t>U19</t>
  </si>
  <si>
    <t>T20</t>
  </si>
  <si>
    <t>T19</t>
  </si>
  <si>
    <t>R20</t>
  </si>
  <si>
    <t>R19</t>
  </si>
  <si>
    <t>SCB0_SCL (0)</t>
    <phoneticPr fontId="3"/>
  </si>
  <si>
    <t>VDDIO_4</t>
    <phoneticPr fontId="3"/>
  </si>
  <si>
    <t>VDDIO_3</t>
    <phoneticPr fontId="3"/>
  </si>
  <si>
    <t>Pin Assignment_320-BGA</t>
    <phoneticPr fontId="3"/>
  </si>
  <si>
    <t>A</t>
    <phoneticPr fontId="3"/>
  </si>
  <si>
    <t>(P6.2)</t>
    <phoneticPr fontId="3"/>
  </si>
  <si>
    <t>(P6.0)</t>
    <phoneticPr fontId="3"/>
  </si>
  <si>
    <t>(P5.3)</t>
    <phoneticPr fontId="3"/>
  </si>
  <si>
    <t>SCB7_SEL0 (1)</t>
    <phoneticPr fontId="3"/>
  </si>
  <si>
    <t>B</t>
    <phoneticPr fontId="3"/>
  </si>
  <si>
    <t>C</t>
    <phoneticPr fontId="3"/>
  </si>
  <si>
    <t>D</t>
    <phoneticPr fontId="3"/>
  </si>
  <si>
    <t>E</t>
    <phoneticPr fontId="3"/>
  </si>
  <si>
    <t>F</t>
    <phoneticPr fontId="3"/>
  </si>
  <si>
    <t>G</t>
    <phoneticPr fontId="3"/>
  </si>
  <si>
    <t>H</t>
    <phoneticPr fontId="3"/>
  </si>
  <si>
    <t>J</t>
    <phoneticPr fontId="3"/>
  </si>
  <si>
    <t>K</t>
    <phoneticPr fontId="3"/>
  </si>
  <si>
    <t>L</t>
    <phoneticPr fontId="3"/>
  </si>
  <si>
    <t>M</t>
    <phoneticPr fontId="3"/>
  </si>
  <si>
    <t>N</t>
    <phoneticPr fontId="3"/>
  </si>
  <si>
    <t>P</t>
    <phoneticPr fontId="3"/>
  </si>
  <si>
    <t>R</t>
    <phoneticPr fontId="3"/>
  </si>
  <si>
    <t>T</t>
    <phoneticPr fontId="3"/>
  </si>
  <si>
    <t>U</t>
    <phoneticPr fontId="3"/>
  </si>
  <si>
    <t>V</t>
    <phoneticPr fontId="3"/>
  </si>
  <si>
    <t>W</t>
    <phoneticPr fontId="3"/>
  </si>
  <si>
    <t>Y</t>
    <phoneticPr fontId="3"/>
  </si>
  <si>
    <t>(P6.3)</t>
    <phoneticPr fontId="3"/>
  </si>
  <si>
    <t>(P6.5)</t>
    <phoneticPr fontId="3"/>
  </si>
  <si>
    <t>(P6.7)</t>
    <phoneticPr fontId="3"/>
  </si>
  <si>
    <t>(P32.3)</t>
    <phoneticPr fontId="3"/>
  </si>
  <si>
    <t>(P7.0)</t>
    <phoneticPr fontId="3"/>
  </si>
  <si>
    <t>(P7.2)</t>
    <phoneticPr fontId="3"/>
  </si>
  <si>
    <t>(P8.0)</t>
    <phoneticPr fontId="3"/>
  </si>
  <si>
    <t>(P8.3)</t>
    <phoneticPr fontId="3"/>
  </si>
  <si>
    <t>(P9.0)</t>
    <phoneticPr fontId="3"/>
  </si>
  <si>
    <t>(P24.1)</t>
    <phoneticPr fontId="3"/>
  </si>
  <si>
    <t>(P24.4)</t>
    <phoneticPr fontId="3"/>
  </si>
  <si>
    <t>(P25.2)</t>
    <phoneticPr fontId="3"/>
  </si>
  <si>
    <t>(P25.5)</t>
    <phoneticPr fontId="3"/>
  </si>
  <si>
    <t>(P10.4)</t>
    <phoneticPr fontId="3"/>
  </si>
  <si>
    <t>(P10.7)</t>
    <phoneticPr fontId="3"/>
  </si>
  <si>
    <t>(P12.2)</t>
    <phoneticPr fontId="3"/>
  </si>
  <si>
    <t>(P12.5)</t>
    <phoneticPr fontId="3"/>
  </si>
  <si>
    <t>(P12.7)</t>
    <phoneticPr fontId="3"/>
  </si>
  <si>
    <t>VSSD_1</t>
    <phoneticPr fontId="3"/>
  </si>
  <si>
    <t>(P32.2)</t>
    <phoneticPr fontId="3"/>
  </si>
  <si>
    <t>(P28.0)</t>
    <phoneticPr fontId="3"/>
  </si>
  <si>
    <t>P27.7</t>
    <phoneticPr fontId="3"/>
  </si>
  <si>
    <t>(P27.7)</t>
    <phoneticPr fontId="3"/>
  </si>
  <si>
    <t>A1</t>
    <phoneticPr fontId="3"/>
  </si>
  <si>
    <t>Y1</t>
    <phoneticPr fontId="3"/>
  </si>
  <si>
    <t>C3</t>
    <phoneticPr fontId="3"/>
  </si>
  <si>
    <t>V3</t>
    <phoneticPr fontId="3"/>
  </si>
  <si>
    <t>V4</t>
    <phoneticPr fontId="3"/>
  </si>
  <si>
    <t>F6</t>
    <phoneticPr fontId="3"/>
  </si>
  <si>
    <t>H6</t>
    <phoneticPr fontId="3"/>
  </si>
  <si>
    <t>J6</t>
    <phoneticPr fontId="3"/>
  </si>
  <si>
    <t>K6</t>
    <phoneticPr fontId="3"/>
  </si>
  <si>
    <t>L6</t>
    <phoneticPr fontId="3"/>
  </si>
  <si>
    <t>M6</t>
    <phoneticPr fontId="3"/>
  </si>
  <si>
    <t>N6</t>
    <phoneticPr fontId="3"/>
  </si>
  <si>
    <t>R6</t>
    <phoneticPr fontId="3"/>
  </si>
  <si>
    <t>F8</t>
    <phoneticPr fontId="3"/>
  </si>
  <si>
    <t>VSSIO_3</t>
    <phoneticPr fontId="3"/>
  </si>
  <si>
    <t>H8</t>
    <phoneticPr fontId="3"/>
  </si>
  <si>
    <t>J8</t>
    <phoneticPr fontId="3"/>
  </si>
  <si>
    <t>K8</t>
    <phoneticPr fontId="3"/>
  </si>
  <si>
    <t>L8</t>
    <phoneticPr fontId="3"/>
  </si>
  <si>
    <t>M8</t>
    <phoneticPr fontId="3"/>
  </si>
  <si>
    <t>N8</t>
    <phoneticPr fontId="3"/>
  </si>
  <si>
    <t>R8</t>
    <phoneticPr fontId="3"/>
  </si>
  <si>
    <t>H9</t>
    <phoneticPr fontId="3"/>
  </si>
  <si>
    <t>J9</t>
    <phoneticPr fontId="3"/>
  </si>
  <si>
    <t>K9</t>
    <phoneticPr fontId="3"/>
  </si>
  <si>
    <t>L9</t>
    <phoneticPr fontId="3"/>
  </si>
  <si>
    <t>M9</t>
    <phoneticPr fontId="3"/>
  </si>
  <si>
    <t>VSSIO_4</t>
    <phoneticPr fontId="3"/>
  </si>
  <si>
    <t>N9</t>
    <phoneticPr fontId="3"/>
  </si>
  <si>
    <t>R9</t>
    <phoneticPr fontId="3"/>
  </si>
  <si>
    <t>C10</t>
    <phoneticPr fontId="3"/>
  </si>
  <si>
    <t>F10</t>
    <phoneticPr fontId="3"/>
  </si>
  <si>
    <t>H10</t>
    <phoneticPr fontId="3"/>
  </si>
  <si>
    <t>J10</t>
    <phoneticPr fontId="3"/>
  </si>
  <si>
    <t>K10</t>
    <phoneticPr fontId="3"/>
  </si>
  <si>
    <t>L10</t>
    <phoneticPr fontId="3"/>
  </si>
  <si>
    <t>M10</t>
    <phoneticPr fontId="3"/>
  </si>
  <si>
    <t>N10</t>
    <phoneticPr fontId="3"/>
  </si>
  <si>
    <t>R10</t>
    <phoneticPr fontId="3"/>
  </si>
  <si>
    <t>F11</t>
    <phoneticPr fontId="3"/>
  </si>
  <si>
    <t>H11</t>
    <phoneticPr fontId="3"/>
  </si>
  <si>
    <t>J11</t>
    <phoneticPr fontId="3"/>
  </si>
  <si>
    <t>K11</t>
    <phoneticPr fontId="3"/>
  </si>
  <si>
    <t>L11</t>
    <phoneticPr fontId="3"/>
  </si>
  <si>
    <t>M11</t>
    <phoneticPr fontId="3"/>
  </si>
  <si>
    <t>N11</t>
    <phoneticPr fontId="3"/>
  </si>
  <si>
    <t>R11</t>
    <phoneticPr fontId="3"/>
  </si>
  <si>
    <t>F12</t>
    <phoneticPr fontId="3"/>
  </si>
  <si>
    <t>H12</t>
    <phoneticPr fontId="3"/>
  </si>
  <si>
    <t>J12</t>
    <phoneticPr fontId="3"/>
  </si>
  <si>
    <t>K12</t>
    <phoneticPr fontId="3"/>
  </si>
  <si>
    <t>L12</t>
    <phoneticPr fontId="3"/>
  </si>
  <si>
    <t>M12</t>
    <phoneticPr fontId="3"/>
  </si>
  <si>
    <t>N12</t>
    <phoneticPr fontId="3"/>
  </si>
  <si>
    <t>R12</t>
    <phoneticPr fontId="3"/>
  </si>
  <si>
    <t>F13</t>
    <phoneticPr fontId="3"/>
  </si>
  <si>
    <t>H13</t>
    <phoneticPr fontId="3"/>
  </si>
  <si>
    <t>J13</t>
    <phoneticPr fontId="3"/>
  </si>
  <si>
    <t>K13</t>
    <phoneticPr fontId="3"/>
  </si>
  <si>
    <t>L13</t>
    <phoneticPr fontId="3"/>
  </si>
  <si>
    <t>M13</t>
    <phoneticPr fontId="3"/>
  </si>
  <si>
    <t>R13</t>
    <phoneticPr fontId="3"/>
  </si>
  <si>
    <t>N13</t>
    <phoneticPr fontId="3"/>
  </si>
  <si>
    <t>F15</t>
    <phoneticPr fontId="3"/>
  </si>
  <si>
    <t>H15</t>
    <phoneticPr fontId="3"/>
  </si>
  <si>
    <t>J15</t>
    <phoneticPr fontId="3"/>
  </si>
  <si>
    <t>K15</t>
    <phoneticPr fontId="3"/>
  </si>
  <si>
    <t>L15</t>
    <phoneticPr fontId="3"/>
  </si>
  <si>
    <t>M15</t>
    <phoneticPr fontId="3"/>
  </si>
  <si>
    <t>N15</t>
    <phoneticPr fontId="3"/>
  </si>
  <si>
    <t>R15</t>
    <phoneticPr fontId="3"/>
  </si>
  <si>
    <t>V15</t>
    <phoneticPr fontId="3"/>
  </si>
  <si>
    <t>C18</t>
    <phoneticPr fontId="3"/>
  </si>
  <si>
    <t>J18</t>
    <phoneticPr fontId="3"/>
  </si>
  <si>
    <t>K18</t>
    <phoneticPr fontId="3"/>
  </si>
  <si>
    <t>A20</t>
    <phoneticPr fontId="3"/>
  </si>
  <si>
    <t>K20</t>
    <phoneticPr fontId="3"/>
  </si>
  <si>
    <t>DRV_VOUT</t>
    <phoneticPr fontId="3"/>
  </si>
  <si>
    <t>J20</t>
    <phoneticPr fontId="3"/>
  </si>
  <si>
    <t>L20</t>
    <phoneticPr fontId="3"/>
  </si>
  <si>
    <t>VSSD_2</t>
    <phoneticPr fontId="3"/>
  </si>
  <si>
    <t>P20</t>
    <phoneticPr fontId="3"/>
  </si>
  <si>
    <t>Y20</t>
    <phoneticPr fontId="3"/>
  </si>
  <si>
    <t>Noise guard for ECO inputs</t>
    <phoneticPr fontId="3"/>
  </si>
  <si>
    <t>Digital Ground</t>
    <phoneticPr fontId="3"/>
  </si>
  <si>
    <t>Name</t>
    <phoneticPr fontId="3"/>
  </si>
  <si>
    <t>Main regulated supply. Driven by LDO regulator</t>
    <phoneticPr fontId="3"/>
  </si>
  <si>
    <t>Dedicated external supply control pin</t>
    <phoneticPr fontId="3"/>
  </si>
  <si>
    <t>HSIO ground</t>
    <phoneticPr fontId="3"/>
  </si>
  <si>
    <t>I/O supply (except analog I/Os on VDDA)</t>
    <phoneticPr fontId="3"/>
  </si>
  <si>
    <t>I/O supply for high speed domain#1 (HSIO_STD)</t>
    <phoneticPr fontId="3"/>
  </si>
  <si>
    <t>P5.3</t>
    <phoneticPr fontId="3"/>
  </si>
  <si>
    <t>(P6.4)</t>
    <phoneticPr fontId="3"/>
  </si>
  <si>
    <t>(P6.6)</t>
    <phoneticPr fontId="3"/>
  </si>
  <si>
    <t>(P32.0)</t>
    <phoneticPr fontId="3"/>
  </si>
  <si>
    <t>(P32.4)</t>
    <phoneticPr fontId="3"/>
  </si>
  <si>
    <t>(P7.1)</t>
    <phoneticPr fontId="3"/>
  </si>
  <si>
    <t>(P7.3)</t>
    <phoneticPr fontId="3"/>
  </si>
  <si>
    <t>(P8.1)</t>
    <phoneticPr fontId="3"/>
  </si>
  <si>
    <t>(P8.4)</t>
    <phoneticPr fontId="3"/>
  </si>
  <si>
    <t>(P9.1)</t>
    <phoneticPr fontId="3"/>
  </si>
  <si>
    <t>(P24.2)</t>
    <phoneticPr fontId="3"/>
  </si>
  <si>
    <t>(P25.0)</t>
    <phoneticPr fontId="3"/>
  </si>
  <si>
    <t>(P25.3)</t>
    <phoneticPr fontId="3"/>
  </si>
  <si>
    <t>(P25.6)</t>
    <phoneticPr fontId="3"/>
  </si>
  <si>
    <t>(P10.5)</t>
    <phoneticPr fontId="3"/>
  </si>
  <si>
    <t>(P12.0)</t>
    <phoneticPr fontId="3"/>
  </si>
  <si>
    <t>(P12.3)</t>
    <phoneticPr fontId="3"/>
  </si>
  <si>
    <t>(P12.6)</t>
    <phoneticPr fontId="3"/>
  </si>
  <si>
    <t>(P13.1)</t>
    <phoneticPr fontId="3"/>
  </si>
  <si>
    <t>(P13.0)</t>
    <phoneticPr fontId="3"/>
  </si>
  <si>
    <t>(P6.1)</t>
    <phoneticPr fontId="3"/>
  </si>
  <si>
    <t>(P32.1)</t>
    <phoneticPr fontId="3"/>
  </si>
  <si>
    <t>(P32.5)</t>
    <phoneticPr fontId="3"/>
  </si>
  <si>
    <t>(P32.6)</t>
    <phoneticPr fontId="3"/>
  </si>
  <si>
    <t>(P7.4)</t>
    <phoneticPr fontId="3"/>
  </si>
  <si>
    <t>(P8.2)</t>
    <phoneticPr fontId="3"/>
  </si>
  <si>
    <t>(P9.2)</t>
    <phoneticPr fontId="3"/>
  </si>
  <si>
    <t>(P24.0)</t>
    <phoneticPr fontId="3"/>
  </si>
  <si>
    <t>(P24.3)</t>
    <phoneticPr fontId="3"/>
  </si>
  <si>
    <t>(P25.1)</t>
    <phoneticPr fontId="3"/>
  </si>
  <si>
    <t>(P25.4)</t>
    <phoneticPr fontId="3"/>
  </si>
  <si>
    <t>(P25.7)</t>
    <phoneticPr fontId="3"/>
  </si>
  <si>
    <t>(P10.6)</t>
    <phoneticPr fontId="3"/>
  </si>
  <si>
    <t>(P12.1)</t>
    <phoneticPr fontId="3"/>
  </si>
  <si>
    <t>(P12.4)</t>
    <phoneticPr fontId="3"/>
  </si>
  <si>
    <t>(P13.3)</t>
    <phoneticPr fontId="3"/>
  </si>
  <si>
    <t>(P13.2)</t>
    <phoneticPr fontId="3"/>
  </si>
  <si>
    <t>(P5.4)</t>
    <phoneticPr fontId="3"/>
  </si>
  <si>
    <t>(P5.5)</t>
    <phoneticPr fontId="3"/>
  </si>
  <si>
    <t>(P13.5)</t>
    <phoneticPr fontId="3"/>
  </si>
  <si>
    <t>(P13.4)</t>
    <phoneticPr fontId="3"/>
  </si>
  <si>
    <t>(P5.0)</t>
    <phoneticPr fontId="3"/>
  </si>
  <si>
    <t>(P5.1)</t>
    <phoneticPr fontId="3"/>
  </si>
  <si>
    <t>(P5.2)</t>
    <phoneticPr fontId="3"/>
  </si>
  <si>
    <t>(P32.7)</t>
    <phoneticPr fontId="3"/>
  </si>
  <si>
    <t>(P7.5)</t>
    <phoneticPr fontId="3"/>
  </si>
  <si>
    <t>(P7.7)</t>
    <phoneticPr fontId="3"/>
  </si>
  <si>
    <t>(P9.3)</t>
    <phoneticPr fontId="3"/>
  </si>
  <si>
    <t>(P10.0)</t>
    <phoneticPr fontId="3"/>
  </si>
  <si>
    <t>(P10.1)</t>
    <phoneticPr fontId="3"/>
  </si>
  <si>
    <t>(P10.2)</t>
    <phoneticPr fontId="3"/>
  </si>
  <si>
    <t>(P10.3)</t>
    <phoneticPr fontId="3"/>
  </si>
  <si>
    <t>(P11.0)</t>
    <phoneticPr fontId="3"/>
  </si>
  <si>
    <t>(P11.2)</t>
    <phoneticPr fontId="3"/>
  </si>
  <si>
    <t>(P14.1)</t>
    <phoneticPr fontId="3"/>
  </si>
  <si>
    <t>(P14.0)</t>
    <phoneticPr fontId="3"/>
  </si>
  <si>
    <t>(P13.7)</t>
    <phoneticPr fontId="3"/>
  </si>
  <si>
    <t>(P13.6)</t>
    <phoneticPr fontId="3"/>
  </si>
  <si>
    <t>(P30.1)</t>
    <phoneticPr fontId="3"/>
  </si>
  <si>
    <t>(P30.2)</t>
    <phoneticPr fontId="3"/>
  </si>
  <si>
    <t>(P30.3)</t>
    <phoneticPr fontId="3"/>
  </si>
  <si>
    <t>(P31.2)</t>
    <phoneticPr fontId="3"/>
  </si>
  <si>
    <t>(P7.6)</t>
    <phoneticPr fontId="3"/>
  </si>
  <si>
    <t>(P11.1)</t>
    <phoneticPr fontId="3"/>
  </si>
  <si>
    <t>(P14.5)</t>
    <phoneticPr fontId="3"/>
  </si>
  <si>
    <t>(P14.4)</t>
    <phoneticPr fontId="3"/>
  </si>
  <si>
    <t>(P14.3)</t>
    <phoneticPr fontId="3"/>
  </si>
  <si>
    <t>(P14.2)</t>
    <phoneticPr fontId="3"/>
  </si>
  <si>
    <t>(P4.5)</t>
    <phoneticPr fontId="3"/>
  </si>
  <si>
    <t>(P4.6)</t>
    <phoneticPr fontId="3"/>
  </si>
  <si>
    <t>(P30.0)</t>
    <phoneticPr fontId="3"/>
  </si>
  <si>
    <t>(P31.0)</t>
    <phoneticPr fontId="3"/>
  </si>
  <si>
    <t>(P31.1)</t>
    <phoneticPr fontId="3"/>
  </si>
  <si>
    <t>(P14.6)</t>
    <phoneticPr fontId="3"/>
  </si>
  <si>
    <t>(P14.7)</t>
    <phoneticPr fontId="3"/>
  </si>
  <si>
    <t>(P15.2)</t>
    <phoneticPr fontId="3"/>
  </si>
  <si>
    <t>(P15.1)</t>
    <phoneticPr fontId="3"/>
  </si>
  <si>
    <t>(P15.0)</t>
    <phoneticPr fontId="3"/>
  </si>
  <si>
    <t>(P4.1)</t>
    <phoneticPr fontId="3"/>
  </si>
  <si>
    <t>(P4.2)</t>
    <phoneticPr fontId="3"/>
  </si>
  <si>
    <t>(P4.3)</t>
    <phoneticPr fontId="3"/>
  </si>
  <si>
    <t>(P4.4)</t>
    <phoneticPr fontId="3"/>
  </si>
  <si>
    <t>(P15.3)</t>
    <phoneticPr fontId="3"/>
  </si>
  <si>
    <t>(P26.2)</t>
    <phoneticPr fontId="3"/>
  </si>
  <si>
    <t>(P26.1)</t>
    <phoneticPr fontId="3"/>
  </si>
  <si>
    <t>(P26.0)</t>
    <phoneticPr fontId="3"/>
  </si>
  <si>
    <t>(P4.0)</t>
    <phoneticPr fontId="3"/>
  </si>
  <si>
    <t>(P29.5)</t>
    <phoneticPr fontId="3"/>
  </si>
  <si>
    <t>(P29.6)</t>
    <phoneticPr fontId="3"/>
  </si>
  <si>
    <t>(P29.7)</t>
    <phoneticPr fontId="3"/>
  </si>
  <si>
    <t>F9</t>
    <phoneticPr fontId="3"/>
  </si>
  <si>
    <t>(P16.0)</t>
    <phoneticPr fontId="3"/>
  </si>
  <si>
    <t>(P26.5)</t>
    <phoneticPr fontId="3"/>
  </si>
  <si>
    <t>(P26.4)</t>
    <phoneticPr fontId="3"/>
  </si>
  <si>
    <t>(P26.3)</t>
    <phoneticPr fontId="3"/>
  </si>
  <si>
    <t>(P29.2)</t>
    <phoneticPr fontId="3"/>
  </si>
  <si>
    <t>(P29.3)</t>
    <phoneticPr fontId="3"/>
  </si>
  <si>
    <t>(P29.4)</t>
    <phoneticPr fontId="3"/>
  </si>
  <si>
    <t>(P16.1)</t>
    <phoneticPr fontId="3"/>
  </si>
  <si>
    <t>(P27.0)</t>
    <phoneticPr fontId="3"/>
  </si>
  <si>
    <t>(P26.7)</t>
    <phoneticPr fontId="3"/>
  </si>
  <si>
    <t>(P26.6)</t>
    <phoneticPr fontId="3"/>
  </si>
  <si>
    <t>(P29.0)</t>
    <phoneticPr fontId="3"/>
  </si>
  <si>
    <t>(P29.1)</t>
    <phoneticPr fontId="3"/>
  </si>
  <si>
    <t>(P3.6)</t>
    <phoneticPr fontId="3"/>
  </si>
  <si>
    <t>(P3.7)</t>
    <phoneticPr fontId="3"/>
  </si>
  <si>
    <t>(P16.2)</t>
    <phoneticPr fontId="3"/>
  </si>
  <si>
    <t>(P27.3)</t>
    <phoneticPr fontId="3"/>
  </si>
  <si>
    <t>(P27.2)</t>
    <phoneticPr fontId="3"/>
  </si>
  <si>
    <t>(P27.1)</t>
    <phoneticPr fontId="3"/>
  </si>
  <si>
    <t>(P3.2)</t>
    <phoneticPr fontId="3"/>
  </si>
  <si>
    <t>(P3.3)</t>
    <phoneticPr fontId="3"/>
  </si>
  <si>
    <t>(P3.4)</t>
    <phoneticPr fontId="3"/>
  </si>
  <si>
    <t>(P3.5)</t>
    <phoneticPr fontId="3"/>
  </si>
  <si>
    <t>(P16.3)</t>
    <phoneticPr fontId="3"/>
  </si>
  <si>
    <t>(P27.5)</t>
    <phoneticPr fontId="3"/>
  </si>
  <si>
    <t>(P27.4)</t>
    <phoneticPr fontId="3"/>
  </si>
  <si>
    <t>(P16.5)</t>
    <phoneticPr fontId="3"/>
  </si>
  <si>
    <t>(P0.0)</t>
    <phoneticPr fontId="3"/>
  </si>
  <si>
    <t>(P3.0)</t>
    <phoneticPr fontId="3"/>
  </si>
  <si>
    <t>(P3.1)</t>
    <phoneticPr fontId="3"/>
  </si>
  <si>
    <t>(P2.6)</t>
    <phoneticPr fontId="3"/>
  </si>
  <si>
    <t>(P2.7)</t>
    <phoneticPr fontId="3"/>
  </si>
  <si>
    <t>(P16.4)</t>
    <phoneticPr fontId="3"/>
  </si>
  <si>
    <t>(P27.6)</t>
    <phoneticPr fontId="3"/>
  </si>
  <si>
    <t>(P16.6)</t>
    <phoneticPr fontId="3"/>
  </si>
  <si>
    <t>(P2.2)</t>
    <phoneticPr fontId="3"/>
  </si>
  <si>
    <t>(P2.3)</t>
    <phoneticPr fontId="3"/>
  </si>
  <si>
    <t>(P2.4)</t>
    <phoneticPr fontId="3"/>
  </si>
  <si>
    <t>(P2.5)</t>
    <phoneticPr fontId="3"/>
  </si>
  <si>
    <t>(P1.6)</t>
    <phoneticPr fontId="3"/>
  </si>
  <si>
    <t>(P17.3)</t>
    <phoneticPr fontId="3"/>
  </si>
  <si>
    <t>(P17.2)</t>
    <phoneticPr fontId="3"/>
  </si>
  <si>
    <t>(P17.1)</t>
    <phoneticPr fontId="3"/>
  </si>
  <si>
    <t>(P17.0)</t>
    <phoneticPr fontId="3"/>
  </si>
  <si>
    <t>(P16.7)</t>
    <phoneticPr fontId="3"/>
  </si>
  <si>
    <t>(P2.0)</t>
    <phoneticPr fontId="3"/>
  </si>
  <si>
    <t>(P2.1)</t>
    <phoneticPr fontId="3"/>
  </si>
  <si>
    <t>(P1.4)</t>
    <phoneticPr fontId="3"/>
  </si>
  <si>
    <t>(P1.5)</t>
    <phoneticPr fontId="3"/>
  </si>
  <si>
    <t>(P23.7)</t>
    <phoneticPr fontId="3"/>
  </si>
  <si>
    <t>(P19.3)</t>
    <phoneticPr fontId="3"/>
  </si>
  <si>
    <t>(P18.5)</t>
    <phoneticPr fontId="3"/>
  </si>
  <si>
    <t>(P17.5)</t>
    <phoneticPr fontId="3"/>
  </si>
  <si>
    <t>(P17.4)</t>
    <phoneticPr fontId="3"/>
  </si>
  <si>
    <t>(P1.1)</t>
    <phoneticPr fontId="3"/>
  </si>
  <si>
    <t>(P1.2)</t>
    <phoneticPr fontId="3"/>
  </si>
  <si>
    <t>(P1.3)</t>
    <phoneticPr fontId="3"/>
  </si>
  <si>
    <t>(P23.6)</t>
    <phoneticPr fontId="3"/>
  </si>
  <si>
    <t>(P22.7)</t>
    <phoneticPr fontId="3"/>
  </si>
  <si>
    <t>(P22.6)</t>
    <phoneticPr fontId="3"/>
  </si>
  <si>
    <t>(P20.7)</t>
    <phoneticPr fontId="3"/>
  </si>
  <si>
    <t>(P20.6)</t>
    <phoneticPr fontId="3"/>
  </si>
  <si>
    <t>(P20.5)</t>
    <phoneticPr fontId="3"/>
  </si>
  <si>
    <t>(P20.2)</t>
    <phoneticPr fontId="3"/>
  </si>
  <si>
    <t>(P19.4)</t>
    <phoneticPr fontId="3"/>
  </si>
  <si>
    <t>(P19.2)</t>
    <phoneticPr fontId="3"/>
  </si>
  <si>
    <t>(P18.7)</t>
    <phoneticPr fontId="3"/>
  </si>
  <si>
    <t>(P18.6)</t>
    <phoneticPr fontId="3"/>
  </si>
  <si>
    <t>(P18.0)</t>
    <phoneticPr fontId="3"/>
  </si>
  <si>
    <t>(P17.7)</t>
    <phoneticPr fontId="3"/>
  </si>
  <si>
    <t>(P17.6)</t>
    <phoneticPr fontId="3"/>
  </si>
  <si>
    <t>(P1.0)</t>
    <phoneticPr fontId="3"/>
  </si>
  <si>
    <t>(P0.2)</t>
    <phoneticPr fontId="3"/>
  </si>
  <si>
    <t>(P0.3)</t>
    <phoneticPr fontId="3"/>
  </si>
  <si>
    <t>(P33.1)</t>
    <phoneticPr fontId="3"/>
  </si>
  <si>
    <t>(P18.2)</t>
    <phoneticPr fontId="3"/>
  </si>
  <si>
    <t>(P18.1)</t>
    <phoneticPr fontId="3"/>
  </si>
  <si>
    <t>(P0.1)</t>
    <phoneticPr fontId="3"/>
  </si>
  <si>
    <t>(P28.2)</t>
    <phoneticPr fontId="3"/>
  </si>
  <si>
    <t>(P23.4)</t>
    <phoneticPr fontId="3"/>
  </si>
  <si>
    <t>(P23.1)</t>
    <phoneticPr fontId="3"/>
  </si>
  <si>
    <t>(P22.5)</t>
    <phoneticPr fontId="3"/>
  </si>
  <si>
    <t>(P21.7)</t>
    <phoneticPr fontId="3"/>
  </si>
  <si>
    <t>(P20.4)</t>
    <phoneticPr fontId="3"/>
  </si>
  <si>
    <t>(P20.1)</t>
    <phoneticPr fontId="3"/>
  </si>
  <si>
    <t>(P20.0)</t>
    <phoneticPr fontId="3"/>
  </si>
  <si>
    <t>(P19.1)</t>
    <phoneticPr fontId="3"/>
  </si>
  <si>
    <t>(P34.7)</t>
    <phoneticPr fontId="3"/>
  </si>
  <si>
    <t>(P34.4)</t>
    <phoneticPr fontId="3"/>
  </si>
  <si>
    <t>(P34.1)</t>
    <phoneticPr fontId="3"/>
  </si>
  <si>
    <t>(P33.3)</t>
    <phoneticPr fontId="3"/>
  </si>
  <si>
    <t>(P33.0)</t>
    <phoneticPr fontId="3"/>
  </si>
  <si>
    <t>(P18.3)</t>
    <phoneticPr fontId="3"/>
  </si>
  <si>
    <t>(P28.7)</t>
    <phoneticPr fontId="3"/>
  </si>
  <si>
    <t>(P28.6)</t>
    <phoneticPr fontId="3"/>
  </si>
  <si>
    <t>(P28.4)</t>
    <phoneticPr fontId="3"/>
  </si>
  <si>
    <t>(P28.1)</t>
    <phoneticPr fontId="3"/>
  </si>
  <si>
    <t>(P23.3)</t>
    <phoneticPr fontId="3"/>
  </si>
  <si>
    <t>(P23.0)</t>
    <phoneticPr fontId="3"/>
  </si>
  <si>
    <t>(P22.4)</t>
    <phoneticPr fontId="3"/>
  </si>
  <si>
    <t>(P21.6)</t>
    <phoneticPr fontId="3"/>
  </si>
  <si>
    <t>(P21.5)</t>
    <phoneticPr fontId="3"/>
  </si>
  <si>
    <t>(P21.4)</t>
    <phoneticPr fontId="3"/>
  </si>
  <si>
    <t>(P20.3)</t>
    <phoneticPr fontId="3"/>
  </si>
  <si>
    <t>(P21.2)</t>
    <phoneticPr fontId="3"/>
  </si>
  <si>
    <t>(P21.0)</t>
    <phoneticPr fontId="3"/>
  </si>
  <si>
    <t>(P19.0)</t>
    <phoneticPr fontId="3"/>
  </si>
  <si>
    <t>(P34.6)</t>
    <phoneticPr fontId="3"/>
  </si>
  <si>
    <t>(P34.3)</t>
    <phoneticPr fontId="3"/>
  </si>
  <si>
    <t>(P34.0)</t>
    <phoneticPr fontId="3"/>
  </si>
  <si>
    <t>(P33.6)</t>
    <phoneticPr fontId="3"/>
  </si>
  <si>
    <t>(P33.2)</t>
    <phoneticPr fontId="3"/>
  </si>
  <si>
    <t>(P18.4)</t>
    <phoneticPr fontId="3"/>
  </si>
  <si>
    <t>(P28.5)</t>
    <phoneticPr fontId="3"/>
  </si>
  <si>
    <t>(P28.3)</t>
    <phoneticPr fontId="3"/>
  </si>
  <si>
    <t>(P23.5)</t>
    <phoneticPr fontId="3"/>
  </si>
  <si>
    <t>(P23.2)</t>
    <phoneticPr fontId="3"/>
  </si>
  <si>
    <t>(P22.3)</t>
    <phoneticPr fontId="3"/>
  </si>
  <si>
    <t>(P22.2)</t>
    <phoneticPr fontId="3"/>
  </si>
  <si>
    <t>(P22.1)</t>
    <phoneticPr fontId="3"/>
  </si>
  <si>
    <t>(P21.3)</t>
    <phoneticPr fontId="3"/>
  </si>
  <si>
    <t>(P21.1)</t>
    <phoneticPr fontId="3"/>
  </si>
  <si>
    <t>(P34.5)</t>
    <phoneticPr fontId="3"/>
  </si>
  <si>
    <t>(P34.2)</t>
    <phoneticPr fontId="3"/>
  </si>
  <si>
    <t>(P33.7)</t>
    <phoneticPr fontId="3"/>
  </si>
  <si>
    <t>(P33.5)</t>
    <phoneticPr fontId="3"/>
  </si>
  <si>
    <t>(P33.4)</t>
    <phoneticPr fontId="3"/>
  </si>
  <si>
    <t>CAN0_3</t>
  </si>
  <si>
    <t>CAN0_4</t>
  </si>
  <si>
    <t>CAN1_3</t>
  </si>
  <si>
    <t>CAN1_4</t>
  </si>
  <si>
    <t>CAN1_4_TX</t>
    <phoneticPr fontId="3"/>
  </si>
  <si>
    <t>(I2C)</t>
    <phoneticPr fontId="3"/>
  </si>
  <si>
    <t>LIN8</t>
  </si>
  <si>
    <t>LIN9</t>
  </si>
  <si>
    <t>LIN10</t>
  </si>
  <si>
    <t>LIN11</t>
  </si>
  <si>
    <t>LIN12</t>
  </si>
  <si>
    <t>LIN13</t>
  </si>
  <si>
    <t>LIN14</t>
  </si>
  <si>
    <t>LIN15</t>
  </si>
  <si>
    <t>LIN16</t>
  </si>
  <si>
    <t>LIN17</t>
  </si>
  <si>
    <t>LIN18</t>
  </si>
  <si>
    <t>LIN19</t>
  </si>
  <si>
    <t>SCB8</t>
  </si>
  <si>
    <t>SCB9</t>
  </si>
  <si>
    <t>SCB10</t>
  </si>
  <si>
    <t>CNT63</t>
  </si>
  <si>
    <t>CNT64</t>
  </si>
  <si>
    <t>CNT65</t>
  </si>
  <si>
    <t>CNT66</t>
  </si>
  <si>
    <t>CNT67</t>
  </si>
  <si>
    <t>CNT68</t>
  </si>
  <si>
    <t>CNT69</t>
  </si>
  <si>
    <t>CNT70</t>
  </si>
  <si>
    <t>CNT71</t>
  </si>
  <si>
    <t>CNT72</t>
  </si>
  <si>
    <t>CNT73</t>
  </si>
  <si>
    <t>CNT74</t>
  </si>
  <si>
    <t>CNT75</t>
  </si>
  <si>
    <t>CNT76</t>
  </si>
  <si>
    <t>CNT77</t>
  </si>
  <si>
    <t>CNT78</t>
  </si>
  <si>
    <t>CNT79</t>
  </si>
  <si>
    <t>CNT80</t>
  </si>
  <si>
    <t>CNT81</t>
  </si>
  <si>
    <t>CNT82</t>
  </si>
  <si>
    <t>CNT83</t>
  </si>
  <si>
    <t>LIN11_EN</t>
    <phoneticPr fontId="3"/>
  </si>
  <si>
    <t>SCB4_MISO (2)</t>
    <phoneticPr fontId="3"/>
  </si>
  <si>
    <t>SCB7_MISO (0)</t>
    <phoneticPr fontId="3"/>
  </si>
  <si>
    <t>Pin Usage Status_320-BGA for peripheral</t>
    <phoneticPr fontId="3"/>
  </si>
  <si>
    <t>CLK (0)</t>
    <phoneticPr fontId="3"/>
  </si>
  <si>
    <t>CLK (1)</t>
    <phoneticPr fontId="3"/>
  </si>
  <si>
    <t>CLK (2)</t>
    <phoneticPr fontId="3"/>
  </si>
  <si>
    <t>MOSI (0)</t>
    <phoneticPr fontId="3"/>
  </si>
  <si>
    <t>MOSI (1)</t>
  </si>
  <si>
    <t>MOSI (2)</t>
  </si>
  <si>
    <t>MISO (0)</t>
    <phoneticPr fontId="3"/>
  </si>
  <si>
    <t>MISO (1)</t>
    <phoneticPr fontId="3"/>
  </si>
  <si>
    <t>MISO (2)</t>
    <phoneticPr fontId="3"/>
  </si>
  <si>
    <t>SEL0 (0)</t>
    <phoneticPr fontId="3"/>
  </si>
  <si>
    <t>SEL0 (1)</t>
    <phoneticPr fontId="3"/>
  </si>
  <si>
    <t>SEL0 (2)</t>
    <phoneticPr fontId="3"/>
  </si>
  <si>
    <t>SEL1 (0)</t>
    <phoneticPr fontId="3"/>
  </si>
  <si>
    <t>SEL1 (1)</t>
    <phoneticPr fontId="3"/>
  </si>
  <si>
    <t>SEL1 (2)</t>
    <phoneticPr fontId="3"/>
  </si>
  <si>
    <t>SEL2 (0)</t>
    <phoneticPr fontId="3"/>
  </si>
  <si>
    <t>SEL2 (1)</t>
    <phoneticPr fontId="3"/>
  </si>
  <si>
    <t>SEL2 (2)</t>
    <phoneticPr fontId="3"/>
  </si>
  <si>
    <t>SEL3 (0)</t>
    <phoneticPr fontId="3"/>
  </si>
  <si>
    <t>SEL3 (1)</t>
    <phoneticPr fontId="3"/>
  </si>
  <si>
    <t>SEL3 (2)</t>
    <phoneticPr fontId="3"/>
  </si>
  <si>
    <t>TX (0)</t>
    <phoneticPr fontId="3"/>
  </si>
  <si>
    <t>TX (1)</t>
    <phoneticPr fontId="3"/>
  </si>
  <si>
    <t>RX (0)</t>
    <phoneticPr fontId="3"/>
  </si>
  <si>
    <t>RX (1)</t>
    <phoneticPr fontId="3"/>
  </si>
  <si>
    <t>CTS (0)</t>
    <phoneticPr fontId="3"/>
  </si>
  <si>
    <t>CTS (1)</t>
    <phoneticPr fontId="3"/>
  </si>
  <si>
    <t>RTS (0)</t>
    <phoneticPr fontId="3"/>
  </si>
  <si>
    <t>RTS (1)</t>
    <phoneticPr fontId="3"/>
  </si>
  <si>
    <t>SDA (0)</t>
    <phoneticPr fontId="3"/>
  </si>
  <si>
    <t>SDA (1)</t>
    <phoneticPr fontId="3"/>
  </si>
  <si>
    <t>SDA (2)</t>
    <phoneticPr fontId="3"/>
  </si>
  <si>
    <t>SCL (0)</t>
    <phoneticPr fontId="3"/>
  </si>
  <si>
    <t>SCL (1)</t>
    <phoneticPr fontId="3"/>
  </si>
  <si>
    <t>SCL (2)</t>
    <phoneticPr fontId="3"/>
  </si>
  <si>
    <t>TCPWM1_16bit (Group0)</t>
    <phoneticPr fontId="3"/>
  </si>
  <si>
    <t>TCPWM0_16bit (Group0)</t>
    <phoneticPr fontId="3"/>
  </si>
  <si>
    <t>PWM0_1</t>
    <phoneticPr fontId="3"/>
  </si>
  <si>
    <t>(TCPWM1)</t>
    <phoneticPr fontId="3"/>
  </si>
  <si>
    <t>(UART)
(SPI)</t>
    <phoneticPr fontId="3"/>
  </si>
  <si>
    <t>(I2C)
(LIN)</t>
    <phoneticPr fontId="3"/>
  </si>
  <si>
    <t>(SPI)
(TCPWM1)</t>
    <phoneticPr fontId="3"/>
  </si>
  <si>
    <t>(CAN)
(LIN)
(SPI)</t>
    <phoneticPr fontId="3"/>
  </si>
  <si>
    <t>(LIN)
(SMIF)</t>
    <phoneticPr fontId="3"/>
  </si>
  <si>
    <t>RTC_CAL</t>
    <phoneticPr fontId="3"/>
  </si>
  <si>
    <t>(DEBUG)
(RTC)</t>
    <phoneticPr fontId="3"/>
  </si>
  <si>
    <t>(TCPWM1)
(ADC)</t>
    <phoneticPr fontId="3"/>
  </si>
  <si>
    <t>(ADC)
(REGHC)
(HIBERNATE)</t>
    <phoneticPr fontId="3"/>
  </si>
  <si>
    <t>(SDHC)
(AudioSS)</t>
    <phoneticPr fontId="3"/>
  </si>
  <si>
    <t>TCPWM0_16bit for motor (Group1)</t>
    <phoneticPr fontId="3"/>
  </si>
  <si>
    <t>TCPWM1_16bit for motor (Group1)</t>
    <phoneticPr fontId="3"/>
  </si>
  <si>
    <t>PWM1_M_11_N</t>
    <phoneticPr fontId="3"/>
  </si>
  <si>
    <t>PWM1_M_10_N</t>
    <phoneticPr fontId="3"/>
  </si>
  <si>
    <t>TCPWM1_32bit (Group2)</t>
    <phoneticPr fontId="3"/>
  </si>
  <si>
    <t>TCPWM0_32bit (Group2)</t>
    <phoneticPr fontId="3"/>
  </si>
  <si>
    <t>(LIN)
(TCPWM0)
(External clock)</t>
    <phoneticPr fontId="3"/>
  </si>
  <si>
    <t>Ethernet MAC</t>
    <phoneticPr fontId="3"/>
  </si>
  <si>
    <t>(Ethernet MAC)</t>
    <phoneticPr fontId="3"/>
  </si>
  <si>
    <t>NA</t>
    <phoneticPr fontId="3"/>
  </si>
  <si>
    <t>ETH0</t>
    <phoneticPr fontId="3"/>
  </si>
  <si>
    <t>ETH1</t>
    <phoneticPr fontId="3"/>
  </si>
  <si>
    <t>REF_CLK (0)</t>
    <phoneticPr fontId="3"/>
  </si>
  <si>
    <t>TX_CTL (0)</t>
    <phoneticPr fontId="3"/>
  </si>
  <si>
    <t>TX_CLK (0)</t>
    <phoneticPr fontId="3"/>
  </si>
  <si>
    <t>TX_ER (0)</t>
    <phoneticPr fontId="3"/>
  </si>
  <si>
    <t>TXD_0 (0)</t>
    <phoneticPr fontId="3"/>
  </si>
  <si>
    <t>TXD_1 (0)</t>
    <phoneticPr fontId="3"/>
  </si>
  <si>
    <t>TXD_2 (0)</t>
    <phoneticPr fontId="3"/>
  </si>
  <si>
    <t>TXD_3 (0)</t>
    <phoneticPr fontId="3"/>
  </si>
  <si>
    <t>RX_CTL (0)</t>
    <phoneticPr fontId="3"/>
  </si>
  <si>
    <t>RX_CLK (0)</t>
    <phoneticPr fontId="3"/>
  </si>
  <si>
    <t>RX_ER (0)</t>
    <phoneticPr fontId="3"/>
  </si>
  <si>
    <t>RXD_0 (0)</t>
    <phoneticPr fontId="3"/>
  </si>
  <si>
    <t>RXD_1 (0)</t>
    <phoneticPr fontId="3"/>
  </si>
  <si>
    <t>RXD_2 (0)</t>
    <phoneticPr fontId="3"/>
  </si>
  <si>
    <t>RXD_3 (0)</t>
    <phoneticPr fontId="3"/>
  </si>
  <si>
    <t>TXD_4 (0)</t>
    <phoneticPr fontId="3"/>
  </si>
  <si>
    <t>TXD_5 (0)</t>
    <phoneticPr fontId="3"/>
  </si>
  <si>
    <t>TXD_6 (0)</t>
    <phoneticPr fontId="3"/>
  </si>
  <si>
    <t>TXD_7 (0)</t>
    <phoneticPr fontId="3"/>
  </si>
  <si>
    <t>MDIO (0)</t>
    <phoneticPr fontId="3"/>
  </si>
  <si>
    <t>MDC (0)</t>
    <phoneticPr fontId="3"/>
  </si>
  <si>
    <t>MDC (1)</t>
    <phoneticPr fontId="3"/>
  </si>
  <si>
    <t>MDIO (1)</t>
    <phoneticPr fontId="3"/>
  </si>
  <si>
    <t>RXD_3 (1)</t>
    <phoneticPr fontId="3"/>
  </si>
  <si>
    <t>RXD_2 (1)</t>
    <phoneticPr fontId="3"/>
  </si>
  <si>
    <t>RXD_1 (1)</t>
    <phoneticPr fontId="3"/>
  </si>
  <si>
    <t>RXD_0 (1)</t>
    <phoneticPr fontId="3"/>
  </si>
  <si>
    <t>RX_CLK (1)</t>
    <phoneticPr fontId="3"/>
  </si>
  <si>
    <t>RX_CTL (1)</t>
    <phoneticPr fontId="3"/>
  </si>
  <si>
    <t>RXD_4 (0)</t>
    <phoneticPr fontId="3"/>
  </si>
  <si>
    <t>RXD_5 (0)</t>
    <phoneticPr fontId="3"/>
  </si>
  <si>
    <t>RXD_6 (0)</t>
    <phoneticPr fontId="3"/>
  </si>
  <si>
    <t>RXD_7 (0)</t>
    <phoneticPr fontId="3"/>
  </si>
  <si>
    <t>TXD_3 (1)</t>
    <phoneticPr fontId="3"/>
  </si>
  <si>
    <t>TXD_2 (1)</t>
    <phoneticPr fontId="3"/>
  </si>
  <si>
    <t>TXD_1 (1)</t>
    <phoneticPr fontId="3"/>
  </si>
  <si>
    <t>TXD_0 (1)</t>
    <phoneticPr fontId="3"/>
  </si>
  <si>
    <t>TX_CLK (1)</t>
    <phoneticPr fontId="3"/>
  </si>
  <si>
    <t>TX_CTL (1)</t>
    <phoneticPr fontId="3"/>
  </si>
  <si>
    <t>REF_CLK (1)</t>
    <phoneticPr fontId="3"/>
  </si>
  <si>
    <t>Analog Inputs for Motor</t>
    <phoneticPr fontId="3"/>
  </si>
  <si>
    <t>Pin Assignment_272-BGA</t>
    <phoneticPr fontId="3"/>
  </si>
  <si>
    <t>V1</t>
    <phoneticPr fontId="3"/>
  </si>
  <si>
    <t>R5</t>
    <phoneticPr fontId="3"/>
  </si>
  <si>
    <t>L6</t>
    <phoneticPr fontId="3"/>
  </si>
  <si>
    <t>N6</t>
    <phoneticPr fontId="3"/>
  </si>
  <si>
    <t>G7</t>
    <phoneticPr fontId="3"/>
  </si>
  <si>
    <t>M7</t>
    <phoneticPr fontId="3"/>
  </si>
  <si>
    <t>F8</t>
    <phoneticPr fontId="3"/>
  </si>
  <si>
    <t>H8</t>
    <phoneticPr fontId="3"/>
  </si>
  <si>
    <t>J8</t>
    <phoneticPr fontId="3"/>
  </si>
  <si>
    <t>K8</t>
    <phoneticPr fontId="3"/>
  </si>
  <si>
    <t>L8</t>
    <phoneticPr fontId="3"/>
  </si>
  <si>
    <t>N8</t>
    <phoneticPr fontId="3"/>
  </si>
  <si>
    <t>D9</t>
    <phoneticPr fontId="3"/>
  </si>
  <si>
    <t>F9</t>
    <phoneticPr fontId="3"/>
  </si>
  <si>
    <t>H9</t>
    <phoneticPr fontId="3"/>
  </si>
  <si>
    <t>J9</t>
    <phoneticPr fontId="3"/>
  </si>
  <si>
    <t>K9</t>
    <phoneticPr fontId="3"/>
  </si>
  <si>
    <t>L9</t>
    <phoneticPr fontId="3"/>
  </si>
  <si>
    <t>N9</t>
    <phoneticPr fontId="3"/>
  </si>
  <si>
    <t>F10</t>
    <phoneticPr fontId="3"/>
  </si>
  <si>
    <t>H10</t>
    <phoneticPr fontId="3"/>
  </si>
  <si>
    <t>J10</t>
    <phoneticPr fontId="3"/>
  </si>
  <si>
    <t>K10</t>
    <phoneticPr fontId="3"/>
  </si>
  <si>
    <t>L10</t>
    <phoneticPr fontId="3"/>
  </si>
  <si>
    <t>N10</t>
    <phoneticPr fontId="3"/>
  </si>
  <si>
    <t>F11</t>
    <phoneticPr fontId="3"/>
  </si>
  <si>
    <t>H11</t>
    <phoneticPr fontId="3"/>
  </si>
  <si>
    <t>J11</t>
    <phoneticPr fontId="3"/>
  </si>
  <si>
    <t>K11</t>
    <phoneticPr fontId="3"/>
  </si>
  <si>
    <t>L11</t>
    <phoneticPr fontId="3"/>
  </si>
  <si>
    <t>N11</t>
    <phoneticPr fontId="3"/>
  </si>
  <si>
    <t>G12</t>
    <phoneticPr fontId="3"/>
  </si>
  <si>
    <t>M12</t>
    <phoneticPr fontId="3"/>
  </si>
  <si>
    <t>F13</t>
    <phoneticPr fontId="3"/>
  </si>
  <si>
    <t>H13</t>
    <phoneticPr fontId="3"/>
  </si>
  <si>
    <t>J13</t>
    <phoneticPr fontId="3"/>
  </si>
  <si>
    <t>K13</t>
    <phoneticPr fontId="3"/>
  </si>
  <si>
    <t>L13</t>
    <phoneticPr fontId="3"/>
  </si>
  <si>
    <t>N13</t>
    <phoneticPr fontId="3"/>
  </si>
  <si>
    <t>R14</t>
    <phoneticPr fontId="3"/>
  </si>
  <si>
    <t>J15</t>
    <phoneticPr fontId="3"/>
  </si>
  <si>
    <t>A18</t>
    <phoneticPr fontId="3"/>
  </si>
  <si>
    <t>J18</t>
    <phoneticPr fontId="3"/>
  </si>
  <si>
    <t>K18</t>
    <phoneticPr fontId="3"/>
  </si>
  <si>
    <t>L18</t>
    <phoneticPr fontId="3"/>
  </si>
  <si>
    <t>P18</t>
    <phoneticPr fontId="3"/>
  </si>
  <si>
    <t>V18</t>
    <phoneticPr fontId="3"/>
  </si>
  <si>
    <t>I/O supply for high speed domain#0 (HSIO_STD), P24, P25</t>
    <phoneticPr fontId="3"/>
  </si>
  <si>
    <t>I/O supply for high speed domain#1 (HSIO_STD), P26, P27, P33, P34</t>
    <phoneticPr fontId="3"/>
  </si>
  <si>
    <t>(P6.4)</t>
    <phoneticPr fontId="3"/>
  </si>
  <si>
    <t>(P32.5)</t>
    <phoneticPr fontId="3"/>
  </si>
  <si>
    <t>(P25.0,)</t>
    <phoneticPr fontId="3"/>
  </si>
  <si>
    <t>(P10.4)</t>
    <phoneticPr fontId="3"/>
  </si>
  <si>
    <t>(P11.1)</t>
    <phoneticPr fontId="3"/>
  </si>
  <si>
    <t>(P11.2)</t>
    <phoneticPr fontId="3"/>
  </si>
  <si>
    <t>(P13.5)</t>
    <phoneticPr fontId="3"/>
  </si>
  <si>
    <t>(P13.4)</t>
    <phoneticPr fontId="3"/>
  </si>
  <si>
    <t>(P5.5)</t>
    <phoneticPr fontId="3"/>
  </si>
  <si>
    <t>(P13.6)</t>
    <phoneticPr fontId="3"/>
  </si>
  <si>
    <t>(P5.3)</t>
    <phoneticPr fontId="3"/>
  </si>
  <si>
    <t>(P8.2)</t>
    <phoneticPr fontId="3"/>
  </si>
  <si>
    <t>(P11.0)</t>
    <phoneticPr fontId="3"/>
  </si>
  <si>
    <t>(P14.4)</t>
    <phoneticPr fontId="3"/>
  </si>
  <si>
    <t>(P14.2)</t>
    <phoneticPr fontId="3"/>
  </si>
  <si>
    <t>(P30.2)</t>
    <phoneticPr fontId="3"/>
  </si>
  <si>
    <t>(P14.5)</t>
    <phoneticPr fontId="3"/>
  </si>
  <si>
    <t>(P15.1)</t>
    <phoneticPr fontId="3"/>
  </si>
  <si>
    <t>(P4.3)</t>
    <phoneticPr fontId="3"/>
  </si>
  <si>
    <t>(P26.1)</t>
    <phoneticPr fontId="3"/>
  </si>
  <si>
    <t>(P15.3)</t>
    <phoneticPr fontId="3"/>
  </si>
  <si>
    <t>(P26.5)</t>
    <phoneticPr fontId="3"/>
  </si>
  <si>
    <t>(P26.3)</t>
    <phoneticPr fontId="3"/>
  </si>
  <si>
    <t>(P29.3)</t>
    <phoneticPr fontId="3"/>
  </si>
  <si>
    <t>(P29.4)</t>
    <phoneticPr fontId="3"/>
  </si>
  <si>
    <t>(P27.1)</t>
    <phoneticPr fontId="3"/>
  </si>
  <si>
    <t>(P26.7)</t>
    <phoneticPr fontId="3"/>
  </si>
  <si>
    <t>(P3.7)</t>
    <phoneticPr fontId="3"/>
  </si>
  <si>
    <t>(P27.5)</t>
    <phoneticPr fontId="3"/>
  </si>
  <si>
    <t>(P27.3)</t>
    <phoneticPr fontId="3"/>
  </si>
  <si>
    <t>(P3.4)</t>
    <phoneticPr fontId="3"/>
  </si>
  <si>
    <t>(P2.7)</t>
    <phoneticPr fontId="3"/>
  </si>
  <si>
    <t>(P16.7)</t>
    <phoneticPr fontId="3"/>
  </si>
  <si>
    <t>(P27.7)</t>
    <phoneticPr fontId="3"/>
  </si>
  <si>
    <t>(P16.1)</t>
    <phoneticPr fontId="3"/>
  </si>
  <si>
    <t>(P2.6)</t>
    <phoneticPr fontId="3"/>
  </si>
  <si>
    <t>(P23.2)</t>
    <phoneticPr fontId="3"/>
  </si>
  <si>
    <t>(P20.3)</t>
    <phoneticPr fontId="3"/>
  </si>
  <si>
    <t>(P16.5)</t>
    <phoneticPr fontId="3"/>
  </si>
  <si>
    <t>(P16.3)</t>
    <phoneticPr fontId="3"/>
  </si>
  <si>
    <t>(P2.3)</t>
    <phoneticPr fontId="3"/>
  </si>
  <si>
    <t>(P17.1)</t>
    <phoneticPr fontId="3"/>
  </si>
  <si>
    <t>(P1.4)</t>
    <phoneticPr fontId="3"/>
  </si>
  <si>
    <t>(P23.5)</t>
    <phoneticPr fontId="3"/>
  </si>
  <si>
    <t>(P22.6)</t>
    <phoneticPr fontId="3"/>
  </si>
  <si>
    <t>(P20.7)</t>
    <phoneticPr fontId="3"/>
  </si>
  <si>
    <t>(P20.5)</t>
    <phoneticPr fontId="3"/>
  </si>
  <si>
    <t>(P20.2)</t>
    <phoneticPr fontId="3"/>
  </si>
  <si>
    <t>(P19.4)</t>
    <phoneticPr fontId="3"/>
  </si>
  <si>
    <t>(P18.6)</t>
    <phoneticPr fontId="3"/>
  </si>
  <si>
    <t>(P17.3)</t>
    <phoneticPr fontId="3"/>
  </si>
  <si>
    <t>(P28.4)</t>
    <phoneticPr fontId="3"/>
  </si>
  <si>
    <t>(P17.6)</t>
    <phoneticPr fontId="3"/>
  </si>
  <si>
    <t>Pin Usage Status_272-BGA for peripheral</t>
    <phoneticPr fontId="3"/>
  </si>
  <si>
    <t>NA</t>
    <phoneticPr fontId="3"/>
  </si>
  <si>
    <t>Pin Usage Status_176-TEQFP for peripheral</t>
    <phoneticPr fontId="3"/>
  </si>
  <si>
    <t>Pin Assignment_176-TEQFP</t>
    <phoneticPr fontId="3"/>
  </si>
  <si>
    <t>Pin Function_176-TEQFP</t>
    <phoneticPr fontId="3"/>
  </si>
  <si>
    <t>Pin Function_272-BGA</t>
    <phoneticPr fontId="3"/>
  </si>
  <si>
    <t>Pin Function_320-BGA</t>
    <phoneticPr fontId="3"/>
  </si>
  <si>
    <t>002-34925_01 - REFERENCE DATA</t>
    <phoneticPr fontId="3"/>
  </si>
  <si>
    <t>Connection_1</t>
    <phoneticPr fontId="4"/>
  </si>
  <si>
    <t>Connection_2</t>
    <phoneticPr fontId="3"/>
  </si>
  <si>
    <t>002-34925_04 - REFERENCE DATA</t>
    <phoneticPr fontId="3"/>
  </si>
  <si>
    <t>NA</t>
    <phoneticPr fontId="3"/>
  </si>
  <si>
    <t>SMARTIO</t>
    <phoneticPr fontId="4"/>
  </si>
  <si>
    <t>Memo</t>
    <phoneticPr fontId="4"/>
  </si>
  <si>
    <t>[Notices]</t>
    <phoneticPr fontId="3"/>
  </si>
  <si>
    <t xml:space="preserve">      - For any function marked with an identifier (n), the AC timing is only guaranteed within the respective group "n".</t>
    <phoneticPr fontId="3"/>
  </si>
  <si>
    <t xml:space="preserve">      - Different functions are selected in same SCB ch.</t>
    <phoneticPr fontId="3"/>
  </si>
  <si>
    <t>*1: Check the followings.</t>
    <phoneticPr fontId="3"/>
  </si>
  <si>
    <t>ID</t>
    <phoneticPr fontId="3"/>
  </si>
  <si>
    <t>SPI</t>
    <phoneticPr fontId="3"/>
  </si>
  <si>
    <t>UART</t>
    <phoneticPr fontId="3"/>
  </si>
  <si>
    <t>I2C</t>
    <phoneticPr fontId="3"/>
  </si>
  <si>
    <t>Number of counts other than 0</t>
    <phoneticPr fontId="3"/>
  </si>
  <si>
    <t>(FLEXRAY)
(TRG_IN)</t>
    <phoneticPr fontId="3"/>
  </si>
  <si>
    <t>SMIF</t>
    <phoneticPr fontId="3"/>
  </si>
  <si>
    <t>SPIHB_RWDS (0)</t>
    <phoneticPr fontId="3"/>
  </si>
  <si>
    <t>SPIHB_RWDS (1)</t>
    <phoneticPr fontId="3"/>
  </si>
  <si>
    <t>Number of pins used</t>
    <phoneticPr fontId="3"/>
  </si>
  <si>
    <t>SDHC</t>
    <phoneticPr fontId="3"/>
  </si>
  <si>
    <t>CARD_DAT_7TO4_3 (1)</t>
    <phoneticPr fontId="3"/>
  </si>
  <si>
    <t>CARD_DAT_7TO4_2 (1)</t>
    <phoneticPr fontId="3"/>
  </si>
  <si>
    <t>CARD_DAT_7TO4_1 (1)</t>
    <phoneticPr fontId="3"/>
  </si>
  <si>
    <t>CARD_DAT_7TO4_0 (1)</t>
    <phoneticPr fontId="3"/>
  </si>
  <si>
    <t>CARD_DAT_3TO0_3 (1)</t>
    <phoneticPr fontId="3"/>
  </si>
  <si>
    <t>CARD_DAT_3TO0_2 (1)</t>
    <phoneticPr fontId="3"/>
  </si>
  <si>
    <t>CARD_DAT_3TO0_1 (1)</t>
    <phoneticPr fontId="3"/>
  </si>
  <si>
    <t>CARD_DAT_3TO0_0 (1)</t>
    <phoneticPr fontId="3"/>
  </si>
  <si>
    <t>CARD_MECH_WRITE_PROT (0)</t>
    <phoneticPr fontId="3"/>
  </si>
  <si>
    <t>CARD_CMD (0)</t>
    <phoneticPr fontId="3"/>
  </si>
  <si>
    <t>CLK_CARD (0)</t>
    <phoneticPr fontId="3"/>
  </si>
  <si>
    <t>CARD_DETECT_N (0)</t>
    <phoneticPr fontId="3"/>
  </si>
  <si>
    <t>CARD_IF_PWR_EN (0)</t>
    <phoneticPr fontId="3"/>
  </si>
  <si>
    <t>CARD_DAT_3TO0_0 (0)</t>
    <phoneticPr fontId="3"/>
  </si>
  <si>
    <t>CARD_DAT_3TO0_1 (0)</t>
    <phoneticPr fontId="3"/>
  </si>
  <si>
    <t>CARD_DAT_3TO0_2 (0)</t>
    <phoneticPr fontId="3"/>
  </si>
  <si>
    <t>CARD_DAT_3TO0_3 (0)</t>
    <phoneticPr fontId="3"/>
  </si>
  <si>
    <t>CARD_DAT_7TO4_0 (0)</t>
    <phoneticPr fontId="3"/>
  </si>
  <si>
    <t>CARD_DAT_7TO4_1 (0)</t>
    <phoneticPr fontId="3"/>
  </si>
  <si>
    <t>CARD_DAT_7TO4_2 (0)</t>
    <phoneticPr fontId="3"/>
  </si>
  <si>
    <t>CARD_DAT_7TO4_3 (0)</t>
    <phoneticPr fontId="3"/>
  </si>
  <si>
    <t>CARD_DETECT_N (1)</t>
    <phoneticPr fontId="3"/>
  </si>
  <si>
    <t>CARD_MECH_WRITE_PROT (1)</t>
    <phoneticPr fontId="3"/>
  </si>
  <si>
    <t>CLK_CARD (1)</t>
    <phoneticPr fontId="3"/>
  </si>
  <si>
    <t>CARD_CMD (1)</t>
    <phoneticPr fontId="3"/>
  </si>
  <si>
    <t>CARD_IF_PWR_EN (1)</t>
    <phoneticPr fontId="3"/>
  </si>
  <si>
    <t>RWDS (0)</t>
    <phoneticPr fontId="3"/>
  </si>
  <si>
    <t>DATA0 (0)</t>
    <phoneticPr fontId="3"/>
  </si>
  <si>
    <t>DATA1 (0)</t>
    <phoneticPr fontId="3"/>
  </si>
  <si>
    <t>DATA2 (0)</t>
    <phoneticPr fontId="3"/>
  </si>
  <si>
    <t>DATA3 (0)</t>
    <phoneticPr fontId="3"/>
  </si>
  <si>
    <t>DATA4 (0)</t>
    <phoneticPr fontId="3"/>
  </si>
  <si>
    <t>DATA5 (0)</t>
    <phoneticPr fontId="3"/>
  </si>
  <si>
    <t>DATA6 (0)</t>
    <phoneticPr fontId="3"/>
  </si>
  <si>
    <t>DATA7 (0)</t>
    <phoneticPr fontId="3"/>
  </si>
  <si>
    <t>RWDS (1)</t>
    <phoneticPr fontId="3"/>
  </si>
  <si>
    <t>DATA0 (1)</t>
    <phoneticPr fontId="3"/>
  </si>
  <si>
    <t>DATA1 (1)</t>
    <phoneticPr fontId="3"/>
  </si>
  <si>
    <t>DATA2 (1)</t>
    <phoneticPr fontId="3"/>
  </si>
  <si>
    <t>DATA3 (1)</t>
    <phoneticPr fontId="3"/>
  </si>
  <si>
    <t>DATA4 (1)</t>
    <phoneticPr fontId="3"/>
  </si>
  <si>
    <t>DATA5 (1)</t>
    <phoneticPr fontId="3"/>
  </si>
  <si>
    <t>DATA6 (1)</t>
    <phoneticPr fontId="3"/>
  </si>
  <si>
    <t>DATA7 (1)</t>
    <phoneticPr fontId="3"/>
  </si>
  <si>
    <t>TSU_TIMER_CMP_VAL (0)</t>
    <phoneticPr fontId="3"/>
  </si>
  <si>
    <t>TSU_TIMER_CMP_VAL (1)</t>
    <phoneticPr fontId="3"/>
  </si>
  <si>
    <t>AUDIOSS</t>
    <phoneticPr fontId="3"/>
  </si>
  <si>
    <t>AUDIOSS0</t>
    <phoneticPr fontId="3"/>
  </si>
  <si>
    <t>AUDIOSS1</t>
    <phoneticPr fontId="3"/>
  </si>
  <si>
    <t>AUDIOSS2</t>
    <phoneticPr fontId="3"/>
  </si>
  <si>
    <t>MCLK</t>
    <phoneticPr fontId="3"/>
  </si>
  <si>
    <t>TX_SCK</t>
    <phoneticPr fontId="3"/>
  </si>
  <si>
    <t>TX_WS</t>
    <phoneticPr fontId="3"/>
  </si>
  <si>
    <t>TX_SDO</t>
    <phoneticPr fontId="3"/>
  </si>
  <si>
    <t>CLK_I2S_IF</t>
    <phoneticPr fontId="3"/>
  </si>
  <si>
    <t>RX_SCK</t>
    <phoneticPr fontId="3"/>
  </si>
  <si>
    <t>RX_WS</t>
    <phoneticPr fontId="3"/>
  </si>
  <si>
    <t>RX_SDI</t>
    <phoneticPr fontId="3"/>
  </si>
  <si>
    <t>FLEXRAY</t>
    <phoneticPr fontId="3"/>
  </si>
  <si>
    <t>FLEXRAY_RXDA</t>
    <phoneticPr fontId="3"/>
  </si>
  <si>
    <t>FLEXRAY_TXDA</t>
    <phoneticPr fontId="3"/>
  </si>
  <si>
    <t>FLEXRAY_TXENA_N</t>
    <phoneticPr fontId="3"/>
  </si>
  <si>
    <t>FLEXRAY_RXDB</t>
    <phoneticPr fontId="3"/>
  </si>
  <si>
    <t>FLEXRAY_TXDB</t>
    <phoneticPr fontId="3"/>
  </si>
  <si>
    <t>FLEXRAY_TXENB_N</t>
    <phoneticPr fontId="3"/>
  </si>
  <si>
    <t>RXDA</t>
    <phoneticPr fontId="3"/>
  </si>
  <si>
    <t>TXDA</t>
    <phoneticPr fontId="3"/>
  </si>
  <si>
    <t>TXENA_N</t>
    <phoneticPr fontId="3"/>
  </si>
  <si>
    <t>RXDB</t>
    <phoneticPr fontId="3"/>
  </si>
  <si>
    <t>TXDB</t>
    <phoneticPr fontId="3"/>
  </si>
  <si>
    <t>TXENB_N</t>
    <phoneticPr fontId="3"/>
  </si>
  <si>
    <t>SDHC0</t>
    <phoneticPr fontId="3"/>
  </si>
  <si>
    <t>SPIHB0</t>
    <phoneticPr fontId="3"/>
  </si>
  <si>
    <t>CAN0_1_TX</t>
    <phoneticPr fontId="3"/>
  </si>
  <si>
    <t>FLEXRAY0</t>
    <phoneticPr fontId="3"/>
  </si>
  <si>
    <t>SDHC0</t>
    <phoneticPr fontId="3"/>
  </si>
  <si>
    <t>Revision History</t>
    <phoneticPr fontId="3"/>
  </si>
  <si>
    <t>Revision</t>
    <phoneticPr fontId="3"/>
  </si>
  <si>
    <t>Issue Date</t>
    <phoneticPr fontId="3"/>
  </si>
  <si>
    <t>Description of Change</t>
    <phoneticPr fontId="3"/>
  </si>
  <si>
    <t>**</t>
    <phoneticPr fontId="3"/>
  </si>
  <si>
    <t>Initial Release</t>
    <phoneticPr fontId="3"/>
  </si>
  <si>
    <t>04/11/2022</t>
    <phoneticPr fontId="3"/>
  </si>
  <si>
    <t>*A</t>
    <phoneticPr fontId="3"/>
  </si>
  <si>
    <t>Added the "IMPORTANT NOTICE"</t>
    <phoneticPr fontId="3"/>
  </si>
  <si>
    <t>12/13/2022</t>
    <phoneticPr fontId="3"/>
  </si>
  <si>
    <t>*B</t>
    <phoneticPr fontId="3"/>
  </si>
  <si>
    <t>09/01/2023</t>
    <phoneticPr fontId="3"/>
  </si>
  <si>
    <t>Fixed A7 on PA320 sheet</t>
    <phoneticPr fontId="3"/>
  </si>
  <si>
    <t>*C</t>
    <phoneticPr fontId="3"/>
  </si>
  <si>
    <t>TC1_M_10_TR1</t>
    <phoneticPr fontId="3"/>
  </si>
  <si>
    <t>TC1_M_11_TR1</t>
    <phoneticPr fontId="3"/>
  </si>
  <si>
    <t>PWM1_M_10_N</t>
    <phoneticPr fontId="3"/>
  </si>
  <si>
    <t>PWM1_M_11_N</t>
    <phoneticPr fontId="3"/>
  </si>
  <si>
    <t>PWM1_M_10</t>
    <phoneticPr fontId="3"/>
  </si>
  <si>
    <t>PWM1_M_11</t>
    <phoneticPr fontId="3"/>
  </si>
  <si>
    <t>CAL_SUP_NZ</t>
    <phoneticPr fontId="3"/>
  </si>
  <si>
    <t>CAL_SUP_NZ</t>
    <phoneticPr fontId="3"/>
  </si>
  <si>
    <t>PWM1_M_9_N</t>
    <phoneticPr fontId="3"/>
  </si>
  <si>
    <t xml:space="preserve">TC1_M_11_TR 1                  </t>
    <phoneticPr fontId="3"/>
  </si>
  <si>
    <t>PWM1_M_1 0</t>
    <phoneticPr fontId="3"/>
  </si>
  <si>
    <t>PWM1_M_1 1</t>
    <phoneticPr fontId="3"/>
  </si>
  <si>
    <t>PWM1_M_11_ N</t>
    <phoneticPr fontId="3"/>
  </si>
  <si>
    <t>PWM1_M_10_ N</t>
    <phoneticPr fontId="3"/>
  </si>
  <si>
    <t>CAL_SUP_ NZ</t>
    <phoneticPr fontId="3"/>
  </si>
  <si>
    <t>Fixed the following  (delete the blank):</t>
    <phoneticPr fontId="3"/>
  </si>
  <si>
    <t>FAULT_OUT_0</t>
    <phoneticPr fontId="3"/>
  </si>
  <si>
    <t>FAULT_OUT_1</t>
  </si>
  <si>
    <t>FAULT_OUT_1</t>
    <phoneticPr fontId="3"/>
  </si>
  <si>
    <t>FAULT_OUT_2</t>
    <phoneticPr fontId="3"/>
  </si>
  <si>
    <t>FAULT_OUT_3</t>
  </si>
  <si>
    <t>FAULT_OUT_3</t>
    <phoneticPr fontId="3"/>
  </si>
  <si>
    <t>FAULT_OU T_0</t>
    <phoneticPr fontId="3"/>
  </si>
  <si>
    <t>FAULT_OUT_0</t>
    <phoneticPr fontId="3"/>
  </si>
  <si>
    <t>SCB4_SEL0 (2)</t>
    <phoneticPr fontId="3"/>
  </si>
  <si>
    <t>SCB4_SEL0 (2)</t>
    <phoneticPr fontId="3"/>
  </si>
  <si>
    <t>SCB2_SDA (1)</t>
    <phoneticPr fontId="3"/>
  </si>
  <si>
    <t>SCB2_SDA (1)</t>
    <phoneticPr fontId="3"/>
  </si>
  <si>
    <t>FAULT_OUT_2</t>
    <phoneticPr fontId="3"/>
  </si>
  <si>
    <t>FAULT_OU T_1</t>
    <phoneticPr fontId="3"/>
  </si>
  <si>
    <t>FAULT_OU T_2</t>
    <phoneticPr fontId="3"/>
  </si>
  <si>
    <t>FAULT_OU T_3</t>
    <phoneticPr fontId="3"/>
  </si>
  <si>
    <t>ACT #6</t>
    <phoneticPr fontId="3"/>
  </si>
  <si>
    <t>HCon#18</t>
    <phoneticPr fontId="3"/>
  </si>
  <si>
    <t>HCon#19</t>
    <phoneticPr fontId="3"/>
  </si>
  <si>
    <t>HCon#27</t>
    <phoneticPr fontId="3"/>
  </si>
  <si>
    <t xml:space="preserve">    [New (*C)]
TC1_M_10_TR1</t>
    <phoneticPr fontId="3"/>
  </si>
  <si>
    <t xml:space="preserve">    [Old (*B)]
TC1_M_10_TR 1</t>
    <phoneticPr fontId="3"/>
  </si>
  <si>
    <t>P6.3</t>
    <phoneticPr fontId="3"/>
  </si>
  <si>
    <t>P21.7</t>
    <phoneticPr fontId="3"/>
  </si>
  <si>
    <t>P23.7</t>
    <phoneticPr fontId="3"/>
  </si>
  <si>
    <t>P13.5</t>
    <phoneticPr fontId="3"/>
  </si>
  <si>
    <t>HCon#11</t>
    <phoneticPr fontId="3"/>
  </si>
  <si>
    <t>P23.3</t>
    <phoneticPr fontId="3"/>
  </si>
  <si>
    <t>TC1_M_10_TR1</t>
    <phoneticPr fontId="3"/>
  </si>
  <si>
    <t>TC1_M_11_TR1</t>
    <phoneticPr fontId="3"/>
  </si>
  <si>
    <t>P13.4</t>
    <phoneticPr fontId="3"/>
  </si>
  <si>
    <t>P23.2</t>
    <phoneticPr fontId="3"/>
  </si>
  <si>
    <t>HCon#9</t>
    <phoneticPr fontId="3"/>
  </si>
  <si>
    <t>P23.4</t>
    <phoneticPr fontId="3"/>
  </si>
  <si>
    <t>P13.7</t>
    <phoneticPr fontId="3"/>
  </si>
  <si>
    <t>PWM1_M_3</t>
    <phoneticPr fontId="3"/>
  </si>
  <si>
    <t>Fixed the pin name</t>
    <phoneticPr fontId="3"/>
  </si>
  <si>
    <t xml:space="preserve">          [Port]
  P13.5, P23.3 (HCon#11)</t>
    <phoneticPr fontId="3"/>
  </si>
  <si>
    <t xml:space="preserve">  P19.1 (HCon#18)</t>
    <phoneticPr fontId="3"/>
  </si>
  <si>
    <t xml:space="preserve">  P13.7, P23.4 (HCon#11)                </t>
    <phoneticPr fontId="3"/>
  </si>
  <si>
    <t xml:space="preserve">  P13.4, P23.2 (HCon#8)</t>
    <phoneticPr fontId="3"/>
  </si>
  <si>
    <t xml:space="preserve">  P13.6, P23.3 (HCon#8)</t>
    <phoneticPr fontId="3"/>
  </si>
  <si>
    <t xml:space="preserve">  P13.5, P23.3 (HCon#9)</t>
    <phoneticPr fontId="3"/>
  </si>
  <si>
    <t xml:space="preserve">  P13.7, P23.4 (HCon#9)</t>
    <phoneticPr fontId="3"/>
  </si>
  <si>
    <t xml:space="preserve">  P6.3, P21.7, P23.7 (HCon#27)</t>
    <phoneticPr fontId="3"/>
  </si>
  <si>
    <t xml:space="preserve">  P18.0, P23.0 (HCon#27)</t>
    <phoneticPr fontId="3"/>
  </si>
  <si>
    <t xml:space="preserve">  P18.1, P23.1 (HCon#27)</t>
    <phoneticPr fontId="3"/>
  </si>
  <si>
    <t xml:space="preserve">  P19.0, P23.2 (HCon#27)</t>
    <phoneticPr fontId="3"/>
  </si>
  <si>
    <t xml:space="preserve">  P19.1, P23.3 (HCon#27)</t>
    <phoneticPr fontId="3"/>
  </si>
  <si>
    <t>Fixed a bug where comments were not displayed in Note (in column AA, PF320 sheet)</t>
    <phoneticPr fontId="3"/>
  </si>
  <si>
    <t xml:space="preserve">  P2.3</t>
    <phoneticPr fontId="3"/>
  </si>
  <si>
    <t xml:space="preserve">  P1.1 (HCon#19)</t>
    <phoneticPr fontId="3"/>
  </si>
  <si>
    <t>03/01/2024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</si>
</sst>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"/>
  </numFmts>
  <fonts count="22" x14ac:knownFonts="1">
    <font>
      <sz val="11"/>
      <color theme="1"/>
      <name val="游ゴシック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6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8"/>
      <color theme="1"/>
      <name val="Arial"/>
      <family val="2"/>
    </font>
    <font>
      <sz val="6"/>
      <color theme="1"/>
      <name val="Arial"/>
      <family val="2"/>
    </font>
    <font>
      <b/>
      <sz val="8"/>
      <name val="Arial"/>
      <family val="2"/>
    </font>
    <font>
      <b/>
      <sz val="8"/>
      <color theme="1"/>
      <name val="Arial"/>
      <family val="2"/>
    </font>
    <font>
      <sz val="8"/>
      <color theme="0"/>
      <name val="Arial"/>
      <family val="2"/>
    </font>
    <font>
      <sz val="8"/>
      <name val="Arial"/>
      <family val="2"/>
    </font>
    <font>
      <b/>
      <sz val="8"/>
      <color rgb="FFFF0000"/>
      <name val="Arial"/>
      <family val="2"/>
    </font>
    <font>
      <sz val="24"/>
      <color theme="1"/>
      <name val="Arial"/>
      <family val="2"/>
    </font>
    <font>
      <sz val="18"/>
      <color theme="1"/>
      <name val="Arial"/>
      <family val="2"/>
    </font>
    <font>
      <sz val="8"/>
      <color theme="1"/>
      <name val="ＭＳ ゴシック"/>
      <family val="2"/>
      <charset val="128"/>
    </font>
    <font>
      <b/>
      <sz val="12"/>
      <color theme="1"/>
      <name val="Arial"/>
      <family val="2"/>
    </font>
    <font>
      <b/>
      <sz val="16"/>
      <color theme="1"/>
      <name val="Arial"/>
      <family val="2"/>
    </font>
    <font>
      <sz val="16"/>
      <color theme="1"/>
      <name val="Arial"/>
      <family val="2"/>
    </font>
    <font>
      <b/>
      <sz val="16"/>
      <name val="Arial"/>
      <family val="2"/>
    </font>
    <font>
      <sz val="9"/>
      <color indexed="81"/>
      <name val="Arial"/>
      <family val="2"/>
    </font>
    <font>
      <sz val="11"/>
      <color theme="1"/>
      <name val="Arial"/>
      <family val="2"/>
    </font>
    <font>
      <u/>
      <sz val="11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/>
      <right/>
      <top/>
      <bottom/>
      <diagonal style="thin">
        <color indexed="64"/>
      </diagonal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5">
    <xf numFmtId="0" fontId="0" fillId="0" borderId="0" xfId="0"/>
    <xf numFmtId="0" fontId="5" fillId="0" borderId="0" xfId="0" applyFont="1" applyAlignment="1" applyProtection="1">
      <alignment horizontal="left" vertical="top"/>
      <protection locked="0"/>
    </xf>
    <xf numFmtId="0" fontId="11" fillId="0" borderId="0" xfId="0" applyFont="1" applyAlignment="1" applyProtection="1">
      <alignment horizontal="right" vertical="center"/>
      <protection locked="0"/>
    </xf>
    <xf numFmtId="0" fontId="5" fillId="0" borderId="0" xfId="0" applyFont="1" applyAlignment="1">
      <alignment horizontal="left" vertical="top"/>
    </xf>
    <xf numFmtId="0" fontId="11" fillId="0" borderId="0" xfId="0" applyFont="1" applyAlignment="1">
      <alignment horizontal="right" vertical="center"/>
    </xf>
    <xf numFmtId="0" fontId="13" fillId="0" borderId="0" xfId="0" applyFont="1" applyAlignment="1" applyProtection="1">
      <alignment horizontal="left" vertical="top"/>
      <protection locked="0"/>
    </xf>
    <xf numFmtId="0" fontId="5" fillId="0" borderId="0" xfId="0" applyFont="1" applyProtection="1">
      <protection locked="0"/>
    </xf>
    <xf numFmtId="0" fontId="5" fillId="0" borderId="0" xfId="0" applyFont="1" applyAlignment="1" applyProtection="1">
      <alignment horizontal="left" vertical="top" wrapText="1"/>
      <protection locked="0"/>
    </xf>
    <xf numFmtId="0" fontId="5" fillId="0" borderId="0" xfId="0" applyFont="1" applyAlignment="1" applyProtection="1">
      <alignment vertical="top"/>
      <protection locked="0"/>
    </xf>
    <xf numFmtId="0" fontId="5" fillId="0" borderId="0" xfId="0" applyFont="1" applyAlignment="1" applyProtection="1">
      <alignment vertical="top" wrapText="1"/>
      <protection locked="0"/>
    </xf>
    <xf numFmtId="0" fontId="1" fillId="9" borderId="8" xfId="0" applyFont="1" applyFill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left" vertical="top" wrapText="1"/>
      <protection locked="0"/>
    </xf>
    <xf numFmtId="0" fontId="2" fillId="4" borderId="11" xfId="0" applyFont="1" applyFill="1" applyBorder="1" applyAlignment="1" applyProtection="1">
      <alignment horizontal="left" vertical="top" wrapText="1"/>
      <protection locked="0"/>
    </xf>
    <xf numFmtId="0" fontId="2" fillId="4" borderId="8" xfId="0" applyFont="1" applyFill="1" applyBorder="1" applyAlignment="1" applyProtection="1">
      <alignment horizontal="left" vertical="top" wrapText="1"/>
      <protection locked="0"/>
    </xf>
    <xf numFmtId="0" fontId="10" fillId="0" borderId="8" xfId="0" applyFont="1" applyBorder="1" applyAlignment="1" applyProtection="1">
      <alignment horizontal="left" vertical="center"/>
      <protection locked="0"/>
    </xf>
    <xf numFmtId="0" fontId="5" fillId="0" borderId="8" xfId="0" applyFont="1" applyBorder="1" applyProtection="1">
      <protection locked="0"/>
    </xf>
    <xf numFmtId="0" fontId="2" fillId="0" borderId="17" xfId="0" applyFont="1" applyBorder="1" applyAlignment="1" applyProtection="1">
      <alignment horizontal="left" vertical="top" wrapText="1"/>
      <protection locked="0"/>
    </xf>
    <xf numFmtId="0" fontId="2" fillId="0" borderId="11" xfId="0" applyFont="1" applyBorder="1" applyAlignment="1" applyProtection="1">
      <alignment horizontal="left" vertical="top" wrapText="1"/>
      <protection locked="0"/>
    </xf>
    <xf numFmtId="0" fontId="2" fillId="0" borderId="31" xfId="0" applyFont="1" applyBorder="1" applyAlignment="1" applyProtection="1">
      <alignment horizontal="left" vertical="top" wrapText="1"/>
      <protection locked="0"/>
    </xf>
    <xf numFmtId="0" fontId="9" fillId="2" borderId="8" xfId="0" applyFont="1" applyFill="1" applyBorder="1" applyAlignment="1" applyProtection="1">
      <alignment horizontal="left" vertical="top" wrapText="1"/>
      <protection locked="0"/>
    </xf>
    <xf numFmtId="0" fontId="5" fillId="0" borderId="8" xfId="0" applyFont="1" applyBorder="1" applyAlignment="1" applyProtection="1">
      <alignment horizontal="left" vertical="top"/>
      <protection locked="0"/>
    </xf>
    <xf numFmtId="0" fontId="9" fillId="3" borderId="8" xfId="0" applyFont="1" applyFill="1" applyBorder="1" applyAlignment="1" applyProtection="1">
      <alignment horizontal="left" vertical="top" wrapText="1"/>
      <protection locked="0"/>
    </xf>
    <xf numFmtId="0" fontId="9" fillId="8" borderId="8" xfId="0" applyFont="1" applyFill="1" applyBorder="1" applyAlignment="1" applyProtection="1">
      <alignment horizontal="left" vertical="top" wrapText="1"/>
      <protection locked="0"/>
    </xf>
    <xf numFmtId="0" fontId="9" fillId="2" borderId="8" xfId="0" applyFont="1" applyFill="1" applyBorder="1" applyAlignment="1" applyProtection="1">
      <alignment horizontal="left" vertical="top"/>
      <protection locked="0"/>
    </xf>
    <xf numFmtId="0" fontId="9" fillId="11" borderId="8" xfId="0" applyFont="1" applyFill="1" applyBorder="1" applyAlignment="1" applyProtection="1">
      <alignment horizontal="left" vertical="top"/>
      <protection locked="0"/>
    </xf>
    <xf numFmtId="0" fontId="9" fillId="7" borderId="8" xfId="0" applyFont="1" applyFill="1" applyBorder="1" applyAlignment="1" applyProtection="1">
      <alignment horizontal="left" vertical="top" wrapText="1"/>
      <protection locked="0"/>
    </xf>
    <xf numFmtId="0" fontId="2" fillId="4" borderId="10" xfId="0" applyFont="1" applyFill="1" applyBorder="1" applyAlignment="1" applyProtection="1">
      <alignment horizontal="left" vertical="top" wrapText="1"/>
      <protection locked="0"/>
    </xf>
    <xf numFmtId="0" fontId="2" fillId="0" borderId="1" xfId="0" applyFont="1" applyBorder="1" applyAlignment="1" applyProtection="1">
      <alignment horizontal="left" vertical="top" wrapText="1"/>
      <protection locked="0"/>
    </xf>
    <xf numFmtId="0" fontId="2" fillId="4" borderId="1" xfId="0" applyFont="1" applyFill="1" applyBorder="1" applyAlignment="1" applyProtection="1">
      <alignment horizontal="left" vertical="top" wrapText="1"/>
      <protection locked="0"/>
    </xf>
    <xf numFmtId="0" fontId="10" fillId="0" borderId="1" xfId="0" applyFont="1" applyBorder="1" applyAlignment="1" applyProtection="1">
      <alignment horizontal="left" vertical="center"/>
      <protection locked="0"/>
    </xf>
    <xf numFmtId="0" fontId="5" fillId="0" borderId="1" xfId="0" applyFont="1" applyBorder="1" applyProtection="1">
      <protection locked="0"/>
    </xf>
    <xf numFmtId="0" fontId="2" fillId="0" borderId="9" xfId="0" applyFont="1" applyBorder="1" applyAlignment="1" applyProtection="1">
      <alignment horizontal="left" vertical="top" wrapText="1"/>
      <protection locked="0"/>
    </xf>
    <xf numFmtId="0" fontId="2" fillId="0" borderId="20" xfId="0" applyFont="1" applyBorder="1" applyAlignment="1" applyProtection="1">
      <alignment horizontal="left" vertical="top" wrapText="1"/>
      <protection locked="0"/>
    </xf>
    <xf numFmtId="0" fontId="2" fillId="4" borderId="9" xfId="0" applyFont="1" applyFill="1" applyBorder="1" applyAlignment="1" applyProtection="1">
      <alignment horizontal="left" vertical="top" wrapText="1"/>
      <protection locked="0"/>
    </xf>
    <xf numFmtId="0" fontId="9" fillId="2" borderId="1" xfId="0" applyFont="1" applyFill="1" applyBorder="1" applyAlignment="1" applyProtection="1">
      <alignment horizontal="left" vertical="top" wrapText="1"/>
      <protection locked="0"/>
    </xf>
    <xf numFmtId="0" fontId="9" fillId="3" borderId="1" xfId="0" applyFont="1" applyFill="1" applyBorder="1" applyAlignment="1" applyProtection="1">
      <alignment horizontal="left" vertical="top" wrapText="1"/>
      <protection locked="0"/>
    </xf>
    <xf numFmtId="0" fontId="5" fillId="0" borderId="1" xfId="0" applyFont="1" applyBorder="1" applyAlignment="1" applyProtection="1">
      <alignment horizontal="left" vertical="top"/>
      <protection locked="0"/>
    </xf>
    <xf numFmtId="0" fontId="9" fillId="8" borderId="1" xfId="0" applyFont="1" applyFill="1" applyBorder="1" applyAlignment="1" applyProtection="1">
      <alignment horizontal="left" vertical="top" wrapText="1"/>
      <protection locked="0"/>
    </xf>
    <xf numFmtId="0" fontId="9" fillId="2" borderId="1" xfId="0" applyFont="1" applyFill="1" applyBorder="1" applyAlignment="1" applyProtection="1">
      <alignment horizontal="left" vertical="top"/>
      <protection locked="0"/>
    </xf>
    <xf numFmtId="0" fontId="9" fillId="11" borderId="1" xfId="0" applyFont="1" applyFill="1" applyBorder="1" applyAlignment="1" applyProtection="1">
      <alignment horizontal="left" vertical="top"/>
      <protection locked="0"/>
    </xf>
    <xf numFmtId="0" fontId="9" fillId="7" borderId="1" xfId="0" applyFont="1" applyFill="1" applyBorder="1" applyAlignment="1" applyProtection="1">
      <alignment horizontal="left" vertical="top" wrapText="1"/>
      <protection locked="0"/>
    </xf>
    <xf numFmtId="0" fontId="20" fillId="10" borderId="0" xfId="0" applyFont="1" applyFill="1"/>
    <xf numFmtId="0" fontId="21" fillId="10" borderId="0" xfId="0" applyFont="1" applyFill="1"/>
    <xf numFmtId="0" fontId="20" fillId="10" borderId="1" xfId="0" applyFont="1" applyFill="1" applyBorder="1" applyAlignment="1">
      <alignment horizontal="center" vertical="center"/>
    </xf>
    <xf numFmtId="14" fontId="20" fillId="10" borderId="1" xfId="0" applyNumberFormat="1" applyFont="1" applyFill="1" applyBorder="1" applyAlignment="1">
      <alignment horizontal="center" vertical="top"/>
    </xf>
    <xf numFmtId="0" fontId="13" fillId="0" borderId="0" xfId="0" applyFont="1" applyAlignment="1" applyProtection="1">
      <alignment vertical="center"/>
      <protection locked="0"/>
    </xf>
    <xf numFmtId="0" fontId="5" fillId="0" borderId="0" xfId="0" applyFont="1" applyAlignment="1" applyProtection="1">
      <alignment vertical="center"/>
      <protection locked="0"/>
    </xf>
    <xf numFmtId="0" fontId="10" fillId="0" borderId="0" xfId="0" applyFont="1" applyAlignment="1" applyProtection="1">
      <alignment horizontal="right" vertical="center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left" vertical="center"/>
      <protection locked="0"/>
    </xf>
    <xf numFmtId="0" fontId="5" fillId="0" borderId="1" xfId="0" applyFont="1" applyBorder="1" applyAlignment="1" applyProtection="1">
      <alignment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left" vertical="center"/>
      <protection locked="0"/>
    </xf>
    <xf numFmtId="49" fontId="5" fillId="0" borderId="1" xfId="0" applyNumberFormat="1" applyFont="1" applyBorder="1" applyAlignment="1" applyProtection="1">
      <alignment horizontal="left" vertical="center"/>
      <protection locked="0"/>
    </xf>
    <xf numFmtId="0" fontId="5" fillId="6" borderId="1" xfId="0" applyFont="1" applyFill="1" applyBorder="1" applyAlignment="1" applyProtection="1">
      <alignment horizontal="left" vertical="center"/>
      <protection locked="0"/>
    </xf>
    <xf numFmtId="0" fontId="14" fillId="0" borderId="0" xfId="0" applyFont="1" applyAlignment="1" applyProtection="1">
      <alignment vertical="center"/>
      <protection locked="0"/>
    </xf>
    <xf numFmtId="49" fontId="5" fillId="0" borderId="0" xfId="0" applyNumberFormat="1" applyFont="1" applyAlignment="1" applyProtection="1">
      <alignment horizontal="center" vertical="center" wrapText="1"/>
      <protection locked="0"/>
    </xf>
    <xf numFmtId="49" fontId="5" fillId="0" borderId="0" xfId="0" applyNumberFormat="1" applyFont="1" applyAlignment="1" applyProtection="1">
      <alignment horizontal="left" vertical="center"/>
      <protection locked="0"/>
    </xf>
    <xf numFmtId="0" fontId="5" fillId="6" borderId="0" xfId="0" applyFont="1" applyFill="1" applyAlignment="1" applyProtection="1">
      <alignment horizontal="left" vertical="center"/>
      <protection locked="0"/>
    </xf>
    <xf numFmtId="0" fontId="5" fillId="9" borderId="1" xfId="0" applyFont="1" applyFill="1" applyBorder="1" applyAlignment="1" applyProtection="1">
      <alignment vertical="center"/>
      <protection locked="0"/>
    </xf>
    <xf numFmtId="0" fontId="5" fillId="9" borderId="14" xfId="0" applyFont="1" applyFill="1" applyBorder="1" applyAlignment="1" applyProtection="1">
      <alignment horizontal="center" vertical="center"/>
      <protection locked="0"/>
    </xf>
    <xf numFmtId="0" fontId="5" fillId="10" borderId="14" xfId="0" applyFont="1" applyFill="1" applyBorder="1" applyAlignment="1" applyProtection="1">
      <alignment vertical="center"/>
      <protection locked="0"/>
    </xf>
    <xf numFmtId="0" fontId="5" fillId="10" borderId="1" xfId="0" applyFont="1" applyFill="1" applyBorder="1" applyAlignment="1" applyProtection="1">
      <alignment vertical="center"/>
      <protection locked="0"/>
    </xf>
    <xf numFmtId="0" fontId="5" fillId="10" borderId="16" xfId="0" applyFont="1" applyFill="1" applyBorder="1" applyAlignment="1" applyProtection="1">
      <alignment vertical="center"/>
      <protection locked="0"/>
    </xf>
    <xf numFmtId="0" fontId="5" fillId="10" borderId="15" xfId="0" applyFont="1" applyFill="1" applyBorder="1" applyAlignment="1" applyProtection="1">
      <alignment vertical="center"/>
      <protection locked="0"/>
    </xf>
    <xf numFmtId="0" fontId="5" fillId="9" borderId="6" xfId="0" applyFont="1" applyFill="1" applyBorder="1" applyAlignment="1" applyProtection="1">
      <alignment vertical="center"/>
      <protection locked="0"/>
    </xf>
    <xf numFmtId="0" fontId="5" fillId="9" borderId="12" xfId="0" applyFont="1" applyFill="1" applyBorder="1" applyAlignment="1" applyProtection="1">
      <alignment vertical="center"/>
      <protection locked="0"/>
    </xf>
    <xf numFmtId="0" fontId="5" fillId="0" borderId="0" xfId="0" applyFont="1" applyAlignment="1" applyProtection="1">
      <alignment horizontal="center" vertical="center" wrapText="1"/>
      <protection locked="0"/>
    </xf>
    <xf numFmtId="0" fontId="5" fillId="0" borderId="4" xfId="0" applyFont="1" applyBorder="1" applyAlignment="1" applyProtection="1">
      <alignment vertical="center"/>
      <protection locked="0"/>
    </xf>
    <xf numFmtId="0" fontId="5" fillId="0" borderId="1" xfId="0" applyFont="1" applyBorder="1" applyAlignment="1" applyProtection="1">
      <alignment horizontal="left" vertical="center" wrapText="1"/>
      <protection locked="0"/>
    </xf>
    <xf numFmtId="0" fontId="5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8" xfId="0" applyFont="1" applyBorder="1" applyAlignment="1" applyProtection="1">
      <alignment horizontal="left" vertical="center" wrapText="1"/>
      <protection locked="0"/>
    </xf>
    <xf numFmtId="0" fontId="2" fillId="0" borderId="19" xfId="0" applyFont="1" applyBorder="1" applyAlignment="1" applyProtection="1">
      <alignment horizontal="left" vertical="top" wrapText="1"/>
      <protection locked="0"/>
    </xf>
    <xf numFmtId="0" fontId="5" fillId="0" borderId="15" xfId="0" applyFont="1" applyBorder="1" applyAlignment="1" applyProtection="1">
      <alignment vertical="center"/>
      <protection locked="0"/>
    </xf>
    <xf numFmtId="0" fontId="12" fillId="10" borderId="0" xfId="0" applyFont="1" applyFill="1" applyAlignment="1" applyProtection="1">
      <alignment vertical="center"/>
      <protection locked="0"/>
    </xf>
    <xf numFmtId="0" fontId="5" fillId="10" borderId="0" xfId="0" applyFont="1" applyFill="1" applyAlignment="1" applyProtection="1">
      <alignment vertical="center"/>
      <protection locked="0"/>
    </xf>
    <xf numFmtId="0" fontId="5" fillId="10" borderId="0" xfId="0" applyFont="1" applyFill="1" applyAlignment="1" applyProtection="1">
      <alignment horizontal="center" vertical="center"/>
      <protection locked="0"/>
    </xf>
    <xf numFmtId="0" fontId="5" fillId="10" borderId="0" xfId="0" applyFont="1" applyFill="1" applyAlignment="1" applyProtection="1">
      <alignment horizontal="left" vertical="top"/>
      <protection locked="0"/>
    </xf>
    <xf numFmtId="0" fontId="13" fillId="10" borderId="0" xfId="0" applyFont="1" applyFill="1" applyAlignment="1" applyProtection="1">
      <alignment vertical="center"/>
      <protection locked="0"/>
    </xf>
    <xf numFmtId="0" fontId="10" fillId="10" borderId="0" xfId="0" applyFont="1" applyFill="1" applyAlignment="1" applyProtection="1">
      <alignment horizontal="right" vertical="center"/>
      <protection locked="0"/>
    </xf>
    <xf numFmtId="0" fontId="18" fillId="10" borderId="0" xfId="0" applyFont="1" applyFill="1" applyAlignment="1" applyProtection="1">
      <alignment horizontal="center" vertical="center"/>
      <protection locked="0"/>
    </xf>
    <xf numFmtId="0" fontId="16" fillId="10" borderId="0" xfId="0" applyFont="1" applyFill="1" applyAlignment="1" applyProtection="1">
      <alignment horizontal="center" vertical="center"/>
      <protection locked="0"/>
    </xf>
    <xf numFmtId="0" fontId="5" fillId="10" borderId="0" xfId="0" applyFont="1" applyFill="1" applyAlignment="1" applyProtection="1">
      <alignment horizontal="center" vertical="center" shrinkToFit="1"/>
      <protection locked="0"/>
    </xf>
    <xf numFmtId="0" fontId="17" fillId="10" borderId="0" xfId="0" applyFont="1" applyFill="1" applyAlignment="1" applyProtection="1">
      <alignment vertical="center"/>
      <protection locked="0"/>
    </xf>
    <xf numFmtId="0" fontId="15" fillId="10" borderId="0" xfId="0" applyFont="1" applyFill="1" applyAlignment="1" applyProtection="1">
      <alignment horizontal="center" vertical="center"/>
      <protection locked="0"/>
    </xf>
    <xf numFmtId="0" fontId="8" fillId="10" borderId="0" xfId="0" applyFont="1" applyFill="1" applyAlignment="1" applyProtection="1">
      <alignment horizontal="center" vertical="center"/>
      <protection locked="0"/>
    </xf>
    <xf numFmtId="176" fontId="9" fillId="3" borderId="1" xfId="0" applyNumberFormat="1" applyFont="1" applyFill="1" applyBorder="1" applyAlignment="1" applyProtection="1">
      <alignment horizontal="center" textRotation="90"/>
      <protection locked="0"/>
    </xf>
    <xf numFmtId="176" fontId="5" fillId="0" borderId="1" xfId="0" applyNumberFormat="1" applyFont="1" applyBorder="1" applyAlignment="1" applyProtection="1">
      <alignment horizontal="center" textRotation="90"/>
      <protection locked="0"/>
    </xf>
    <xf numFmtId="176" fontId="9" fillId="11" borderId="1" xfId="0" applyNumberFormat="1" applyFont="1" applyFill="1" applyBorder="1" applyAlignment="1" applyProtection="1">
      <alignment horizontal="center" textRotation="90"/>
      <protection locked="0"/>
    </xf>
    <xf numFmtId="176" fontId="9" fillId="2" borderId="1" xfId="0" applyNumberFormat="1" applyFont="1" applyFill="1" applyBorder="1" applyAlignment="1" applyProtection="1">
      <alignment horizontal="center" textRotation="90"/>
      <protection locked="0"/>
    </xf>
    <xf numFmtId="176" fontId="9" fillId="7" borderId="1" xfId="0" applyNumberFormat="1" applyFont="1" applyFill="1" applyBorder="1" applyAlignment="1" applyProtection="1">
      <alignment horizontal="center" textRotation="90"/>
      <protection locked="0"/>
    </xf>
    <xf numFmtId="0" fontId="6" fillId="0" borderId="2" xfId="0" applyFont="1" applyBorder="1" applyAlignment="1" applyProtection="1">
      <alignment horizontal="center" vertical="center"/>
      <protection locked="0"/>
    </xf>
    <xf numFmtId="0" fontId="6" fillId="0" borderId="3" xfId="0" applyFont="1" applyBorder="1" applyAlignment="1" applyProtection="1">
      <alignment horizontal="center" vertical="center"/>
      <protection locked="0"/>
    </xf>
    <xf numFmtId="0" fontId="6" fillId="0" borderId="13" xfId="0" applyFont="1" applyBorder="1" applyAlignment="1" applyProtection="1">
      <alignment horizontal="center" vertical="center"/>
      <protection locked="0"/>
    </xf>
    <xf numFmtId="0" fontId="6" fillId="0" borderId="4" xfId="0" applyFont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horizontal="center" vertical="center"/>
      <protection locked="0"/>
    </xf>
    <xf numFmtId="0" fontId="6" fillId="0" borderId="5" xfId="0" applyFont="1" applyBorder="1" applyAlignment="1" applyProtection="1">
      <alignment horizontal="center" vertical="center"/>
      <protection locked="0"/>
    </xf>
    <xf numFmtId="176" fontId="9" fillId="2" borderId="6" xfId="0" applyNumberFormat="1" applyFont="1" applyFill="1" applyBorder="1" applyAlignment="1" applyProtection="1">
      <alignment horizontal="right" vertical="center"/>
      <protection locked="0"/>
    </xf>
    <xf numFmtId="176" fontId="9" fillId="3" borderId="1" xfId="0" applyNumberFormat="1" applyFont="1" applyFill="1" applyBorder="1" applyAlignment="1" applyProtection="1">
      <alignment vertical="center"/>
      <protection locked="0"/>
    </xf>
    <xf numFmtId="176" fontId="5" fillId="0" borderId="6" xfId="0" applyNumberFormat="1" applyFont="1" applyBorder="1" applyAlignment="1" applyProtection="1">
      <alignment horizontal="right" vertical="center"/>
      <protection locked="0"/>
    </xf>
    <xf numFmtId="176" fontId="5" fillId="0" borderId="1" xfId="0" applyNumberFormat="1" applyFont="1" applyBorder="1" applyAlignment="1" applyProtection="1">
      <alignment vertical="center"/>
      <protection locked="0"/>
    </xf>
    <xf numFmtId="176" fontId="9" fillId="2" borderId="1" xfId="0" applyNumberFormat="1" applyFont="1" applyFill="1" applyBorder="1" applyAlignment="1" applyProtection="1">
      <alignment vertical="center"/>
      <protection locked="0"/>
    </xf>
    <xf numFmtId="176" fontId="9" fillId="3" borderId="6" xfId="0" applyNumberFormat="1" applyFont="1" applyFill="1" applyBorder="1" applyAlignment="1" applyProtection="1">
      <alignment horizontal="right" vertical="center"/>
      <protection locked="0"/>
    </xf>
    <xf numFmtId="0" fontId="6" fillId="0" borderId="7" xfId="0" applyFont="1" applyBorder="1" applyAlignment="1" applyProtection="1">
      <alignment horizontal="center" vertical="center"/>
      <protection locked="0"/>
    </xf>
    <xf numFmtId="176" fontId="9" fillId="2" borderId="1" xfId="0" applyNumberFormat="1" applyFont="1" applyFill="1" applyBorder="1" applyAlignment="1" applyProtection="1">
      <alignment horizontal="center" vertical="top" textRotation="180"/>
      <protection locked="0"/>
    </xf>
    <xf numFmtId="176" fontId="9" fillId="3" borderId="1" xfId="0" applyNumberFormat="1" applyFont="1" applyFill="1" applyBorder="1" applyAlignment="1" applyProtection="1">
      <alignment horizontal="center" vertical="top" textRotation="180"/>
      <protection locked="0"/>
    </xf>
    <xf numFmtId="176" fontId="5" fillId="0" borderId="1" xfId="0" applyNumberFormat="1" applyFont="1" applyBorder="1" applyAlignment="1" applyProtection="1">
      <alignment horizontal="center" vertical="top" textRotation="180"/>
      <protection locked="0"/>
    </xf>
    <xf numFmtId="176" fontId="9" fillId="8" borderId="1" xfId="0" applyNumberFormat="1" applyFont="1" applyFill="1" applyBorder="1" applyAlignment="1" applyProtection="1">
      <alignment horizontal="center" vertical="top" textRotation="180"/>
      <protection locked="0"/>
    </xf>
    <xf numFmtId="0" fontId="5" fillId="0" borderId="0" xfId="0" applyFont="1" applyAlignment="1">
      <alignment vertical="center"/>
    </xf>
    <xf numFmtId="176" fontId="5" fillId="10" borderId="23" xfId="0" applyNumberFormat="1" applyFont="1" applyFill="1" applyBorder="1" applyAlignment="1" applyProtection="1">
      <alignment horizontal="center" vertical="center" wrapText="1"/>
      <protection locked="0"/>
    </xf>
    <xf numFmtId="176" fontId="5" fillId="10" borderId="24" xfId="0" applyNumberFormat="1" applyFont="1" applyFill="1" applyBorder="1" applyAlignment="1" applyProtection="1">
      <alignment horizontal="center" vertical="center" wrapText="1"/>
      <protection locked="0"/>
    </xf>
    <xf numFmtId="176" fontId="5" fillId="10" borderId="25" xfId="0" applyNumberFormat="1" applyFont="1" applyFill="1" applyBorder="1" applyAlignment="1" applyProtection="1">
      <alignment horizontal="center" vertical="center" wrapText="1"/>
      <protection locked="0"/>
    </xf>
    <xf numFmtId="176" fontId="5" fillId="10" borderId="26" xfId="0" applyNumberFormat="1" applyFont="1" applyFill="1" applyBorder="1" applyAlignment="1" applyProtection="1">
      <alignment horizontal="center" vertical="center" wrapText="1"/>
      <protection locked="0"/>
    </xf>
    <xf numFmtId="176" fontId="9" fillId="2" borderId="1" xfId="0" applyNumberFormat="1" applyFont="1" applyFill="1" applyBorder="1" applyAlignment="1" applyProtection="1">
      <alignment horizontal="center" vertical="center" wrapText="1"/>
      <protection locked="0"/>
    </xf>
    <xf numFmtId="176" fontId="5" fillId="10" borderId="0" xfId="0" applyNumberFormat="1" applyFont="1" applyFill="1" applyAlignment="1" applyProtection="1">
      <alignment horizontal="center" vertical="center" wrapText="1"/>
      <protection locked="0"/>
    </xf>
    <xf numFmtId="176" fontId="5" fillId="10" borderId="1" xfId="0" applyNumberFormat="1" applyFont="1" applyFill="1" applyBorder="1" applyAlignment="1" applyProtection="1">
      <alignment horizontal="center" vertical="center" wrapText="1"/>
      <protection locked="0"/>
    </xf>
    <xf numFmtId="176" fontId="9" fillId="2" borderId="8" xfId="0" applyNumberFormat="1" applyFont="1" applyFill="1" applyBorder="1" applyAlignment="1" applyProtection="1">
      <alignment horizontal="center" vertical="center" wrapText="1"/>
      <protection locked="0"/>
    </xf>
    <xf numFmtId="176" fontId="5" fillId="10" borderId="27" xfId="0" applyNumberFormat="1" applyFont="1" applyFill="1" applyBorder="1" applyAlignment="1" applyProtection="1">
      <alignment horizontal="center" vertical="center" wrapText="1"/>
      <protection locked="0"/>
    </xf>
    <xf numFmtId="176" fontId="9" fillId="3" borderId="8" xfId="0" applyNumberFormat="1" applyFont="1" applyFill="1" applyBorder="1" applyAlignment="1" applyProtection="1">
      <alignment horizontal="center" vertical="center" wrapText="1"/>
      <protection locked="0"/>
    </xf>
    <xf numFmtId="176" fontId="9" fillId="11" borderId="8" xfId="0" applyNumberFormat="1" applyFont="1" applyFill="1" applyBorder="1" applyAlignment="1" applyProtection="1">
      <alignment horizontal="center" vertical="center" wrapText="1"/>
      <protection locked="0"/>
    </xf>
    <xf numFmtId="176" fontId="9" fillId="7" borderId="8" xfId="0" applyNumberFormat="1" applyFont="1" applyFill="1" applyBorder="1" applyAlignment="1" applyProtection="1">
      <alignment horizontal="center" vertical="center" wrapText="1"/>
      <protection locked="0"/>
    </xf>
    <xf numFmtId="176" fontId="9" fillId="8" borderId="8" xfId="0" applyNumberFormat="1" applyFont="1" applyFill="1" applyBorder="1" applyAlignment="1" applyProtection="1">
      <alignment horizontal="center" vertical="center" wrapText="1"/>
      <protection locked="0"/>
    </xf>
    <xf numFmtId="176" fontId="9" fillId="2" borderId="8" xfId="0" applyNumberFormat="1" applyFont="1" applyFill="1" applyBorder="1" applyAlignment="1" applyProtection="1">
      <alignment horizontal="center" vertical="center"/>
      <protection locked="0"/>
    </xf>
    <xf numFmtId="176" fontId="5" fillId="10" borderId="28" xfId="0" applyNumberFormat="1" applyFont="1" applyFill="1" applyBorder="1" applyAlignment="1" applyProtection="1">
      <alignment horizontal="center" vertical="top" wrapText="1"/>
      <protection locked="0"/>
    </xf>
    <xf numFmtId="176" fontId="5" fillId="10" borderId="29" xfId="0" applyNumberFormat="1" applyFont="1" applyFill="1" applyBorder="1" applyAlignment="1" applyProtection="1">
      <alignment horizontal="center" vertical="top" wrapText="1"/>
      <protection locked="0"/>
    </xf>
    <xf numFmtId="176" fontId="5" fillId="10" borderId="30" xfId="0" applyNumberFormat="1" applyFont="1" applyFill="1" applyBorder="1" applyAlignment="1" applyProtection="1">
      <alignment horizontal="center" vertical="top" wrapText="1"/>
      <protection locked="0"/>
    </xf>
    <xf numFmtId="176" fontId="10" fillId="10" borderId="1" xfId="0" applyNumberFormat="1" applyFont="1" applyFill="1" applyBorder="1" applyAlignment="1" applyProtection="1">
      <alignment horizontal="center" vertical="center" wrapText="1"/>
      <protection locked="0"/>
    </xf>
    <xf numFmtId="176" fontId="10" fillId="10" borderId="0" xfId="0" applyNumberFormat="1" applyFont="1" applyFill="1" applyAlignment="1" applyProtection="1">
      <alignment horizontal="center" vertical="center" wrapText="1"/>
      <protection locked="0"/>
    </xf>
    <xf numFmtId="176" fontId="10" fillId="10" borderId="8" xfId="0" applyNumberFormat="1" applyFont="1" applyFill="1" applyBorder="1" applyAlignment="1" applyProtection="1">
      <alignment horizontal="center" vertical="center" wrapText="1"/>
      <protection locked="0"/>
    </xf>
    <xf numFmtId="176" fontId="9" fillId="3" borderId="1" xfId="0" applyNumberFormat="1" applyFont="1" applyFill="1" applyBorder="1" applyAlignment="1" applyProtection="1">
      <alignment horizontal="center" vertical="center" wrapText="1"/>
      <protection locked="0"/>
    </xf>
    <xf numFmtId="176" fontId="9" fillId="8" borderId="1" xfId="0" applyNumberFormat="1" applyFont="1" applyFill="1" applyBorder="1" applyAlignment="1" applyProtection="1">
      <alignment horizontal="center" vertical="center" wrapText="1"/>
      <protection locked="0"/>
    </xf>
    <xf numFmtId="176" fontId="9" fillId="3" borderId="8" xfId="0" applyNumberFormat="1" applyFont="1" applyFill="1" applyBorder="1" applyAlignment="1" applyProtection="1">
      <alignment horizontal="center" vertical="center"/>
      <protection locked="0"/>
    </xf>
    <xf numFmtId="0" fontId="10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top"/>
    </xf>
    <xf numFmtId="0" fontId="10" fillId="0" borderId="8" xfId="0" applyFont="1" applyBorder="1" applyAlignment="1">
      <alignment horizontal="left" vertical="center"/>
    </xf>
    <xf numFmtId="0" fontId="5" fillId="0" borderId="8" xfId="0" applyFont="1" applyBorder="1" applyAlignment="1">
      <alignment horizontal="left" vertical="top"/>
    </xf>
    <xf numFmtId="0" fontId="11" fillId="10" borderId="0" xfId="0" applyFont="1" applyFill="1" applyAlignment="1">
      <alignment horizontal="right" vertical="center"/>
    </xf>
    <xf numFmtId="0" fontId="20" fillId="10" borderId="6" xfId="0" applyFont="1" applyFill="1" applyBorder="1" applyAlignment="1">
      <alignment horizontal="center" vertical="top" wrapText="1"/>
    </xf>
    <xf numFmtId="0" fontId="20" fillId="10" borderId="33" xfId="0" applyFont="1" applyFill="1" applyBorder="1" applyAlignment="1">
      <alignment horizontal="left" vertical="top" wrapText="1"/>
    </xf>
    <xf numFmtId="0" fontId="20" fillId="10" borderId="34" xfId="0" applyFont="1" applyFill="1" applyBorder="1" applyAlignment="1">
      <alignment horizontal="center" vertical="top" wrapText="1"/>
    </xf>
    <xf numFmtId="0" fontId="20" fillId="10" borderId="4" xfId="0" applyFont="1" applyFill="1" applyBorder="1" applyAlignment="1">
      <alignment horizontal="center" vertical="top" wrapText="1"/>
    </xf>
    <xf numFmtId="0" fontId="20" fillId="10" borderId="35" xfId="0" applyFont="1" applyFill="1" applyBorder="1" applyAlignment="1">
      <alignment horizontal="center" vertical="top" wrapText="1"/>
    </xf>
    <xf numFmtId="0" fontId="20" fillId="10" borderId="7" xfId="0" applyFont="1" applyFill="1" applyBorder="1" applyAlignment="1">
      <alignment horizontal="left" vertical="top" wrapText="1"/>
    </xf>
    <xf numFmtId="0" fontId="20" fillId="10" borderId="6" xfId="0" applyFont="1" applyFill="1" applyBorder="1" applyAlignment="1">
      <alignment horizontal="center" vertical="center"/>
    </xf>
    <xf numFmtId="0" fontId="20" fillId="10" borderId="6" xfId="0" applyFont="1" applyFill="1" applyBorder="1" applyAlignment="1">
      <alignment horizontal="center" vertical="top"/>
    </xf>
    <xf numFmtId="0" fontId="20" fillId="10" borderId="12" xfId="0" applyFont="1" applyFill="1" applyBorder="1" applyAlignment="1">
      <alignment horizontal="left" vertical="top" wrapText="1"/>
    </xf>
    <xf numFmtId="14" fontId="20" fillId="10" borderId="14" xfId="0" applyNumberFormat="1" applyFont="1" applyFill="1" applyBorder="1" applyAlignment="1">
      <alignment horizontal="center" vertical="top"/>
    </xf>
    <xf numFmtId="14" fontId="20" fillId="10" borderId="16" xfId="0" applyNumberFormat="1" applyFont="1" applyFill="1" applyBorder="1" applyAlignment="1">
      <alignment horizontal="center" vertical="top"/>
    </xf>
    <xf numFmtId="14" fontId="20" fillId="10" borderId="15" xfId="0" applyNumberFormat="1" applyFont="1" applyFill="1" applyBorder="1" applyAlignment="1">
      <alignment horizontal="center" vertical="top"/>
    </xf>
    <xf numFmtId="0" fontId="20" fillId="10" borderId="6" xfId="0" applyFont="1" applyFill="1" applyBorder="1" applyAlignment="1">
      <alignment horizontal="left" vertical="top" wrapText="1"/>
    </xf>
    <xf numFmtId="0" fontId="20" fillId="10" borderId="4" xfId="0" applyFont="1" applyFill="1" applyBorder="1" applyAlignment="1">
      <alignment horizontal="left" vertical="top" wrapText="1"/>
    </xf>
    <xf numFmtId="0" fontId="20" fillId="10" borderId="0" xfId="0" applyFont="1" applyFill="1" applyAlignment="1">
      <alignment horizontal="left" vertical="top" wrapText="1"/>
    </xf>
    <xf numFmtId="0" fontId="20" fillId="10" borderId="5" xfId="0" applyFont="1" applyFill="1" applyBorder="1" applyAlignment="1">
      <alignment horizontal="left" vertical="top" wrapText="1"/>
    </xf>
    <xf numFmtId="0" fontId="20" fillId="10" borderId="5" xfId="0" applyFont="1" applyFill="1" applyBorder="1" applyAlignment="1">
      <alignment horizontal="left" vertical="top"/>
    </xf>
    <xf numFmtId="0" fontId="20" fillId="10" borderId="37" xfId="0" applyFont="1" applyFill="1" applyBorder="1" applyAlignment="1">
      <alignment horizontal="left" vertical="top"/>
    </xf>
    <xf numFmtId="0" fontId="20" fillId="10" borderId="0" xfId="0" applyFont="1" applyFill="1" applyBorder="1" applyAlignment="1">
      <alignment horizontal="left" vertical="top" wrapText="1"/>
    </xf>
    <xf numFmtId="0" fontId="20" fillId="10" borderId="0" xfId="0" applyFont="1" applyFill="1" applyBorder="1" applyAlignment="1">
      <alignment horizontal="left" vertical="top"/>
    </xf>
    <xf numFmtId="0" fontId="1" fillId="9" borderId="17" xfId="0" applyFont="1" applyFill="1" applyBorder="1" applyAlignment="1" applyProtection="1">
      <alignment horizontal="center" vertical="center" wrapText="1"/>
      <protection locked="0"/>
    </xf>
    <xf numFmtId="0" fontId="1" fillId="9" borderId="18" xfId="0" applyFont="1" applyFill="1" applyBorder="1" applyAlignment="1" applyProtection="1">
      <alignment horizontal="center" vertical="center" wrapText="1"/>
      <protection locked="0"/>
    </xf>
    <xf numFmtId="0" fontId="1" fillId="9" borderId="19" xfId="0" applyFont="1" applyFill="1" applyBorder="1" applyAlignment="1" applyProtection="1">
      <alignment horizontal="center" vertical="center" wrapText="1"/>
      <protection locked="0"/>
    </xf>
    <xf numFmtId="0" fontId="1" fillId="9" borderId="9" xfId="0" applyFont="1" applyFill="1" applyBorder="1" applyAlignment="1" applyProtection="1">
      <alignment horizontal="center" vertical="center" wrapText="1"/>
      <protection locked="0"/>
    </xf>
    <xf numFmtId="0" fontId="1" fillId="9" borderId="10" xfId="0" applyFont="1" applyFill="1" applyBorder="1" applyAlignment="1" applyProtection="1">
      <alignment horizontal="center" vertical="center" wrapText="1"/>
      <protection locked="0"/>
    </xf>
    <xf numFmtId="0" fontId="1" fillId="9" borderId="11" xfId="0" applyFont="1" applyFill="1" applyBorder="1" applyAlignment="1" applyProtection="1">
      <alignment horizontal="center" vertical="center" wrapText="1"/>
      <protection locked="0"/>
    </xf>
    <xf numFmtId="0" fontId="1" fillId="9" borderId="8" xfId="0" applyFont="1" applyFill="1" applyBorder="1" applyAlignment="1" applyProtection="1">
      <alignment horizontal="center" vertical="center" wrapText="1"/>
      <protection locked="0"/>
    </xf>
    <xf numFmtId="0" fontId="1" fillId="9" borderId="20" xfId="0" applyFont="1" applyFill="1" applyBorder="1" applyAlignment="1" applyProtection="1">
      <alignment horizontal="center" vertical="center" wrapText="1"/>
      <protection locked="0"/>
    </xf>
    <xf numFmtId="0" fontId="1" fillId="9" borderId="21" xfId="0" applyFont="1" applyFill="1" applyBorder="1" applyAlignment="1" applyProtection="1">
      <alignment horizontal="center" vertical="center" wrapText="1"/>
      <protection locked="0"/>
    </xf>
    <xf numFmtId="0" fontId="1" fillId="9" borderId="22" xfId="0" applyFont="1" applyFill="1" applyBorder="1" applyAlignment="1" applyProtection="1">
      <alignment horizontal="center" vertical="center" wrapText="1"/>
      <protection locked="0"/>
    </xf>
    <xf numFmtId="0" fontId="1" fillId="5" borderId="1" xfId="0" applyFont="1" applyFill="1" applyBorder="1" applyAlignment="1" applyProtection="1">
      <alignment horizontal="center" vertical="center" wrapText="1"/>
      <protection locked="0"/>
    </xf>
    <xf numFmtId="0" fontId="7" fillId="5" borderId="6" xfId="0" applyFont="1" applyFill="1" applyBorder="1" applyAlignment="1" applyProtection="1">
      <alignment horizontal="center" vertical="center"/>
      <protection locked="0"/>
    </xf>
    <xf numFmtId="0" fontId="7" fillId="5" borderId="33" xfId="0" applyFont="1" applyFill="1" applyBorder="1" applyAlignment="1" applyProtection="1">
      <alignment horizontal="center" vertical="center"/>
      <protection locked="0"/>
    </xf>
    <xf numFmtId="0" fontId="7" fillId="5" borderId="12" xfId="0" applyFont="1" applyFill="1" applyBorder="1" applyAlignment="1" applyProtection="1">
      <alignment horizontal="center" vertical="center"/>
      <protection locked="0"/>
    </xf>
    <xf numFmtId="0" fontId="7" fillId="9" borderId="8" xfId="0" applyFont="1" applyFill="1" applyBorder="1" applyAlignment="1" applyProtection="1">
      <alignment horizontal="center" vertical="center" wrapText="1"/>
      <protection locked="0"/>
    </xf>
    <xf numFmtId="0" fontId="7" fillId="9" borderId="8" xfId="0" applyFont="1" applyFill="1" applyBorder="1" applyAlignment="1" applyProtection="1">
      <alignment horizontal="center" vertical="center"/>
      <protection locked="0"/>
    </xf>
    <xf numFmtId="0" fontId="7" fillId="9" borderId="1" xfId="0" applyFont="1" applyFill="1" applyBorder="1" applyAlignment="1" applyProtection="1">
      <alignment horizontal="center" vertical="center"/>
      <protection locked="0"/>
    </xf>
    <xf numFmtId="0" fontId="8" fillId="9" borderId="1" xfId="0" applyFont="1" applyFill="1" applyBorder="1" applyAlignment="1" applyProtection="1">
      <alignment horizontal="center" vertical="center"/>
      <protection locked="0"/>
    </xf>
    <xf numFmtId="0" fontId="7" fillId="5" borderId="1" xfId="0" applyFont="1" applyFill="1" applyBorder="1" applyAlignment="1" applyProtection="1">
      <alignment horizontal="center" vertical="center"/>
      <protection locked="0"/>
    </xf>
    <xf numFmtId="0" fontId="7" fillId="9" borderId="34" xfId="0" applyFont="1" applyFill="1" applyBorder="1" applyAlignment="1" applyProtection="1">
      <alignment horizontal="center" vertical="center" wrapText="1"/>
      <protection locked="0"/>
    </xf>
    <xf numFmtId="0" fontId="7" fillId="9" borderId="35" xfId="0" applyFont="1" applyFill="1" applyBorder="1" applyAlignment="1" applyProtection="1">
      <alignment horizontal="center" vertical="center" wrapText="1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5" fillId="10" borderId="1" xfId="0" applyFont="1" applyFill="1" applyBorder="1" applyAlignment="1" applyProtection="1">
      <alignment horizontal="right" vertical="center"/>
      <protection locked="0"/>
    </xf>
    <xf numFmtId="0" fontId="5" fillId="0" borderId="16" xfId="0" applyFont="1" applyBorder="1" applyAlignment="1" applyProtection="1">
      <alignment horizontal="center" vertical="center" wrapText="1"/>
      <protection locked="0"/>
    </xf>
    <xf numFmtId="0" fontId="5" fillId="0" borderId="15" xfId="0" applyFont="1" applyBorder="1" applyAlignment="1" applyProtection="1">
      <alignment horizontal="center" vertical="center" wrapText="1"/>
      <protection locked="0"/>
    </xf>
    <xf numFmtId="0" fontId="5" fillId="5" borderId="6" xfId="0" applyFont="1" applyFill="1" applyBorder="1" applyAlignment="1" applyProtection="1">
      <alignment horizontal="center" vertical="center"/>
      <protection locked="0"/>
    </xf>
    <xf numFmtId="0" fontId="5" fillId="5" borderId="12" xfId="0" applyFont="1" applyFill="1" applyBorder="1" applyAlignment="1" applyProtection="1">
      <alignment horizontal="center" vertical="center"/>
      <protection locked="0"/>
    </xf>
    <xf numFmtId="0" fontId="5" fillId="10" borderId="6" xfId="0" applyFont="1" applyFill="1" applyBorder="1" applyAlignment="1" applyProtection="1">
      <alignment horizontal="right" vertical="center"/>
      <protection locked="0"/>
    </xf>
    <xf numFmtId="0" fontId="5" fillId="10" borderId="12" xfId="0" applyFont="1" applyFill="1" applyBorder="1" applyAlignment="1" applyProtection="1">
      <alignment horizontal="right" vertical="center"/>
      <protection locked="0"/>
    </xf>
    <xf numFmtId="0" fontId="2" fillId="0" borderId="32" xfId="0" applyFont="1" applyBorder="1" applyAlignment="1" applyProtection="1">
      <alignment horizontal="center" vertical="center" wrapText="1"/>
      <protection locked="0"/>
    </xf>
    <xf numFmtId="0" fontId="2" fillId="0" borderId="18" xfId="0" applyFont="1" applyBorder="1" applyAlignment="1" applyProtection="1">
      <alignment horizontal="center" vertical="center" wrapText="1"/>
      <protection locked="0"/>
    </xf>
    <xf numFmtId="0" fontId="2" fillId="0" borderId="19" xfId="0" applyFont="1" applyBorder="1" applyAlignment="1" applyProtection="1">
      <alignment horizontal="center" vertical="center" wrapText="1"/>
      <protection locked="0"/>
    </xf>
    <xf numFmtId="0" fontId="5" fillId="0" borderId="14" xfId="0" applyFont="1" applyBorder="1" applyAlignment="1" applyProtection="1">
      <alignment horizontal="center" vertical="center"/>
      <protection locked="0"/>
    </xf>
    <xf numFmtId="0" fontId="5" fillId="0" borderId="16" xfId="0" applyFont="1" applyBorder="1" applyAlignment="1" applyProtection="1">
      <alignment horizontal="center" vertical="center"/>
      <protection locked="0"/>
    </xf>
    <xf numFmtId="0" fontId="5" fillId="0" borderId="15" xfId="0" applyFont="1" applyBorder="1" applyAlignment="1" applyProtection="1">
      <alignment horizontal="center" vertical="center"/>
      <protection locked="0"/>
    </xf>
    <xf numFmtId="0" fontId="5" fillId="0" borderId="14" xfId="0" applyFont="1" applyBorder="1" applyAlignment="1" applyProtection="1">
      <alignment horizontal="center" vertical="center" wrapText="1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49" fontId="5" fillId="0" borderId="14" xfId="0" applyNumberFormat="1" applyFont="1" applyBorder="1" applyAlignment="1" applyProtection="1">
      <alignment horizontal="center" vertical="center" wrapText="1"/>
      <protection locked="0"/>
    </xf>
    <xf numFmtId="49" fontId="5" fillId="0" borderId="16" xfId="0" applyNumberFormat="1" applyFont="1" applyBorder="1" applyAlignment="1" applyProtection="1">
      <alignment horizontal="center" vertical="center" wrapText="1"/>
      <protection locked="0"/>
    </xf>
    <xf numFmtId="49" fontId="5" fillId="0" borderId="15" xfId="0" applyNumberFormat="1" applyFont="1" applyBorder="1" applyAlignment="1" applyProtection="1">
      <alignment horizontal="center" vertical="center" wrapText="1"/>
      <protection locked="0"/>
    </xf>
    <xf numFmtId="0" fontId="1" fillId="5" borderId="8" xfId="0" applyFont="1" applyFill="1" applyBorder="1" applyAlignment="1" applyProtection="1">
      <alignment horizontal="center" vertical="center" wrapText="1"/>
      <protection locked="0"/>
    </xf>
    <xf numFmtId="0" fontId="8" fillId="9" borderId="8" xfId="0" applyFont="1" applyFill="1" applyBorder="1" applyAlignment="1" applyProtection="1">
      <alignment horizontal="center" vertical="center"/>
      <protection locked="0"/>
    </xf>
    <xf numFmtId="0" fontId="7" fillId="5" borderId="8" xfId="0" applyFont="1" applyFill="1" applyBorder="1" applyAlignment="1" applyProtection="1">
      <alignment horizontal="center" vertical="center"/>
      <protection locked="0"/>
    </xf>
    <xf numFmtId="0" fontId="7" fillId="5" borderId="9" xfId="0" applyFont="1" applyFill="1" applyBorder="1" applyAlignment="1" applyProtection="1">
      <alignment horizontal="center" vertical="center"/>
      <protection locked="0"/>
    </xf>
    <xf numFmtId="0" fontId="7" fillId="5" borderId="10" xfId="0" applyFont="1" applyFill="1" applyBorder="1" applyAlignment="1" applyProtection="1">
      <alignment horizontal="center" vertical="center"/>
      <protection locked="0"/>
    </xf>
    <xf numFmtId="0" fontId="7" fillId="5" borderId="11" xfId="0" applyFont="1" applyFill="1" applyBorder="1" applyAlignment="1" applyProtection="1">
      <alignment horizontal="center" vertical="center"/>
      <protection locked="0"/>
    </xf>
    <xf numFmtId="0" fontId="12" fillId="0" borderId="0" xfId="0" applyFont="1" applyAlignment="1" applyProtection="1">
      <alignment horizontal="center" vertical="center"/>
      <protection locked="0"/>
    </xf>
    <xf numFmtId="0" fontId="20" fillId="10" borderId="4" xfId="0" applyFont="1" applyFill="1" applyBorder="1" applyAlignment="1">
      <alignment horizontal="left" vertical="top" wrapText="1"/>
    </xf>
    <xf numFmtId="0" fontId="20" fillId="10" borderId="0" xfId="0" applyFont="1" applyFill="1" applyAlignment="1">
      <alignment horizontal="left" vertical="top" wrapText="1"/>
    </xf>
    <xf numFmtId="0" fontId="20" fillId="10" borderId="5" xfId="0" applyFont="1" applyFill="1" applyBorder="1" applyAlignment="1">
      <alignment horizontal="left" vertical="top" wrapText="1"/>
    </xf>
    <xf numFmtId="0" fontId="20" fillId="10" borderId="12" xfId="0" applyFont="1" applyFill="1" applyBorder="1" applyAlignment="1">
      <alignment horizontal="center" vertical="center"/>
    </xf>
    <xf numFmtId="0" fontId="20" fillId="10" borderId="12" xfId="0" applyFont="1" applyFill="1" applyBorder="1" applyAlignment="1">
      <alignment horizontal="left" vertical="top"/>
    </xf>
    <xf numFmtId="0" fontId="20" fillId="10" borderId="12" xfId="0" applyFont="1" applyFill="1" applyBorder="1" applyAlignment="1">
      <alignment horizontal="left" vertical="top" wrapText="1"/>
    </xf>
    <xf numFmtId="0" fontId="20" fillId="10" borderId="34" xfId="0" applyFont="1" applyFill="1" applyBorder="1" applyAlignment="1">
      <alignment horizontal="left" vertical="top" wrapText="1"/>
    </xf>
    <xf numFmtId="0" fontId="20" fillId="10" borderId="3" xfId="0" applyFont="1" applyFill="1" applyBorder="1" applyAlignment="1">
      <alignment horizontal="left" vertical="top" wrapText="1"/>
    </xf>
    <xf numFmtId="0" fontId="20" fillId="10" borderId="36" xfId="0" applyFont="1" applyFill="1" applyBorder="1" applyAlignment="1">
      <alignment horizontal="left" vertical="top" wrapText="1"/>
    </xf>
  </cellXfs>
  <cellStyles count="1">
    <cellStyle name="標準" xfId="0" builtinId="0"/>
  </cellStyles>
  <dxfs count="27">
    <dxf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ill>
        <patternFill>
          <bgColor rgb="FFFFFF00"/>
        </patternFill>
      </fill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ill>
        <patternFill>
          <bgColor rgb="FFFFFF00"/>
        </patternFill>
      </fill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</dxf>
    <dxf>
      <font>
        <color rgb="FFFF0000"/>
      </font>
    </dxf>
    <dxf>
      <fill>
        <patternFill>
          <bgColor rgb="FFFFFF00"/>
        </patternFill>
      </fill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D311B7"/>
      <color rgb="FFFF7C80"/>
      <color rgb="FFF583E5"/>
      <color rgb="FFE6E6E6"/>
      <color rgb="FF000000"/>
      <color rgb="FFD9E1F2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317501</xdr:colOff>
      <xdr:row>1</xdr:row>
      <xdr:rowOff>45349</xdr:rowOff>
    </xdr:from>
    <xdr:to>
      <xdr:col>34</xdr:col>
      <xdr:colOff>535215</xdr:colOff>
      <xdr:row>3</xdr:row>
      <xdr:rowOff>85566</xdr:rowOff>
    </xdr:to>
    <xdr:pic>
      <xdr:nvPicPr>
        <xdr:cNvPr id="2" name="Picture 23">
          <a:extLst>
            <a:ext uri="{FF2B5EF4-FFF2-40B4-BE49-F238E27FC236}">
              <a16:creationId xmlns:a16="http://schemas.microsoft.com/office/drawing/2014/main" id="{E5A001AD-F9EF-4791-9AE5-3ABD4E72DD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75572" y="362849"/>
          <a:ext cx="1524000" cy="673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14</xdr:col>
      <xdr:colOff>341168</xdr:colOff>
      <xdr:row>362</xdr:row>
      <xdr:rowOff>84667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F3BA37F-5F0D-4150-8305-7457A81C9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091" y="44577000"/>
          <a:ext cx="9912350" cy="2749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426356</xdr:colOff>
      <xdr:row>1</xdr:row>
      <xdr:rowOff>99786</xdr:rowOff>
    </xdr:from>
    <xdr:to>
      <xdr:col>4</xdr:col>
      <xdr:colOff>425824</xdr:colOff>
      <xdr:row>5</xdr:row>
      <xdr:rowOff>27214</xdr:rowOff>
    </xdr:to>
    <xdr:sp macro="" textlink="">
      <xdr:nvSpPr>
        <xdr:cNvPr id="3" name="スクロール: 横 2">
          <a:extLst>
            <a:ext uri="{FF2B5EF4-FFF2-40B4-BE49-F238E27FC236}">
              <a16:creationId xmlns:a16="http://schemas.microsoft.com/office/drawing/2014/main" id="{E9F07FCE-AF4B-4893-B7F8-ABFF9235B213}"/>
            </a:ext>
          </a:extLst>
        </xdr:cNvPr>
        <xdr:cNvSpPr/>
      </xdr:nvSpPr>
      <xdr:spPr>
        <a:xfrm>
          <a:off x="426356" y="385536"/>
          <a:ext cx="3136368" cy="1070428"/>
        </a:xfrm>
        <a:prstGeom prst="horizontalScrol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[Rule]</a:t>
          </a:r>
          <a:endParaRPr kumimoji="1" lang="en-US" altLang="ja-JP" sz="110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-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The selected pin cell is yellow. 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- Duplicate pin names are red. 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87</xdr:col>
      <xdr:colOff>317501</xdr:colOff>
      <xdr:row>1</xdr:row>
      <xdr:rowOff>45349</xdr:rowOff>
    </xdr:from>
    <xdr:to>
      <xdr:col>89</xdr:col>
      <xdr:colOff>535215</xdr:colOff>
      <xdr:row>3</xdr:row>
      <xdr:rowOff>86624</xdr:rowOff>
    </xdr:to>
    <xdr:pic>
      <xdr:nvPicPr>
        <xdr:cNvPr id="4" name="Picture 23">
          <a:extLst>
            <a:ext uri="{FF2B5EF4-FFF2-40B4-BE49-F238E27FC236}">
              <a16:creationId xmlns:a16="http://schemas.microsoft.com/office/drawing/2014/main" id="{EA7D5835-E014-4606-8DF7-076064E615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25001" y="362849"/>
          <a:ext cx="1525814" cy="673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18</xdr:col>
      <xdr:colOff>83993</xdr:colOff>
      <xdr:row>304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62B0196-99B9-48ED-BCF9-3C367D16C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091" y="33620364"/>
          <a:ext cx="9912350" cy="2749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317501</xdr:colOff>
      <xdr:row>1</xdr:row>
      <xdr:rowOff>45349</xdr:rowOff>
    </xdr:from>
    <xdr:to>
      <xdr:col>47</xdr:col>
      <xdr:colOff>535215</xdr:colOff>
      <xdr:row>3</xdr:row>
      <xdr:rowOff>85566</xdr:rowOff>
    </xdr:to>
    <xdr:pic>
      <xdr:nvPicPr>
        <xdr:cNvPr id="4" name="Picture 23">
          <a:extLst>
            <a:ext uri="{FF2B5EF4-FFF2-40B4-BE49-F238E27FC236}">
              <a16:creationId xmlns:a16="http://schemas.microsoft.com/office/drawing/2014/main" id="{965C022C-B4E2-45BA-AFE2-B011E20B81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25001" y="362849"/>
          <a:ext cx="1525814" cy="673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28</xdr:col>
      <xdr:colOff>631921</xdr:colOff>
      <xdr:row>65</xdr:row>
      <xdr:rowOff>188576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EE62EFA-7A22-435B-BB03-518597A8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5636" y="21636182"/>
          <a:ext cx="9912350" cy="27495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317501</xdr:colOff>
      <xdr:row>1</xdr:row>
      <xdr:rowOff>45349</xdr:rowOff>
    </xdr:from>
    <xdr:to>
      <xdr:col>34</xdr:col>
      <xdr:colOff>533401</xdr:colOff>
      <xdr:row>3</xdr:row>
      <xdr:rowOff>83449</xdr:rowOff>
    </xdr:to>
    <xdr:pic>
      <xdr:nvPicPr>
        <xdr:cNvPr id="2" name="Picture 23">
          <a:extLst>
            <a:ext uri="{FF2B5EF4-FFF2-40B4-BE49-F238E27FC236}">
              <a16:creationId xmlns:a16="http://schemas.microsoft.com/office/drawing/2014/main" id="{BF234570-2FF5-4000-9B65-9D40A9CB6B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47251" y="362849"/>
          <a:ext cx="1524000" cy="673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14</xdr:col>
      <xdr:colOff>341168</xdr:colOff>
      <xdr:row>314</xdr:row>
      <xdr:rowOff>82550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6743969-F574-4206-BC9F-A15B5205A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091" y="38481000"/>
          <a:ext cx="9912350" cy="27495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426356</xdr:colOff>
      <xdr:row>1</xdr:row>
      <xdr:rowOff>99786</xdr:rowOff>
    </xdr:from>
    <xdr:to>
      <xdr:col>4</xdr:col>
      <xdr:colOff>425824</xdr:colOff>
      <xdr:row>5</xdr:row>
      <xdr:rowOff>27214</xdr:rowOff>
    </xdr:to>
    <xdr:sp macro="" textlink="">
      <xdr:nvSpPr>
        <xdr:cNvPr id="3" name="スクロール: 横 2">
          <a:extLst>
            <a:ext uri="{FF2B5EF4-FFF2-40B4-BE49-F238E27FC236}">
              <a16:creationId xmlns:a16="http://schemas.microsoft.com/office/drawing/2014/main" id="{A0BB83FE-0B56-4DE8-9D2E-212D4FA68F60}"/>
            </a:ext>
          </a:extLst>
        </xdr:cNvPr>
        <xdr:cNvSpPr/>
      </xdr:nvSpPr>
      <xdr:spPr>
        <a:xfrm>
          <a:off x="426356" y="385536"/>
          <a:ext cx="3911068" cy="1070428"/>
        </a:xfrm>
        <a:prstGeom prst="horizontalScrol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[Rule]</a:t>
          </a:r>
          <a:endParaRPr kumimoji="1" lang="en-US" altLang="ja-JP" sz="110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-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The selected pin cell is yellow. 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- Duplicate pin names are red. 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87</xdr:col>
      <xdr:colOff>317501</xdr:colOff>
      <xdr:row>1</xdr:row>
      <xdr:rowOff>45349</xdr:rowOff>
    </xdr:from>
    <xdr:to>
      <xdr:col>89</xdr:col>
      <xdr:colOff>533401</xdr:colOff>
      <xdr:row>3</xdr:row>
      <xdr:rowOff>83449</xdr:rowOff>
    </xdr:to>
    <xdr:pic>
      <xdr:nvPicPr>
        <xdr:cNvPr id="5" name="Picture 23">
          <a:extLst>
            <a:ext uri="{FF2B5EF4-FFF2-40B4-BE49-F238E27FC236}">
              <a16:creationId xmlns:a16="http://schemas.microsoft.com/office/drawing/2014/main" id="{8C5320E6-C792-45CC-8771-47C23E3669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47251" y="362849"/>
          <a:ext cx="1524000" cy="673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18</xdr:col>
      <xdr:colOff>29441</xdr:colOff>
      <xdr:row>304</xdr:row>
      <xdr:rowOff>82550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10BCF4D-29A6-4A10-808E-7284B1276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091" y="33620364"/>
          <a:ext cx="9912350" cy="27495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317501</xdr:colOff>
      <xdr:row>1</xdr:row>
      <xdr:rowOff>45349</xdr:rowOff>
    </xdr:from>
    <xdr:to>
      <xdr:col>43</xdr:col>
      <xdr:colOff>535215</xdr:colOff>
      <xdr:row>3</xdr:row>
      <xdr:rowOff>83449</xdr:rowOff>
    </xdr:to>
    <xdr:pic>
      <xdr:nvPicPr>
        <xdr:cNvPr id="3" name="Picture 23">
          <a:extLst>
            <a:ext uri="{FF2B5EF4-FFF2-40B4-BE49-F238E27FC236}">
              <a16:creationId xmlns:a16="http://schemas.microsoft.com/office/drawing/2014/main" id="{E1BF27D6-F2D8-4B60-BB37-7540726E8F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07001" y="362849"/>
          <a:ext cx="1525814" cy="673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28</xdr:col>
      <xdr:colOff>352713</xdr:colOff>
      <xdr:row>61</xdr:row>
      <xdr:rowOff>186459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AE31372-55B8-4DFA-A9AE-F734B1303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8545" y="20204545"/>
          <a:ext cx="9912350" cy="27495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317501</xdr:colOff>
      <xdr:row>1</xdr:row>
      <xdr:rowOff>45349</xdr:rowOff>
    </xdr:from>
    <xdr:to>
      <xdr:col>34</xdr:col>
      <xdr:colOff>535214</xdr:colOff>
      <xdr:row>3</xdr:row>
      <xdr:rowOff>83449</xdr:rowOff>
    </xdr:to>
    <xdr:pic>
      <xdr:nvPicPr>
        <xdr:cNvPr id="2" name="Picture 23">
          <a:extLst>
            <a:ext uri="{FF2B5EF4-FFF2-40B4-BE49-F238E27FC236}">
              <a16:creationId xmlns:a16="http://schemas.microsoft.com/office/drawing/2014/main" id="{091031DF-C6F2-4F2D-A7A8-1164466305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09858" y="362849"/>
          <a:ext cx="1524000" cy="673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14</xdr:col>
      <xdr:colOff>341168</xdr:colOff>
      <xdr:row>218</xdr:row>
      <xdr:rowOff>82550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73A9247-C442-4233-B68E-0BC69959C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091" y="26289000"/>
          <a:ext cx="9912350" cy="27495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426356</xdr:colOff>
      <xdr:row>1</xdr:row>
      <xdr:rowOff>99786</xdr:rowOff>
    </xdr:from>
    <xdr:to>
      <xdr:col>4</xdr:col>
      <xdr:colOff>425824</xdr:colOff>
      <xdr:row>5</xdr:row>
      <xdr:rowOff>27214</xdr:rowOff>
    </xdr:to>
    <xdr:sp macro="" textlink="">
      <xdr:nvSpPr>
        <xdr:cNvPr id="3" name="スクロール: 横 2">
          <a:extLst>
            <a:ext uri="{FF2B5EF4-FFF2-40B4-BE49-F238E27FC236}">
              <a16:creationId xmlns:a16="http://schemas.microsoft.com/office/drawing/2014/main" id="{AAC3E5F9-3532-4630-BF1B-96BE48026D23}"/>
            </a:ext>
          </a:extLst>
        </xdr:cNvPr>
        <xdr:cNvSpPr/>
      </xdr:nvSpPr>
      <xdr:spPr>
        <a:xfrm>
          <a:off x="426356" y="385536"/>
          <a:ext cx="3911068" cy="1070428"/>
        </a:xfrm>
        <a:prstGeom prst="horizontalScrol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[Rule]</a:t>
          </a:r>
          <a:endParaRPr kumimoji="1" lang="en-US" altLang="ja-JP" sz="1100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-</a:t>
          </a:r>
          <a:r>
            <a:rPr kumimoji="1" lang="en-US" altLang="ja-JP" sz="1100" baseline="0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The selected pin cell is yellow. </a:t>
          </a:r>
        </a:p>
        <a:p>
          <a:pPr algn="l"/>
          <a:r>
            <a:rPr kumimoji="1" lang="en-US" altLang="ja-JP" sz="1100">
              <a:latin typeface="Meiryo UI" panose="020B0604030504040204" pitchFamily="50" charset="-128"/>
              <a:ea typeface="Meiryo UI" panose="020B0604030504040204" pitchFamily="50" charset="-128"/>
            </a:rPr>
            <a:t>- Duplicate pin names are red. </a:t>
          </a:r>
          <a:endParaRPr kumimoji="1" lang="ja-JP" altLang="en-US" sz="11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87</xdr:col>
      <xdr:colOff>317501</xdr:colOff>
      <xdr:row>2</xdr:row>
      <xdr:rowOff>45349</xdr:rowOff>
    </xdr:from>
    <xdr:to>
      <xdr:col>89</xdr:col>
      <xdr:colOff>535215</xdr:colOff>
      <xdr:row>4</xdr:row>
      <xdr:rowOff>83449</xdr:rowOff>
    </xdr:to>
    <xdr:pic>
      <xdr:nvPicPr>
        <xdr:cNvPr id="4" name="Picture 23">
          <a:extLst>
            <a:ext uri="{FF2B5EF4-FFF2-40B4-BE49-F238E27FC236}">
              <a16:creationId xmlns:a16="http://schemas.microsoft.com/office/drawing/2014/main" id="{EC63D9B2-B06E-4822-9D81-193D203F27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77201" y="362849"/>
          <a:ext cx="1525814" cy="673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18</xdr:col>
      <xdr:colOff>29441</xdr:colOff>
      <xdr:row>304</xdr:row>
      <xdr:rowOff>82550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8ADD317-D249-46C0-B876-B3F2D322B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091" y="33631909"/>
          <a:ext cx="9912350" cy="27495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190902</xdr:colOff>
      <xdr:row>7</xdr:row>
      <xdr:rowOff>141993</xdr:rowOff>
    </xdr:from>
    <xdr:to>
      <xdr:col>4</xdr:col>
      <xdr:colOff>118331</xdr:colOff>
      <xdr:row>8</xdr:row>
      <xdr:rowOff>132922</xdr:rowOff>
    </xdr:to>
    <xdr:sp macro="" textlink="">
      <xdr:nvSpPr>
        <xdr:cNvPr id="2" name="フローチャート: 結合子 1">
          <a:extLst>
            <a:ext uri="{FF2B5EF4-FFF2-40B4-BE49-F238E27FC236}">
              <a16:creationId xmlns:a16="http://schemas.microsoft.com/office/drawing/2014/main" id="{1A8ED827-D27B-40A5-BADB-BC765DCE5B1E}"/>
            </a:ext>
          </a:extLst>
        </xdr:cNvPr>
        <xdr:cNvSpPr/>
      </xdr:nvSpPr>
      <xdr:spPr>
        <a:xfrm>
          <a:off x="2775352" y="2967743"/>
          <a:ext cx="181429" cy="181429"/>
        </a:xfrm>
        <a:prstGeom prst="flowChartConnector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52</xdr:col>
      <xdr:colOff>317501</xdr:colOff>
      <xdr:row>1</xdr:row>
      <xdr:rowOff>45349</xdr:rowOff>
    </xdr:from>
    <xdr:to>
      <xdr:col>54</xdr:col>
      <xdr:colOff>535215</xdr:colOff>
      <xdr:row>3</xdr:row>
      <xdr:rowOff>83449</xdr:rowOff>
    </xdr:to>
    <xdr:pic>
      <xdr:nvPicPr>
        <xdr:cNvPr id="4" name="Picture 23">
          <a:extLst>
            <a:ext uri="{FF2B5EF4-FFF2-40B4-BE49-F238E27FC236}">
              <a16:creationId xmlns:a16="http://schemas.microsoft.com/office/drawing/2014/main" id="{BC59F3EE-81CD-4455-A71C-55CAA1CB7F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77201" y="362849"/>
          <a:ext cx="1525814" cy="673100"/>
        </a:xfrm>
        <a:prstGeom prst="rect">
          <a:avLst/>
        </a:prstGeom>
      </xdr:spPr>
    </xdr:pic>
    <xdr:clientData/>
  </xdr:twoCellAnchor>
  <xdr:twoCellAnchor editAs="oneCell">
    <xdr:from>
      <xdr:col>2</xdr:col>
      <xdr:colOff>1487714</xdr:colOff>
      <xdr:row>70</xdr:row>
      <xdr:rowOff>0</xdr:rowOff>
    </xdr:from>
    <xdr:to>
      <xdr:col>51</xdr:col>
      <xdr:colOff>423636</xdr:colOff>
      <xdr:row>91</xdr:row>
      <xdr:rowOff>82550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4C83CBD-6B81-4B33-A6BA-1A3B9A7CA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2143" y="16700500"/>
          <a:ext cx="9912350" cy="2749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B781A-82A4-4F5A-B8D9-2FEBEE9E7900}">
  <dimension ref="A1:AJ335"/>
  <sheetViews>
    <sheetView zoomScale="56" zoomScaleNormal="56" workbookViewId="0">
      <pane xSplit="3" ySplit="9" topLeftCell="R10" activePane="bottomRight" state="frozen"/>
      <selection pane="topRight" activeCell="D1" sqref="D1"/>
      <selection pane="bottomLeft" activeCell="A6" sqref="A6"/>
      <selection pane="bottomRight" activeCell="AB17" sqref="AB17"/>
    </sheetView>
  </sheetViews>
  <sheetFormatPr defaultRowHeight="10" x14ac:dyDescent="0.2"/>
  <cols>
    <col min="1" max="1" width="4.58203125" style="6" customWidth="1"/>
    <col min="2" max="2" width="8.5" style="6" bestFit="1" customWidth="1"/>
    <col min="3" max="3" width="3.9140625" style="6" bestFit="1" customWidth="1"/>
    <col min="4" max="4" width="9.33203125" style="6" bestFit="1" customWidth="1"/>
    <col min="5" max="5" width="10.4140625" style="6" bestFit="1" customWidth="1"/>
    <col min="6" max="6" width="12.33203125" style="6" bestFit="1" customWidth="1"/>
    <col min="7" max="7" width="11.9140625" style="6" bestFit="1" customWidth="1"/>
    <col min="8" max="9" width="12.33203125" style="6" bestFit="1" customWidth="1"/>
    <col min="10" max="10" width="11.9140625" style="6" bestFit="1" customWidth="1"/>
    <col min="11" max="11" width="12.08203125" style="6" bestFit="1" customWidth="1"/>
    <col min="12" max="12" width="12.6640625" style="6" bestFit="1" customWidth="1"/>
    <col min="13" max="13" width="8.25" style="6" customWidth="1"/>
    <col min="14" max="14" width="11.9140625" style="6" customWidth="1"/>
    <col min="15" max="15" width="11.75" style="6" customWidth="1"/>
    <col min="16" max="16" width="14" style="6" customWidth="1"/>
    <col min="17" max="17" width="28.4140625" style="6" customWidth="1"/>
    <col min="18" max="18" width="29.6640625" style="6" customWidth="1"/>
    <col min="19" max="19" width="16.1640625" style="6" customWidth="1"/>
    <col min="20" max="20" width="28.4140625" style="6" customWidth="1"/>
    <col min="21" max="21" width="11.1640625" style="6" customWidth="1"/>
    <col min="22" max="22" width="15.25" style="6" customWidth="1"/>
    <col min="23" max="23" width="11.9140625" style="6" customWidth="1"/>
    <col min="24" max="24" width="19.1640625" style="6" customWidth="1"/>
    <col min="25" max="25" width="28.4140625" style="6" bestFit="1" customWidth="1"/>
    <col min="26" max="26" width="10" style="6" bestFit="1" customWidth="1"/>
    <col min="27" max="27" width="24.83203125" style="6" customWidth="1"/>
    <col min="28" max="28" width="43.83203125" style="6" customWidth="1"/>
    <col min="29" max="30" width="8.6640625" style="6"/>
    <col min="31" max="32" width="12.58203125" style="1" customWidth="1"/>
    <col min="33" max="35" width="8.58203125" style="1" customWidth="1"/>
    <col min="36" max="36" width="8.6640625" style="1"/>
    <col min="37" max="16384" width="8.6640625" style="6"/>
  </cols>
  <sheetData>
    <row r="1" spans="1:35" ht="25" customHeight="1" x14ac:dyDescent="0.2">
      <c r="A1" s="5" t="s">
        <v>2548</v>
      </c>
      <c r="AG1" s="3"/>
      <c r="AH1" s="3"/>
      <c r="AI1" s="3"/>
    </row>
    <row r="2" spans="1:35" ht="25" customHeight="1" x14ac:dyDescent="0.2">
      <c r="A2" s="5"/>
      <c r="AG2" s="3"/>
      <c r="AH2" s="3"/>
      <c r="AI2" s="3"/>
    </row>
    <row r="3" spans="1:35" ht="25" customHeight="1" x14ac:dyDescent="0.2">
      <c r="A3" s="5"/>
      <c r="AG3" s="3"/>
      <c r="AH3" s="3"/>
      <c r="AI3" s="3"/>
    </row>
    <row r="4" spans="1:35" ht="25" customHeight="1" x14ac:dyDescent="0.2">
      <c r="A4" s="5"/>
      <c r="AG4" s="3"/>
      <c r="AH4" s="3"/>
      <c r="AI4" s="3"/>
    </row>
    <row r="5" spans="1:35" ht="25" customHeight="1" x14ac:dyDescent="0.2">
      <c r="A5" s="5"/>
      <c r="AF5" s="2"/>
      <c r="AG5" s="3"/>
      <c r="AH5" s="3"/>
      <c r="AI5" s="4" t="s">
        <v>2552</v>
      </c>
    </row>
    <row r="6" spans="1:35" ht="30" x14ac:dyDescent="0.2">
      <c r="E6" s="1" t="s">
        <v>2375</v>
      </c>
      <c r="F6" s="1" t="s">
        <v>2375</v>
      </c>
      <c r="G6" s="1" t="s">
        <v>2375</v>
      </c>
      <c r="H6" s="1" t="s">
        <v>2375</v>
      </c>
      <c r="I6" s="7" t="s">
        <v>2383</v>
      </c>
      <c r="J6" s="7" t="s">
        <v>2376</v>
      </c>
      <c r="K6" s="7" t="s">
        <v>2377</v>
      </c>
      <c r="L6" s="7" t="s">
        <v>2378</v>
      </c>
      <c r="M6" s="1" t="s">
        <v>497</v>
      </c>
      <c r="N6" s="7" t="s">
        <v>2379</v>
      </c>
      <c r="O6" s="7" t="s">
        <v>2392</v>
      </c>
      <c r="P6" s="7" t="s">
        <v>2380</v>
      </c>
      <c r="Q6" s="8" t="s">
        <v>2394</v>
      </c>
      <c r="R6" s="9" t="s">
        <v>2385</v>
      </c>
      <c r="S6" s="7" t="s">
        <v>2565</v>
      </c>
      <c r="T6" s="1" t="s">
        <v>498</v>
      </c>
      <c r="U6" s="8" t="s">
        <v>2296</v>
      </c>
      <c r="V6" s="7" t="s">
        <v>2382</v>
      </c>
      <c r="W6" s="1" t="s">
        <v>496</v>
      </c>
      <c r="X6" s="7" t="s">
        <v>2384</v>
      </c>
      <c r="Z6" s="1"/>
    </row>
    <row r="7" spans="1:35" ht="10.5" customHeight="1" x14ac:dyDescent="0.2">
      <c r="B7" s="158" t="s">
        <v>2067</v>
      </c>
      <c r="C7" s="158" t="s">
        <v>268</v>
      </c>
      <c r="D7" s="158" t="s">
        <v>357</v>
      </c>
      <c r="E7" s="161" t="s">
        <v>499</v>
      </c>
      <c r="F7" s="162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3"/>
      <c r="U7" s="164" t="s">
        <v>1559</v>
      </c>
      <c r="V7" s="164"/>
      <c r="W7" s="164"/>
      <c r="X7" s="165" t="s">
        <v>264</v>
      </c>
      <c r="Y7" s="169" t="s">
        <v>262</v>
      </c>
      <c r="Z7" s="170"/>
      <c r="AA7" s="170"/>
      <c r="AB7" s="171"/>
      <c r="AC7" s="168" t="s">
        <v>512</v>
      </c>
      <c r="AD7" s="168"/>
      <c r="AE7" s="175" t="s">
        <v>356</v>
      </c>
      <c r="AF7" s="175"/>
    </row>
    <row r="8" spans="1:35" ht="10.5" x14ac:dyDescent="0.2">
      <c r="B8" s="159"/>
      <c r="C8" s="159"/>
      <c r="D8" s="159"/>
      <c r="E8" s="10" t="s">
        <v>343</v>
      </c>
      <c r="F8" s="10" t="s">
        <v>2709</v>
      </c>
      <c r="G8" s="10" t="s">
        <v>1</v>
      </c>
      <c r="H8" s="10" t="s">
        <v>2703</v>
      </c>
      <c r="I8" s="10" t="s">
        <v>3</v>
      </c>
      <c r="J8" s="10" t="s">
        <v>4</v>
      </c>
      <c r="K8" s="10" t="s">
        <v>5</v>
      </c>
      <c r="L8" s="10" t="s">
        <v>6</v>
      </c>
      <c r="M8" s="10" t="s">
        <v>7</v>
      </c>
      <c r="N8" s="10" t="s">
        <v>8</v>
      </c>
      <c r="O8" s="10" t="s">
        <v>513</v>
      </c>
      <c r="P8" s="10" t="s">
        <v>514</v>
      </c>
      <c r="Q8" s="10" t="s">
        <v>515</v>
      </c>
      <c r="R8" s="10" t="s">
        <v>516</v>
      </c>
      <c r="S8" s="10" t="s">
        <v>9</v>
      </c>
      <c r="T8" s="10" t="s">
        <v>10</v>
      </c>
      <c r="U8" s="10" t="s">
        <v>265</v>
      </c>
      <c r="V8" s="10" t="s">
        <v>266</v>
      </c>
      <c r="W8" s="10" t="s">
        <v>267</v>
      </c>
      <c r="X8" s="166"/>
      <c r="Y8" s="176" t="s">
        <v>263</v>
      </c>
      <c r="Z8" s="176" t="s">
        <v>2554</v>
      </c>
      <c r="AA8" s="177" t="s">
        <v>354</v>
      </c>
      <c r="AB8" s="172" t="s">
        <v>2555</v>
      </c>
      <c r="AC8" s="168" t="s">
        <v>511</v>
      </c>
      <c r="AD8" s="168" t="s">
        <v>509</v>
      </c>
      <c r="AE8" s="174" t="s">
        <v>2550</v>
      </c>
      <c r="AF8" s="174" t="s">
        <v>2551</v>
      </c>
    </row>
    <row r="9" spans="1:35" ht="10.5" x14ac:dyDescent="0.2">
      <c r="B9" s="160"/>
      <c r="C9" s="160"/>
      <c r="D9" s="160"/>
      <c r="E9" s="10" t="s">
        <v>344</v>
      </c>
      <c r="F9" s="10" t="s">
        <v>11</v>
      </c>
      <c r="G9" s="10" t="s">
        <v>12</v>
      </c>
      <c r="H9" s="10" t="s">
        <v>13</v>
      </c>
      <c r="I9" s="10" t="s">
        <v>14</v>
      </c>
      <c r="J9" s="10" t="s">
        <v>15</v>
      </c>
      <c r="K9" s="10" t="s">
        <v>16</v>
      </c>
      <c r="L9" s="10" t="s">
        <v>17</v>
      </c>
      <c r="M9" s="10" t="s">
        <v>18</v>
      </c>
      <c r="N9" s="10" t="s">
        <v>19</v>
      </c>
      <c r="O9" s="10" t="s">
        <v>20</v>
      </c>
      <c r="P9" s="10" t="s">
        <v>21</v>
      </c>
      <c r="Q9" s="10" t="s">
        <v>517</v>
      </c>
      <c r="R9" s="10" t="s">
        <v>518</v>
      </c>
      <c r="S9" s="10" t="s">
        <v>519</v>
      </c>
      <c r="T9" s="10" t="s">
        <v>520</v>
      </c>
      <c r="U9" s="10" t="s">
        <v>342</v>
      </c>
      <c r="V9" s="10" t="s">
        <v>269</v>
      </c>
      <c r="W9" s="10" t="s">
        <v>270</v>
      </c>
      <c r="X9" s="167"/>
      <c r="Y9" s="176"/>
      <c r="Z9" s="176"/>
      <c r="AA9" s="178"/>
      <c r="AB9" s="173"/>
      <c r="AC9" s="168"/>
      <c r="AD9" s="168"/>
      <c r="AE9" s="174"/>
      <c r="AF9" s="174"/>
    </row>
    <row r="10" spans="1:35" ht="10" customHeight="1" x14ac:dyDescent="0.2">
      <c r="B10" s="11" t="s">
        <v>22</v>
      </c>
      <c r="C10" s="11" t="s">
        <v>1560</v>
      </c>
      <c r="D10" s="11" t="s">
        <v>22</v>
      </c>
      <c r="E10" s="11" t="s">
        <v>678</v>
      </c>
      <c r="F10" s="11" t="s">
        <v>522</v>
      </c>
      <c r="G10" s="11" t="s">
        <v>523</v>
      </c>
      <c r="H10" s="11" t="s">
        <v>680</v>
      </c>
      <c r="I10" s="12" t="s">
        <v>273</v>
      </c>
      <c r="J10" s="11" t="s">
        <v>525</v>
      </c>
      <c r="K10" s="11" t="s">
        <v>526</v>
      </c>
      <c r="L10" s="12" t="s">
        <v>273</v>
      </c>
      <c r="M10" s="11" t="s">
        <v>23</v>
      </c>
      <c r="N10" s="12" t="s">
        <v>273</v>
      </c>
      <c r="O10" s="11" t="s">
        <v>527</v>
      </c>
      <c r="P10" s="12" t="s">
        <v>273</v>
      </c>
      <c r="Q10" s="12" t="s">
        <v>273</v>
      </c>
      <c r="R10" s="12" t="s">
        <v>273</v>
      </c>
      <c r="S10" s="12" t="s">
        <v>273</v>
      </c>
      <c r="T10" s="12" t="s">
        <v>273</v>
      </c>
      <c r="U10" s="12" t="s">
        <v>273</v>
      </c>
      <c r="V10" s="12" t="s">
        <v>273</v>
      </c>
      <c r="W10" s="11" t="s">
        <v>1597</v>
      </c>
      <c r="X10" s="26" t="s">
        <v>273</v>
      </c>
      <c r="Y10" s="27"/>
      <c r="Z10" s="28" t="s">
        <v>2553</v>
      </c>
      <c r="AA10" s="133" t="str">
        <f>_xlfn.IFS(AND(COUNTIF(Y10,"SCB0*")=1, 'PCH320'!D68&gt;=2), "See the Notice *1", AND(COUNTIF(Y10,"SCB7*")=1, 'PCH320'!K68&gt;=2), "See the Notice *1", TRUE, "")</f>
        <v/>
      </c>
      <c r="AB10" s="29"/>
      <c r="AC10" s="27" t="s">
        <v>271</v>
      </c>
      <c r="AD10" s="27" t="s">
        <v>254</v>
      </c>
      <c r="AE10" s="29"/>
      <c r="AF10" s="29"/>
    </row>
    <row r="11" spans="1:35" x14ac:dyDescent="0.2">
      <c r="B11" s="11" t="s">
        <v>24</v>
      </c>
      <c r="C11" s="11" t="s">
        <v>1561</v>
      </c>
      <c r="D11" s="11" t="s">
        <v>24</v>
      </c>
      <c r="E11" s="11" t="s">
        <v>528</v>
      </c>
      <c r="F11" s="11" t="s">
        <v>529</v>
      </c>
      <c r="G11" s="11" t="s">
        <v>530</v>
      </c>
      <c r="H11" s="11" t="s">
        <v>681</v>
      </c>
      <c r="I11" s="12" t="s">
        <v>273</v>
      </c>
      <c r="J11" s="11" t="s">
        <v>532</v>
      </c>
      <c r="K11" s="11" t="s">
        <v>533</v>
      </c>
      <c r="L11" s="12" t="s">
        <v>273</v>
      </c>
      <c r="M11" s="11" t="s">
        <v>25</v>
      </c>
      <c r="N11" s="12" t="s">
        <v>273</v>
      </c>
      <c r="O11" s="11" t="s">
        <v>534</v>
      </c>
      <c r="P11" s="12" t="s">
        <v>273</v>
      </c>
      <c r="Q11" s="12" t="s">
        <v>273</v>
      </c>
      <c r="R11" s="12" t="s">
        <v>273</v>
      </c>
      <c r="S11" s="12" t="s">
        <v>273</v>
      </c>
      <c r="T11" s="12" t="s">
        <v>273</v>
      </c>
      <c r="U11" s="12" t="s">
        <v>273</v>
      </c>
      <c r="V11" s="12" t="s">
        <v>273</v>
      </c>
      <c r="W11" s="11" t="s">
        <v>1563</v>
      </c>
      <c r="X11" s="26" t="s">
        <v>273</v>
      </c>
      <c r="Y11" s="27"/>
      <c r="Z11" s="28" t="s">
        <v>2553</v>
      </c>
      <c r="AA11" s="133" t="str">
        <f>_xlfn.IFS(AND(COUNTIF(Y11,"SCB0*")=1, 'PCH320'!D68&gt;=2), "See the Notice *1", AND(COUNTIF(Y11,"SCB7*")=1, 'PCH320'!K68&gt;=2), "See the Notice *1", TRUE, "")</f>
        <v/>
      </c>
      <c r="AB11" s="29"/>
      <c r="AC11" s="27" t="s">
        <v>271</v>
      </c>
      <c r="AD11" s="27" t="s">
        <v>254</v>
      </c>
      <c r="AE11" s="29"/>
      <c r="AF11" s="29"/>
    </row>
    <row r="12" spans="1:35" x14ac:dyDescent="0.2">
      <c r="B12" s="11" t="s">
        <v>26</v>
      </c>
      <c r="C12" s="11" t="s">
        <v>1562</v>
      </c>
      <c r="D12" s="11" t="s">
        <v>26</v>
      </c>
      <c r="E12" s="11" t="s">
        <v>535</v>
      </c>
      <c r="F12" s="11" t="s">
        <v>536</v>
      </c>
      <c r="G12" s="11" t="s">
        <v>537</v>
      </c>
      <c r="H12" s="11" t="s">
        <v>682</v>
      </c>
      <c r="I12" s="12" t="s">
        <v>273</v>
      </c>
      <c r="J12" s="11" t="s">
        <v>539</v>
      </c>
      <c r="K12" s="12" t="s">
        <v>273</v>
      </c>
      <c r="L12" s="11" t="s">
        <v>2334</v>
      </c>
      <c r="M12" s="11" t="s">
        <v>27</v>
      </c>
      <c r="N12" s="11" t="s">
        <v>2644</v>
      </c>
      <c r="O12" s="11" t="s">
        <v>677</v>
      </c>
      <c r="P12" s="12" t="s">
        <v>273</v>
      </c>
      <c r="Q12" s="12" t="s">
        <v>273</v>
      </c>
      <c r="R12" s="12" t="s">
        <v>273</v>
      </c>
      <c r="S12" s="12" t="s">
        <v>273</v>
      </c>
      <c r="T12" s="12" t="s">
        <v>273</v>
      </c>
      <c r="U12" s="11" t="s">
        <v>1931</v>
      </c>
      <c r="V12" s="12" t="s">
        <v>273</v>
      </c>
      <c r="W12" s="11" t="s">
        <v>1565</v>
      </c>
      <c r="X12" s="26" t="s">
        <v>273</v>
      </c>
      <c r="Y12" s="30"/>
      <c r="Z12" s="28" t="s">
        <v>2553</v>
      </c>
      <c r="AA12" s="133" t="str">
        <f>_xlfn.IFS(AND(COUNTIF(Y12,"SCB0*")=1, 'PCH320'!D68&gt;=2), "See the Notice *1", AND(COUNTIF(Y12,"SCB7*")=1, 'PCH320'!K68&gt;=2), "See the Notice *1", TRUE, "")</f>
        <v/>
      </c>
      <c r="AB12" s="29"/>
      <c r="AC12" s="27" t="s">
        <v>271</v>
      </c>
      <c r="AD12" s="27" t="s">
        <v>254</v>
      </c>
      <c r="AE12" s="29"/>
      <c r="AF12" s="29"/>
    </row>
    <row r="13" spans="1:35" x14ac:dyDescent="0.2">
      <c r="B13" s="11" t="s">
        <v>29</v>
      </c>
      <c r="C13" s="11" t="s">
        <v>1566</v>
      </c>
      <c r="D13" s="11" t="s">
        <v>29</v>
      </c>
      <c r="E13" s="11" t="s">
        <v>540</v>
      </c>
      <c r="F13" s="11" t="s">
        <v>541</v>
      </c>
      <c r="G13" s="11" t="s">
        <v>542</v>
      </c>
      <c r="H13" s="11" t="s">
        <v>683</v>
      </c>
      <c r="I13" s="12" t="s">
        <v>273</v>
      </c>
      <c r="J13" s="11" t="s">
        <v>544</v>
      </c>
      <c r="K13" s="12" t="s">
        <v>273</v>
      </c>
      <c r="L13" s="11" t="s">
        <v>545</v>
      </c>
      <c r="M13" s="12" t="s">
        <v>273</v>
      </c>
      <c r="N13" s="11" t="s">
        <v>30</v>
      </c>
      <c r="O13" s="11" t="s">
        <v>546</v>
      </c>
      <c r="P13" s="12" t="s">
        <v>273</v>
      </c>
      <c r="Q13" s="12" t="s">
        <v>273</v>
      </c>
      <c r="R13" s="12" t="s">
        <v>273</v>
      </c>
      <c r="S13" s="12" t="s">
        <v>273</v>
      </c>
      <c r="T13" s="12" t="s">
        <v>273</v>
      </c>
      <c r="U13" s="11" t="s">
        <v>1568</v>
      </c>
      <c r="V13" s="12" t="s">
        <v>273</v>
      </c>
      <c r="W13" s="11" t="s">
        <v>1569</v>
      </c>
      <c r="X13" s="26" t="s">
        <v>273</v>
      </c>
      <c r="Y13" s="30"/>
      <c r="Z13" s="28" t="s">
        <v>2553</v>
      </c>
      <c r="AA13" s="133" t="str">
        <f>_xlfn.IFS(AND(COUNTIF(Y13,"SCB0*")=1, 'PCH320'!D68&gt;=2), "See the Notice *1", AND(COUNTIF(Y13,"SCB7*")=1, 'PCH320'!K68&gt;=2), "See the Notice *1", TRUE, "")</f>
        <v/>
      </c>
      <c r="AB13" s="29"/>
      <c r="AC13" s="27" t="s">
        <v>271</v>
      </c>
      <c r="AD13" s="27" t="s">
        <v>254</v>
      </c>
      <c r="AE13" s="29"/>
      <c r="AF13" s="29"/>
    </row>
    <row r="14" spans="1:35" x14ac:dyDescent="0.2">
      <c r="B14" s="11" t="s">
        <v>31</v>
      </c>
      <c r="C14" s="11" t="s">
        <v>1564</v>
      </c>
      <c r="D14" s="11" t="s">
        <v>31</v>
      </c>
      <c r="E14" s="11" t="s">
        <v>547</v>
      </c>
      <c r="F14" s="11" t="s">
        <v>548</v>
      </c>
      <c r="G14" s="11" t="s">
        <v>549</v>
      </c>
      <c r="H14" s="11" t="s">
        <v>684</v>
      </c>
      <c r="I14" s="11" t="s">
        <v>551</v>
      </c>
      <c r="J14" s="12" t="s">
        <v>273</v>
      </c>
      <c r="K14" s="12" t="s">
        <v>273</v>
      </c>
      <c r="L14" s="11" t="s">
        <v>552</v>
      </c>
      <c r="M14" s="12" t="s">
        <v>273</v>
      </c>
      <c r="N14" s="12" t="s">
        <v>273</v>
      </c>
      <c r="O14" s="12" t="s">
        <v>273</v>
      </c>
      <c r="P14" s="12" t="s">
        <v>273</v>
      </c>
      <c r="Q14" s="12" t="s">
        <v>273</v>
      </c>
      <c r="R14" s="12" t="s">
        <v>273</v>
      </c>
      <c r="S14" s="12" t="s">
        <v>273</v>
      </c>
      <c r="T14" s="12" t="s">
        <v>273</v>
      </c>
      <c r="U14" s="11" t="s">
        <v>1571</v>
      </c>
      <c r="V14" s="12" t="s">
        <v>273</v>
      </c>
      <c r="W14" s="11" t="s">
        <v>1572</v>
      </c>
      <c r="X14" s="26" t="s">
        <v>273</v>
      </c>
      <c r="Y14" s="30"/>
      <c r="Z14" s="28" t="s">
        <v>2553</v>
      </c>
      <c r="AA14" s="133" t="str">
        <f>_xlfn.IFS(AND(COUNTIF(Y14,"SCB0*")=1, 'PCH320'!D68&gt;=2), "See the Notice *1", AND(COUNTIF(Y14,"SCB7*")=1, 'PCH320'!K68&gt;=2), "See the Notice *1", TRUE, "")</f>
        <v/>
      </c>
      <c r="AB14" s="29"/>
      <c r="AC14" s="27" t="s">
        <v>272</v>
      </c>
      <c r="AD14" s="27" t="s">
        <v>254</v>
      </c>
      <c r="AE14" s="29"/>
      <c r="AF14" s="29"/>
    </row>
    <row r="15" spans="1:35" x14ac:dyDescent="0.2">
      <c r="B15" s="11" t="s">
        <v>32</v>
      </c>
      <c r="C15" s="11" t="s">
        <v>1570</v>
      </c>
      <c r="D15" s="11" t="s">
        <v>32</v>
      </c>
      <c r="E15" s="11" t="s">
        <v>553</v>
      </c>
      <c r="F15" s="11" t="s">
        <v>554</v>
      </c>
      <c r="G15" s="11" t="s">
        <v>555</v>
      </c>
      <c r="H15" s="11" t="s">
        <v>685</v>
      </c>
      <c r="I15" s="11" t="s">
        <v>557</v>
      </c>
      <c r="J15" s="12" t="s">
        <v>273</v>
      </c>
      <c r="K15" s="12" t="s">
        <v>273</v>
      </c>
      <c r="L15" s="11" t="s">
        <v>2685</v>
      </c>
      <c r="M15" s="12" t="s">
        <v>273</v>
      </c>
      <c r="N15" s="12" t="s">
        <v>273</v>
      </c>
      <c r="O15" s="12" t="s">
        <v>273</v>
      </c>
      <c r="P15" s="12" t="s">
        <v>273</v>
      </c>
      <c r="Q15" s="12" t="s">
        <v>2395</v>
      </c>
      <c r="R15" s="12" t="s">
        <v>273</v>
      </c>
      <c r="S15" s="12" t="s">
        <v>273</v>
      </c>
      <c r="T15" s="12" t="s">
        <v>273</v>
      </c>
      <c r="U15" s="11" t="s">
        <v>1574</v>
      </c>
      <c r="V15" s="12" t="s">
        <v>273</v>
      </c>
      <c r="W15" s="11" t="s">
        <v>1575</v>
      </c>
      <c r="X15" s="26" t="s">
        <v>273</v>
      </c>
      <c r="Y15" s="30"/>
      <c r="Z15" s="28" t="s">
        <v>2553</v>
      </c>
      <c r="AA15" s="133" t="str">
        <f>_xlfn.IFS(AND(COUNTIF(Y15,"SCB0*")=1, 'PCH320'!D68&gt;=2), "See the Notice *1", AND(COUNTIF(Y15,"SCB7*")=1, 'PCH320'!K68&gt;=2), "See the Notice *1", TRUE, "")</f>
        <v/>
      </c>
      <c r="AB15" s="29"/>
      <c r="AC15" s="27" t="s">
        <v>272</v>
      </c>
      <c r="AD15" s="27" t="s">
        <v>254</v>
      </c>
      <c r="AE15" s="29"/>
      <c r="AF15" s="29"/>
    </row>
    <row r="16" spans="1:35" x14ac:dyDescent="0.2">
      <c r="B16" s="11" t="s">
        <v>33</v>
      </c>
      <c r="C16" s="11" t="s">
        <v>1567</v>
      </c>
      <c r="D16" s="11" t="s">
        <v>33</v>
      </c>
      <c r="E16" s="11" t="s">
        <v>558</v>
      </c>
      <c r="F16" s="11" t="s">
        <v>559</v>
      </c>
      <c r="G16" s="11" t="s">
        <v>560</v>
      </c>
      <c r="H16" s="11" t="s">
        <v>561</v>
      </c>
      <c r="I16" s="11" t="s">
        <v>562</v>
      </c>
      <c r="J16" s="12" t="s">
        <v>273</v>
      </c>
      <c r="K16" s="12" t="s">
        <v>273</v>
      </c>
      <c r="L16" s="12" t="s">
        <v>273</v>
      </c>
      <c r="M16" s="11" t="s">
        <v>38</v>
      </c>
      <c r="N16" s="12" t="s">
        <v>273</v>
      </c>
      <c r="O16" s="12" t="s">
        <v>273</v>
      </c>
      <c r="P16" s="12" t="s">
        <v>273</v>
      </c>
      <c r="Q16" s="12" t="s">
        <v>273</v>
      </c>
      <c r="R16" s="12" t="s">
        <v>273</v>
      </c>
      <c r="S16" s="11" t="s">
        <v>34</v>
      </c>
      <c r="T16" s="12" t="s">
        <v>273</v>
      </c>
      <c r="U16" s="12" t="s">
        <v>273</v>
      </c>
      <c r="V16" s="12" t="s">
        <v>273</v>
      </c>
      <c r="W16" s="11" t="s">
        <v>1577</v>
      </c>
      <c r="X16" s="26" t="s">
        <v>273</v>
      </c>
      <c r="Y16" s="30"/>
      <c r="Z16" s="28" t="s">
        <v>2553</v>
      </c>
      <c r="AA16" s="133" t="str">
        <f>_xlfn.IFS(AND(COUNTIF(Y16,"SCB0*")=1, 'PCH320'!D68&gt;=2), "See the Notice *1", AND(COUNTIF(Y16,"SCB7*")=1, 'PCH320'!K68&gt;=2), "See the Notice *1", TRUE, "")</f>
        <v/>
      </c>
      <c r="AB16" s="29"/>
      <c r="AC16" s="27" t="s">
        <v>272</v>
      </c>
      <c r="AD16" s="27" t="s">
        <v>254</v>
      </c>
      <c r="AE16" s="29"/>
      <c r="AF16" s="29"/>
    </row>
    <row r="17" spans="2:32" x14ac:dyDescent="0.2">
      <c r="B17" s="11" t="s">
        <v>35</v>
      </c>
      <c r="C17" s="11" t="s">
        <v>1578</v>
      </c>
      <c r="D17" s="11" t="s">
        <v>35</v>
      </c>
      <c r="E17" s="11" t="s">
        <v>563</v>
      </c>
      <c r="F17" s="11" t="s">
        <v>564</v>
      </c>
      <c r="G17" s="11" t="s">
        <v>565</v>
      </c>
      <c r="H17" s="11" t="s">
        <v>566</v>
      </c>
      <c r="I17" s="11" t="s">
        <v>567</v>
      </c>
      <c r="J17" s="12" t="s">
        <v>273</v>
      </c>
      <c r="K17" s="12" t="s">
        <v>273</v>
      </c>
      <c r="L17" s="12" t="s">
        <v>273</v>
      </c>
      <c r="M17" s="11" t="s">
        <v>42</v>
      </c>
      <c r="N17" s="12" t="s">
        <v>273</v>
      </c>
      <c r="O17" s="12" t="s">
        <v>273</v>
      </c>
      <c r="P17" s="12" t="s">
        <v>273</v>
      </c>
      <c r="Q17" s="12" t="s">
        <v>273</v>
      </c>
      <c r="R17" s="12" t="s">
        <v>273</v>
      </c>
      <c r="S17" s="11" t="s">
        <v>36</v>
      </c>
      <c r="T17" s="12" t="s">
        <v>273</v>
      </c>
      <c r="U17" s="12" t="s">
        <v>273</v>
      </c>
      <c r="V17" s="12" t="s">
        <v>273</v>
      </c>
      <c r="W17" s="11" t="s">
        <v>1580</v>
      </c>
      <c r="X17" s="26" t="s">
        <v>273</v>
      </c>
      <c r="Y17" s="30"/>
      <c r="Z17" s="28" t="s">
        <v>2553</v>
      </c>
      <c r="AA17" s="133" t="str">
        <f>_xlfn.IFS(AND(COUNTIF(Y17,"SCB0*")=1, 'PCH320'!D68&gt;=2), "See the Notice *1", AND(COUNTIF(Y17,"SCB7*")=1, 'PCH320'!K68&gt;=2), "See the Notice *1", TRUE, "")</f>
        <v/>
      </c>
      <c r="AB17" s="29"/>
      <c r="AC17" s="27" t="s">
        <v>272</v>
      </c>
      <c r="AD17" s="27" t="s">
        <v>254</v>
      </c>
      <c r="AE17" s="29"/>
      <c r="AF17" s="29"/>
    </row>
    <row r="18" spans="2:32" x14ac:dyDescent="0.2">
      <c r="B18" s="11" t="s">
        <v>568</v>
      </c>
      <c r="C18" s="11" t="s">
        <v>1579</v>
      </c>
      <c r="D18" s="11" t="s">
        <v>568</v>
      </c>
      <c r="E18" s="11" t="s">
        <v>569</v>
      </c>
      <c r="F18" s="11" t="s">
        <v>570</v>
      </c>
      <c r="G18" s="11" t="s">
        <v>571</v>
      </c>
      <c r="H18" s="11" t="s">
        <v>686</v>
      </c>
      <c r="I18" s="12" t="s">
        <v>273</v>
      </c>
      <c r="J18" s="11" t="s">
        <v>573</v>
      </c>
      <c r="K18" s="12" t="s">
        <v>273</v>
      </c>
      <c r="L18" s="11" t="s">
        <v>574</v>
      </c>
      <c r="M18" s="12" t="s">
        <v>273</v>
      </c>
      <c r="N18" s="12" t="s">
        <v>273</v>
      </c>
      <c r="O18" s="11" t="s">
        <v>575</v>
      </c>
      <c r="P18" s="12" t="s">
        <v>273</v>
      </c>
      <c r="Q18" s="12" t="s">
        <v>273</v>
      </c>
      <c r="R18" s="12" t="s">
        <v>273</v>
      </c>
      <c r="S18" s="12" t="s">
        <v>273</v>
      </c>
      <c r="T18" s="12" t="s">
        <v>273</v>
      </c>
      <c r="U18" s="12" t="s">
        <v>273</v>
      </c>
      <c r="V18" s="12" t="s">
        <v>273</v>
      </c>
      <c r="W18" s="12" t="s">
        <v>273</v>
      </c>
      <c r="X18" s="26" t="s">
        <v>273</v>
      </c>
      <c r="Y18" s="30"/>
      <c r="Z18" s="28" t="s">
        <v>2553</v>
      </c>
      <c r="AA18" s="133" t="str">
        <f>_xlfn.IFS(AND(COUNTIF(Y18,"SCB*")=1, 'PCH320'!L68&gt;=2), "See the Notice *1", TRUE, "")</f>
        <v/>
      </c>
      <c r="AB18" s="29"/>
      <c r="AC18" s="27" t="s">
        <v>272</v>
      </c>
      <c r="AD18" s="27" t="s">
        <v>254</v>
      </c>
      <c r="AE18" s="29"/>
      <c r="AF18" s="29"/>
    </row>
    <row r="19" spans="2:32" x14ac:dyDescent="0.2">
      <c r="B19" s="11" t="s">
        <v>576</v>
      </c>
      <c r="C19" s="11" t="s">
        <v>1582</v>
      </c>
      <c r="D19" s="11" t="s">
        <v>576</v>
      </c>
      <c r="E19" s="12" t="s">
        <v>273</v>
      </c>
      <c r="F19" s="12" t="s">
        <v>273</v>
      </c>
      <c r="G19" s="12" t="s">
        <v>273</v>
      </c>
      <c r="H19" s="12" t="s">
        <v>273</v>
      </c>
      <c r="I19" s="12" t="s">
        <v>273</v>
      </c>
      <c r="J19" s="11" t="s">
        <v>577</v>
      </c>
      <c r="K19" s="11" t="s">
        <v>578</v>
      </c>
      <c r="L19" s="11" t="s">
        <v>579</v>
      </c>
      <c r="M19" s="12" t="s">
        <v>273</v>
      </c>
      <c r="N19" s="12" t="s">
        <v>273</v>
      </c>
      <c r="O19" s="11" t="s">
        <v>580</v>
      </c>
      <c r="P19" s="12" t="s">
        <v>273</v>
      </c>
      <c r="Q19" s="12" t="s">
        <v>273</v>
      </c>
      <c r="R19" s="12" t="s">
        <v>273</v>
      </c>
      <c r="S19" s="12" t="s">
        <v>273</v>
      </c>
      <c r="T19" s="12" t="s">
        <v>273</v>
      </c>
      <c r="U19" s="12" t="s">
        <v>273</v>
      </c>
      <c r="V19" s="12" t="s">
        <v>273</v>
      </c>
      <c r="W19" s="12" t="s">
        <v>273</v>
      </c>
      <c r="X19" s="26" t="s">
        <v>273</v>
      </c>
      <c r="Y19" s="30"/>
      <c r="Z19" s="28" t="s">
        <v>2553</v>
      </c>
      <c r="AA19" s="133" t="str">
        <f>_xlfn.IFS(AND(COUNTIF(Y19,"SCB*")=1, 'PCH320'!L68&gt;=2), "See the Notice *1", TRUE, "")</f>
        <v/>
      </c>
      <c r="AB19" s="29"/>
      <c r="AC19" s="27" t="s">
        <v>272</v>
      </c>
      <c r="AD19" s="27" t="s">
        <v>254</v>
      </c>
      <c r="AE19" s="29"/>
      <c r="AF19" s="29"/>
    </row>
    <row r="20" spans="2:32" x14ac:dyDescent="0.2">
      <c r="B20" s="11" t="s">
        <v>581</v>
      </c>
      <c r="C20" s="11" t="s">
        <v>1583</v>
      </c>
      <c r="D20" s="11" t="s">
        <v>581</v>
      </c>
      <c r="E20" s="12" t="s">
        <v>273</v>
      </c>
      <c r="F20" s="12" t="s">
        <v>273</v>
      </c>
      <c r="G20" s="12" t="s">
        <v>273</v>
      </c>
      <c r="H20" s="12" t="s">
        <v>273</v>
      </c>
      <c r="I20" s="12" t="s">
        <v>273</v>
      </c>
      <c r="J20" s="11" t="s">
        <v>582</v>
      </c>
      <c r="K20" s="11" t="s">
        <v>583</v>
      </c>
      <c r="L20" s="11" t="s">
        <v>584</v>
      </c>
      <c r="M20" s="12" t="s">
        <v>273</v>
      </c>
      <c r="N20" s="12" t="s">
        <v>273</v>
      </c>
      <c r="O20" s="11" t="s">
        <v>585</v>
      </c>
      <c r="P20" s="12" t="s">
        <v>273</v>
      </c>
      <c r="Q20" s="12" t="s">
        <v>273</v>
      </c>
      <c r="R20" s="12" t="s">
        <v>273</v>
      </c>
      <c r="S20" s="12" t="s">
        <v>273</v>
      </c>
      <c r="T20" s="12" t="s">
        <v>273</v>
      </c>
      <c r="U20" s="12" t="s">
        <v>273</v>
      </c>
      <c r="V20" s="12" t="s">
        <v>273</v>
      </c>
      <c r="W20" s="12" t="s">
        <v>273</v>
      </c>
      <c r="X20" s="26" t="s">
        <v>273</v>
      </c>
      <c r="Y20" s="30"/>
      <c r="Z20" s="28" t="s">
        <v>2553</v>
      </c>
      <c r="AA20" s="133" t="str">
        <f>_xlfn.IFS(AND(COUNTIF(Y20,"SCB*")=1, 'PCH320'!L68&gt;=2), "See the Notice *1", TRUE, "")</f>
        <v/>
      </c>
      <c r="AB20" s="29"/>
      <c r="AC20" s="27" t="s">
        <v>272</v>
      </c>
      <c r="AD20" s="27" t="s">
        <v>254</v>
      </c>
      <c r="AE20" s="29"/>
      <c r="AF20" s="29"/>
    </row>
    <row r="21" spans="2:32" x14ac:dyDescent="0.2">
      <c r="B21" s="11" t="s">
        <v>37</v>
      </c>
      <c r="C21" s="11" t="s">
        <v>1573</v>
      </c>
      <c r="D21" s="11" t="s">
        <v>37</v>
      </c>
      <c r="E21" s="11" t="s">
        <v>586</v>
      </c>
      <c r="F21" s="11" t="s">
        <v>587</v>
      </c>
      <c r="G21" s="11" t="s">
        <v>588</v>
      </c>
      <c r="H21" s="11" t="s">
        <v>687</v>
      </c>
      <c r="I21" s="11" t="s">
        <v>590</v>
      </c>
      <c r="J21" s="11" t="s">
        <v>591</v>
      </c>
      <c r="K21" s="12" t="s">
        <v>273</v>
      </c>
      <c r="L21" s="11" t="s">
        <v>2335</v>
      </c>
      <c r="M21" s="11" t="s">
        <v>38</v>
      </c>
      <c r="N21" s="11" t="s">
        <v>39</v>
      </c>
      <c r="O21" s="12" t="s">
        <v>273</v>
      </c>
      <c r="P21" s="12" t="s">
        <v>273</v>
      </c>
      <c r="Q21" s="12" t="s">
        <v>273</v>
      </c>
      <c r="R21" s="12" t="s">
        <v>273</v>
      </c>
      <c r="S21" s="11" t="s">
        <v>40</v>
      </c>
      <c r="T21" s="12" t="s">
        <v>273</v>
      </c>
      <c r="U21" s="12" t="s">
        <v>273</v>
      </c>
      <c r="V21" s="11" t="s">
        <v>274</v>
      </c>
      <c r="W21" s="11" t="s">
        <v>1585</v>
      </c>
      <c r="X21" s="26" t="s">
        <v>273</v>
      </c>
      <c r="Y21" s="30"/>
      <c r="Z21" s="28" t="s">
        <v>2553</v>
      </c>
      <c r="AA21" s="133" t="str">
        <f>_xlfn.IFS(AND(COUNTIF(Y21,"SCB0*")=1, 'PCH320'!D68&gt;=2), "See the Notice *1", AND(COUNTIF(Y21,"SCB7*")=1, 'PCH320'!K68&gt;=2), "See the Notice *1", TRUE, "")</f>
        <v/>
      </c>
      <c r="AB21" s="29"/>
      <c r="AC21" s="27" t="s">
        <v>272</v>
      </c>
      <c r="AD21" s="27" t="s">
        <v>254</v>
      </c>
      <c r="AE21" s="29"/>
      <c r="AF21" s="29"/>
    </row>
    <row r="22" spans="2:32" x14ac:dyDescent="0.2">
      <c r="B22" s="11" t="s">
        <v>41</v>
      </c>
      <c r="C22" s="11" t="s">
        <v>1576</v>
      </c>
      <c r="D22" s="11" t="s">
        <v>41</v>
      </c>
      <c r="E22" s="11" t="s">
        <v>592</v>
      </c>
      <c r="F22" s="11" t="s">
        <v>593</v>
      </c>
      <c r="G22" s="11" t="s">
        <v>594</v>
      </c>
      <c r="H22" s="11" t="s">
        <v>688</v>
      </c>
      <c r="I22" s="11" t="s">
        <v>596</v>
      </c>
      <c r="J22" s="11" t="s">
        <v>597</v>
      </c>
      <c r="K22" s="11" t="s">
        <v>598</v>
      </c>
      <c r="L22" s="11" t="s">
        <v>599</v>
      </c>
      <c r="M22" s="11" t="s">
        <v>42</v>
      </c>
      <c r="N22" s="11" t="s">
        <v>43</v>
      </c>
      <c r="O22" s="12" t="s">
        <v>273</v>
      </c>
      <c r="P22" s="12" t="s">
        <v>273</v>
      </c>
      <c r="Q22" s="12" t="s">
        <v>273</v>
      </c>
      <c r="R22" s="12" t="s">
        <v>273</v>
      </c>
      <c r="S22" s="11" t="s">
        <v>44</v>
      </c>
      <c r="T22" s="12" t="s">
        <v>273</v>
      </c>
      <c r="U22" s="12" t="s">
        <v>273</v>
      </c>
      <c r="V22" s="12" t="s">
        <v>273</v>
      </c>
      <c r="W22" s="11" t="s">
        <v>1587</v>
      </c>
      <c r="X22" s="26" t="s">
        <v>273</v>
      </c>
      <c r="Y22" s="30"/>
      <c r="Z22" s="28" t="s">
        <v>2553</v>
      </c>
      <c r="AA22" s="133" t="str">
        <f>_xlfn.IFS(AND(COUNTIF(Y22,"SCB0*")=1, 'PCH320'!D68&gt;=2), "See the Notice *1", AND(COUNTIF(Y22,"SCB7*")=1, 'PCH320'!K68&gt;=2), "See the Notice *1", TRUE, "")</f>
        <v/>
      </c>
      <c r="AB22" s="29"/>
      <c r="AC22" s="27" t="s">
        <v>272</v>
      </c>
      <c r="AD22" s="27" t="s">
        <v>254</v>
      </c>
      <c r="AE22" s="29"/>
      <c r="AF22" s="29"/>
    </row>
    <row r="23" spans="2:32" x14ac:dyDescent="0.2">
      <c r="B23" s="11" t="s">
        <v>45</v>
      </c>
      <c r="C23" s="11" t="s">
        <v>1584</v>
      </c>
      <c r="D23" s="11" t="s">
        <v>45</v>
      </c>
      <c r="E23" s="11" t="s">
        <v>600</v>
      </c>
      <c r="F23" s="11" t="s">
        <v>601</v>
      </c>
      <c r="G23" s="11" t="s">
        <v>602</v>
      </c>
      <c r="H23" s="11" t="s">
        <v>603</v>
      </c>
      <c r="I23" s="11" t="s">
        <v>604</v>
      </c>
      <c r="J23" s="11" t="s">
        <v>605</v>
      </c>
      <c r="K23" s="11" t="s">
        <v>606</v>
      </c>
      <c r="L23" s="11" t="s">
        <v>607</v>
      </c>
      <c r="M23" s="11" t="s">
        <v>46</v>
      </c>
      <c r="N23" s="12" t="s">
        <v>273</v>
      </c>
      <c r="O23" s="12" t="s">
        <v>273</v>
      </c>
      <c r="P23" s="12" t="s">
        <v>273</v>
      </c>
      <c r="Q23" s="11" t="s">
        <v>679</v>
      </c>
      <c r="R23" s="12" t="s">
        <v>273</v>
      </c>
      <c r="S23" s="11" t="s">
        <v>47</v>
      </c>
      <c r="T23" s="12" t="s">
        <v>273</v>
      </c>
      <c r="U23" s="12" t="s">
        <v>273</v>
      </c>
      <c r="V23" s="12" t="s">
        <v>273</v>
      </c>
      <c r="W23" s="11" t="s">
        <v>1589</v>
      </c>
      <c r="X23" s="26" t="s">
        <v>273</v>
      </c>
      <c r="Y23" s="30"/>
      <c r="Z23" s="28" t="s">
        <v>2553</v>
      </c>
      <c r="AA23" s="133" t="str">
        <f>_xlfn.IFS(AND(COUNTIF(Y23,"SCB0*")=1, 'PCH320'!D68&gt;=2), "See the Notice *1", AND(COUNTIF(Y23,"SCB7*")=1, 'PCH320'!K68&gt;=2), "See the Notice *1", AND(COUNTIF(Y23,"ETH*")=1, 'PCH320'!D223&gt;=2), "See the Notice *1", TRUE, "")</f>
        <v/>
      </c>
      <c r="AB23" s="29"/>
      <c r="AC23" s="27" t="s">
        <v>272</v>
      </c>
      <c r="AD23" s="27" t="s">
        <v>254</v>
      </c>
      <c r="AE23" s="29"/>
      <c r="AF23" s="29"/>
    </row>
    <row r="24" spans="2:32" x14ac:dyDescent="0.2">
      <c r="B24" s="11" t="s">
        <v>48</v>
      </c>
      <c r="C24" s="11" t="s">
        <v>1586</v>
      </c>
      <c r="D24" s="11" t="s">
        <v>48</v>
      </c>
      <c r="E24" s="11" t="s">
        <v>608</v>
      </c>
      <c r="F24" s="11" t="s">
        <v>609</v>
      </c>
      <c r="G24" s="11" t="s">
        <v>610</v>
      </c>
      <c r="H24" s="11" t="s">
        <v>689</v>
      </c>
      <c r="I24" s="11" t="s">
        <v>612</v>
      </c>
      <c r="J24" s="11" t="s">
        <v>613</v>
      </c>
      <c r="K24" s="12" t="s">
        <v>273</v>
      </c>
      <c r="L24" s="11" t="s">
        <v>614</v>
      </c>
      <c r="M24" s="11" t="s">
        <v>49</v>
      </c>
      <c r="N24" s="12" t="s">
        <v>273</v>
      </c>
      <c r="O24" s="12" t="s">
        <v>273</v>
      </c>
      <c r="P24" s="12" t="s">
        <v>273</v>
      </c>
      <c r="Q24" s="11" t="s">
        <v>696</v>
      </c>
      <c r="R24" s="12" t="s">
        <v>273</v>
      </c>
      <c r="S24" s="11" t="s">
        <v>50</v>
      </c>
      <c r="T24" s="12" t="s">
        <v>273</v>
      </c>
      <c r="U24" s="12" t="s">
        <v>273</v>
      </c>
      <c r="V24" s="12" t="s">
        <v>273</v>
      </c>
      <c r="W24" s="12" t="s">
        <v>273</v>
      </c>
      <c r="X24" s="26" t="s">
        <v>273</v>
      </c>
      <c r="Y24" s="30"/>
      <c r="Z24" s="28" t="s">
        <v>2553</v>
      </c>
      <c r="AA24" s="133" t="str">
        <f>_xlfn.IFS(AND(COUNTIF(Y24,"SCB0*")=1, 'PCH320'!D68&gt;=2), "See the Notice *1", AND(COUNTIF(Y24,"SCB7*")=1, 'PCH320'!K68&gt;=2), "See the Notice *1", AND(COUNTIF(Y24,"ETH*")=1, 'PCH320'!D223&gt;=2), "See the Notice *1", TRUE, "")</f>
        <v/>
      </c>
      <c r="AB24" s="29"/>
      <c r="AC24" s="27" t="s">
        <v>272</v>
      </c>
      <c r="AD24" s="27" t="s">
        <v>254</v>
      </c>
      <c r="AE24" s="29"/>
      <c r="AF24" s="29"/>
    </row>
    <row r="25" spans="2:32" x14ac:dyDescent="0.2">
      <c r="B25" s="11" t="s">
        <v>51</v>
      </c>
      <c r="C25" s="11" t="s">
        <v>1588</v>
      </c>
      <c r="D25" s="11" t="s">
        <v>51</v>
      </c>
      <c r="E25" s="11" t="s">
        <v>615</v>
      </c>
      <c r="F25" s="11" t="s">
        <v>616</v>
      </c>
      <c r="G25" s="11" t="s">
        <v>617</v>
      </c>
      <c r="H25" s="11" t="s">
        <v>690</v>
      </c>
      <c r="I25" s="11" t="s">
        <v>619</v>
      </c>
      <c r="J25" s="12" t="s">
        <v>273</v>
      </c>
      <c r="K25" s="12" t="s">
        <v>273</v>
      </c>
      <c r="L25" s="11" t="s">
        <v>620</v>
      </c>
      <c r="M25" s="11" t="s">
        <v>52</v>
      </c>
      <c r="N25" s="12" t="s">
        <v>273</v>
      </c>
      <c r="O25" s="12" t="s">
        <v>273</v>
      </c>
      <c r="P25" s="12" t="s">
        <v>273</v>
      </c>
      <c r="Q25" s="12" t="s">
        <v>273</v>
      </c>
      <c r="R25" s="12" t="s">
        <v>273</v>
      </c>
      <c r="S25" s="11" t="s">
        <v>53</v>
      </c>
      <c r="T25" s="12" t="s">
        <v>273</v>
      </c>
      <c r="U25" s="12" t="s">
        <v>273</v>
      </c>
      <c r="V25" s="12" t="s">
        <v>273</v>
      </c>
      <c r="W25" s="12" t="s">
        <v>273</v>
      </c>
      <c r="X25" s="26" t="s">
        <v>273</v>
      </c>
      <c r="Y25" s="30"/>
      <c r="Z25" s="28" t="s">
        <v>2553</v>
      </c>
      <c r="AA25" s="133" t="str">
        <f>_xlfn.IFS(AND(COUNTIF(Y25,"SCB*")=1, 'PCH320'!K68&gt;=2), "See the Notice *1", TRUE, "")</f>
        <v/>
      </c>
      <c r="AB25" s="29"/>
      <c r="AC25" s="27" t="s">
        <v>272</v>
      </c>
      <c r="AD25" s="27" t="s">
        <v>254</v>
      </c>
      <c r="AE25" s="29"/>
      <c r="AF25" s="29"/>
    </row>
    <row r="26" spans="2:32" x14ac:dyDescent="0.2">
      <c r="B26" s="11" t="s">
        <v>54</v>
      </c>
      <c r="C26" s="11" t="s">
        <v>1592</v>
      </c>
      <c r="D26" s="11" t="s">
        <v>54</v>
      </c>
      <c r="E26" s="11" t="s">
        <v>621</v>
      </c>
      <c r="F26" s="11" t="s">
        <v>622</v>
      </c>
      <c r="G26" s="11" t="s">
        <v>623</v>
      </c>
      <c r="H26" s="11" t="s">
        <v>691</v>
      </c>
      <c r="I26" s="11" t="s">
        <v>625</v>
      </c>
      <c r="J26" s="12" t="s">
        <v>273</v>
      </c>
      <c r="K26" s="12" t="s">
        <v>273</v>
      </c>
      <c r="L26" s="11" t="s">
        <v>626</v>
      </c>
      <c r="M26" s="11" t="s">
        <v>55</v>
      </c>
      <c r="N26" s="12" t="s">
        <v>273</v>
      </c>
      <c r="O26" s="12" t="s">
        <v>273</v>
      </c>
      <c r="P26" s="12" t="s">
        <v>273</v>
      </c>
      <c r="Q26" s="12" t="s">
        <v>273</v>
      </c>
      <c r="R26" s="12" t="s">
        <v>273</v>
      </c>
      <c r="S26" s="11" t="s">
        <v>56</v>
      </c>
      <c r="T26" s="12" t="s">
        <v>273</v>
      </c>
      <c r="U26" s="12" t="s">
        <v>273</v>
      </c>
      <c r="V26" s="12" t="s">
        <v>273</v>
      </c>
      <c r="W26" s="12" t="s">
        <v>273</v>
      </c>
      <c r="X26" s="26" t="s">
        <v>273</v>
      </c>
      <c r="Y26" s="30"/>
      <c r="Z26" s="28" t="s">
        <v>2553</v>
      </c>
      <c r="AA26" s="133" t="str">
        <f>_xlfn.IFS(AND(COUNTIF(Y26,"SCB*")=1, 'PCH320'!K68&gt;=2), "See the Notice *1", TRUE, "")</f>
        <v/>
      </c>
      <c r="AB26" s="29"/>
      <c r="AC26" s="27" t="s">
        <v>272</v>
      </c>
      <c r="AD26" s="27" t="s">
        <v>254</v>
      </c>
      <c r="AE26" s="29"/>
      <c r="AF26" s="29"/>
    </row>
    <row r="27" spans="2:32" x14ac:dyDescent="0.2">
      <c r="B27" s="11" t="s">
        <v>627</v>
      </c>
      <c r="C27" s="11" t="s">
        <v>1593</v>
      </c>
      <c r="D27" s="11" t="s">
        <v>627</v>
      </c>
      <c r="E27" s="11" t="s">
        <v>628</v>
      </c>
      <c r="F27" s="11" t="s">
        <v>629</v>
      </c>
      <c r="G27" s="11" t="s">
        <v>630</v>
      </c>
      <c r="H27" s="11" t="s">
        <v>692</v>
      </c>
      <c r="I27" s="12" t="s">
        <v>273</v>
      </c>
      <c r="J27" s="11" t="s">
        <v>632</v>
      </c>
      <c r="K27" s="12" t="s">
        <v>273</v>
      </c>
      <c r="L27" s="11" t="s">
        <v>633</v>
      </c>
      <c r="M27" s="12" t="s">
        <v>273</v>
      </c>
      <c r="N27" s="12" t="s">
        <v>273</v>
      </c>
      <c r="O27" s="12" t="s">
        <v>273</v>
      </c>
      <c r="P27" s="12" t="s">
        <v>273</v>
      </c>
      <c r="Q27" s="12" t="s">
        <v>273</v>
      </c>
      <c r="R27" s="12" t="s">
        <v>273</v>
      </c>
      <c r="S27" s="12" t="s">
        <v>273</v>
      </c>
      <c r="T27" s="12" t="s">
        <v>273</v>
      </c>
      <c r="U27" s="12" t="s">
        <v>273</v>
      </c>
      <c r="V27" s="12" t="s">
        <v>273</v>
      </c>
      <c r="W27" s="12" t="s">
        <v>273</v>
      </c>
      <c r="X27" s="26" t="s">
        <v>273</v>
      </c>
      <c r="Y27" s="30"/>
      <c r="Z27" s="28" t="s">
        <v>2553</v>
      </c>
      <c r="AA27" s="133" t="str">
        <f>_xlfn.IFS(AND(COUNTIF(Y27,"SCB*")=1, 'PCH320'!L68&gt;=2), "See the Notice *1", TRUE, "")</f>
        <v/>
      </c>
      <c r="AB27" s="29"/>
      <c r="AC27" s="27" t="s">
        <v>272</v>
      </c>
      <c r="AD27" s="27" t="s">
        <v>254</v>
      </c>
      <c r="AE27" s="29"/>
      <c r="AF27" s="29"/>
    </row>
    <row r="28" spans="2:32" x14ac:dyDescent="0.2">
      <c r="B28" s="11" t="s">
        <v>634</v>
      </c>
      <c r="C28" s="16" t="s">
        <v>1595</v>
      </c>
      <c r="D28" s="11" t="s">
        <v>634</v>
      </c>
      <c r="E28" s="11" t="s">
        <v>635</v>
      </c>
      <c r="F28" s="11" t="s">
        <v>636</v>
      </c>
      <c r="G28" s="11" t="s">
        <v>637</v>
      </c>
      <c r="H28" s="11" t="s">
        <v>693</v>
      </c>
      <c r="I28" s="12" t="s">
        <v>273</v>
      </c>
      <c r="J28" s="12" t="s">
        <v>273</v>
      </c>
      <c r="K28" s="12" t="s">
        <v>273</v>
      </c>
      <c r="L28" s="11" t="s">
        <v>639</v>
      </c>
      <c r="M28" s="11" t="s">
        <v>640</v>
      </c>
      <c r="N28" s="12" t="s">
        <v>273</v>
      </c>
      <c r="O28" s="12" t="s">
        <v>273</v>
      </c>
      <c r="P28" s="12" t="s">
        <v>273</v>
      </c>
      <c r="Q28" s="12" t="s">
        <v>273</v>
      </c>
      <c r="R28" s="12" t="s">
        <v>273</v>
      </c>
      <c r="S28" s="12" t="s">
        <v>273</v>
      </c>
      <c r="T28" s="12" t="s">
        <v>273</v>
      </c>
      <c r="U28" s="12" t="s">
        <v>273</v>
      </c>
      <c r="V28" s="12" t="s">
        <v>273</v>
      </c>
      <c r="W28" s="12" t="s">
        <v>273</v>
      </c>
      <c r="X28" s="26" t="s">
        <v>273</v>
      </c>
      <c r="Y28" s="30"/>
      <c r="Z28" s="28" t="s">
        <v>2553</v>
      </c>
      <c r="AA28" s="133" t="str">
        <f>_xlfn.IFS(AND(COUNTIF(Y28,"SCB*")=1, 'PCH320'!L68&gt;=2), "See the Notice *1", TRUE, "")</f>
        <v/>
      </c>
      <c r="AB28" s="29"/>
      <c r="AC28" s="27" t="s">
        <v>272</v>
      </c>
      <c r="AD28" s="27" t="s">
        <v>254</v>
      </c>
      <c r="AE28" s="29"/>
      <c r="AF28" s="29"/>
    </row>
    <row r="29" spans="2:32" x14ac:dyDescent="0.2">
      <c r="B29" s="11" t="s">
        <v>57</v>
      </c>
      <c r="C29" s="11" t="s">
        <v>1598</v>
      </c>
      <c r="D29" s="11" t="s">
        <v>57</v>
      </c>
      <c r="E29" s="11" t="s">
        <v>641</v>
      </c>
      <c r="F29" s="11" t="s">
        <v>642</v>
      </c>
      <c r="G29" s="11" t="s">
        <v>643</v>
      </c>
      <c r="H29" s="11" t="s">
        <v>694</v>
      </c>
      <c r="I29" s="11" t="s">
        <v>645</v>
      </c>
      <c r="J29" s="11" t="s">
        <v>695</v>
      </c>
      <c r="K29" s="12" t="s">
        <v>273</v>
      </c>
      <c r="L29" s="11" t="s">
        <v>646</v>
      </c>
      <c r="M29" s="12" t="s">
        <v>273</v>
      </c>
      <c r="N29" s="11" t="s">
        <v>647</v>
      </c>
      <c r="O29" s="12" t="s">
        <v>273</v>
      </c>
      <c r="P29" s="12" t="s">
        <v>273</v>
      </c>
      <c r="Q29" s="11" t="s">
        <v>648</v>
      </c>
      <c r="R29" s="12" t="s">
        <v>273</v>
      </c>
      <c r="S29" s="12" t="s">
        <v>273</v>
      </c>
      <c r="T29" s="11" t="s">
        <v>697</v>
      </c>
      <c r="U29" s="12" t="s">
        <v>273</v>
      </c>
      <c r="V29" s="12" t="s">
        <v>273</v>
      </c>
      <c r="W29" s="12" t="s">
        <v>273</v>
      </c>
      <c r="X29" s="26" t="s">
        <v>273</v>
      </c>
      <c r="Y29" s="30"/>
      <c r="Z29" s="28" t="s">
        <v>2553</v>
      </c>
      <c r="AA29" s="133" t="str">
        <f>_xlfn.IFS(AND(COUNTIF(Y29,"SCB*")=1, 'PCH320'!J68&gt;=2), "See the Notice *1", AND(COUNTIF(Y29,"ETH*")=1, 'PCH320'!D223&gt;=2), "See the Notice *1", TRUE, "")</f>
        <v/>
      </c>
      <c r="AB29" s="29"/>
      <c r="AC29" s="27" t="s">
        <v>272</v>
      </c>
      <c r="AD29" s="27" t="s">
        <v>254</v>
      </c>
      <c r="AE29" s="29"/>
      <c r="AF29" s="29"/>
    </row>
    <row r="30" spans="2:32" x14ac:dyDescent="0.2">
      <c r="B30" s="11" t="s">
        <v>58</v>
      </c>
      <c r="C30" s="11" t="s">
        <v>1591</v>
      </c>
      <c r="D30" s="11" t="s">
        <v>58</v>
      </c>
      <c r="E30" s="11" t="s">
        <v>649</v>
      </c>
      <c r="F30" s="11" t="s">
        <v>650</v>
      </c>
      <c r="G30" s="11" t="s">
        <v>651</v>
      </c>
      <c r="H30" s="11" t="s">
        <v>652</v>
      </c>
      <c r="I30" s="11" t="s">
        <v>653</v>
      </c>
      <c r="J30" s="11" t="s">
        <v>654</v>
      </c>
      <c r="K30" s="11" t="s">
        <v>655</v>
      </c>
      <c r="L30" s="11" t="s">
        <v>656</v>
      </c>
      <c r="M30" s="12" t="s">
        <v>273</v>
      </c>
      <c r="N30" s="11" t="s">
        <v>657</v>
      </c>
      <c r="O30" s="12" t="s">
        <v>273</v>
      </c>
      <c r="P30" s="12" t="s">
        <v>273</v>
      </c>
      <c r="Q30" s="11" t="s">
        <v>658</v>
      </c>
      <c r="R30" s="12" t="s">
        <v>273</v>
      </c>
      <c r="S30" s="12" t="s">
        <v>273</v>
      </c>
      <c r="T30" s="11" t="s">
        <v>698</v>
      </c>
      <c r="U30" s="12" t="s">
        <v>273</v>
      </c>
      <c r="V30" s="12" t="s">
        <v>273</v>
      </c>
      <c r="W30" s="12" t="s">
        <v>273</v>
      </c>
      <c r="X30" s="26" t="s">
        <v>273</v>
      </c>
      <c r="Y30" s="30"/>
      <c r="Z30" s="28" t="s">
        <v>2553</v>
      </c>
      <c r="AA30" s="133" t="str">
        <f>_xlfn.IFS(AND(COUNTIF(Y30,"SCB*")=1, 'PCH320'!J68&gt;=2), "See the Notice *1", AND(COUNTIF(Y30,"ETH*")=1, 'PCH320'!D223&gt;=2), "See the Notice *1", TRUE, "")</f>
        <v/>
      </c>
      <c r="AB30" s="29"/>
      <c r="AC30" s="27" t="s">
        <v>272</v>
      </c>
      <c r="AD30" s="27" t="s">
        <v>254</v>
      </c>
      <c r="AE30" s="29"/>
      <c r="AF30" s="29"/>
    </row>
    <row r="31" spans="2:32" x14ac:dyDescent="0.2">
      <c r="B31" s="11" t="s">
        <v>59</v>
      </c>
      <c r="C31" s="11" t="s">
        <v>1599</v>
      </c>
      <c r="D31" s="11" t="s">
        <v>59</v>
      </c>
      <c r="E31" s="11" t="s">
        <v>659</v>
      </c>
      <c r="F31" s="11" t="s">
        <v>660</v>
      </c>
      <c r="G31" s="11" t="s">
        <v>661</v>
      </c>
      <c r="H31" s="11" t="s">
        <v>662</v>
      </c>
      <c r="I31" s="11" t="s">
        <v>663</v>
      </c>
      <c r="J31" s="11" t="s">
        <v>664</v>
      </c>
      <c r="K31" s="11" t="s">
        <v>665</v>
      </c>
      <c r="L31" s="11" t="s">
        <v>699</v>
      </c>
      <c r="M31" s="12" t="s">
        <v>273</v>
      </c>
      <c r="N31" s="12" t="s">
        <v>273</v>
      </c>
      <c r="O31" s="12" t="s">
        <v>273</v>
      </c>
      <c r="P31" s="12" t="s">
        <v>273</v>
      </c>
      <c r="Q31" s="12" t="s">
        <v>273</v>
      </c>
      <c r="R31" s="12" t="s">
        <v>273</v>
      </c>
      <c r="S31" s="12" t="s">
        <v>273</v>
      </c>
      <c r="T31" s="12" t="s">
        <v>273</v>
      </c>
      <c r="U31" s="12" t="s">
        <v>273</v>
      </c>
      <c r="V31" s="12" t="s">
        <v>273</v>
      </c>
      <c r="W31" s="12" t="s">
        <v>273</v>
      </c>
      <c r="X31" s="26" t="s">
        <v>273</v>
      </c>
      <c r="Y31" s="30"/>
      <c r="Z31" s="28" t="s">
        <v>2553</v>
      </c>
      <c r="AA31" s="133" t="str">
        <f>_xlfn.IFS(AND(COUNTIF(Y31,"SCB*")=1, 'PCH320'!J68&gt;=2), "See the Notice *1", TRUE, "")</f>
        <v/>
      </c>
      <c r="AB31" s="29"/>
      <c r="AC31" s="27" t="s">
        <v>272</v>
      </c>
      <c r="AD31" s="27" t="s">
        <v>254</v>
      </c>
      <c r="AE31" s="29"/>
      <c r="AF31" s="29"/>
    </row>
    <row r="32" spans="2:32" x14ac:dyDescent="0.2">
      <c r="B32" s="11" t="s">
        <v>60</v>
      </c>
      <c r="C32" s="11" t="s">
        <v>1600</v>
      </c>
      <c r="D32" s="11" t="s">
        <v>60</v>
      </c>
      <c r="E32" s="11" t="s">
        <v>666</v>
      </c>
      <c r="F32" s="11" t="s">
        <v>667</v>
      </c>
      <c r="G32" s="11" t="s">
        <v>668</v>
      </c>
      <c r="H32" s="11" t="s">
        <v>669</v>
      </c>
      <c r="I32" s="11" t="s">
        <v>670</v>
      </c>
      <c r="J32" s="11" t="s">
        <v>671</v>
      </c>
      <c r="K32" s="12" t="s">
        <v>273</v>
      </c>
      <c r="L32" s="11" t="s">
        <v>700</v>
      </c>
      <c r="M32" s="12" t="s">
        <v>273</v>
      </c>
      <c r="N32" s="12" t="s">
        <v>273</v>
      </c>
      <c r="O32" s="12" t="s">
        <v>273</v>
      </c>
      <c r="P32" s="12" t="s">
        <v>273</v>
      </c>
      <c r="Q32" s="12" t="s">
        <v>273</v>
      </c>
      <c r="R32" s="12" t="s">
        <v>273</v>
      </c>
      <c r="S32" s="12" t="s">
        <v>273</v>
      </c>
      <c r="T32" s="12" t="s">
        <v>273</v>
      </c>
      <c r="U32" s="12" t="s">
        <v>273</v>
      </c>
      <c r="V32" s="12" t="s">
        <v>273</v>
      </c>
      <c r="W32" s="12" t="s">
        <v>273</v>
      </c>
      <c r="X32" s="26" t="s">
        <v>273</v>
      </c>
      <c r="Y32" s="30"/>
      <c r="Z32" s="28" t="s">
        <v>2553</v>
      </c>
      <c r="AA32" s="133" t="str">
        <f>_xlfn.IFS(AND(COUNTIF(Y32,"SCB*")=1, 'PCH320'!J68&gt;=2), "See the Notice *1", TRUE, "")</f>
        <v/>
      </c>
      <c r="AB32" s="29"/>
      <c r="AC32" s="27" t="s">
        <v>272</v>
      </c>
      <c r="AD32" s="27" t="s">
        <v>254</v>
      </c>
      <c r="AE32" s="29"/>
      <c r="AF32" s="29"/>
    </row>
    <row r="33" spans="2:32" x14ac:dyDescent="0.2">
      <c r="B33" s="16" t="s">
        <v>61</v>
      </c>
      <c r="C33" s="11" t="s">
        <v>1601</v>
      </c>
      <c r="D33" s="16" t="s">
        <v>61</v>
      </c>
      <c r="E33" s="16" t="s">
        <v>672</v>
      </c>
      <c r="F33" s="16" t="s">
        <v>673</v>
      </c>
      <c r="G33" s="16" t="s">
        <v>674</v>
      </c>
      <c r="H33" s="16" t="s">
        <v>675</v>
      </c>
      <c r="I33" s="16" t="s">
        <v>676</v>
      </c>
      <c r="J33" s="12" t="s">
        <v>273</v>
      </c>
      <c r="K33" s="12" t="s">
        <v>273</v>
      </c>
      <c r="L33" s="16" t="s">
        <v>701</v>
      </c>
      <c r="M33" s="16" t="s">
        <v>23</v>
      </c>
      <c r="N33" s="12" t="s">
        <v>273</v>
      </c>
      <c r="O33" s="12" t="s">
        <v>273</v>
      </c>
      <c r="P33" s="12" t="s">
        <v>273</v>
      </c>
      <c r="Q33" s="12" t="s">
        <v>273</v>
      </c>
      <c r="R33" s="12" t="s">
        <v>273</v>
      </c>
      <c r="S33" s="12" t="s">
        <v>273</v>
      </c>
      <c r="T33" s="12" t="s">
        <v>273</v>
      </c>
      <c r="U33" s="12" t="s">
        <v>273</v>
      </c>
      <c r="V33" s="12" t="s">
        <v>273</v>
      </c>
      <c r="W33" s="12" t="s">
        <v>273</v>
      </c>
      <c r="X33" s="26" t="s">
        <v>273</v>
      </c>
      <c r="Y33" s="30"/>
      <c r="Z33" s="28" t="s">
        <v>2553</v>
      </c>
      <c r="AA33" s="133" t="str">
        <f>_xlfn.IFS(AND(COUNTIF(Y33,"SCB*")=1, 'PCH320'!J68&gt;=2), "See the Notice *1", TRUE, "")</f>
        <v/>
      </c>
      <c r="AB33" s="29"/>
      <c r="AC33" s="27" t="s">
        <v>272</v>
      </c>
      <c r="AD33" s="27" t="s">
        <v>254</v>
      </c>
      <c r="AE33" s="29"/>
      <c r="AF33" s="29"/>
    </row>
    <row r="34" spans="2:32" x14ac:dyDescent="0.2">
      <c r="B34" s="11" t="s">
        <v>62</v>
      </c>
      <c r="C34" s="11" t="s">
        <v>1603</v>
      </c>
      <c r="D34" s="11" t="s">
        <v>62</v>
      </c>
      <c r="E34" s="11" t="s">
        <v>702</v>
      </c>
      <c r="F34" s="11" t="s">
        <v>703</v>
      </c>
      <c r="G34" s="11" t="s">
        <v>704</v>
      </c>
      <c r="H34" s="11" t="s">
        <v>705</v>
      </c>
      <c r="I34" s="11" t="s">
        <v>706</v>
      </c>
      <c r="J34" s="12" t="s">
        <v>273</v>
      </c>
      <c r="K34" s="12" t="s">
        <v>273</v>
      </c>
      <c r="L34" s="11" t="s">
        <v>707</v>
      </c>
      <c r="M34" s="11" t="s">
        <v>25</v>
      </c>
      <c r="N34" s="12" t="s">
        <v>273</v>
      </c>
      <c r="O34" s="12" t="s">
        <v>273</v>
      </c>
      <c r="P34" s="12" t="s">
        <v>273</v>
      </c>
      <c r="Q34" s="12" t="s">
        <v>273</v>
      </c>
      <c r="R34" s="12" t="s">
        <v>273</v>
      </c>
      <c r="S34" s="12" t="s">
        <v>273</v>
      </c>
      <c r="T34" s="12" t="s">
        <v>273</v>
      </c>
      <c r="U34" s="12" t="s">
        <v>273</v>
      </c>
      <c r="V34" s="12" t="s">
        <v>273</v>
      </c>
      <c r="W34" s="12" t="s">
        <v>273</v>
      </c>
      <c r="X34" s="26" t="s">
        <v>273</v>
      </c>
      <c r="Y34" s="30"/>
      <c r="Z34" s="28" t="s">
        <v>2553</v>
      </c>
      <c r="AA34" s="133" t="str">
        <f>_xlfn.IFS(AND(COUNTIF(Y34,"SCB*")=1, 'PCH320'!J68&gt;=2), "See the Notice *1", TRUE, "")</f>
        <v/>
      </c>
      <c r="AB34" s="29"/>
      <c r="AC34" s="27" t="s">
        <v>272</v>
      </c>
      <c r="AD34" s="27" t="s">
        <v>254</v>
      </c>
      <c r="AE34" s="29"/>
      <c r="AF34" s="29"/>
    </row>
    <row r="35" spans="2:32" x14ac:dyDescent="0.2">
      <c r="B35" s="11" t="s">
        <v>708</v>
      </c>
      <c r="C35" s="11" t="s">
        <v>1605</v>
      </c>
      <c r="D35" s="11" t="s">
        <v>708</v>
      </c>
      <c r="E35" s="11" t="s">
        <v>709</v>
      </c>
      <c r="F35" s="11" t="s">
        <v>710</v>
      </c>
      <c r="G35" s="11" t="s">
        <v>711</v>
      </c>
      <c r="H35" s="11" t="s">
        <v>712</v>
      </c>
      <c r="I35" s="12" t="s">
        <v>273</v>
      </c>
      <c r="J35" s="12" t="s">
        <v>273</v>
      </c>
      <c r="K35" s="12" t="s">
        <v>273</v>
      </c>
      <c r="L35" s="11" t="s">
        <v>713</v>
      </c>
      <c r="M35" s="11" t="s">
        <v>714</v>
      </c>
      <c r="N35" s="11" t="s">
        <v>209</v>
      </c>
      <c r="O35" s="12" t="s">
        <v>273</v>
      </c>
      <c r="P35" s="12" t="s">
        <v>273</v>
      </c>
      <c r="Q35" s="12" t="s">
        <v>273</v>
      </c>
      <c r="R35" s="12" t="s">
        <v>273</v>
      </c>
      <c r="S35" s="12" t="s">
        <v>273</v>
      </c>
      <c r="T35" s="12" t="s">
        <v>273</v>
      </c>
      <c r="U35" s="12" t="s">
        <v>273</v>
      </c>
      <c r="V35" s="12" t="s">
        <v>273</v>
      </c>
      <c r="W35" s="12" t="s">
        <v>273</v>
      </c>
      <c r="X35" s="26" t="s">
        <v>273</v>
      </c>
      <c r="Y35" s="30"/>
      <c r="Z35" s="28" t="s">
        <v>2553</v>
      </c>
      <c r="AA35" s="133" t="str">
        <f>_xlfn.IFS(AND(COUNTIF(Y35,"SCB*")=1, 'PCH320'!J68&gt;=2), "See the Notice *1", TRUE, "")</f>
        <v/>
      </c>
      <c r="AB35" s="29"/>
      <c r="AC35" s="27" t="s">
        <v>272</v>
      </c>
      <c r="AD35" s="27" t="s">
        <v>254</v>
      </c>
      <c r="AE35" s="29"/>
      <c r="AF35" s="29"/>
    </row>
    <row r="36" spans="2:32" x14ac:dyDescent="0.2">
      <c r="B36" s="11" t="s">
        <v>715</v>
      </c>
      <c r="C36" s="11" t="s">
        <v>1606</v>
      </c>
      <c r="D36" s="11" t="s">
        <v>715</v>
      </c>
      <c r="E36" s="11" t="s">
        <v>716</v>
      </c>
      <c r="F36" s="11" t="s">
        <v>717</v>
      </c>
      <c r="G36" s="11" t="s">
        <v>718</v>
      </c>
      <c r="H36" s="11" t="s">
        <v>719</v>
      </c>
      <c r="I36" s="12" t="s">
        <v>273</v>
      </c>
      <c r="J36" s="12" t="s">
        <v>273</v>
      </c>
      <c r="K36" s="12" t="s">
        <v>273</v>
      </c>
      <c r="L36" s="12" t="s">
        <v>273</v>
      </c>
      <c r="M36" s="11" t="s">
        <v>720</v>
      </c>
      <c r="N36" s="11" t="s">
        <v>211</v>
      </c>
      <c r="O36" s="12" t="s">
        <v>273</v>
      </c>
      <c r="P36" s="12" t="s">
        <v>273</v>
      </c>
      <c r="Q36" s="12" t="s">
        <v>273</v>
      </c>
      <c r="R36" s="12" t="s">
        <v>273</v>
      </c>
      <c r="S36" s="12" t="s">
        <v>273</v>
      </c>
      <c r="T36" s="12" t="s">
        <v>273</v>
      </c>
      <c r="U36" s="12" t="s">
        <v>273</v>
      </c>
      <c r="V36" s="12" t="s">
        <v>273</v>
      </c>
      <c r="W36" s="12" t="s">
        <v>273</v>
      </c>
      <c r="X36" s="26" t="s">
        <v>273</v>
      </c>
      <c r="Y36" s="27"/>
      <c r="Z36" s="28" t="s">
        <v>2553</v>
      </c>
      <c r="AA36" s="133"/>
      <c r="AB36" s="29"/>
      <c r="AC36" s="27" t="s">
        <v>272</v>
      </c>
      <c r="AD36" s="27" t="s">
        <v>254</v>
      </c>
      <c r="AE36" s="29"/>
      <c r="AF36" s="29"/>
    </row>
    <row r="37" spans="2:32" x14ac:dyDescent="0.2">
      <c r="B37" s="11" t="s">
        <v>63</v>
      </c>
      <c r="C37" s="11" t="s">
        <v>1608</v>
      </c>
      <c r="D37" s="11" t="s">
        <v>63</v>
      </c>
      <c r="E37" s="11" t="s">
        <v>608</v>
      </c>
      <c r="F37" s="11" t="s">
        <v>721</v>
      </c>
      <c r="G37" s="11" t="s">
        <v>610</v>
      </c>
      <c r="H37" s="11" t="s">
        <v>722</v>
      </c>
      <c r="I37" s="11" t="s">
        <v>64</v>
      </c>
      <c r="J37" s="11" t="s">
        <v>723</v>
      </c>
      <c r="K37" s="12" t="s">
        <v>273</v>
      </c>
      <c r="L37" s="11" t="s">
        <v>724</v>
      </c>
      <c r="M37" s="11" t="s">
        <v>23</v>
      </c>
      <c r="N37" s="12" t="s">
        <v>273</v>
      </c>
      <c r="O37" s="12" t="s">
        <v>273</v>
      </c>
      <c r="P37" s="12" t="s">
        <v>273</v>
      </c>
      <c r="Q37" s="12" t="s">
        <v>273</v>
      </c>
      <c r="R37" s="12" t="s">
        <v>273</v>
      </c>
      <c r="S37" s="11" t="s">
        <v>65</v>
      </c>
      <c r="T37" s="12" t="s">
        <v>273</v>
      </c>
      <c r="U37" s="12" t="s">
        <v>273</v>
      </c>
      <c r="V37" s="12" t="s">
        <v>273</v>
      </c>
      <c r="W37" s="12" t="s">
        <v>273</v>
      </c>
      <c r="X37" s="26" t="s">
        <v>273</v>
      </c>
      <c r="Y37" s="30"/>
      <c r="Z37" s="28" t="s">
        <v>2553</v>
      </c>
      <c r="AA37" s="133" t="str">
        <f>_xlfn.IFS(AND(COUNTIF(Y37,"SCB*")=1, 'PCH320'!I68&gt;=2), "See the Notice *1", TRUE, "")</f>
        <v/>
      </c>
      <c r="AB37" s="29"/>
      <c r="AC37" s="27" t="s">
        <v>272</v>
      </c>
      <c r="AD37" s="27" t="s">
        <v>254</v>
      </c>
      <c r="AE37" s="29"/>
      <c r="AF37" s="29"/>
    </row>
    <row r="38" spans="2:32" x14ac:dyDescent="0.2">
      <c r="B38" s="11" t="s">
        <v>66</v>
      </c>
      <c r="C38" s="11" t="s">
        <v>1609</v>
      </c>
      <c r="D38" s="11" t="s">
        <v>66</v>
      </c>
      <c r="E38" s="11" t="s">
        <v>600</v>
      </c>
      <c r="F38" s="11" t="s">
        <v>616</v>
      </c>
      <c r="G38" s="11" t="s">
        <v>602</v>
      </c>
      <c r="H38" s="11" t="s">
        <v>618</v>
      </c>
      <c r="I38" s="11" t="s">
        <v>67</v>
      </c>
      <c r="J38" s="11" t="s">
        <v>725</v>
      </c>
      <c r="K38" s="11" t="s">
        <v>726</v>
      </c>
      <c r="L38" s="11" t="s">
        <v>727</v>
      </c>
      <c r="M38" s="11" t="s">
        <v>25</v>
      </c>
      <c r="N38" s="12" t="s">
        <v>273</v>
      </c>
      <c r="O38" s="12" t="s">
        <v>273</v>
      </c>
      <c r="P38" s="12" t="s">
        <v>273</v>
      </c>
      <c r="Q38" s="12" t="s">
        <v>273</v>
      </c>
      <c r="R38" s="12" t="s">
        <v>273</v>
      </c>
      <c r="S38" s="11" t="s">
        <v>68</v>
      </c>
      <c r="T38" s="12" t="s">
        <v>273</v>
      </c>
      <c r="U38" s="12" t="s">
        <v>273</v>
      </c>
      <c r="V38" s="12" t="s">
        <v>273</v>
      </c>
      <c r="W38" s="12" t="s">
        <v>273</v>
      </c>
      <c r="X38" s="26" t="s">
        <v>273</v>
      </c>
      <c r="Y38" s="30"/>
      <c r="Z38" s="28" t="s">
        <v>2553</v>
      </c>
      <c r="AA38" s="133" t="str">
        <f>_xlfn.IFS(AND(COUNTIF(Y38,"SCB*")=1, 'PCH320'!I68&gt;=2), "See the Notice *1", TRUE, "")</f>
        <v/>
      </c>
      <c r="AB38" s="29"/>
      <c r="AC38" s="27" t="s">
        <v>272</v>
      </c>
      <c r="AD38" s="27" t="s">
        <v>254</v>
      </c>
      <c r="AE38" s="29"/>
      <c r="AF38" s="29"/>
    </row>
    <row r="39" spans="2:32" x14ac:dyDescent="0.2">
      <c r="B39" s="11" t="s">
        <v>69</v>
      </c>
      <c r="C39" s="11" t="s">
        <v>1610</v>
      </c>
      <c r="D39" s="11" t="s">
        <v>69</v>
      </c>
      <c r="E39" s="11" t="s">
        <v>592</v>
      </c>
      <c r="F39" s="11" t="s">
        <v>609</v>
      </c>
      <c r="G39" s="11" t="s">
        <v>594</v>
      </c>
      <c r="H39" s="11" t="s">
        <v>611</v>
      </c>
      <c r="I39" s="11" t="s">
        <v>70</v>
      </c>
      <c r="J39" s="11" t="s">
        <v>728</v>
      </c>
      <c r="K39" s="11" t="s">
        <v>729</v>
      </c>
      <c r="L39" s="11" t="s">
        <v>730</v>
      </c>
      <c r="M39" s="11" t="s">
        <v>27</v>
      </c>
      <c r="N39" s="12" t="s">
        <v>273</v>
      </c>
      <c r="O39" s="12" t="s">
        <v>273</v>
      </c>
      <c r="P39" s="12" t="s">
        <v>273</v>
      </c>
      <c r="Q39" s="12" t="s">
        <v>273</v>
      </c>
      <c r="R39" s="12" t="s">
        <v>273</v>
      </c>
      <c r="S39" s="11" t="s">
        <v>71</v>
      </c>
      <c r="T39" s="12" t="s">
        <v>273</v>
      </c>
      <c r="U39" s="12" t="s">
        <v>273</v>
      </c>
      <c r="V39" s="12" t="s">
        <v>273</v>
      </c>
      <c r="W39" s="12" t="s">
        <v>273</v>
      </c>
      <c r="X39" s="26" t="s">
        <v>273</v>
      </c>
      <c r="Y39" s="30"/>
      <c r="Z39" s="28" t="s">
        <v>2553</v>
      </c>
      <c r="AA39" s="133" t="str">
        <f>_xlfn.IFS(AND(COUNTIF(Y39,"SCB*")=1, 'PCH320'!I68&gt;=2), "See the Notice *1", TRUE, "")</f>
        <v/>
      </c>
      <c r="AB39" s="29"/>
      <c r="AC39" s="27" t="s">
        <v>272</v>
      </c>
      <c r="AD39" s="27" t="s">
        <v>254</v>
      </c>
      <c r="AE39" s="29"/>
      <c r="AF39" s="29"/>
    </row>
    <row r="40" spans="2:32" x14ac:dyDescent="0.2">
      <c r="B40" s="11" t="s">
        <v>72</v>
      </c>
      <c r="C40" s="11" t="s">
        <v>1611</v>
      </c>
      <c r="D40" s="11" t="s">
        <v>72</v>
      </c>
      <c r="E40" s="11" t="s">
        <v>586</v>
      </c>
      <c r="F40" s="11" t="s">
        <v>601</v>
      </c>
      <c r="G40" s="11" t="s">
        <v>588</v>
      </c>
      <c r="H40" s="11" t="s">
        <v>603</v>
      </c>
      <c r="I40" s="11" t="s">
        <v>821</v>
      </c>
      <c r="J40" s="11" t="s">
        <v>731</v>
      </c>
      <c r="K40" s="12" t="s">
        <v>273</v>
      </c>
      <c r="L40" s="11" t="s">
        <v>732</v>
      </c>
      <c r="M40" s="12" t="s">
        <v>273</v>
      </c>
      <c r="N40" s="11" t="s">
        <v>28</v>
      </c>
      <c r="O40" s="12" t="s">
        <v>273</v>
      </c>
      <c r="P40" s="12" t="s">
        <v>273</v>
      </c>
      <c r="Q40" s="12" t="s">
        <v>273</v>
      </c>
      <c r="R40" s="12" t="s">
        <v>273</v>
      </c>
      <c r="S40" s="11" t="s">
        <v>73</v>
      </c>
      <c r="T40" s="12" t="s">
        <v>273</v>
      </c>
      <c r="U40" s="12" t="s">
        <v>273</v>
      </c>
      <c r="V40" s="12" t="s">
        <v>273</v>
      </c>
      <c r="W40" s="12" t="s">
        <v>273</v>
      </c>
      <c r="X40" s="26" t="s">
        <v>273</v>
      </c>
      <c r="Y40" s="30"/>
      <c r="Z40" s="28" t="s">
        <v>2553</v>
      </c>
      <c r="AA40" s="133" t="str">
        <f>_xlfn.IFS(AND(COUNTIF(Y40,"SCB*")=1, 'PCH320'!I68&gt;=2), "See the Notice *1", TRUE, "")</f>
        <v/>
      </c>
      <c r="AB40" s="29"/>
      <c r="AC40" s="27" t="s">
        <v>272</v>
      </c>
      <c r="AD40" s="27" t="s">
        <v>254</v>
      </c>
      <c r="AE40" s="29"/>
      <c r="AF40" s="29"/>
    </row>
    <row r="41" spans="2:32" x14ac:dyDescent="0.2">
      <c r="B41" s="11" t="s">
        <v>74</v>
      </c>
      <c r="C41" s="11" t="s">
        <v>1613</v>
      </c>
      <c r="D41" s="11" t="s">
        <v>74</v>
      </c>
      <c r="E41" s="11" t="s">
        <v>563</v>
      </c>
      <c r="F41" s="11" t="s">
        <v>593</v>
      </c>
      <c r="G41" s="11" t="s">
        <v>565</v>
      </c>
      <c r="H41" s="11" t="s">
        <v>595</v>
      </c>
      <c r="I41" s="12" t="s">
        <v>273</v>
      </c>
      <c r="J41" s="12" t="s">
        <v>273</v>
      </c>
      <c r="K41" s="11" t="s">
        <v>733</v>
      </c>
      <c r="L41" s="11" t="s">
        <v>734</v>
      </c>
      <c r="M41" s="12" t="s">
        <v>273</v>
      </c>
      <c r="N41" s="11" t="s">
        <v>30</v>
      </c>
      <c r="O41" s="12" t="s">
        <v>273</v>
      </c>
      <c r="P41" s="12" t="s">
        <v>273</v>
      </c>
      <c r="Q41" s="12" t="s">
        <v>273</v>
      </c>
      <c r="R41" s="12" t="s">
        <v>273</v>
      </c>
      <c r="S41" s="12" t="s">
        <v>273</v>
      </c>
      <c r="T41" s="12" t="s">
        <v>273</v>
      </c>
      <c r="U41" s="12" t="s">
        <v>273</v>
      </c>
      <c r="V41" s="12" t="s">
        <v>273</v>
      </c>
      <c r="W41" s="12" t="s">
        <v>273</v>
      </c>
      <c r="X41" s="26" t="s">
        <v>273</v>
      </c>
      <c r="Y41" s="30"/>
      <c r="Z41" s="28" t="s">
        <v>2553</v>
      </c>
      <c r="AA41" s="133" t="str">
        <f>_xlfn.IFS(AND(COUNTIF(Y41,"SCB*")=1, 'PCH320'!I68&gt;=2), "See the Notice *1", TRUE, "")</f>
        <v/>
      </c>
      <c r="AB41" s="29"/>
      <c r="AC41" s="27" t="s">
        <v>272</v>
      </c>
      <c r="AD41" s="27" t="s">
        <v>254</v>
      </c>
      <c r="AE41" s="29"/>
      <c r="AF41" s="29"/>
    </row>
    <row r="42" spans="2:32" x14ac:dyDescent="0.2">
      <c r="B42" s="11" t="s">
        <v>735</v>
      </c>
      <c r="C42" s="11" t="s">
        <v>1614</v>
      </c>
      <c r="D42" s="11" t="s">
        <v>735</v>
      </c>
      <c r="E42" s="12" t="s">
        <v>273</v>
      </c>
      <c r="F42" s="12" t="s">
        <v>273</v>
      </c>
      <c r="G42" s="12" t="s">
        <v>273</v>
      </c>
      <c r="H42" s="12" t="s">
        <v>273</v>
      </c>
      <c r="I42" s="12" t="s">
        <v>273</v>
      </c>
      <c r="J42" s="11" t="s">
        <v>736</v>
      </c>
      <c r="K42" s="12" t="s">
        <v>273</v>
      </c>
      <c r="L42" s="11" t="s">
        <v>737</v>
      </c>
      <c r="M42" s="12" t="s">
        <v>273</v>
      </c>
      <c r="N42" s="12" t="s">
        <v>273</v>
      </c>
      <c r="O42" s="12" t="s">
        <v>273</v>
      </c>
      <c r="P42" s="12" t="s">
        <v>273</v>
      </c>
      <c r="Q42" s="12" t="s">
        <v>273</v>
      </c>
      <c r="R42" s="12" t="s">
        <v>273</v>
      </c>
      <c r="S42" s="11" t="s">
        <v>738</v>
      </c>
      <c r="T42" s="12" t="s">
        <v>273</v>
      </c>
      <c r="U42" s="12" t="s">
        <v>273</v>
      </c>
      <c r="V42" s="12" t="s">
        <v>273</v>
      </c>
      <c r="W42" s="12" t="s">
        <v>273</v>
      </c>
      <c r="X42" s="26" t="s">
        <v>273</v>
      </c>
      <c r="Y42" s="30"/>
      <c r="Z42" s="28" t="s">
        <v>2553</v>
      </c>
      <c r="AA42" s="133" t="str">
        <f>_xlfn.IFS(AND(COUNTIF(Y42,"SCB*")=1, 'PCH320'!M68&gt;=2), "See the Notice *1", TRUE, "")</f>
        <v/>
      </c>
      <c r="AB42" s="29"/>
      <c r="AC42" s="27" t="s">
        <v>272</v>
      </c>
      <c r="AD42" s="27" t="s">
        <v>254</v>
      </c>
      <c r="AE42" s="29"/>
      <c r="AF42" s="29"/>
    </row>
    <row r="43" spans="2:32" x14ac:dyDescent="0.2">
      <c r="B43" s="11" t="s">
        <v>739</v>
      </c>
      <c r="C43" s="11" t="s">
        <v>1615</v>
      </c>
      <c r="D43" s="11" t="s">
        <v>739</v>
      </c>
      <c r="E43" s="12" t="s">
        <v>273</v>
      </c>
      <c r="F43" s="12" t="s">
        <v>273</v>
      </c>
      <c r="G43" s="12" t="s">
        <v>273</v>
      </c>
      <c r="H43" s="12" t="s">
        <v>273</v>
      </c>
      <c r="I43" s="12" t="s">
        <v>273</v>
      </c>
      <c r="J43" s="11" t="s">
        <v>740</v>
      </c>
      <c r="K43" s="11" t="s">
        <v>741</v>
      </c>
      <c r="L43" s="11" t="s">
        <v>742</v>
      </c>
      <c r="M43" s="12" t="s">
        <v>273</v>
      </c>
      <c r="N43" s="12" t="s">
        <v>273</v>
      </c>
      <c r="O43" s="12" t="s">
        <v>273</v>
      </c>
      <c r="P43" s="12" t="s">
        <v>273</v>
      </c>
      <c r="Q43" s="12" t="s">
        <v>273</v>
      </c>
      <c r="R43" s="12" t="s">
        <v>273</v>
      </c>
      <c r="S43" s="11" t="s">
        <v>743</v>
      </c>
      <c r="T43" s="12" t="s">
        <v>273</v>
      </c>
      <c r="U43" s="12" t="s">
        <v>273</v>
      </c>
      <c r="V43" s="12" t="s">
        <v>273</v>
      </c>
      <c r="W43" s="12" t="s">
        <v>273</v>
      </c>
      <c r="X43" s="26" t="s">
        <v>273</v>
      </c>
      <c r="Y43" s="30"/>
      <c r="Z43" s="28" t="s">
        <v>2553</v>
      </c>
      <c r="AA43" s="133" t="str">
        <f>_xlfn.IFS(AND(COUNTIF(Y43,"SCB*")=1, 'PCH320'!M68&gt;=2), "See the Notice *1", TRUE, "")</f>
        <v/>
      </c>
      <c r="AB43" s="29"/>
      <c r="AC43" s="27" t="s">
        <v>272</v>
      </c>
      <c r="AD43" s="27" t="s">
        <v>254</v>
      </c>
      <c r="AE43" s="29"/>
      <c r="AF43" s="29"/>
    </row>
    <row r="44" spans="2:32" x14ac:dyDescent="0.2">
      <c r="B44" s="11" t="s">
        <v>75</v>
      </c>
      <c r="C44" s="11" t="s">
        <v>1616</v>
      </c>
      <c r="D44" s="11" t="s">
        <v>75</v>
      </c>
      <c r="E44" s="11" t="s">
        <v>744</v>
      </c>
      <c r="F44" s="11" t="s">
        <v>587</v>
      </c>
      <c r="G44" s="11" t="s">
        <v>745</v>
      </c>
      <c r="H44" s="11" t="s">
        <v>589</v>
      </c>
      <c r="I44" s="11" t="s">
        <v>746</v>
      </c>
      <c r="J44" s="12" t="s">
        <v>273</v>
      </c>
      <c r="K44" s="11" t="s">
        <v>747</v>
      </c>
      <c r="L44" s="11" t="s">
        <v>748</v>
      </c>
      <c r="M44" s="11" t="s">
        <v>76</v>
      </c>
      <c r="N44" s="12" t="s">
        <v>273</v>
      </c>
      <c r="O44" s="11" t="s">
        <v>749</v>
      </c>
      <c r="P44" s="12" t="s">
        <v>273</v>
      </c>
      <c r="Q44" s="12" t="s">
        <v>273</v>
      </c>
      <c r="R44" s="12" t="s">
        <v>273</v>
      </c>
      <c r="S44" s="11" t="s">
        <v>750</v>
      </c>
      <c r="T44" s="12" t="s">
        <v>273</v>
      </c>
      <c r="U44" s="12" t="s">
        <v>273</v>
      </c>
      <c r="V44" s="12" t="s">
        <v>273</v>
      </c>
      <c r="W44" s="12" t="s">
        <v>273</v>
      </c>
      <c r="X44" s="26" t="s">
        <v>273</v>
      </c>
      <c r="Y44" s="30"/>
      <c r="Z44" s="28" t="s">
        <v>2553</v>
      </c>
      <c r="AA44" s="133" t="str">
        <f>_xlfn.IFS(AND(COUNTIF(Y44,"SCB*")=1, 'PCH320'!I68&gt;=2), "See the Notice *1", TRUE, "")</f>
        <v/>
      </c>
      <c r="AB44" s="29"/>
      <c r="AC44" s="27" t="s">
        <v>272</v>
      </c>
      <c r="AD44" s="27" t="s">
        <v>254</v>
      </c>
      <c r="AE44" s="29"/>
      <c r="AF44" s="29"/>
    </row>
    <row r="45" spans="2:32" x14ac:dyDescent="0.2">
      <c r="B45" s="11" t="s">
        <v>77</v>
      </c>
      <c r="C45" s="11" t="s">
        <v>1618</v>
      </c>
      <c r="D45" s="11" t="s">
        <v>77</v>
      </c>
      <c r="E45" s="11" t="s">
        <v>558</v>
      </c>
      <c r="F45" s="11" t="s">
        <v>751</v>
      </c>
      <c r="G45" s="11" t="s">
        <v>560</v>
      </c>
      <c r="H45" s="11" t="s">
        <v>752</v>
      </c>
      <c r="I45" s="11" t="s">
        <v>753</v>
      </c>
      <c r="J45" s="12" t="s">
        <v>273</v>
      </c>
      <c r="K45" s="12" t="s">
        <v>273</v>
      </c>
      <c r="L45" s="11" t="s">
        <v>754</v>
      </c>
      <c r="M45" s="11" t="s">
        <v>78</v>
      </c>
      <c r="N45" s="12" t="s">
        <v>273</v>
      </c>
      <c r="O45" s="11" t="s">
        <v>834</v>
      </c>
      <c r="P45" s="12" t="s">
        <v>273</v>
      </c>
      <c r="Q45" s="12" t="s">
        <v>273</v>
      </c>
      <c r="R45" s="12" t="s">
        <v>273</v>
      </c>
      <c r="S45" s="11" t="s">
        <v>755</v>
      </c>
      <c r="T45" s="12" t="s">
        <v>273</v>
      </c>
      <c r="U45" s="12" t="s">
        <v>273</v>
      </c>
      <c r="V45" s="12" t="s">
        <v>273</v>
      </c>
      <c r="W45" s="12" t="s">
        <v>273</v>
      </c>
      <c r="X45" s="26" t="s">
        <v>273</v>
      </c>
      <c r="Y45" s="30"/>
      <c r="Z45" s="28" t="s">
        <v>2553</v>
      </c>
      <c r="AA45" s="133" t="str">
        <f>_xlfn.IFS(AND(COUNTIF(Y45,"SCB*")=1, 'PCH320'!M68&gt;=2), "See the Notice *1", TRUE, "")</f>
        <v/>
      </c>
      <c r="AB45" s="29"/>
      <c r="AC45" s="27" t="s">
        <v>272</v>
      </c>
      <c r="AD45" s="27" t="s">
        <v>254</v>
      </c>
      <c r="AE45" s="29"/>
      <c r="AF45" s="29"/>
    </row>
    <row r="46" spans="2:32" x14ac:dyDescent="0.2">
      <c r="B46" s="11" t="s">
        <v>79</v>
      </c>
      <c r="C46" s="11" t="s">
        <v>1620</v>
      </c>
      <c r="D46" s="11" t="s">
        <v>79</v>
      </c>
      <c r="E46" s="11" t="s">
        <v>553</v>
      </c>
      <c r="F46" s="11" t="s">
        <v>564</v>
      </c>
      <c r="G46" s="11" t="s">
        <v>555</v>
      </c>
      <c r="H46" s="11" t="s">
        <v>566</v>
      </c>
      <c r="I46" s="11" t="s">
        <v>756</v>
      </c>
      <c r="J46" s="12" t="s">
        <v>273</v>
      </c>
      <c r="K46" s="11" t="s">
        <v>757</v>
      </c>
      <c r="L46" s="12" t="s">
        <v>273</v>
      </c>
      <c r="M46" s="11" t="s">
        <v>80</v>
      </c>
      <c r="N46" s="12" t="s">
        <v>273</v>
      </c>
      <c r="O46" s="11" t="s">
        <v>832</v>
      </c>
      <c r="P46" s="12" t="s">
        <v>273</v>
      </c>
      <c r="Q46" s="12" t="s">
        <v>273</v>
      </c>
      <c r="R46" s="12" t="s">
        <v>273</v>
      </c>
      <c r="S46" s="12" t="s">
        <v>273</v>
      </c>
      <c r="T46" s="12" t="s">
        <v>273</v>
      </c>
      <c r="U46" s="12" t="s">
        <v>273</v>
      </c>
      <c r="V46" s="12" t="s">
        <v>273</v>
      </c>
      <c r="W46" s="12" t="s">
        <v>273</v>
      </c>
      <c r="X46" s="26" t="s">
        <v>273</v>
      </c>
      <c r="Y46" s="30"/>
      <c r="Z46" s="28" t="s">
        <v>2553</v>
      </c>
      <c r="AA46" s="133"/>
      <c r="AB46" s="29"/>
      <c r="AC46" s="27" t="s">
        <v>272</v>
      </c>
      <c r="AD46" s="27" t="s">
        <v>254</v>
      </c>
      <c r="AE46" s="29"/>
      <c r="AF46" s="29"/>
    </row>
    <row r="47" spans="2:32" x14ac:dyDescent="0.2">
      <c r="B47" s="11" t="s">
        <v>2073</v>
      </c>
      <c r="C47" s="11" t="s">
        <v>1622</v>
      </c>
      <c r="D47" s="11" t="s">
        <v>81</v>
      </c>
      <c r="E47" s="11" t="s">
        <v>547</v>
      </c>
      <c r="F47" s="11" t="s">
        <v>559</v>
      </c>
      <c r="G47" s="11" t="s">
        <v>549</v>
      </c>
      <c r="H47" s="11" t="s">
        <v>561</v>
      </c>
      <c r="I47" s="11" t="s">
        <v>758</v>
      </c>
      <c r="J47" s="12" t="s">
        <v>273</v>
      </c>
      <c r="K47" s="11" t="s">
        <v>759</v>
      </c>
      <c r="L47" s="12" t="s">
        <v>273</v>
      </c>
      <c r="M47" s="11" t="s">
        <v>82</v>
      </c>
      <c r="N47" s="12" t="s">
        <v>273</v>
      </c>
      <c r="O47" s="11" t="s">
        <v>833</v>
      </c>
      <c r="P47" s="12" t="s">
        <v>273</v>
      </c>
      <c r="Q47" s="12" t="s">
        <v>273</v>
      </c>
      <c r="R47" s="12" t="s">
        <v>273</v>
      </c>
      <c r="S47" s="12" t="s">
        <v>273</v>
      </c>
      <c r="T47" s="12" t="s">
        <v>273</v>
      </c>
      <c r="U47" s="12" t="s">
        <v>273</v>
      </c>
      <c r="V47" s="12" t="s">
        <v>273</v>
      </c>
      <c r="W47" s="12" t="s">
        <v>273</v>
      </c>
      <c r="X47" s="26" t="s">
        <v>273</v>
      </c>
      <c r="Y47" s="30"/>
      <c r="Z47" s="28" t="s">
        <v>2553</v>
      </c>
      <c r="AA47" s="133"/>
      <c r="AB47" s="29"/>
      <c r="AC47" s="27" t="s">
        <v>272</v>
      </c>
      <c r="AD47" s="27" t="s">
        <v>254</v>
      </c>
      <c r="AE47" s="29"/>
      <c r="AF47" s="29"/>
    </row>
    <row r="48" spans="2:32" x14ac:dyDescent="0.2">
      <c r="B48" s="11" t="s">
        <v>83</v>
      </c>
      <c r="C48" s="11" t="s">
        <v>1624</v>
      </c>
      <c r="D48" s="11" t="s">
        <v>83</v>
      </c>
      <c r="E48" s="11" t="s">
        <v>540</v>
      </c>
      <c r="F48" s="11" t="s">
        <v>554</v>
      </c>
      <c r="G48" s="11" t="s">
        <v>542</v>
      </c>
      <c r="H48" s="11" t="s">
        <v>556</v>
      </c>
      <c r="I48" s="11" t="s">
        <v>760</v>
      </c>
      <c r="J48" s="12" t="s">
        <v>273</v>
      </c>
      <c r="K48" s="12" t="s">
        <v>273</v>
      </c>
      <c r="L48" s="12" t="s">
        <v>273</v>
      </c>
      <c r="M48" s="11" t="s">
        <v>84</v>
      </c>
      <c r="N48" s="12" t="s">
        <v>273</v>
      </c>
      <c r="O48" s="12" t="s">
        <v>273</v>
      </c>
      <c r="P48" s="11" t="s">
        <v>761</v>
      </c>
      <c r="Q48" s="12" t="s">
        <v>273</v>
      </c>
      <c r="R48" s="12" t="s">
        <v>273</v>
      </c>
      <c r="S48" s="12" t="s">
        <v>273</v>
      </c>
      <c r="T48" s="12" t="s">
        <v>273</v>
      </c>
      <c r="U48" s="12" t="s">
        <v>273</v>
      </c>
      <c r="V48" s="12" t="s">
        <v>273</v>
      </c>
      <c r="W48" s="12" t="s">
        <v>273</v>
      </c>
      <c r="X48" s="26" t="s">
        <v>273</v>
      </c>
      <c r="Y48" s="30"/>
      <c r="Z48" s="28" t="s">
        <v>2553</v>
      </c>
      <c r="AA48" s="133"/>
      <c r="AB48" s="29"/>
      <c r="AC48" s="27" t="s">
        <v>272</v>
      </c>
      <c r="AD48" s="27" t="s">
        <v>254</v>
      </c>
      <c r="AE48" s="29"/>
      <c r="AF48" s="29"/>
    </row>
    <row r="49" spans="2:32" x14ac:dyDescent="0.2">
      <c r="B49" s="11" t="s">
        <v>85</v>
      </c>
      <c r="C49" s="11" t="s">
        <v>1625</v>
      </c>
      <c r="D49" s="11" t="s">
        <v>85</v>
      </c>
      <c r="E49" s="11" t="s">
        <v>535</v>
      </c>
      <c r="F49" s="11" t="s">
        <v>548</v>
      </c>
      <c r="G49" s="11" t="s">
        <v>537</v>
      </c>
      <c r="H49" s="11" t="s">
        <v>550</v>
      </c>
      <c r="I49" s="11" t="s">
        <v>762</v>
      </c>
      <c r="J49" s="12" t="s">
        <v>273</v>
      </c>
      <c r="K49" s="12" t="s">
        <v>273</v>
      </c>
      <c r="L49" s="12" t="s">
        <v>273</v>
      </c>
      <c r="M49" s="11" t="s">
        <v>86</v>
      </c>
      <c r="N49" s="12" t="s">
        <v>273</v>
      </c>
      <c r="O49" s="12" t="s">
        <v>273</v>
      </c>
      <c r="P49" s="11" t="s">
        <v>831</v>
      </c>
      <c r="Q49" s="12" t="s">
        <v>273</v>
      </c>
      <c r="R49" s="12" t="s">
        <v>273</v>
      </c>
      <c r="S49" s="12" t="s">
        <v>273</v>
      </c>
      <c r="T49" s="12" t="s">
        <v>273</v>
      </c>
      <c r="U49" s="12" t="s">
        <v>273</v>
      </c>
      <c r="V49" s="12" t="s">
        <v>273</v>
      </c>
      <c r="W49" s="12" t="s">
        <v>273</v>
      </c>
      <c r="X49" s="26" t="s">
        <v>273</v>
      </c>
      <c r="Y49" s="30"/>
      <c r="Z49" s="28" t="s">
        <v>2553</v>
      </c>
      <c r="AA49" s="133"/>
      <c r="AB49" s="29"/>
      <c r="AC49" s="27" t="s">
        <v>272</v>
      </c>
      <c r="AD49" s="27" t="s">
        <v>254</v>
      </c>
      <c r="AE49" s="29"/>
      <c r="AF49" s="29"/>
    </row>
    <row r="50" spans="2:32" x14ac:dyDescent="0.2">
      <c r="B50" s="11" t="s">
        <v>87</v>
      </c>
      <c r="C50" s="11" t="s">
        <v>1627</v>
      </c>
      <c r="D50" s="11" t="s">
        <v>87</v>
      </c>
      <c r="E50" s="11" t="s">
        <v>702</v>
      </c>
      <c r="F50" s="11" t="s">
        <v>541</v>
      </c>
      <c r="G50" s="11" t="s">
        <v>704</v>
      </c>
      <c r="H50" s="11" t="s">
        <v>543</v>
      </c>
      <c r="I50" s="11" t="s">
        <v>764</v>
      </c>
      <c r="J50" s="11" t="s">
        <v>765</v>
      </c>
      <c r="K50" s="12" t="s">
        <v>273</v>
      </c>
      <c r="L50" s="11" t="s">
        <v>766</v>
      </c>
      <c r="M50" s="11" t="s">
        <v>88</v>
      </c>
      <c r="N50" s="12" t="s">
        <v>273</v>
      </c>
      <c r="O50" s="11" t="s">
        <v>767</v>
      </c>
      <c r="P50" s="11" t="s">
        <v>830</v>
      </c>
      <c r="Q50" s="12" t="s">
        <v>273</v>
      </c>
      <c r="R50" s="12" t="s">
        <v>273</v>
      </c>
      <c r="S50" s="12" t="s">
        <v>273</v>
      </c>
      <c r="T50" s="12" t="s">
        <v>273</v>
      </c>
      <c r="U50" s="12" t="s">
        <v>273</v>
      </c>
      <c r="V50" s="12" t="s">
        <v>273</v>
      </c>
      <c r="W50" s="12" t="s">
        <v>273</v>
      </c>
      <c r="X50" s="31" t="s">
        <v>275</v>
      </c>
      <c r="Y50" s="30"/>
      <c r="Z50" s="28" t="s">
        <v>2553</v>
      </c>
      <c r="AA50" s="133" t="str">
        <f>_xlfn.IFS(AND(COUNTIF(Y50,"SCB*")=1, 'PCH320'!H68&gt;=2), "See the Notice *1", TRUE, "")</f>
        <v/>
      </c>
      <c r="AB50" s="29"/>
      <c r="AC50" s="27" t="s">
        <v>272</v>
      </c>
      <c r="AD50" s="27" t="s">
        <v>255</v>
      </c>
      <c r="AE50" s="29"/>
      <c r="AF50" s="29"/>
    </row>
    <row r="51" spans="2:32" x14ac:dyDescent="0.2">
      <c r="B51" s="11" t="s">
        <v>89</v>
      </c>
      <c r="C51" s="11" t="s">
        <v>1628</v>
      </c>
      <c r="D51" s="11" t="s">
        <v>89</v>
      </c>
      <c r="E51" s="11" t="s">
        <v>649</v>
      </c>
      <c r="F51" s="11" t="s">
        <v>721</v>
      </c>
      <c r="G51" s="11" t="s">
        <v>651</v>
      </c>
      <c r="H51" s="11" t="s">
        <v>722</v>
      </c>
      <c r="I51" s="11" t="s">
        <v>769</v>
      </c>
      <c r="J51" s="11" t="s">
        <v>770</v>
      </c>
      <c r="K51" s="11" t="s">
        <v>771</v>
      </c>
      <c r="L51" s="11" t="s">
        <v>772</v>
      </c>
      <c r="M51" s="11" t="s">
        <v>90</v>
      </c>
      <c r="N51" s="12" t="s">
        <v>273</v>
      </c>
      <c r="O51" s="12" t="s">
        <v>273</v>
      </c>
      <c r="P51" s="12" t="s">
        <v>273</v>
      </c>
      <c r="Q51" s="12" t="s">
        <v>273</v>
      </c>
      <c r="R51" s="12" t="s">
        <v>273</v>
      </c>
      <c r="S51" s="12" t="s">
        <v>273</v>
      </c>
      <c r="T51" s="12" t="s">
        <v>273</v>
      </c>
      <c r="U51" s="12" t="s">
        <v>273</v>
      </c>
      <c r="V51" s="12" t="s">
        <v>273</v>
      </c>
      <c r="W51" s="12" t="s">
        <v>273</v>
      </c>
      <c r="X51" s="31" t="s">
        <v>276</v>
      </c>
      <c r="Y51" s="30"/>
      <c r="Z51" s="28" t="s">
        <v>2553</v>
      </c>
      <c r="AA51" s="133" t="str">
        <f>_xlfn.IFS(AND(COUNTIF(Y51,"SCB*")=1, 'PCH320'!H68&gt;=2), "See the Notice *1", TRUE, "")</f>
        <v/>
      </c>
      <c r="AB51" s="29"/>
      <c r="AC51" s="27" t="s">
        <v>272</v>
      </c>
      <c r="AD51" s="27" t="s">
        <v>255</v>
      </c>
      <c r="AE51" s="29"/>
      <c r="AF51" s="29"/>
    </row>
    <row r="52" spans="2:32" x14ac:dyDescent="0.2">
      <c r="B52" s="11" t="s">
        <v>91</v>
      </c>
      <c r="C52" s="11" t="s">
        <v>1629</v>
      </c>
      <c r="D52" s="11" t="s">
        <v>91</v>
      </c>
      <c r="E52" s="11" t="s">
        <v>672</v>
      </c>
      <c r="F52" s="11" t="s">
        <v>660</v>
      </c>
      <c r="G52" s="11" t="s">
        <v>674</v>
      </c>
      <c r="H52" s="11" t="s">
        <v>662</v>
      </c>
      <c r="I52" s="11" t="s">
        <v>773</v>
      </c>
      <c r="J52" s="11" t="s">
        <v>774</v>
      </c>
      <c r="K52" s="11" t="s">
        <v>775</v>
      </c>
      <c r="L52" s="11" t="s">
        <v>776</v>
      </c>
      <c r="M52" s="11" t="s">
        <v>92</v>
      </c>
      <c r="N52" s="11" t="s">
        <v>93</v>
      </c>
      <c r="O52" s="11" t="s">
        <v>829</v>
      </c>
      <c r="P52" s="12" t="s">
        <v>273</v>
      </c>
      <c r="Q52" s="12" t="s">
        <v>273</v>
      </c>
      <c r="R52" s="11" t="s">
        <v>828</v>
      </c>
      <c r="S52" s="12" t="s">
        <v>273</v>
      </c>
      <c r="T52" s="12" t="s">
        <v>273</v>
      </c>
      <c r="U52" s="12" t="s">
        <v>273</v>
      </c>
      <c r="V52" s="12" t="s">
        <v>273</v>
      </c>
      <c r="W52" s="12" t="s">
        <v>273</v>
      </c>
      <c r="X52" s="31" t="s">
        <v>277</v>
      </c>
      <c r="Y52" s="30"/>
      <c r="Z52" s="28" t="s">
        <v>2553</v>
      </c>
      <c r="AA52" s="133" t="str">
        <f>_xlfn.IFS(AND(COUNTIF(Y52,"SCB*")=1, 'PCH320'!H68&gt;=2), "See the Notice *1", AND(COUNTIF(Y52,"SDHC*")=1, 'PCH320'!D256&gt;=2), "See the Notice *1", TRUE, "")</f>
        <v/>
      </c>
      <c r="AB52" s="29"/>
      <c r="AC52" s="27" t="s">
        <v>272</v>
      </c>
      <c r="AD52" s="27" t="s">
        <v>255</v>
      </c>
      <c r="AE52" s="29"/>
      <c r="AF52" s="29"/>
    </row>
    <row r="53" spans="2:32" x14ac:dyDescent="0.2">
      <c r="B53" s="11" t="s">
        <v>2699</v>
      </c>
      <c r="C53" s="11" t="s">
        <v>1630</v>
      </c>
      <c r="D53" s="11" t="s">
        <v>94</v>
      </c>
      <c r="E53" s="11" t="s">
        <v>641</v>
      </c>
      <c r="F53" s="11" t="s">
        <v>703</v>
      </c>
      <c r="G53" s="11" t="s">
        <v>643</v>
      </c>
      <c r="H53" s="11" t="s">
        <v>705</v>
      </c>
      <c r="I53" s="11" t="s">
        <v>777</v>
      </c>
      <c r="J53" s="11" t="s">
        <v>778</v>
      </c>
      <c r="K53" s="12" t="s">
        <v>273</v>
      </c>
      <c r="L53" s="11" t="s">
        <v>779</v>
      </c>
      <c r="M53" s="11" t="s">
        <v>95</v>
      </c>
      <c r="N53" s="11" t="s">
        <v>96</v>
      </c>
      <c r="O53" s="12" t="s">
        <v>273</v>
      </c>
      <c r="P53" s="11" t="s">
        <v>827</v>
      </c>
      <c r="Q53" s="12" t="s">
        <v>273</v>
      </c>
      <c r="R53" s="11" t="s">
        <v>780</v>
      </c>
      <c r="S53" s="12" t="s">
        <v>273</v>
      </c>
      <c r="T53" s="11" t="s">
        <v>2667</v>
      </c>
      <c r="U53" s="12" t="s">
        <v>273</v>
      </c>
      <c r="V53" s="12" t="s">
        <v>273</v>
      </c>
      <c r="W53" s="12" t="s">
        <v>273</v>
      </c>
      <c r="X53" s="31" t="s">
        <v>278</v>
      </c>
      <c r="Y53" s="30"/>
      <c r="Z53" s="28" t="s">
        <v>2553</v>
      </c>
      <c r="AA53" s="133" t="str">
        <f>_xlfn.IFS(AND(COUNTIF(Y53,"SCB*")=1, 'PCH320'!H68&gt;=2), "See the Notice *1", AND(COUNTIF(Y53,"SPIHB*")=1, 'PCH320'!D173&gt;=2), "See the Notice *1", AND(COUNTIF(Y53,"SDHC*")=1, 'PCH320'!D256&gt;=2), "See the Notice *1",TRUE, "")</f>
        <v/>
      </c>
      <c r="AB53" s="29"/>
      <c r="AC53" s="27" t="s">
        <v>272</v>
      </c>
      <c r="AD53" s="27" t="s">
        <v>255</v>
      </c>
      <c r="AE53" s="29"/>
      <c r="AF53" s="29"/>
    </row>
    <row r="54" spans="2:32" x14ac:dyDescent="0.2">
      <c r="B54" s="11" t="s">
        <v>97</v>
      </c>
      <c r="C54" s="11" t="s">
        <v>1631</v>
      </c>
      <c r="D54" s="11" t="s">
        <v>97</v>
      </c>
      <c r="E54" s="11" t="s">
        <v>666</v>
      </c>
      <c r="F54" s="11" t="s">
        <v>650</v>
      </c>
      <c r="G54" s="11" t="s">
        <v>668</v>
      </c>
      <c r="H54" s="11" t="s">
        <v>652</v>
      </c>
      <c r="I54" s="11" t="s">
        <v>781</v>
      </c>
      <c r="J54" s="12" t="s">
        <v>273</v>
      </c>
      <c r="K54" s="12" t="s">
        <v>273</v>
      </c>
      <c r="L54" s="11" t="s">
        <v>782</v>
      </c>
      <c r="M54" s="11" t="s">
        <v>98</v>
      </c>
      <c r="N54" s="12" t="s">
        <v>273</v>
      </c>
      <c r="O54" s="11" t="s">
        <v>783</v>
      </c>
      <c r="P54" s="11" t="s">
        <v>2567</v>
      </c>
      <c r="Q54" s="12" t="s">
        <v>273</v>
      </c>
      <c r="R54" s="11" t="s">
        <v>784</v>
      </c>
      <c r="S54" s="12" t="s">
        <v>273</v>
      </c>
      <c r="T54" s="12" t="s">
        <v>273</v>
      </c>
      <c r="U54" s="12" t="s">
        <v>273</v>
      </c>
      <c r="V54" s="12" t="s">
        <v>273</v>
      </c>
      <c r="W54" s="12" t="s">
        <v>273</v>
      </c>
      <c r="X54" s="31" t="s">
        <v>279</v>
      </c>
      <c r="Y54" s="30"/>
      <c r="Z54" s="28" t="s">
        <v>2553</v>
      </c>
      <c r="AA54" s="133" t="str">
        <f>_xlfn.IFS(AND(COUNTIF(Y54,"SCB*")=1, 'PCH320'!H68&gt;=2), "See the Notice *1", AND(COUNTIF(Y54,"SPIHB*")=1, 'PCH320'!D173&gt;=2), "See the Notice *1", AND(COUNTIF(Y54,"SDHC*")=1, 'PCH320'!D256&gt;=2), "See the Notice *1", TRUE, "")</f>
        <v/>
      </c>
      <c r="AB54" s="29"/>
      <c r="AC54" s="27" t="s">
        <v>272</v>
      </c>
      <c r="AD54" s="27" t="s">
        <v>255</v>
      </c>
      <c r="AE54" s="29"/>
      <c r="AF54" s="29"/>
    </row>
    <row r="55" spans="2:32" x14ac:dyDescent="0.2">
      <c r="B55" s="11" t="s">
        <v>99</v>
      </c>
      <c r="C55" s="11" t="s">
        <v>1633</v>
      </c>
      <c r="D55" s="11" t="s">
        <v>99</v>
      </c>
      <c r="E55" s="11" t="s">
        <v>621</v>
      </c>
      <c r="F55" s="11" t="s">
        <v>673</v>
      </c>
      <c r="G55" s="11" t="s">
        <v>623</v>
      </c>
      <c r="H55" s="11" t="s">
        <v>675</v>
      </c>
      <c r="I55" s="11" t="s">
        <v>785</v>
      </c>
      <c r="J55" s="12" t="s">
        <v>273</v>
      </c>
      <c r="K55" s="12" t="s">
        <v>273</v>
      </c>
      <c r="L55" s="11" t="s">
        <v>786</v>
      </c>
      <c r="M55" s="11" t="s">
        <v>100</v>
      </c>
      <c r="N55" s="12" t="s">
        <v>273</v>
      </c>
      <c r="O55" s="11" t="s">
        <v>787</v>
      </c>
      <c r="P55" s="11" t="s">
        <v>826</v>
      </c>
      <c r="Q55" s="12" t="s">
        <v>273</v>
      </c>
      <c r="R55" s="11" t="s">
        <v>788</v>
      </c>
      <c r="S55" s="12" t="s">
        <v>273</v>
      </c>
      <c r="T55" s="12" t="s">
        <v>273</v>
      </c>
      <c r="U55" s="12" t="s">
        <v>273</v>
      </c>
      <c r="V55" s="12" t="s">
        <v>273</v>
      </c>
      <c r="W55" s="12" t="s">
        <v>273</v>
      </c>
      <c r="X55" s="31" t="s">
        <v>280</v>
      </c>
      <c r="Y55" s="30"/>
      <c r="Z55" s="28" t="s">
        <v>2553</v>
      </c>
      <c r="AA55" s="133" t="str">
        <f>_xlfn.IFS(AND(COUNTIF(Y55,"SCB*")=1, 'PCH320'!H68&gt;=2), "See the Notice *1", AND(COUNTIF(Y55,"SPIHB*")=1, 'PCH320'!D173&gt;=2), "See the Notice *1", AND(COUNTIF(Y55,"SDHC*")=1, 'PCH320'!D256&gt;=2), "See the Notice *1", TRUE, "")</f>
        <v/>
      </c>
      <c r="AB55" s="29"/>
      <c r="AC55" s="27" t="s">
        <v>272</v>
      </c>
      <c r="AD55" s="27" t="s">
        <v>255</v>
      </c>
      <c r="AE55" s="29"/>
      <c r="AF55" s="29"/>
    </row>
    <row r="56" spans="2:32" x14ac:dyDescent="0.2">
      <c r="B56" s="11" t="s">
        <v>101</v>
      </c>
      <c r="C56" s="11" t="s">
        <v>1634</v>
      </c>
      <c r="D56" s="11" t="s">
        <v>101</v>
      </c>
      <c r="E56" s="11" t="s">
        <v>659</v>
      </c>
      <c r="F56" s="11" t="s">
        <v>642</v>
      </c>
      <c r="G56" s="11" t="s">
        <v>661</v>
      </c>
      <c r="H56" s="11" t="s">
        <v>644</v>
      </c>
      <c r="I56" s="12" t="s">
        <v>273</v>
      </c>
      <c r="J56" s="12" t="s">
        <v>273</v>
      </c>
      <c r="K56" s="12" t="s">
        <v>273</v>
      </c>
      <c r="L56" s="11" t="s">
        <v>789</v>
      </c>
      <c r="M56" s="12" t="s">
        <v>273</v>
      </c>
      <c r="N56" s="12" t="s">
        <v>273</v>
      </c>
      <c r="O56" s="12" t="s">
        <v>273</v>
      </c>
      <c r="P56" s="12" t="s">
        <v>273</v>
      </c>
      <c r="Q56" s="12" t="s">
        <v>273</v>
      </c>
      <c r="R56" s="12" t="s">
        <v>273</v>
      </c>
      <c r="S56" s="11" t="s">
        <v>102</v>
      </c>
      <c r="T56" s="12" t="s">
        <v>273</v>
      </c>
      <c r="U56" s="12" t="s">
        <v>273</v>
      </c>
      <c r="V56" s="12" t="s">
        <v>273</v>
      </c>
      <c r="W56" s="12" t="s">
        <v>273</v>
      </c>
      <c r="X56" s="31" t="s">
        <v>281</v>
      </c>
      <c r="Y56" s="30"/>
      <c r="Z56" s="28" t="s">
        <v>2553</v>
      </c>
      <c r="AA56" s="133" t="str">
        <f>_xlfn.IFS(AND(COUNTIF(Y56,"SCB*")=1, 'PCH320'!H68&gt;=2), "See the Notice *1", TRUE, "")</f>
        <v/>
      </c>
      <c r="AB56" s="29"/>
      <c r="AC56" s="27" t="s">
        <v>272</v>
      </c>
      <c r="AD56" s="27" t="s">
        <v>255</v>
      </c>
      <c r="AE56" s="29"/>
      <c r="AF56" s="29"/>
    </row>
    <row r="57" spans="2:32" x14ac:dyDescent="0.2">
      <c r="B57" s="11" t="s">
        <v>103</v>
      </c>
      <c r="C57" s="11" t="s">
        <v>1635</v>
      </c>
      <c r="D57" s="11" t="s">
        <v>103</v>
      </c>
      <c r="E57" s="11" t="s">
        <v>615</v>
      </c>
      <c r="F57" s="11" t="s">
        <v>667</v>
      </c>
      <c r="G57" s="11" t="s">
        <v>617</v>
      </c>
      <c r="H57" s="11" t="s">
        <v>669</v>
      </c>
      <c r="I57" s="12" t="s">
        <v>273</v>
      </c>
      <c r="J57" s="12" t="s">
        <v>273</v>
      </c>
      <c r="K57" s="12" t="s">
        <v>273</v>
      </c>
      <c r="L57" s="12" t="s">
        <v>273</v>
      </c>
      <c r="M57" s="12" t="s">
        <v>273</v>
      </c>
      <c r="N57" s="12" t="s">
        <v>273</v>
      </c>
      <c r="O57" s="12" t="s">
        <v>273</v>
      </c>
      <c r="P57" s="12" t="s">
        <v>273</v>
      </c>
      <c r="Q57" s="12" t="s">
        <v>273</v>
      </c>
      <c r="R57" s="12" t="s">
        <v>273</v>
      </c>
      <c r="S57" s="11" t="s">
        <v>104</v>
      </c>
      <c r="T57" s="12" t="s">
        <v>273</v>
      </c>
      <c r="U57" s="12" t="s">
        <v>273</v>
      </c>
      <c r="V57" s="12" t="s">
        <v>273</v>
      </c>
      <c r="W57" s="12" t="s">
        <v>273</v>
      </c>
      <c r="X57" s="31" t="s">
        <v>282</v>
      </c>
      <c r="Y57" s="30"/>
      <c r="Z57" s="28" t="s">
        <v>2553</v>
      </c>
      <c r="AA57" s="133"/>
      <c r="AB57" s="29"/>
      <c r="AC57" s="27" t="s">
        <v>272</v>
      </c>
      <c r="AD57" s="27" t="s">
        <v>255</v>
      </c>
      <c r="AE57" s="29"/>
      <c r="AF57" s="29"/>
    </row>
    <row r="58" spans="2:32" x14ac:dyDescent="0.2">
      <c r="B58" s="11" t="s">
        <v>105</v>
      </c>
      <c r="C58" s="11" t="s">
        <v>1636</v>
      </c>
      <c r="D58" s="11" t="s">
        <v>105</v>
      </c>
      <c r="E58" s="11" t="s">
        <v>790</v>
      </c>
      <c r="F58" s="11" t="s">
        <v>622</v>
      </c>
      <c r="G58" s="11" t="s">
        <v>791</v>
      </c>
      <c r="H58" s="11" t="s">
        <v>624</v>
      </c>
      <c r="I58" s="12" t="s">
        <v>273</v>
      </c>
      <c r="J58" s="11" t="s">
        <v>792</v>
      </c>
      <c r="K58" s="12" t="s">
        <v>273</v>
      </c>
      <c r="L58" s="11" t="s">
        <v>793</v>
      </c>
      <c r="M58" s="11" t="s">
        <v>95</v>
      </c>
      <c r="N58" s="12" t="s">
        <v>273</v>
      </c>
      <c r="O58" s="11" t="s">
        <v>2374</v>
      </c>
      <c r="P58" s="11" t="s">
        <v>825</v>
      </c>
      <c r="Q58" s="12" t="s">
        <v>273</v>
      </c>
      <c r="R58" s="11" t="s">
        <v>794</v>
      </c>
      <c r="S58" s="12" t="s">
        <v>273</v>
      </c>
      <c r="T58" s="12" t="s">
        <v>273</v>
      </c>
      <c r="U58" s="12" t="s">
        <v>273</v>
      </c>
      <c r="V58" s="12" t="s">
        <v>273</v>
      </c>
      <c r="W58" s="12" t="s">
        <v>273</v>
      </c>
      <c r="X58" s="31" t="s">
        <v>291</v>
      </c>
      <c r="Y58" s="30"/>
      <c r="Z58" s="28" t="s">
        <v>2553</v>
      </c>
      <c r="AA58" s="133" t="str">
        <f>_xlfn.IFS(AND(COUNTIF(Y58,"SCB*")=1, 'PCH320'!I68&gt;=2), "See the Notice *1", AND(COUNTIF(Y58,"SPIHB*")=1, 'PCH320'!D173&gt;=2), "See the Notice *1", AND(COUNTIF(Y58,"SDHC*")=1, 'PCH320'!D256&gt;=2), "See the Notice *1", TRUE, "")</f>
        <v/>
      </c>
      <c r="AB58" s="29"/>
      <c r="AC58" s="27" t="s">
        <v>272</v>
      </c>
      <c r="AD58" s="27" t="s">
        <v>255</v>
      </c>
      <c r="AE58" s="29"/>
      <c r="AF58" s="29"/>
    </row>
    <row r="59" spans="2:32" x14ac:dyDescent="0.2">
      <c r="B59" s="11" t="s">
        <v>106</v>
      </c>
      <c r="C59" s="16" t="s">
        <v>1638</v>
      </c>
      <c r="D59" s="11" t="s">
        <v>106</v>
      </c>
      <c r="E59" s="11" t="s">
        <v>795</v>
      </c>
      <c r="F59" s="11" t="s">
        <v>796</v>
      </c>
      <c r="G59" s="11" t="s">
        <v>797</v>
      </c>
      <c r="H59" s="11" t="s">
        <v>798</v>
      </c>
      <c r="I59" s="12" t="s">
        <v>273</v>
      </c>
      <c r="J59" s="11" t="s">
        <v>799</v>
      </c>
      <c r="K59" s="11" t="s">
        <v>800</v>
      </c>
      <c r="L59" s="11" t="s">
        <v>801</v>
      </c>
      <c r="M59" s="11" t="s">
        <v>98</v>
      </c>
      <c r="N59" s="12" t="s">
        <v>273</v>
      </c>
      <c r="O59" s="12" t="s">
        <v>273</v>
      </c>
      <c r="P59" s="11" t="s">
        <v>824</v>
      </c>
      <c r="Q59" s="12" t="s">
        <v>273</v>
      </c>
      <c r="R59" s="11" t="s">
        <v>802</v>
      </c>
      <c r="S59" s="12" t="s">
        <v>273</v>
      </c>
      <c r="T59" s="12" t="s">
        <v>273</v>
      </c>
      <c r="U59" s="12" t="s">
        <v>273</v>
      </c>
      <c r="V59" s="12" t="s">
        <v>273</v>
      </c>
      <c r="W59" s="12" t="s">
        <v>273</v>
      </c>
      <c r="X59" s="32" t="s">
        <v>292</v>
      </c>
      <c r="Y59" s="30"/>
      <c r="Z59" s="28" t="s">
        <v>2553</v>
      </c>
      <c r="AA59" s="133" t="str">
        <f>_xlfn.IFS(AND(COUNTIF(Y59,"SCB*")=1, 'PCH320'!I68&gt;=2), "See the Notice *1", AND(COUNTIF(Y59,"SPIHB*")=1, 'PCH320'!D173&gt;=2), "See the Notice *1", AND(COUNTIF(Y59,"SDHC*")=1, 'PCH320'!D256&gt;=2), "See the Notice *1", TRUE, "")</f>
        <v/>
      </c>
      <c r="AB59" s="29"/>
      <c r="AC59" s="27" t="s">
        <v>272</v>
      </c>
      <c r="AD59" s="27" t="s">
        <v>255</v>
      </c>
      <c r="AE59" s="29"/>
      <c r="AF59" s="29"/>
    </row>
    <row r="60" spans="2:32" x14ac:dyDescent="0.2">
      <c r="B60" s="11" t="s">
        <v>107</v>
      </c>
      <c r="C60" s="11" t="s">
        <v>1640</v>
      </c>
      <c r="D60" s="11" t="s">
        <v>107</v>
      </c>
      <c r="E60" s="11" t="s">
        <v>803</v>
      </c>
      <c r="F60" s="11" t="s">
        <v>804</v>
      </c>
      <c r="G60" s="11" t="s">
        <v>805</v>
      </c>
      <c r="H60" s="11" t="s">
        <v>806</v>
      </c>
      <c r="I60" s="12" t="s">
        <v>273</v>
      </c>
      <c r="J60" s="11" t="s">
        <v>807</v>
      </c>
      <c r="K60" s="11" t="s">
        <v>808</v>
      </c>
      <c r="L60" s="11" t="s">
        <v>809</v>
      </c>
      <c r="M60" s="11" t="s">
        <v>100</v>
      </c>
      <c r="N60" s="12" t="s">
        <v>273</v>
      </c>
      <c r="O60" s="11" t="s">
        <v>810</v>
      </c>
      <c r="P60" s="11" t="s">
        <v>823</v>
      </c>
      <c r="Q60" s="12" t="s">
        <v>273</v>
      </c>
      <c r="R60" s="11" t="s">
        <v>811</v>
      </c>
      <c r="S60" s="12" t="s">
        <v>273</v>
      </c>
      <c r="T60" s="12" t="s">
        <v>273</v>
      </c>
      <c r="U60" s="12" t="s">
        <v>273</v>
      </c>
      <c r="V60" s="12" t="s">
        <v>273</v>
      </c>
      <c r="W60" s="12" t="s">
        <v>273</v>
      </c>
      <c r="X60" s="31" t="s">
        <v>293</v>
      </c>
      <c r="Y60" s="30"/>
      <c r="Z60" s="28" t="s">
        <v>2553</v>
      </c>
      <c r="AA60" s="133" t="str">
        <f>_xlfn.IFS(AND(COUNTIF(Y60,"SCB*")=1, 'PCH320'!I68&gt;=2), "See the Notice *1", AND(COUNTIF(Y60,"SPIHB*")=1, 'PCH320'!D173&gt;=2), "See the Notice *1", AND(COUNTIF(Y60,"SDHC*")=1, 'PCH320'!D256&gt;=2), "See the Notice *1", TRUE, "")</f>
        <v/>
      </c>
      <c r="AB60" s="29"/>
      <c r="AC60" s="27" t="s">
        <v>272</v>
      </c>
      <c r="AD60" s="27" t="s">
        <v>255</v>
      </c>
      <c r="AE60" s="29"/>
      <c r="AF60" s="29"/>
    </row>
    <row r="61" spans="2:32" x14ac:dyDescent="0.2">
      <c r="B61" s="16" t="s">
        <v>108</v>
      </c>
      <c r="C61" s="11" t="s">
        <v>1641</v>
      </c>
      <c r="D61" s="16" t="s">
        <v>108</v>
      </c>
      <c r="E61" s="16" t="s">
        <v>812</v>
      </c>
      <c r="F61" s="16" t="s">
        <v>813</v>
      </c>
      <c r="G61" s="16" t="s">
        <v>814</v>
      </c>
      <c r="H61" s="16" t="s">
        <v>815</v>
      </c>
      <c r="I61" s="12" t="s">
        <v>273</v>
      </c>
      <c r="J61" s="16" t="s">
        <v>816</v>
      </c>
      <c r="K61" s="12" t="s">
        <v>273</v>
      </c>
      <c r="L61" s="16" t="s">
        <v>817</v>
      </c>
      <c r="M61" s="12" t="s">
        <v>273</v>
      </c>
      <c r="N61" s="16" t="s">
        <v>818</v>
      </c>
      <c r="O61" s="16" t="s">
        <v>819</v>
      </c>
      <c r="P61" s="16" t="s">
        <v>822</v>
      </c>
      <c r="Q61" s="12" t="s">
        <v>273</v>
      </c>
      <c r="R61" s="16" t="s">
        <v>820</v>
      </c>
      <c r="S61" s="12" t="s">
        <v>273</v>
      </c>
      <c r="T61" s="12" t="s">
        <v>273</v>
      </c>
      <c r="U61" s="12" t="s">
        <v>273</v>
      </c>
      <c r="V61" s="12" t="s">
        <v>273</v>
      </c>
      <c r="W61" s="12" t="s">
        <v>273</v>
      </c>
      <c r="X61" s="31" t="s">
        <v>294</v>
      </c>
      <c r="Y61" s="30"/>
      <c r="Z61" s="28" t="s">
        <v>2553</v>
      </c>
      <c r="AA61" s="133" t="str">
        <f>_xlfn.IFS(AND(COUNTIF(Y61,"SCB*")=1, 'PCH320'!I68&gt;=2), "See the Notice *1", AND(COUNTIF(Y61,"SPIHB*")=1, 'PCH320'!D173&gt;=2), "See the Notice *1", AND(COUNTIF(Y61,"SDHC*")=1, 'PCH320'!D256&gt;=2), "See the Notice *1", TRUE, "")</f>
        <v/>
      </c>
      <c r="AB61" s="29"/>
      <c r="AC61" s="27" t="s">
        <v>272</v>
      </c>
      <c r="AD61" s="27" t="s">
        <v>255</v>
      </c>
      <c r="AE61" s="29"/>
      <c r="AF61" s="29"/>
    </row>
    <row r="62" spans="2:32" x14ac:dyDescent="0.2">
      <c r="B62" s="11" t="s">
        <v>109</v>
      </c>
      <c r="C62" s="11" t="s">
        <v>1642</v>
      </c>
      <c r="D62" s="11" t="s">
        <v>109</v>
      </c>
      <c r="E62" s="11" t="s">
        <v>835</v>
      </c>
      <c r="F62" s="11" t="s">
        <v>836</v>
      </c>
      <c r="G62" s="11" t="s">
        <v>837</v>
      </c>
      <c r="H62" s="11" t="s">
        <v>838</v>
      </c>
      <c r="I62" s="12" t="s">
        <v>273</v>
      </c>
      <c r="J62" s="12" t="s">
        <v>273</v>
      </c>
      <c r="K62" s="12" t="s">
        <v>273</v>
      </c>
      <c r="L62" s="11" t="s">
        <v>839</v>
      </c>
      <c r="M62" s="12" t="s">
        <v>273</v>
      </c>
      <c r="N62" s="11" t="s">
        <v>840</v>
      </c>
      <c r="O62" s="11" t="s">
        <v>841</v>
      </c>
      <c r="P62" s="11" t="s">
        <v>997</v>
      </c>
      <c r="Q62" s="12" t="s">
        <v>273</v>
      </c>
      <c r="R62" s="11" t="s">
        <v>842</v>
      </c>
      <c r="S62" s="12" t="s">
        <v>273</v>
      </c>
      <c r="T62" s="12" t="s">
        <v>273</v>
      </c>
      <c r="U62" s="12" t="s">
        <v>273</v>
      </c>
      <c r="V62" s="12" t="s">
        <v>273</v>
      </c>
      <c r="W62" s="12" t="s">
        <v>273</v>
      </c>
      <c r="X62" s="31" t="s">
        <v>295</v>
      </c>
      <c r="Y62" s="30"/>
      <c r="Z62" s="28" t="s">
        <v>2553</v>
      </c>
      <c r="AA62" s="133" t="str">
        <f>_xlfn.IFS(AND(COUNTIF(Y62,"SCB*")=1, 'PCH320'!I68&gt;=2), "See the Notice *1", AND(COUNTIF(Y62,"SPIHB*")=1, 'PCH320'!D173&gt;=2), "See the Notice *1", AND(COUNTIF(Y62,"SDHC*")=1, 'PCH320'!D256&gt;=2), "See the Notice *1", TRUE, "")</f>
        <v/>
      </c>
      <c r="AB62" s="29"/>
      <c r="AC62" s="27" t="s">
        <v>272</v>
      </c>
      <c r="AD62" s="27" t="s">
        <v>255</v>
      </c>
      <c r="AE62" s="29"/>
      <c r="AF62" s="29"/>
    </row>
    <row r="63" spans="2:32" x14ac:dyDescent="0.2">
      <c r="B63" s="11" t="s">
        <v>110</v>
      </c>
      <c r="C63" s="11" t="s">
        <v>1644</v>
      </c>
      <c r="D63" s="11" t="s">
        <v>110</v>
      </c>
      <c r="E63" s="11" t="s">
        <v>528</v>
      </c>
      <c r="F63" s="11" t="s">
        <v>843</v>
      </c>
      <c r="G63" s="11" t="s">
        <v>530</v>
      </c>
      <c r="H63" s="11" t="s">
        <v>844</v>
      </c>
      <c r="I63" s="12" t="s">
        <v>273</v>
      </c>
      <c r="J63" s="12" t="s">
        <v>273</v>
      </c>
      <c r="K63" s="11" t="s">
        <v>757</v>
      </c>
      <c r="L63" s="11" t="s">
        <v>845</v>
      </c>
      <c r="M63" s="12" t="s">
        <v>273</v>
      </c>
      <c r="N63" s="12" t="s">
        <v>273</v>
      </c>
      <c r="O63" s="11" t="s">
        <v>846</v>
      </c>
      <c r="P63" s="11" t="s">
        <v>996</v>
      </c>
      <c r="Q63" s="12" t="s">
        <v>273</v>
      </c>
      <c r="R63" s="11" t="s">
        <v>847</v>
      </c>
      <c r="S63" s="12" t="s">
        <v>273</v>
      </c>
      <c r="T63" s="12" t="s">
        <v>273</v>
      </c>
      <c r="U63" s="12" t="s">
        <v>273</v>
      </c>
      <c r="V63" s="12" t="s">
        <v>273</v>
      </c>
      <c r="W63" s="12" t="s">
        <v>273</v>
      </c>
      <c r="X63" s="31" t="s">
        <v>296</v>
      </c>
      <c r="Y63" s="30"/>
      <c r="Z63" s="28" t="s">
        <v>2553</v>
      </c>
      <c r="AA63" s="133" t="str">
        <f>_xlfn.IFS(AND(COUNTIF(Y63,"SCB*")=1, 'PCH320'!I68&gt;=2), "See the Notice *1", AND(COUNTIF(Y63,"SPIHB*")=1, 'PCH320'!D173&gt;=2), "See the Notice *1", AND(COUNTIF(Y63,"SDHC*")=1, 'PCH320'!D256&gt;=2), "See the Notice *1", TRUE, "")</f>
        <v/>
      </c>
      <c r="AB63" s="29"/>
      <c r="AC63" s="27" t="s">
        <v>272</v>
      </c>
      <c r="AD63" s="27" t="s">
        <v>255</v>
      </c>
      <c r="AE63" s="29"/>
      <c r="AF63" s="29"/>
    </row>
    <row r="64" spans="2:32" x14ac:dyDescent="0.2">
      <c r="B64" s="11" t="s">
        <v>111</v>
      </c>
      <c r="C64" s="11" t="s">
        <v>1646</v>
      </c>
      <c r="D64" s="11" t="s">
        <v>111</v>
      </c>
      <c r="E64" s="11" t="s">
        <v>848</v>
      </c>
      <c r="F64" s="11" t="s">
        <v>536</v>
      </c>
      <c r="G64" s="11" t="s">
        <v>849</v>
      </c>
      <c r="H64" s="11" t="s">
        <v>538</v>
      </c>
      <c r="I64" s="12" t="s">
        <v>273</v>
      </c>
      <c r="J64" s="12" t="s">
        <v>273</v>
      </c>
      <c r="K64" s="11" t="s">
        <v>759</v>
      </c>
      <c r="L64" s="12" t="s">
        <v>273</v>
      </c>
      <c r="M64" s="12" t="s">
        <v>273</v>
      </c>
      <c r="N64" s="12" t="s">
        <v>273</v>
      </c>
      <c r="O64" s="12" t="s">
        <v>273</v>
      </c>
      <c r="P64" s="12" t="s">
        <v>273</v>
      </c>
      <c r="Q64" s="12" t="s">
        <v>273</v>
      </c>
      <c r="R64" s="12" t="s">
        <v>273</v>
      </c>
      <c r="S64" s="11" t="s">
        <v>112</v>
      </c>
      <c r="T64" s="12" t="s">
        <v>273</v>
      </c>
      <c r="U64" s="12" t="s">
        <v>273</v>
      </c>
      <c r="V64" s="12" t="s">
        <v>273</v>
      </c>
      <c r="W64" s="12" t="s">
        <v>273</v>
      </c>
      <c r="X64" s="31" t="s">
        <v>297</v>
      </c>
      <c r="Y64" s="30"/>
      <c r="Z64" s="28" t="s">
        <v>2553</v>
      </c>
      <c r="AA64" s="133"/>
      <c r="AB64" s="29"/>
      <c r="AC64" s="27" t="s">
        <v>272</v>
      </c>
      <c r="AD64" s="27" t="s">
        <v>255</v>
      </c>
      <c r="AE64" s="29"/>
      <c r="AF64" s="29"/>
    </row>
    <row r="65" spans="2:32" x14ac:dyDescent="0.2">
      <c r="B65" s="11" t="s">
        <v>113</v>
      </c>
      <c r="C65" s="11" t="s">
        <v>1647</v>
      </c>
      <c r="D65" s="11" t="s">
        <v>113</v>
      </c>
      <c r="E65" s="11" t="s">
        <v>521</v>
      </c>
      <c r="F65" s="11" t="s">
        <v>850</v>
      </c>
      <c r="G65" s="11" t="s">
        <v>523</v>
      </c>
      <c r="H65" s="11" t="s">
        <v>851</v>
      </c>
      <c r="I65" s="12" t="s">
        <v>273</v>
      </c>
      <c r="J65" s="12" t="s">
        <v>273</v>
      </c>
      <c r="K65" s="11" t="s">
        <v>852</v>
      </c>
      <c r="L65" s="12" t="s">
        <v>273</v>
      </c>
      <c r="M65" s="12" t="s">
        <v>273</v>
      </c>
      <c r="N65" s="12" t="s">
        <v>273</v>
      </c>
      <c r="O65" s="12" t="s">
        <v>273</v>
      </c>
      <c r="P65" s="12" t="s">
        <v>273</v>
      </c>
      <c r="Q65" s="12" t="s">
        <v>273</v>
      </c>
      <c r="R65" s="12" t="s">
        <v>273</v>
      </c>
      <c r="S65" s="11" t="s">
        <v>114</v>
      </c>
      <c r="T65" s="12" t="s">
        <v>273</v>
      </c>
      <c r="U65" s="12" t="s">
        <v>273</v>
      </c>
      <c r="V65" s="12" t="s">
        <v>273</v>
      </c>
      <c r="W65" s="12" t="s">
        <v>273</v>
      </c>
      <c r="X65" s="31" t="s">
        <v>298</v>
      </c>
      <c r="Y65" s="30"/>
      <c r="Z65" s="28" t="s">
        <v>2553</v>
      </c>
      <c r="AA65" s="133"/>
      <c r="AB65" s="29"/>
      <c r="AC65" s="27" t="s">
        <v>272</v>
      </c>
      <c r="AD65" s="27" t="s">
        <v>255</v>
      </c>
      <c r="AE65" s="29"/>
      <c r="AF65" s="29"/>
    </row>
    <row r="66" spans="2:32" x14ac:dyDescent="0.2">
      <c r="B66" s="11" t="s">
        <v>115</v>
      </c>
      <c r="C66" s="11" t="s">
        <v>1648</v>
      </c>
      <c r="D66" s="11" t="s">
        <v>115</v>
      </c>
      <c r="E66" s="11" t="s">
        <v>853</v>
      </c>
      <c r="F66" s="11" t="s">
        <v>529</v>
      </c>
      <c r="G66" s="11" t="s">
        <v>854</v>
      </c>
      <c r="H66" s="11" t="s">
        <v>531</v>
      </c>
      <c r="I66" s="11" t="s">
        <v>855</v>
      </c>
      <c r="J66" s="12" t="s">
        <v>273</v>
      </c>
      <c r="K66" s="12" t="s">
        <v>273</v>
      </c>
      <c r="L66" s="12" t="s">
        <v>273</v>
      </c>
      <c r="M66" s="11" t="s">
        <v>82</v>
      </c>
      <c r="N66" s="11" t="s">
        <v>39</v>
      </c>
      <c r="O66" s="11" t="s">
        <v>856</v>
      </c>
      <c r="P66" s="11" t="s">
        <v>995</v>
      </c>
      <c r="Q66" s="12" t="s">
        <v>273</v>
      </c>
      <c r="R66" s="11" t="s">
        <v>857</v>
      </c>
      <c r="S66" s="12" t="s">
        <v>273</v>
      </c>
      <c r="T66" s="12" t="s">
        <v>273</v>
      </c>
      <c r="U66" s="12" t="s">
        <v>273</v>
      </c>
      <c r="V66" s="12" t="s">
        <v>273</v>
      </c>
      <c r="W66" s="12" t="s">
        <v>273</v>
      </c>
      <c r="X66" s="33" t="s">
        <v>273</v>
      </c>
      <c r="Y66" s="30"/>
      <c r="Z66" s="28" t="s">
        <v>2553</v>
      </c>
      <c r="AA66" s="133" t="str">
        <f>_xlfn.IFS(AND(COUNTIF(Y66,"SPIHB*")=1, 'PCH320'!D173&gt;=2), "See the Notice *1", AND(COUNTIF(Y66,"SDHC*")=1, 'PCH320'!D256&gt;=2), "See the Notice *1", TRUE, "")</f>
        <v/>
      </c>
      <c r="AB66" s="29"/>
      <c r="AC66" s="27" t="s">
        <v>272</v>
      </c>
      <c r="AD66" s="27" t="s">
        <v>255</v>
      </c>
      <c r="AE66" s="29"/>
      <c r="AF66" s="29"/>
    </row>
    <row r="67" spans="2:32" x14ac:dyDescent="0.2">
      <c r="B67" s="11" t="s">
        <v>116</v>
      </c>
      <c r="C67" s="11" t="s">
        <v>1649</v>
      </c>
      <c r="D67" s="11" t="s">
        <v>116</v>
      </c>
      <c r="E67" s="11" t="s">
        <v>858</v>
      </c>
      <c r="F67" s="11" t="s">
        <v>859</v>
      </c>
      <c r="G67" s="11" t="s">
        <v>860</v>
      </c>
      <c r="H67" s="11" t="s">
        <v>861</v>
      </c>
      <c r="I67" s="11" t="s">
        <v>862</v>
      </c>
      <c r="J67" s="12" t="s">
        <v>273</v>
      </c>
      <c r="K67" s="12" t="s">
        <v>273</v>
      </c>
      <c r="L67" s="12" t="s">
        <v>273</v>
      </c>
      <c r="M67" s="11" t="s">
        <v>84</v>
      </c>
      <c r="N67" s="11" t="s">
        <v>43</v>
      </c>
      <c r="O67" s="11" t="s">
        <v>863</v>
      </c>
      <c r="P67" s="11" t="s">
        <v>994</v>
      </c>
      <c r="Q67" s="12" t="s">
        <v>273</v>
      </c>
      <c r="R67" s="11" t="s">
        <v>864</v>
      </c>
      <c r="S67" s="11" t="s">
        <v>117</v>
      </c>
      <c r="T67" s="12" t="s">
        <v>273</v>
      </c>
      <c r="U67" s="12" t="s">
        <v>273</v>
      </c>
      <c r="V67" s="12" t="s">
        <v>273</v>
      </c>
      <c r="W67" s="12" t="s">
        <v>273</v>
      </c>
      <c r="X67" s="31" t="s">
        <v>1651</v>
      </c>
      <c r="Y67" s="30"/>
      <c r="Z67" s="28" t="s">
        <v>2553</v>
      </c>
      <c r="AA67" s="133" t="str">
        <f>_xlfn.IFS(AND(COUNTIF(Y67,"SPIHB*")=1, 'PCH320'!D173&gt;=2), "See the Notice *1", AND(COUNTIF(Y67,"SDHC*")=1, 'PCH320'!D256&gt;=2), "See the Notice *1", TRUE, "")</f>
        <v/>
      </c>
      <c r="AB67" s="29"/>
      <c r="AC67" s="27" t="s">
        <v>272</v>
      </c>
      <c r="AD67" s="27" t="s">
        <v>255</v>
      </c>
      <c r="AE67" s="29"/>
      <c r="AF67" s="29"/>
    </row>
    <row r="68" spans="2:32" x14ac:dyDescent="0.2">
      <c r="B68" s="11" t="s">
        <v>118</v>
      </c>
      <c r="C68" s="11" t="s">
        <v>1652</v>
      </c>
      <c r="D68" s="11" t="s">
        <v>118</v>
      </c>
      <c r="E68" s="11" t="s">
        <v>865</v>
      </c>
      <c r="F68" s="11" t="s">
        <v>866</v>
      </c>
      <c r="G68" s="11" t="s">
        <v>867</v>
      </c>
      <c r="H68" s="11" t="s">
        <v>868</v>
      </c>
      <c r="I68" s="11" t="s">
        <v>869</v>
      </c>
      <c r="J68" s="12" t="s">
        <v>273</v>
      </c>
      <c r="K68" s="12" t="s">
        <v>273</v>
      </c>
      <c r="L68" s="12" t="s">
        <v>273</v>
      </c>
      <c r="M68" s="11" t="s">
        <v>86</v>
      </c>
      <c r="N68" s="12" t="s">
        <v>273</v>
      </c>
      <c r="O68" s="11" t="s">
        <v>870</v>
      </c>
      <c r="P68" s="11" t="s">
        <v>993</v>
      </c>
      <c r="Q68" s="12" t="s">
        <v>273</v>
      </c>
      <c r="R68" s="11" t="s">
        <v>871</v>
      </c>
      <c r="S68" s="11" t="s">
        <v>119</v>
      </c>
      <c r="T68" s="12" t="s">
        <v>273</v>
      </c>
      <c r="U68" s="12" t="s">
        <v>273</v>
      </c>
      <c r="V68" s="12" t="s">
        <v>273</v>
      </c>
      <c r="W68" s="12" t="s">
        <v>273</v>
      </c>
      <c r="X68" s="31" t="s">
        <v>1653</v>
      </c>
      <c r="Y68" s="30"/>
      <c r="Z68" s="28" t="s">
        <v>2553</v>
      </c>
      <c r="AA68" s="133" t="str">
        <f>_xlfn.IFS(AND(COUNTIF(Y68,"SPIHB*")=1, 'PCH320'!D173&gt;=2), "See the Notice *1", AND(COUNTIF(Y68,"SDHC*")=1, 'PCH320'!D256&gt;=2), "See the Notice *1", TRUE, "")</f>
        <v/>
      </c>
      <c r="AB68" s="29"/>
      <c r="AC68" s="27" t="s">
        <v>272</v>
      </c>
      <c r="AD68" s="27" t="s">
        <v>255</v>
      </c>
      <c r="AE68" s="29"/>
      <c r="AF68" s="29"/>
    </row>
    <row r="69" spans="2:32" x14ac:dyDescent="0.2">
      <c r="B69" s="11" t="s">
        <v>120</v>
      </c>
      <c r="C69" s="11" t="s">
        <v>1654</v>
      </c>
      <c r="D69" s="11" t="s">
        <v>120</v>
      </c>
      <c r="E69" s="11" t="s">
        <v>872</v>
      </c>
      <c r="F69" s="11" t="s">
        <v>873</v>
      </c>
      <c r="G69" s="11" t="s">
        <v>874</v>
      </c>
      <c r="H69" s="11" t="s">
        <v>875</v>
      </c>
      <c r="I69" s="11" t="s">
        <v>876</v>
      </c>
      <c r="J69" s="12" t="s">
        <v>273</v>
      </c>
      <c r="K69" s="12" t="s">
        <v>273</v>
      </c>
      <c r="L69" s="12" t="s">
        <v>273</v>
      </c>
      <c r="M69" s="11" t="s">
        <v>877</v>
      </c>
      <c r="N69" s="12" t="s">
        <v>273</v>
      </c>
      <c r="O69" s="12" t="s">
        <v>273</v>
      </c>
      <c r="P69" s="12" t="s">
        <v>273</v>
      </c>
      <c r="Q69" s="12" t="s">
        <v>273</v>
      </c>
      <c r="R69" s="12" t="s">
        <v>273</v>
      </c>
      <c r="S69" s="12" t="s">
        <v>273</v>
      </c>
      <c r="T69" s="11" t="s">
        <v>697</v>
      </c>
      <c r="U69" s="12" t="s">
        <v>273</v>
      </c>
      <c r="V69" s="12" t="s">
        <v>273</v>
      </c>
      <c r="W69" s="12" t="s">
        <v>273</v>
      </c>
      <c r="X69" s="31" t="s">
        <v>1655</v>
      </c>
      <c r="Y69" s="30"/>
      <c r="Z69" s="28" t="s">
        <v>2553</v>
      </c>
      <c r="AA69" s="133"/>
      <c r="AB69" s="29"/>
      <c r="AC69" s="27" t="s">
        <v>272</v>
      </c>
      <c r="AD69" s="27" t="s">
        <v>255</v>
      </c>
      <c r="AE69" s="29"/>
      <c r="AF69" s="29"/>
    </row>
    <row r="70" spans="2:32" x14ac:dyDescent="0.2">
      <c r="B70" s="11" t="s">
        <v>121</v>
      </c>
      <c r="C70" s="11" t="s">
        <v>1656</v>
      </c>
      <c r="D70" s="11" t="s">
        <v>121</v>
      </c>
      <c r="E70" s="11" t="s">
        <v>878</v>
      </c>
      <c r="F70" s="11" t="s">
        <v>522</v>
      </c>
      <c r="G70" s="11" t="s">
        <v>879</v>
      </c>
      <c r="H70" s="11" t="s">
        <v>524</v>
      </c>
      <c r="I70" s="12" t="s">
        <v>273</v>
      </c>
      <c r="J70" s="12" t="s">
        <v>273</v>
      </c>
      <c r="K70" s="12" t="s">
        <v>273</v>
      </c>
      <c r="L70" s="12" t="s">
        <v>273</v>
      </c>
      <c r="M70" s="11" t="s">
        <v>880</v>
      </c>
      <c r="N70" s="12" t="s">
        <v>273</v>
      </c>
      <c r="O70" s="12" t="s">
        <v>273</v>
      </c>
      <c r="P70" s="12" t="s">
        <v>273</v>
      </c>
      <c r="Q70" s="12" t="s">
        <v>273</v>
      </c>
      <c r="R70" s="12" t="s">
        <v>273</v>
      </c>
      <c r="S70" s="12" t="s">
        <v>273</v>
      </c>
      <c r="T70" s="11" t="s">
        <v>698</v>
      </c>
      <c r="U70" s="12" t="s">
        <v>273</v>
      </c>
      <c r="V70" s="12" t="s">
        <v>273</v>
      </c>
      <c r="W70" s="12" t="s">
        <v>273</v>
      </c>
      <c r="X70" s="31" t="s">
        <v>1658</v>
      </c>
      <c r="Y70" s="30"/>
      <c r="Z70" s="28" t="s">
        <v>2553</v>
      </c>
      <c r="AA70" s="133"/>
      <c r="AB70" s="29"/>
      <c r="AC70" s="27" t="s">
        <v>272</v>
      </c>
      <c r="AD70" s="27" t="s">
        <v>255</v>
      </c>
      <c r="AE70" s="29"/>
      <c r="AF70" s="29"/>
    </row>
    <row r="71" spans="2:32" x14ac:dyDescent="0.2">
      <c r="B71" s="11" t="s">
        <v>122</v>
      </c>
      <c r="C71" s="11" t="s">
        <v>1659</v>
      </c>
      <c r="D71" s="11" t="s">
        <v>122</v>
      </c>
      <c r="E71" s="11" t="s">
        <v>881</v>
      </c>
      <c r="F71" s="11" t="s">
        <v>882</v>
      </c>
      <c r="G71" s="11" t="s">
        <v>883</v>
      </c>
      <c r="H71" s="11" t="s">
        <v>884</v>
      </c>
      <c r="I71" s="11" t="s">
        <v>885</v>
      </c>
      <c r="J71" s="12" t="s">
        <v>273</v>
      </c>
      <c r="K71" s="12" t="s">
        <v>273</v>
      </c>
      <c r="L71" s="12" t="s">
        <v>273</v>
      </c>
      <c r="M71" s="11" t="s">
        <v>886</v>
      </c>
      <c r="N71" s="12" t="s">
        <v>273</v>
      </c>
      <c r="O71" s="12" t="s">
        <v>273</v>
      </c>
      <c r="P71" s="12" t="s">
        <v>273</v>
      </c>
      <c r="Q71" s="12" t="s">
        <v>273</v>
      </c>
      <c r="R71" s="12" t="s">
        <v>273</v>
      </c>
      <c r="S71" s="12" t="s">
        <v>273</v>
      </c>
      <c r="T71" s="12" t="s">
        <v>273</v>
      </c>
      <c r="U71" s="12" t="s">
        <v>273</v>
      </c>
      <c r="V71" s="12" t="s">
        <v>273</v>
      </c>
      <c r="W71" s="12" t="s">
        <v>273</v>
      </c>
      <c r="X71" s="31" t="s">
        <v>1660</v>
      </c>
      <c r="Y71" s="30"/>
      <c r="Z71" s="28" t="s">
        <v>2553</v>
      </c>
      <c r="AA71" s="133"/>
      <c r="AB71" s="29"/>
      <c r="AC71" s="27" t="s">
        <v>272</v>
      </c>
      <c r="AD71" s="27" t="s">
        <v>255</v>
      </c>
      <c r="AE71" s="29"/>
      <c r="AF71" s="29"/>
    </row>
    <row r="72" spans="2:32" x14ac:dyDescent="0.2">
      <c r="B72" s="11" t="s">
        <v>123</v>
      </c>
      <c r="C72" s="11" t="s">
        <v>1661</v>
      </c>
      <c r="D72" s="11" t="s">
        <v>123</v>
      </c>
      <c r="E72" s="11" t="s">
        <v>887</v>
      </c>
      <c r="F72" s="11" t="s">
        <v>888</v>
      </c>
      <c r="G72" s="11" t="s">
        <v>889</v>
      </c>
      <c r="H72" s="11" t="s">
        <v>890</v>
      </c>
      <c r="I72" s="11" t="s">
        <v>891</v>
      </c>
      <c r="J72" s="12" t="s">
        <v>273</v>
      </c>
      <c r="K72" s="12" t="s">
        <v>273</v>
      </c>
      <c r="L72" s="12" t="s">
        <v>273</v>
      </c>
      <c r="M72" s="12" t="s">
        <v>273</v>
      </c>
      <c r="N72" s="11" t="s">
        <v>892</v>
      </c>
      <c r="O72" s="12" t="s">
        <v>273</v>
      </c>
      <c r="P72" s="12" t="s">
        <v>273</v>
      </c>
      <c r="Q72" s="12" t="s">
        <v>273</v>
      </c>
      <c r="R72" s="12" t="s">
        <v>273</v>
      </c>
      <c r="S72" s="12" t="s">
        <v>273</v>
      </c>
      <c r="T72" s="12" t="s">
        <v>273</v>
      </c>
      <c r="U72" s="12" t="s">
        <v>273</v>
      </c>
      <c r="V72" s="12" t="s">
        <v>273</v>
      </c>
      <c r="W72" s="12" t="s">
        <v>273</v>
      </c>
      <c r="X72" s="31" t="s">
        <v>1662</v>
      </c>
      <c r="Y72" s="30"/>
      <c r="Z72" s="28" t="s">
        <v>2553</v>
      </c>
      <c r="AA72" s="133"/>
      <c r="AB72" s="29"/>
      <c r="AC72" s="27" t="s">
        <v>272</v>
      </c>
      <c r="AD72" s="27" t="s">
        <v>255</v>
      </c>
      <c r="AE72" s="29"/>
      <c r="AF72" s="29"/>
    </row>
    <row r="73" spans="2:32" x14ac:dyDescent="0.2">
      <c r="B73" s="11" t="s">
        <v>124</v>
      </c>
      <c r="C73" s="11" t="s">
        <v>1663</v>
      </c>
      <c r="D73" s="11" t="s">
        <v>124</v>
      </c>
      <c r="E73" s="11" t="s">
        <v>893</v>
      </c>
      <c r="F73" s="11" t="s">
        <v>894</v>
      </c>
      <c r="G73" s="11" t="s">
        <v>895</v>
      </c>
      <c r="H73" s="11" t="s">
        <v>896</v>
      </c>
      <c r="I73" s="11" t="s">
        <v>897</v>
      </c>
      <c r="J73" s="12" t="s">
        <v>273</v>
      </c>
      <c r="K73" s="12" t="s">
        <v>273</v>
      </c>
      <c r="L73" s="12" t="s">
        <v>273</v>
      </c>
      <c r="M73" s="12" t="s">
        <v>273</v>
      </c>
      <c r="N73" s="11" t="s">
        <v>898</v>
      </c>
      <c r="O73" s="12" t="s">
        <v>273</v>
      </c>
      <c r="P73" s="12" t="s">
        <v>273</v>
      </c>
      <c r="Q73" s="12" t="s">
        <v>273</v>
      </c>
      <c r="R73" s="12" t="s">
        <v>273</v>
      </c>
      <c r="S73" s="12" t="s">
        <v>273</v>
      </c>
      <c r="T73" s="12" t="s">
        <v>273</v>
      </c>
      <c r="U73" s="12" t="s">
        <v>273</v>
      </c>
      <c r="V73" s="12" t="s">
        <v>273</v>
      </c>
      <c r="W73" s="12" t="s">
        <v>273</v>
      </c>
      <c r="X73" s="31" t="s">
        <v>1664</v>
      </c>
      <c r="Y73" s="30"/>
      <c r="Z73" s="28" t="s">
        <v>2553</v>
      </c>
      <c r="AA73" s="133"/>
      <c r="AB73" s="29"/>
      <c r="AC73" s="27" t="s">
        <v>272</v>
      </c>
      <c r="AD73" s="27" t="s">
        <v>255</v>
      </c>
      <c r="AE73" s="29"/>
      <c r="AF73" s="29"/>
    </row>
    <row r="74" spans="2:32" x14ac:dyDescent="0.2">
      <c r="B74" s="11" t="s">
        <v>125</v>
      </c>
      <c r="C74" s="11" t="s">
        <v>1665</v>
      </c>
      <c r="D74" s="11" t="s">
        <v>125</v>
      </c>
      <c r="E74" s="11" t="s">
        <v>899</v>
      </c>
      <c r="F74" s="11" t="s">
        <v>900</v>
      </c>
      <c r="G74" s="11" t="s">
        <v>901</v>
      </c>
      <c r="H74" s="11" t="s">
        <v>902</v>
      </c>
      <c r="I74" s="11" t="s">
        <v>903</v>
      </c>
      <c r="J74" s="12" t="s">
        <v>273</v>
      </c>
      <c r="K74" s="12" t="s">
        <v>273</v>
      </c>
      <c r="L74" s="12" t="s">
        <v>273</v>
      </c>
      <c r="M74" s="12" t="s">
        <v>273</v>
      </c>
      <c r="N74" s="11" t="s">
        <v>904</v>
      </c>
      <c r="O74" s="12" t="s">
        <v>273</v>
      </c>
      <c r="P74" s="12" t="s">
        <v>273</v>
      </c>
      <c r="Q74" s="12" t="s">
        <v>273</v>
      </c>
      <c r="R74" s="12" t="s">
        <v>273</v>
      </c>
      <c r="S74" s="12" t="s">
        <v>273</v>
      </c>
      <c r="T74" s="12" t="s">
        <v>273</v>
      </c>
      <c r="U74" s="12" t="s">
        <v>273</v>
      </c>
      <c r="V74" s="12" t="s">
        <v>273</v>
      </c>
      <c r="W74" s="12" t="s">
        <v>273</v>
      </c>
      <c r="X74" s="31" t="s">
        <v>1666</v>
      </c>
      <c r="Y74" s="30"/>
      <c r="Z74" s="28" t="s">
        <v>2553</v>
      </c>
      <c r="AA74" s="133"/>
      <c r="AB74" s="29"/>
      <c r="AC74" s="27" t="s">
        <v>272</v>
      </c>
      <c r="AD74" s="27" t="s">
        <v>255</v>
      </c>
      <c r="AE74" s="29"/>
      <c r="AF74" s="29"/>
    </row>
    <row r="75" spans="2:32" x14ac:dyDescent="0.2">
      <c r="B75" s="11" t="s">
        <v>126</v>
      </c>
      <c r="C75" s="11" t="s">
        <v>1667</v>
      </c>
      <c r="D75" s="11" t="s">
        <v>126</v>
      </c>
      <c r="E75" s="11" t="s">
        <v>905</v>
      </c>
      <c r="F75" s="11" t="s">
        <v>906</v>
      </c>
      <c r="G75" s="11" t="s">
        <v>907</v>
      </c>
      <c r="H75" s="11" t="s">
        <v>908</v>
      </c>
      <c r="I75" s="11" t="s">
        <v>746</v>
      </c>
      <c r="J75" s="11" t="s">
        <v>909</v>
      </c>
      <c r="K75" s="12" t="s">
        <v>273</v>
      </c>
      <c r="L75" s="11" t="s">
        <v>910</v>
      </c>
      <c r="M75" s="11" t="s">
        <v>76</v>
      </c>
      <c r="N75" s="12" t="s">
        <v>273</v>
      </c>
      <c r="O75" s="12" t="s">
        <v>273</v>
      </c>
      <c r="P75" s="12" t="s">
        <v>273</v>
      </c>
      <c r="Q75" s="12" t="s">
        <v>273</v>
      </c>
      <c r="R75" s="12" t="s">
        <v>273</v>
      </c>
      <c r="S75" s="11" t="s">
        <v>127</v>
      </c>
      <c r="T75" s="12" t="s">
        <v>273</v>
      </c>
      <c r="U75" s="12" t="s">
        <v>273</v>
      </c>
      <c r="V75" s="12" t="s">
        <v>273</v>
      </c>
      <c r="W75" s="12" t="s">
        <v>273</v>
      </c>
      <c r="X75" s="33" t="s">
        <v>273</v>
      </c>
      <c r="Y75" s="30"/>
      <c r="Z75" s="28" t="s">
        <v>2553</v>
      </c>
      <c r="AA75" s="133" t="str">
        <f>_xlfn.IFS(AND(COUNTIF(Y75,"SCB*")=1, 'PCH320'!H68&gt;=2), "See the Notice *1", TRUE, "")</f>
        <v/>
      </c>
      <c r="AB75" s="29"/>
      <c r="AC75" s="27" t="s">
        <v>272</v>
      </c>
      <c r="AD75" s="27" t="s">
        <v>351</v>
      </c>
      <c r="AE75" s="29"/>
      <c r="AF75" s="29"/>
    </row>
    <row r="76" spans="2:32" x14ac:dyDescent="0.2">
      <c r="B76" s="11" t="s">
        <v>128</v>
      </c>
      <c r="C76" s="11" t="s">
        <v>1669</v>
      </c>
      <c r="D76" s="11" t="s">
        <v>128</v>
      </c>
      <c r="E76" s="11" t="s">
        <v>911</v>
      </c>
      <c r="F76" s="11" t="s">
        <v>912</v>
      </c>
      <c r="G76" s="11" t="s">
        <v>913</v>
      </c>
      <c r="H76" s="11" t="s">
        <v>914</v>
      </c>
      <c r="I76" s="11" t="s">
        <v>753</v>
      </c>
      <c r="J76" s="11" t="s">
        <v>915</v>
      </c>
      <c r="K76" s="11" t="s">
        <v>916</v>
      </c>
      <c r="L76" s="11" t="s">
        <v>917</v>
      </c>
      <c r="M76" s="11" t="s">
        <v>78</v>
      </c>
      <c r="N76" s="12" t="s">
        <v>273</v>
      </c>
      <c r="O76" s="12" t="s">
        <v>273</v>
      </c>
      <c r="P76" s="12" t="s">
        <v>273</v>
      </c>
      <c r="Q76" s="12" t="s">
        <v>273</v>
      </c>
      <c r="R76" s="12" t="s">
        <v>273</v>
      </c>
      <c r="S76" s="11" t="s">
        <v>129</v>
      </c>
      <c r="T76" s="12" t="s">
        <v>273</v>
      </c>
      <c r="U76" s="12" t="s">
        <v>273</v>
      </c>
      <c r="V76" s="12" t="s">
        <v>273</v>
      </c>
      <c r="W76" s="12" t="s">
        <v>273</v>
      </c>
      <c r="X76" s="33" t="s">
        <v>273</v>
      </c>
      <c r="Y76" s="30"/>
      <c r="Z76" s="28" t="s">
        <v>2553</v>
      </c>
      <c r="AA76" s="133" t="str">
        <f>_xlfn.IFS(AND(COUNTIF(Y76,"SCB*")=1, 'PCH320'!H68&gt;=2), "See the Notice *1", TRUE, "")</f>
        <v/>
      </c>
      <c r="AB76" s="29"/>
      <c r="AC76" s="27" t="s">
        <v>272</v>
      </c>
      <c r="AD76" s="27" t="s">
        <v>351</v>
      </c>
      <c r="AE76" s="29"/>
      <c r="AF76" s="29"/>
    </row>
    <row r="77" spans="2:32" x14ac:dyDescent="0.2">
      <c r="B77" s="11" t="s">
        <v>130</v>
      </c>
      <c r="C77" s="11" t="s">
        <v>1671</v>
      </c>
      <c r="D77" s="11" t="s">
        <v>130</v>
      </c>
      <c r="E77" s="11" t="s">
        <v>918</v>
      </c>
      <c r="F77" s="11" t="s">
        <v>919</v>
      </c>
      <c r="G77" s="11" t="s">
        <v>920</v>
      </c>
      <c r="H77" s="11" t="s">
        <v>921</v>
      </c>
      <c r="I77" s="11" t="s">
        <v>756</v>
      </c>
      <c r="J77" s="11" t="s">
        <v>922</v>
      </c>
      <c r="K77" s="11" t="s">
        <v>923</v>
      </c>
      <c r="L77" s="11" t="s">
        <v>924</v>
      </c>
      <c r="M77" s="12" t="s">
        <v>273</v>
      </c>
      <c r="N77" s="12" t="s">
        <v>273</v>
      </c>
      <c r="O77" s="11" t="s">
        <v>575</v>
      </c>
      <c r="P77" s="12" t="s">
        <v>273</v>
      </c>
      <c r="Q77" s="12" t="s">
        <v>273</v>
      </c>
      <c r="R77" s="12" t="s">
        <v>273</v>
      </c>
      <c r="S77" s="11" t="s">
        <v>2630</v>
      </c>
      <c r="T77" s="12" t="s">
        <v>273</v>
      </c>
      <c r="U77" s="12" t="s">
        <v>273</v>
      </c>
      <c r="V77" s="12" t="s">
        <v>273</v>
      </c>
      <c r="W77" s="12" t="s">
        <v>273</v>
      </c>
      <c r="X77" s="33" t="s">
        <v>273</v>
      </c>
      <c r="Y77" s="30"/>
      <c r="Z77" s="28" t="s">
        <v>2553</v>
      </c>
      <c r="AA77" s="133" t="str">
        <f>_xlfn.IFS(AND(COUNTIF(Y77,"SCB*")=1, 'PCH320'!H68&gt;=2), "See the Notice *1", TRUE, "")</f>
        <v/>
      </c>
      <c r="AB77" s="29"/>
      <c r="AC77" s="27" t="s">
        <v>272</v>
      </c>
      <c r="AD77" s="27" t="s">
        <v>351</v>
      </c>
      <c r="AE77" s="29"/>
      <c r="AF77" s="29"/>
    </row>
    <row r="78" spans="2:32" x14ac:dyDescent="0.2">
      <c r="B78" s="11" t="s">
        <v>131</v>
      </c>
      <c r="C78" s="11" t="s">
        <v>1673</v>
      </c>
      <c r="D78" s="11" t="s">
        <v>131</v>
      </c>
      <c r="E78" s="11" t="s">
        <v>925</v>
      </c>
      <c r="F78" s="11" t="s">
        <v>926</v>
      </c>
      <c r="G78" s="11" t="s">
        <v>927</v>
      </c>
      <c r="H78" s="11" t="s">
        <v>928</v>
      </c>
      <c r="I78" s="11" t="s">
        <v>758</v>
      </c>
      <c r="J78" s="11" t="s">
        <v>929</v>
      </c>
      <c r="K78" s="12" t="s">
        <v>273</v>
      </c>
      <c r="L78" s="11" t="s">
        <v>930</v>
      </c>
      <c r="M78" s="12" t="s">
        <v>273</v>
      </c>
      <c r="N78" s="12" t="s">
        <v>273</v>
      </c>
      <c r="O78" s="11" t="s">
        <v>580</v>
      </c>
      <c r="P78" s="12" t="s">
        <v>273</v>
      </c>
      <c r="Q78" s="12" t="s">
        <v>273</v>
      </c>
      <c r="R78" s="12" t="s">
        <v>273</v>
      </c>
      <c r="S78" s="11" t="s">
        <v>2631</v>
      </c>
      <c r="T78" s="12" t="s">
        <v>273</v>
      </c>
      <c r="U78" s="12" t="s">
        <v>273</v>
      </c>
      <c r="V78" s="12" t="s">
        <v>273</v>
      </c>
      <c r="W78" s="12" t="s">
        <v>273</v>
      </c>
      <c r="X78" s="33" t="s">
        <v>273</v>
      </c>
      <c r="Y78" s="30"/>
      <c r="Z78" s="28" t="s">
        <v>2553</v>
      </c>
      <c r="AA78" s="133" t="str">
        <f>_xlfn.IFS(AND(COUNTIF(Y78,"SCB*")=1, 'PCH320'!H68&gt;=2), "See the Notice *1", TRUE, "")</f>
        <v/>
      </c>
      <c r="AB78" s="29"/>
      <c r="AC78" s="27" t="s">
        <v>272</v>
      </c>
      <c r="AD78" s="27" t="s">
        <v>351</v>
      </c>
      <c r="AE78" s="29"/>
      <c r="AF78" s="29"/>
    </row>
    <row r="79" spans="2:32" x14ac:dyDescent="0.2">
      <c r="B79" s="11" t="s">
        <v>132</v>
      </c>
      <c r="C79" s="11" t="s">
        <v>1675</v>
      </c>
      <c r="D79" s="11" t="s">
        <v>132</v>
      </c>
      <c r="E79" s="11" t="s">
        <v>931</v>
      </c>
      <c r="F79" s="11" t="s">
        <v>932</v>
      </c>
      <c r="G79" s="11" t="s">
        <v>933</v>
      </c>
      <c r="H79" s="11" t="s">
        <v>934</v>
      </c>
      <c r="I79" s="11" t="s">
        <v>760</v>
      </c>
      <c r="J79" s="12" t="s">
        <v>273</v>
      </c>
      <c r="K79" s="12" t="s">
        <v>273</v>
      </c>
      <c r="L79" s="11" t="s">
        <v>935</v>
      </c>
      <c r="M79" s="12" t="s">
        <v>273</v>
      </c>
      <c r="N79" s="12" t="s">
        <v>273</v>
      </c>
      <c r="O79" s="11" t="s">
        <v>585</v>
      </c>
      <c r="P79" s="12" t="s">
        <v>273</v>
      </c>
      <c r="Q79" s="12" t="s">
        <v>273</v>
      </c>
      <c r="R79" s="12" t="s">
        <v>273</v>
      </c>
      <c r="S79" s="11" t="s">
        <v>2632</v>
      </c>
      <c r="T79" s="12" t="s">
        <v>273</v>
      </c>
      <c r="U79" s="12" t="s">
        <v>273</v>
      </c>
      <c r="V79" s="12" t="s">
        <v>273</v>
      </c>
      <c r="W79" s="12" t="s">
        <v>273</v>
      </c>
      <c r="X79" s="31" t="s">
        <v>299</v>
      </c>
      <c r="Y79" s="30"/>
      <c r="Z79" s="28" t="s">
        <v>2553</v>
      </c>
      <c r="AA79" s="133" t="str">
        <f>_xlfn.IFS(AND(COUNTIF(Y79,"SCB*")=1, 'PCH320'!H68&gt;=2), "See the Notice *1", TRUE, "")</f>
        <v/>
      </c>
      <c r="AB79" s="29"/>
      <c r="AC79" s="27" t="s">
        <v>272</v>
      </c>
      <c r="AD79" s="27" t="s">
        <v>351</v>
      </c>
      <c r="AE79" s="29"/>
      <c r="AF79" s="29"/>
    </row>
    <row r="80" spans="2:32" x14ac:dyDescent="0.2">
      <c r="B80" s="11" t="s">
        <v>133</v>
      </c>
      <c r="C80" s="11" t="s">
        <v>1677</v>
      </c>
      <c r="D80" s="11" t="s">
        <v>133</v>
      </c>
      <c r="E80" s="11" t="s">
        <v>936</v>
      </c>
      <c r="F80" s="11" t="s">
        <v>937</v>
      </c>
      <c r="G80" s="11" t="s">
        <v>938</v>
      </c>
      <c r="H80" s="11" t="s">
        <v>939</v>
      </c>
      <c r="I80" s="11" t="s">
        <v>762</v>
      </c>
      <c r="J80" s="12" t="s">
        <v>273</v>
      </c>
      <c r="K80" s="12" t="s">
        <v>273</v>
      </c>
      <c r="L80" s="11" t="s">
        <v>940</v>
      </c>
      <c r="M80" s="12" t="s">
        <v>273</v>
      </c>
      <c r="N80" s="11" t="s">
        <v>941</v>
      </c>
      <c r="O80" s="12" t="s">
        <v>273</v>
      </c>
      <c r="P80" s="12" t="s">
        <v>273</v>
      </c>
      <c r="Q80" s="12" t="s">
        <v>273</v>
      </c>
      <c r="R80" s="12" t="s">
        <v>273</v>
      </c>
      <c r="S80" s="11" t="s">
        <v>2633</v>
      </c>
      <c r="T80" s="12" t="s">
        <v>273</v>
      </c>
      <c r="U80" s="12" t="s">
        <v>273</v>
      </c>
      <c r="V80" s="12" t="s">
        <v>273</v>
      </c>
      <c r="W80" s="12" t="s">
        <v>273</v>
      </c>
      <c r="X80" s="31" t="s">
        <v>300</v>
      </c>
      <c r="Y80" s="30"/>
      <c r="Z80" s="28" t="s">
        <v>2553</v>
      </c>
      <c r="AA80" s="133" t="str">
        <f>_xlfn.IFS(AND(COUNTIF(Y80,"SCB*")=1, 'PCH320'!H68&gt;=2), "See the Notice *1", TRUE, "")</f>
        <v/>
      </c>
      <c r="AB80" s="29"/>
      <c r="AC80" s="27" t="s">
        <v>272</v>
      </c>
      <c r="AD80" s="27" t="s">
        <v>351</v>
      </c>
      <c r="AE80" s="29"/>
      <c r="AF80" s="29"/>
    </row>
    <row r="81" spans="2:32" x14ac:dyDescent="0.2">
      <c r="B81" s="11" t="s">
        <v>134</v>
      </c>
      <c r="C81" s="11" t="s">
        <v>1679</v>
      </c>
      <c r="D81" s="11" t="s">
        <v>134</v>
      </c>
      <c r="E81" s="12" t="s">
        <v>273</v>
      </c>
      <c r="F81" s="11" t="s">
        <v>942</v>
      </c>
      <c r="G81" s="12" t="s">
        <v>273</v>
      </c>
      <c r="H81" s="11" t="s">
        <v>943</v>
      </c>
      <c r="I81" s="11" t="s">
        <v>764</v>
      </c>
      <c r="J81" s="12" t="s">
        <v>273</v>
      </c>
      <c r="K81" s="12" t="s">
        <v>273</v>
      </c>
      <c r="L81" s="11" t="s">
        <v>944</v>
      </c>
      <c r="M81" s="12" t="s">
        <v>273</v>
      </c>
      <c r="N81" s="11" t="s">
        <v>945</v>
      </c>
      <c r="O81" s="11" t="s">
        <v>946</v>
      </c>
      <c r="P81" s="12" t="s">
        <v>273</v>
      </c>
      <c r="Q81" s="12" t="s">
        <v>273</v>
      </c>
      <c r="R81" s="12" t="s">
        <v>273</v>
      </c>
      <c r="S81" s="11" t="s">
        <v>2634</v>
      </c>
      <c r="T81" s="12" t="s">
        <v>273</v>
      </c>
      <c r="U81" s="12" t="s">
        <v>273</v>
      </c>
      <c r="V81" s="12" t="s">
        <v>273</v>
      </c>
      <c r="W81" s="12" t="s">
        <v>273</v>
      </c>
      <c r="X81" s="31" t="s">
        <v>301</v>
      </c>
      <c r="Y81" s="30"/>
      <c r="Z81" s="28" t="s">
        <v>2553</v>
      </c>
      <c r="AA81" s="133"/>
      <c r="AB81" s="29"/>
      <c r="AC81" s="27" t="s">
        <v>272</v>
      </c>
      <c r="AD81" s="27" t="s">
        <v>351</v>
      </c>
      <c r="AE81" s="29"/>
      <c r="AF81" s="29"/>
    </row>
    <row r="82" spans="2:32" x14ac:dyDescent="0.2">
      <c r="B82" s="11" t="s">
        <v>135</v>
      </c>
      <c r="C82" s="11" t="s">
        <v>1681</v>
      </c>
      <c r="D82" s="11" t="s">
        <v>135</v>
      </c>
      <c r="E82" s="11" t="s">
        <v>947</v>
      </c>
      <c r="F82" s="11" t="s">
        <v>948</v>
      </c>
      <c r="G82" s="11" t="s">
        <v>949</v>
      </c>
      <c r="H82" s="11" t="s">
        <v>950</v>
      </c>
      <c r="I82" s="11" t="s">
        <v>769</v>
      </c>
      <c r="J82" s="12" t="s">
        <v>273</v>
      </c>
      <c r="K82" s="12" t="s">
        <v>273</v>
      </c>
      <c r="L82" s="12" t="s">
        <v>273</v>
      </c>
      <c r="M82" s="12" t="s">
        <v>273</v>
      </c>
      <c r="N82" s="11" t="s">
        <v>951</v>
      </c>
      <c r="O82" s="12" t="s">
        <v>273</v>
      </c>
      <c r="P82" s="12" t="s">
        <v>273</v>
      </c>
      <c r="Q82" s="12" t="s">
        <v>273</v>
      </c>
      <c r="R82" s="12" t="s">
        <v>273</v>
      </c>
      <c r="S82" s="11" t="s">
        <v>2635</v>
      </c>
      <c r="T82" s="12" t="s">
        <v>273</v>
      </c>
      <c r="U82" s="12" t="s">
        <v>273</v>
      </c>
      <c r="V82" s="12" t="s">
        <v>273</v>
      </c>
      <c r="W82" s="12" t="s">
        <v>273</v>
      </c>
      <c r="X82" s="31" t="s">
        <v>302</v>
      </c>
      <c r="Y82" s="30"/>
      <c r="Z82" s="28" t="s">
        <v>2553</v>
      </c>
      <c r="AA82" s="133"/>
      <c r="AB82" s="29"/>
      <c r="AC82" s="27" t="s">
        <v>272</v>
      </c>
      <c r="AD82" s="27" t="s">
        <v>351</v>
      </c>
      <c r="AE82" s="29"/>
      <c r="AF82" s="29"/>
    </row>
    <row r="83" spans="2:32" x14ac:dyDescent="0.2">
      <c r="B83" s="11" t="s">
        <v>136</v>
      </c>
      <c r="C83" s="11" t="s">
        <v>1683</v>
      </c>
      <c r="D83" s="11" t="s">
        <v>136</v>
      </c>
      <c r="E83" s="11" t="s">
        <v>952</v>
      </c>
      <c r="F83" s="11" t="s">
        <v>953</v>
      </c>
      <c r="G83" s="11" t="s">
        <v>954</v>
      </c>
      <c r="H83" s="11" t="s">
        <v>955</v>
      </c>
      <c r="I83" s="12" t="s">
        <v>273</v>
      </c>
      <c r="J83" s="12" t="s">
        <v>273</v>
      </c>
      <c r="K83" s="12" t="s">
        <v>273</v>
      </c>
      <c r="L83" s="12" t="s">
        <v>273</v>
      </c>
      <c r="M83" s="12" t="s">
        <v>273</v>
      </c>
      <c r="N83" s="12" t="s">
        <v>273</v>
      </c>
      <c r="O83" s="12" t="s">
        <v>273</v>
      </c>
      <c r="P83" s="12" t="s">
        <v>273</v>
      </c>
      <c r="Q83" s="12" t="s">
        <v>273</v>
      </c>
      <c r="R83" s="11" t="s">
        <v>956</v>
      </c>
      <c r="S83" s="12" t="s">
        <v>273</v>
      </c>
      <c r="T83" s="12" t="s">
        <v>273</v>
      </c>
      <c r="U83" s="12" t="s">
        <v>273</v>
      </c>
      <c r="V83" s="12" t="s">
        <v>273</v>
      </c>
      <c r="W83" s="12" t="s">
        <v>273</v>
      </c>
      <c r="X83" s="31" t="s">
        <v>303</v>
      </c>
      <c r="Y83" s="30"/>
      <c r="Z83" s="28" t="s">
        <v>2553</v>
      </c>
      <c r="AA83" s="133"/>
      <c r="AB83" s="29"/>
      <c r="AC83" s="27" t="s">
        <v>272</v>
      </c>
      <c r="AD83" s="27" t="s">
        <v>351</v>
      </c>
      <c r="AE83" s="29"/>
      <c r="AF83" s="29"/>
    </row>
    <row r="84" spans="2:32" x14ac:dyDescent="0.2">
      <c r="B84" s="11" t="s">
        <v>137</v>
      </c>
      <c r="C84" s="11" t="s">
        <v>1685</v>
      </c>
      <c r="D84" s="11" t="s">
        <v>137</v>
      </c>
      <c r="E84" s="11" t="s">
        <v>957</v>
      </c>
      <c r="F84" s="11" t="s">
        <v>958</v>
      </c>
      <c r="G84" s="11" t="s">
        <v>959</v>
      </c>
      <c r="H84" s="11" t="s">
        <v>960</v>
      </c>
      <c r="I84" s="12" t="s">
        <v>273</v>
      </c>
      <c r="J84" s="12" t="s">
        <v>273</v>
      </c>
      <c r="K84" s="12" t="s">
        <v>273</v>
      </c>
      <c r="L84" s="12" t="s">
        <v>273</v>
      </c>
      <c r="M84" s="12" t="s">
        <v>273</v>
      </c>
      <c r="N84" s="12" t="s">
        <v>273</v>
      </c>
      <c r="O84" s="12" t="s">
        <v>273</v>
      </c>
      <c r="P84" s="12" t="s">
        <v>273</v>
      </c>
      <c r="Q84" s="12" t="s">
        <v>273</v>
      </c>
      <c r="R84" s="11" t="s">
        <v>961</v>
      </c>
      <c r="S84" s="12" t="s">
        <v>273</v>
      </c>
      <c r="T84" s="12" t="s">
        <v>273</v>
      </c>
      <c r="U84" s="12" t="s">
        <v>273</v>
      </c>
      <c r="V84" s="12" t="s">
        <v>273</v>
      </c>
      <c r="W84" s="12" t="s">
        <v>273</v>
      </c>
      <c r="X84" s="31" t="s">
        <v>304</v>
      </c>
      <c r="Y84" s="30"/>
      <c r="Z84" s="28" t="s">
        <v>2553</v>
      </c>
      <c r="AA84" s="133"/>
      <c r="AB84" s="29"/>
      <c r="AC84" s="27" t="s">
        <v>272</v>
      </c>
      <c r="AD84" s="27" t="s">
        <v>351</v>
      </c>
      <c r="AE84" s="29"/>
      <c r="AF84" s="29"/>
    </row>
    <row r="85" spans="2:32" x14ac:dyDescent="0.2">
      <c r="B85" s="11" t="s">
        <v>138</v>
      </c>
      <c r="C85" s="11" t="s">
        <v>1687</v>
      </c>
      <c r="D85" s="11" t="s">
        <v>138</v>
      </c>
      <c r="E85" s="11" t="s">
        <v>962</v>
      </c>
      <c r="F85" s="11" t="s">
        <v>963</v>
      </c>
      <c r="G85" s="11" t="s">
        <v>964</v>
      </c>
      <c r="H85" s="11" t="s">
        <v>965</v>
      </c>
      <c r="I85" s="12" t="s">
        <v>273</v>
      </c>
      <c r="J85" s="12" t="s">
        <v>273</v>
      </c>
      <c r="K85" s="12" t="s">
        <v>273</v>
      </c>
      <c r="L85" s="12" t="s">
        <v>273</v>
      </c>
      <c r="M85" s="12" t="s">
        <v>273</v>
      </c>
      <c r="N85" s="12" t="s">
        <v>273</v>
      </c>
      <c r="O85" s="12" t="s">
        <v>273</v>
      </c>
      <c r="P85" s="12" t="s">
        <v>273</v>
      </c>
      <c r="Q85" s="12" t="s">
        <v>273</v>
      </c>
      <c r="R85" s="11" t="s">
        <v>966</v>
      </c>
      <c r="S85" s="12" t="s">
        <v>273</v>
      </c>
      <c r="T85" s="12" t="s">
        <v>273</v>
      </c>
      <c r="U85" s="12" t="s">
        <v>273</v>
      </c>
      <c r="V85" s="12" t="s">
        <v>273</v>
      </c>
      <c r="W85" s="12" t="s">
        <v>273</v>
      </c>
      <c r="X85" s="31" t="s">
        <v>305</v>
      </c>
      <c r="Y85" s="30"/>
      <c r="Z85" s="28" t="s">
        <v>2553</v>
      </c>
      <c r="AA85" s="133"/>
      <c r="AB85" s="29"/>
      <c r="AC85" s="27" t="s">
        <v>272</v>
      </c>
      <c r="AD85" s="27" t="s">
        <v>351</v>
      </c>
      <c r="AE85" s="29"/>
      <c r="AF85" s="29"/>
    </row>
    <row r="86" spans="2:32" x14ac:dyDescent="0.2">
      <c r="B86" s="11" t="s">
        <v>139</v>
      </c>
      <c r="C86" s="11" t="s">
        <v>1689</v>
      </c>
      <c r="D86" s="11" t="s">
        <v>139</v>
      </c>
      <c r="E86" s="11" t="s">
        <v>967</v>
      </c>
      <c r="F86" s="12" t="s">
        <v>273</v>
      </c>
      <c r="G86" s="11" t="s">
        <v>968</v>
      </c>
      <c r="H86" s="12" t="s">
        <v>273</v>
      </c>
      <c r="I86" s="12" t="s">
        <v>273</v>
      </c>
      <c r="J86" s="11" t="s">
        <v>969</v>
      </c>
      <c r="K86" s="11" t="s">
        <v>970</v>
      </c>
      <c r="L86" s="11" t="s">
        <v>971</v>
      </c>
      <c r="M86" s="12" t="s">
        <v>273</v>
      </c>
      <c r="N86" s="11" t="s">
        <v>93</v>
      </c>
      <c r="O86" s="11" t="s">
        <v>972</v>
      </c>
      <c r="P86" s="11" t="s">
        <v>973</v>
      </c>
      <c r="Q86" s="12" t="s">
        <v>273</v>
      </c>
      <c r="R86" s="11" t="s">
        <v>974</v>
      </c>
      <c r="S86" s="11" t="s">
        <v>140</v>
      </c>
      <c r="T86" s="12" t="s">
        <v>273</v>
      </c>
      <c r="U86" s="12" t="s">
        <v>273</v>
      </c>
      <c r="V86" s="12" t="s">
        <v>273</v>
      </c>
      <c r="W86" s="12" t="s">
        <v>273</v>
      </c>
      <c r="X86" s="31" t="s">
        <v>306</v>
      </c>
      <c r="Y86" s="30"/>
      <c r="Z86" s="30"/>
      <c r="AA86" s="133" t="str">
        <f>_xlfn.IFS(AND(COUNTIF(Y86,"SCB*")=1, 'PCH320'!L68&gt;=2), "See the Notice *1", TRUE, "")</f>
        <v/>
      </c>
      <c r="AB86" s="29"/>
      <c r="AC86" s="27" t="s">
        <v>272</v>
      </c>
      <c r="AD86" s="27" t="s">
        <v>351</v>
      </c>
      <c r="AE86" s="29"/>
      <c r="AF86" s="29"/>
    </row>
    <row r="87" spans="2:32" x14ac:dyDescent="0.2">
      <c r="B87" s="11" t="s">
        <v>141</v>
      </c>
      <c r="C87" s="11" t="s">
        <v>1690</v>
      </c>
      <c r="D87" s="11" t="s">
        <v>141</v>
      </c>
      <c r="E87" s="11" t="s">
        <v>975</v>
      </c>
      <c r="F87" s="11" t="s">
        <v>976</v>
      </c>
      <c r="G87" s="11" t="s">
        <v>977</v>
      </c>
      <c r="H87" s="11" t="s">
        <v>978</v>
      </c>
      <c r="I87" s="12" t="s">
        <v>273</v>
      </c>
      <c r="J87" s="11" t="s">
        <v>979</v>
      </c>
      <c r="K87" s="11" t="s">
        <v>980</v>
      </c>
      <c r="L87" s="11" t="s">
        <v>981</v>
      </c>
      <c r="M87" s="11" t="s">
        <v>142</v>
      </c>
      <c r="N87" s="11" t="s">
        <v>96</v>
      </c>
      <c r="O87" s="11" t="s">
        <v>982</v>
      </c>
      <c r="P87" s="12" t="s">
        <v>273</v>
      </c>
      <c r="Q87" s="12" t="s">
        <v>273</v>
      </c>
      <c r="R87" s="11" t="s">
        <v>983</v>
      </c>
      <c r="S87" s="11" t="s">
        <v>143</v>
      </c>
      <c r="T87" s="12" t="s">
        <v>273</v>
      </c>
      <c r="U87" s="12" t="s">
        <v>273</v>
      </c>
      <c r="V87" s="12" t="s">
        <v>273</v>
      </c>
      <c r="W87" s="12" t="s">
        <v>273</v>
      </c>
      <c r="X87" s="31" t="s">
        <v>307</v>
      </c>
      <c r="Y87" s="30"/>
      <c r="Z87" s="30"/>
      <c r="AA87" s="133" t="str">
        <f>_xlfn.IFS(AND(COUNTIF(Y87,"SCB*")=1, 'PCH320'!L68&gt;=2), "See the Notice *1", TRUE, "")</f>
        <v/>
      </c>
      <c r="AB87" s="29"/>
      <c r="AC87" s="27" t="s">
        <v>272</v>
      </c>
      <c r="AD87" s="27" t="s">
        <v>351</v>
      </c>
      <c r="AE87" s="29"/>
      <c r="AF87" s="29"/>
    </row>
    <row r="88" spans="2:32" x14ac:dyDescent="0.2">
      <c r="B88" s="16" t="s">
        <v>144</v>
      </c>
      <c r="C88" s="11" t="s">
        <v>1691</v>
      </c>
      <c r="D88" s="16" t="s">
        <v>144</v>
      </c>
      <c r="E88" s="16" t="s">
        <v>984</v>
      </c>
      <c r="F88" s="16" t="s">
        <v>985</v>
      </c>
      <c r="G88" s="16" t="s">
        <v>986</v>
      </c>
      <c r="H88" s="16" t="s">
        <v>987</v>
      </c>
      <c r="I88" s="16" t="s">
        <v>145</v>
      </c>
      <c r="J88" s="16" t="s">
        <v>988</v>
      </c>
      <c r="K88" s="16" t="s">
        <v>989</v>
      </c>
      <c r="L88" s="16" t="s">
        <v>990</v>
      </c>
      <c r="M88" s="16" t="s">
        <v>146</v>
      </c>
      <c r="N88" s="12" t="s">
        <v>273</v>
      </c>
      <c r="O88" s="16" t="s">
        <v>991</v>
      </c>
      <c r="P88" s="12" t="s">
        <v>273</v>
      </c>
      <c r="Q88" s="12" t="s">
        <v>273</v>
      </c>
      <c r="R88" s="16" t="s">
        <v>992</v>
      </c>
      <c r="S88" s="12" t="s">
        <v>273</v>
      </c>
      <c r="T88" s="12" t="s">
        <v>273</v>
      </c>
      <c r="U88" s="12" t="s">
        <v>273</v>
      </c>
      <c r="V88" s="12" t="s">
        <v>273</v>
      </c>
      <c r="W88" s="12" t="s">
        <v>273</v>
      </c>
      <c r="X88" s="31" t="s">
        <v>308</v>
      </c>
      <c r="Y88" s="30"/>
      <c r="Z88" s="30"/>
      <c r="AA88" s="133" t="str">
        <f>_xlfn.IFS(AND(COUNTIF(Y88,"SCB*")=1, 'PCH320'!L68&gt;=2), "See the Notice *1", TRUE, "")</f>
        <v/>
      </c>
      <c r="AB88" s="29"/>
      <c r="AC88" s="27" t="s">
        <v>272</v>
      </c>
      <c r="AD88" s="27" t="s">
        <v>351</v>
      </c>
      <c r="AE88" s="29"/>
      <c r="AF88" s="29"/>
    </row>
    <row r="89" spans="2:32" x14ac:dyDescent="0.2">
      <c r="B89" s="11" t="s">
        <v>147</v>
      </c>
      <c r="C89" s="11" t="s">
        <v>1692</v>
      </c>
      <c r="D89" s="11" t="s">
        <v>147</v>
      </c>
      <c r="E89" s="11" t="s">
        <v>998</v>
      </c>
      <c r="F89" s="11" t="s">
        <v>999</v>
      </c>
      <c r="G89" s="11" t="s">
        <v>1000</v>
      </c>
      <c r="H89" s="11" t="s">
        <v>1001</v>
      </c>
      <c r="I89" s="11" t="s">
        <v>148</v>
      </c>
      <c r="J89" s="11" t="s">
        <v>1002</v>
      </c>
      <c r="K89" s="12" t="s">
        <v>273</v>
      </c>
      <c r="L89" s="11" t="s">
        <v>1003</v>
      </c>
      <c r="M89" s="11" t="s">
        <v>149</v>
      </c>
      <c r="N89" s="12" t="s">
        <v>273</v>
      </c>
      <c r="O89" s="11" t="s">
        <v>1004</v>
      </c>
      <c r="P89" s="12" t="s">
        <v>273</v>
      </c>
      <c r="Q89" s="12" t="s">
        <v>273</v>
      </c>
      <c r="R89" s="11" t="s">
        <v>1005</v>
      </c>
      <c r="S89" s="12" t="s">
        <v>273</v>
      </c>
      <c r="T89" s="12" t="s">
        <v>273</v>
      </c>
      <c r="U89" s="12" t="s">
        <v>273</v>
      </c>
      <c r="V89" s="12" t="s">
        <v>273</v>
      </c>
      <c r="W89" s="12" t="s">
        <v>273</v>
      </c>
      <c r="X89" s="31" t="s">
        <v>309</v>
      </c>
      <c r="Y89" s="30"/>
      <c r="Z89" s="30"/>
      <c r="AA89" s="133" t="str">
        <f>_xlfn.IFS(AND(COUNTIF(Y89,"SCB*")=1, 'PCH320'!L68&gt;=2), "See the Notice *1", TRUE, "")</f>
        <v/>
      </c>
      <c r="AB89" s="29"/>
      <c r="AC89" s="27" t="s">
        <v>272</v>
      </c>
      <c r="AD89" s="27" t="s">
        <v>351</v>
      </c>
      <c r="AE89" s="29"/>
      <c r="AF89" s="29"/>
    </row>
    <row r="90" spans="2:32" x14ac:dyDescent="0.2">
      <c r="B90" s="11" t="s">
        <v>150</v>
      </c>
      <c r="C90" s="16" t="s">
        <v>1693</v>
      </c>
      <c r="D90" s="11" t="s">
        <v>150</v>
      </c>
      <c r="E90" s="11" t="s">
        <v>1006</v>
      </c>
      <c r="F90" s="11" t="s">
        <v>1007</v>
      </c>
      <c r="G90" s="11" t="s">
        <v>1008</v>
      </c>
      <c r="H90" s="11" t="s">
        <v>1009</v>
      </c>
      <c r="I90" s="11" t="s">
        <v>151</v>
      </c>
      <c r="J90" s="12" t="s">
        <v>273</v>
      </c>
      <c r="K90" s="12" t="s">
        <v>273</v>
      </c>
      <c r="L90" s="11" t="s">
        <v>1010</v>
      </c>
      <c r="M90" s="12" t="s">
        <v>273</v>
      </c>
      <c r="N90" s="11" t="s">
        <v>191</v>
      </c>
      <c r="O90" s="11" t="s">
        <v>1011</v>
      </c>
      <c r="P90" s="12" t="s">
        <v>273</v>
      </c>
      <c r="Q90" s="12" t="s">
        <v>273</v>
      </c>
      <c r="R90" s="11" t="s">
        <v>1012</v>
      </c>
      <c r="S90" s="12" t="s">
        <v>273</v>
      </c>
      <c r="T90" s="12" t="s">
        <v>273</v>
      </c>
      <c r="U90" s="12" t="s">
        <v>273</v>
      </c>
      <c r="V90" s="12" t="s">
        <v>273</v>
      </c>
      <c r="W90" s="12" t="s">
        <v>273</v>
      </c>
      <c r="X90" s="32" t="s">
        <v>310</v>
      </c>
      <c r="Y90" s="30"/>
      <c r="Z90" s="30"/>
      <c r="AA90" s="133" t="str">
        <f>_xlfn.IFS(AND(COUNTIF(Y90,"SCB*")=1, 'PCH320'!L68&gt;=2), "See the Notice *1", TRUE, "")</f>
        <v/>
      </c>
      <c r="AB90" s="29"/>
      <c r="AC90" s="27" t="s">
        <v>272</v>
      </c>
      <c r="AD90" s="27" t="s">
        <v>351</v>
      </c>
      <c r="AE90" s="29"/>
      <c r="AF90" s="29"/>
    </row>
    <row r="91" spans="2:32" x14ac:dyDescent="0.2">
      <c r="B91" s="11" t="s">
        <v>152</v>
      </c>
      <c r="C91" s="11" t="s">
        <v>1694</v>
      </c>
      <c r="D91" s="11" t="s">
        <v>152</v>
      </c>
      <c r="E91" s="11" t="s">
        <v>1013</v>
      </c>
      <c r="F91" s="11" t="s">
        <v>1014</v>
      </c>
      <c r="G91" s="11" t="s">
        <v>1015</v>
      </c>
      <c r="H91" s="11" t="s">
        <v>1016</v>
      </c>
      <c r="I91" s="11" t="s">
        <v>153</v>
      </c>
      <c r="J91" s="12" t="s">
        <v>273</v>
      </c>
      <c r="K91" s="12" t="s">
        <v>273</v>
      </c>
      <c r="L91" s="12" t="s">
        <v>273</v>
      </c>
      <c r="M91" s="12" t="s">
        <v>273</v>
      </c>
      <c r="N91" s="11" t="s">
        <v>193</v>
      </c>
      <c r="O91" s="12" t="s">
        <v>273</v>
      </c>
      <c r="P91" s="12" t="s">
        <v>273</v>
      </c>
      <c r="Q91" s="12" t="s">
        <v>273</v>
      </c>
      <c r="R91" s="12" t="s">
        <v>273</v>
      </c>
      <c r="S91" s="12" t="s">
        <v>273</v>
      </c>
      <c r="T91" s="12" t="s">
        <v>273</v>
      </c>
      <c r="U91" s="12" t="s">
        <v>273</v>
      </c>
      <c r="V91" s="12" t="s">
        <v>273</v>
      </c>
      <c r="W91" s="12" t="s">
        <v>273</v>
      </c>
      <c r="X91" s="31" t="s">
        <v>311</v>
      </c>
      <c r="Y91" s="30"/>
      <c r="Z91" s="30"/>
      <c r="AA91" s="133"/>
      <c r="AB91" s="29"/>
      <c r="AC91" s="27" t="s">
        <v>272</v>
      </c>
      <c r="AD91" s="27" t="s">
        <v>351</v>
      </c>
      <c r="AE91" s="29"/>
      <c r="AF91" s="29"/>
    </row>
    <row r="92" spans="2:32" x14ac:dyDescent="0.2">
      <c r="B92" s="11" t="s">
        <v>154</v>
      </c>
      <c r="C92" s="11" t="s">
        <v>1695</v>
      </c>
      <c r="D92" s="11" t="s">
        <v>154</v>
      </c>
      <c r="E92" s="11" t="s">
        <v>1017</v>
      </c>
      <c r="F92" s="11" t="s">
        <v>1018</v>
      </c>
      <c r="G92" s="11" t="s">
        <v>1019</v>
      </c>
      <c r="H92" s="11" t="s">
        <v>1020</v>
      </c>
      <c r="I92" s="12" t="s">
        <v>273</v>
      </c>
      <c r="J92" s="12" t="s">
        <v>273</v>
      </c>
      <c r="K92" s="12" t="s">
        <v>273</v>
      </c>
      <c r="L92" s="12" t="s">
        <v>273</v>
      </c>
      <c r="M92" s="12" t="s">
        <v>273</v>
      </c>
      <c r="N92" s="12" t="s">
        <v>273</v>
      </c>
      <c r="O92" s="12" t="s">
        <v>273</v>
      </c>
      <c r="P92" s="12" t="s">
        <v>273</v>
      </c>
      <c r="Q92" s="12" t="s">
        <v>273</v>
      </c>
      <c r="R92" s="12" t="s">
        <v>273</v>
      </c>
      <c r="S92" s="12" t="s">
        <v>273</v>
      </c>
      <c r="T92" s="12" t="s">
        <v>273</v>
      </c>
      <c r="U92" s="12" t="s">
        <v>273</v>
      </c>
      <c r="V92" s="12" t="s">
        <v>273</v>
      </c>
      <c r="W92" s="12" t="s">
        <v>273</v>
      </c>
      <c r="X92" s="31" t="s">
        <v>312</v>
      </c>
      <c r="Y92" s="30"/>
      <c r="Z92" s="30"/>
      <c r="AA92" s="133"/>
      <c r="AB92" s="29"/>
      <c r="AC92" s="27" t="s">
        <v>272</v>
      </c>
      <c r="AD92" s="27" t="s">
        <v>351</v>
      </c>
      <c r="AE92" s="29"/>
      <c r="AF92" s="29"/>
    </row>
    <row r="93" spans="2:32" x14ac:dyDescent="0.2">
      <c r="B93" s="11" t="s">
        <v>155</v>
      </c>
      <c r="C93" s="11" t="s">
        <v>1696</v>
      </c>
      <c r="D93" s="11" t="s">
        <v>155</v>
      </c>
      <c r="E93" s="11" t="s">
        <v>1021</v>
      </c>
      <c r="F93" s="11" t="s">
        <v>1022</v>
      </c>
      <c r="G93" s="11" t="s">
        <v>1023</v>
      </c>
      <c r="H93" s="11" t="s">
        <v>1024</v>
      </c>
      <c r="I93" s="12" t="s">
        <v>273</v>
      </c>
      <c r="J93" s="12" t="s">
        <v>273</v>
      </c>
      <c r="K93" s="12" t="s">
        <v>273</v>
      </c>
      <c r="L93" s="12" t="s">
        <v>273</v>
      </c>
      <c r="M93" s="12" t="s">
        <v>273</v>
      </c>
      <c r="N93" s="12" t="s">
        <v>273</v>
      </c>
      <c r="O93" s="12" t="s">
        <v>273</v>
      </c>
      <c r="P93" s="12" t="s">
        <v>273</v>
      </c>
      <c r="Q93" s="12" t="s">
        <v>273</v>
      </c>
      <c r="R93" s="12" t="s">
        <v>273</v>
      </c>
      <c r="S93" s="12" t="s">
        <v>273</v>
      </c>
      <c r="T93" s="12" t="s">
        <v>273</v>
      </c>
      <c r="U93" s="12" t="s">
        <v>273</v>
      </c>
      <c r="V93" s="12" t="s">
        <v>273</v>
      </c>
      <c r="W93" s="12" t="s">
        <v>273</v>
      </c>
      <c r="X93" s="31" t="s">
        <v>313</v>
      </c>
      <c r="Y93" s="30"/>
      <c r="Z93" s="30"/>
      <c r="AA93" s="133"/>
      <c r="AB93" s="29"/>
      <c r="AC93" s="27" t="s">
        <v>272</v>
      </c>
      <c r="AD93" s="27" t="s">
        <v>351</v>
      </c>
      <c r="AE93" s="29"/>
      <c r="AF93" s="29"/>
    </row>
    <row r="94" spans="2:32" x14ac:dyDescent="0.2">
      <c r="B94" s="11" t="s">
        <v>156</v>
      </c>
      <c r="C94" s="11" t="s">
        <v>1697</v>
      </c>
      <c r="D94" s="11" t="s">
        <v>156</v>
      </c>
      <c r="E94" s="11" t="s">
        <v>1025</v>
      </c>
      <c r="F94" s="11" t="s">
        <v>1026</v>
      </c>
      <c r="G94" s="11" t="s">
        <v>1027</v>
      </c>
      <c r="H94" s="11" t="s">
        <v>1028</v>
      </c>
      <c r="I94" s="11" t="s">
        <v>157</v>
      </c>
      <c r="J94" s="11" t="s">
        <v>1029</v>
      </c>
      <c r="K94" s="12" t="s">
        <v>273</v>
      </c>
      <c r="L94" s="12" t="s">
        <v>273</v>
      </c>
      <c r="M94" s="11" t="s">
        <v>88</v>
      </c>
      <c r="N94" s="11" t="s">
        <v>1030</v>
      </c>
      <c r="O94" s="11" t="s">
        <v>1031</v>
      </c>
      <c r="P94" s="12" t="s">
        <v>273</v>
      </c>
      <c r="Q94" s="12" t="s">
        <v>273</v>
      </c>
      <c r="R94" s="11" t="s">
        <v>1032</v>
      </c>
      <c r="S94" s="12" t="s">
        <v>273</v>
      </c>
      <c r="T94" s="12" t="s">
        <v>273</v>
      </c>
      <c r="U94" s="12" t="s">
        <v>273</v>
      </c>
      <c r="V94" s="12" t="s">
        <v>273</v>
      </c>
      <c r="W94" s="12" t="s">
        <v>273</v>
      </c>
      <c r="X94" s="31" t="s">
        <v>314</v>
      </c>
      <c r="Y94" s="30"/>
      <c r="Z94" s="30"/>
      <c r="AA94" s="133" t="str">
        <f>_xlfn.IFS(AND(COUNTIF(Y94,"SCB*")=1, 'PCH320'!G68&gt;=2), "See the Notice *1", TRUE, "")</f>
        <v/>
      </c>
      <c r="AB94" s="29"/>
      <c r="AC94" s="27" t="s">
        <v>272</v>
      </c>
      <c r="AD94" s="27" t="s">
        <v>351</v>
      </c>
      <c r="AE94" s="29"/>
      <c r="AF94" s="29"/>
    </row>
    <row r="95" spans="2:32" x14ac:dyDescent="0.2">
      <c r="B95" s="11" t="s">
        <v>158</v>
      </c>
      <c r="C95" s="11" t="s">
        <v>1698</v>
      </c>
      <c r="D95" s="11" t="s">
        <v>158</v>
      </c>
      <c r="E95" s="11" t="s">
        <v>1033</v>
      </c>
      <c r="F95" s="11" t="s">
        <v>1034</v>
      </c>
      <c r="G95" s="11" t="s">
        <v>1035</v>
      </c>
      <c r="H95" s="11" t="s">
        <v>1036</v>
      </c>
      <c r="I95" s="11" t="s">
        <v>159</v>
      </c>
      <c r="J95" s="11" t="s">
        <v>1037</v>
      </c>
      <c r="K95" s="11" t="s">
        <v>1038</v>
      </c>
      <c r="L95" s="12" t="s">
        <v>273</v>
      </c>
      <c r="M95" s="11" t="s">
        <v>90</v>
      </c>
      <c r="N95" s="11" t="s">
        <v>1039</v>
      </c>
      <c r="O95" s="11" t="s">
        <v>1040</v>
      </c>
      <c r="P95" s="12" t="s">
        <v>273</v>
      </c>
      <c r="Q95" s="12" t="s">
        <v>273</v>
      </c>
      <c r="R95" s="11" t="s">
        <v>1041</v>
      </c>
      <c r="S95" s="12" t="s">
        <v>273</v>
      </c>
      <c r="T95" s="12" t="s">
        <v>273</v>
      </c>
      <c r="U95" s="12" t="s">
        <v>273</v>
      </c>
      <c r="V95" s="12" t="s">
        <v>273</v>
      </c>
      <c r="W95" s="12" t="s">
        <v>273</v>
      </c>
      <c r="X95" s="31" t="s">
        <v>315</v>
      </c>
      <c r="Y95" s="30"/>
      <c r="Z95" s="30"/>
      <c r="AA95" s="133" t="str">
        <f>_xlfn.IFS(AND(COUNTIF(Y95,"SCB*")=1, 'PCH320'!G68&gt;=2), "See the Notice *1", TRUE, "")</f>
        <v/>
      </c>
      <c r="AB95" s="29"/>
      <c r="AC95" s="27" t="s">
        <v>272</v>
      </c>
      <c r="AD95" s="27" t="s">
        <v>351</v>
      </c>
      <c r="AE95" s="29"/>
      <c r="AF95" s="29"/>
    </row>
    <row r="96" spans="2:32" x14ac:dyDescent="0.2">
      <c r="B96" s="11" t="s">
        <v>160</v>
      </c>
      <c r="C96" s="11" t="s">
        <v>1700</v>
      </c>
      <c r="D96" s="11" t="s">
        <v>160</v>
      </c>
      <c r="E96" s="11" t="s">
        <v>1042</v>
      </c>
      <c r="F96" s="11" t="s">
        <v>1043</v>
      </c>
      <c r="G96" s="11" t="s">
        <v>1044</v>
      </c>
      <c r="H96" s="11" t="s">
        <v>1045</v>
      </c>
      <c r="I96" s="11" t="s">
        <v>161</v>
      </c>
      <c r="J96" s="11" t="s">
        <v>1046</v>
      </c>
      <c r="K96" s="11" t="s">
        <v>1047</v>
      </c>
      <c r="L96" s="12" t="s">
        <v>273</v>
      </c>
      <c r="M96" s="11" t="s">
        <v>92</v>
      </c>
      <c r="N96" s="11" t="s">
        <v>1048</v>
      </c>
      <c r="O96" s="11" t="s">
        <v>1049</v>
      </c>
      <c r="P96" s="12" t="s">
        <v>273</v>
      </c>
      <c r="Q96" s="12" t="s">
        <v>273</v>
      </c>
      <c r="R96" s="11" t="s">
        <v>1050</v>
      </c>
      <c r="S96" s="12" t="s">
        <v>273</v>
      </c>
      <c r="T96" s="12" t="s">
        <v>273</v>
      </c>
      <c r="U96" s="12" t="s">
        <v>273</v>
      </c>
      <c r="V96" s="12" t="s">
        <v>273</v>
      </c>
      <c r="W96" s="12" t="s">
        <v>273</v>
      </c>
      <c r="X96" s="31" t="s">
        <v>316</v>
      </c>
      <c r="Y96" s="30"/>
      <c r="Z96" s="30"/>
      <c r="AA96" s="133" t="str">
        <f>_xlfn.IFS(AND(COUNTIF(Y96,"SCB*")=1, 'PCH320'!G68&gt;=2), "See the Notice *1", TRUE, "")</f>
        <v/>
      </c>
      <c r="AB96" s="29"/>
      <c r="AC96" s="27" t="s">
        <v>272</v>
      </c>
      <c r="AD96" s="27" t="s">
        <v>351</v>
      </c>
      <c r="AE96" s="29"/>
      <c r="AF96" s="29"/>
    </row>
    <row r="97" spans="2:32" x14ac:dyDescent="0.2">
      <c r="B97" s="11" t="s">
        <v>162</v>
      </c>
      <c r="C97" s="11" t="s">
        <v>1701</v>
      </c>
      <c r="D97" s="11" t="s">
        <v>162</v>
      </c>
      <c r="E97" s="11" t="s">
        <v>1051</v>
      </c>
      <c r="F97" s="11" t="s">
        <v>1052</v>
      </c>
      <c r="G97" s="11" t="s">
        <v>1053</v>
      </c>
      <c r="H97" s="11" t="s">
        <v>1054</v>
      </c>
      <c r="I97" s="11" t="s">
        <v>163</v>
      </c>
      <c r="J97" s="11" t="s">
        <v>1055</v>
      </c>
      <c r="K97" s="12" t="s">
        <v>273</v>
      </c>
      <c r="L97" s="12" t="s">
        <v>273</v>
      </c>
      <c r="M97" s="11" t="s">
        <v>82</v>
      </c>
      <c r="N97" s="11" t="s">
        <v>1056</v>
      </c>
      <c r="O97" s="12" t="s">
        <v>273</v>
      </c>
      <c r="P97" s="12" t="s">
        <v>273</v>
      </c>
      <c r="Q97" s="12" t="s">
        <v>273</v>
      </c>
      <c r="R97" s="11" t="s">
        <v>1057</v>
      </c>
      <c r="S97" s="12" t="s">
        <v>273</v>
      </c>
      <c r="T97" s="12" t="s">
        <v>273</v>
      </c>
      <c r="U97" s="12" t="s">
        <v>273</v>
      </c>
      <c r="V97" s="12" t="s">
        <v>273</v>
      </c>
      <c r="W97" s="12" t="s">
        <v>273</v>
      </c>
      <c r="X97" s="31" t="s">
        <v>317</v>
      </c>
      <c r="Y97" s="30"/>
      <c r="Z97" s="30"/>
      <c r="AA97" s="133" t="str">
        <f>_xlfn.IFS(AND(COUNTIF(Y97,"SCB*")=1, 'PCH320'!G68&gt;=2), "See the Notice *1", TRUE, "")</f>
        <v/>
      </c>
      <c r="AB97" s="29"/>
      <c r="AC97" s="27" t="s">
        <v>272</v>
      </c>
      <c r="AD97" s="27" t="s">
        <v>351</v>
      </c>
      <c r="AE97" s="29"/>
      <c r="AF97" s="29"/>
    </row>
    <row r="98" spans="2:32" x14ac:dyDescent="0.2">
      <c r="B98" s="11" t="s">
        <v>164</v>
      </c>
      <c r="C98" s="11" t="s">
        <v>1703</v>
      </c>
      <c r="D98" s="11" t="s">
        <v>2707</v>
      </c>
      <c r="E98" s="11" t="s">
        <v>1173</v>
      </c>
      <c r="F98" s="11" t="s">
        <v>1170</v>
      </c>
      <c r="G98" s="11" t="s">
        <v>1059</v>
      </c>
      <c r="H98" s="11" t="s">
        <v>1060</v>
      </c>
      <c r="I98" s="11" t="s">
        <v>551</v>
      </c>
      <c r="J98" s="12" t="s">
        <v>273</v>
      </c>
      <c r="K98" s="12" t="s">
        <v>273</v>
      </c>
      <c r="L98" s="12" t="s">
        <v>273</v>
      </c>
      <c r="M98" s="11" t="s">
        <v>84</v>
      </c>
      <c r="N98" s="11" t="s">
        <v>1061</v>
      </c>
      <c r="O98" s="11" t="s">
        <v>1169</v>
      </c>
      <c r="P98" s="12" t="s">
        <v>273</v>
      </c>
      <c r="Q98" s="12" t="s">
        <v>273</v>
      </c>
      <c r="R98" s="11" t="s">
        <v>1062</v>
      </c>
      <c r="S98" s="12" t="s">
        <v>273</v>
      </c>
      <c r="T98" s="12" t="s">
        <v>273</v>
      </c>
      <c r="U98" s="12" t="s">
        <v>273</v>
      </c>
      <c r="V98" s="12" t="s">
        <v>273</v>
      </c>
      <c r="W98" s="12" t="s">
        <v>273</v>
      </c>
      <c r="X98" s="31" t="s">
        <v>318</v>
      </c>
      <c r="Y98" s="30"/>
      <c r="Z98" s="30"/>
      <c r="AA98" s="133" t="str">
        <f>_xlfn.IFS(AND(COUNTIF(Y98,"SCB*")=1, 'PCH320'!G68&gt;=2), "See the Notice *1", TRUE, "")</f>
        <v/>
      </c>
      <c r="AB98" s="29"/>
      <c r="AC98" s="27" t="s">
        <v>272</v>
      </c>
      <c r="AD98" s="27" t="s">
        <v>351</v>
      </c>
      <c r="AE98" s="29"/>
      <c r="AF98" s="29"/>
    </row>
    <row r="99" spans="2:32" x14ac:dyDescent="0.2">
      <c r="B99" s="11" t="s">
        <v>2702</v>
      </c>
      <c r="C99" s="11" t="s">
        <v>1705</v>
      </c>
      <c r="D99" s="11" t="s">
        <v>165</v>
      </c>
      <c r="E99" s="11" t="s">
        <v>1063</v>
      </c>
      <c r="F99" s="11" t="s">
        <v>2389</v>
      </c>
      <c r="G99" s="11" t="s">
        <v>1064</v>
      </c>
      <c r="H99" s="11" t="s">
        <v>2661</v>
      </c>
      <c r="I99" s="11" t="s">
        <v>619</v>
      </c>
      <c r="J99" s="12" t="s">
        <v>273</v>
      </c>
      <c r="K99" s="12" t="s">
        <v>273</v>
      </c>
      <c r="L99" s="12" t="s">
        <v>273</v>
      </c>
      <c r="M99" s="12" t="s">
        <v>273</v>
      </c>
      <c r="N99" s="11" t="s">
        <v>1065</v>
      </c>
      <c r="O99" s="11" t="s">
        <v>580</v>
      </c>
      <c r="P99" s="12" t="s">
        <v>273</v>
      </c>
      <c r="Q99" s="12" t="s">
        <v>273</v>
      </c>
      <c r="R99" s="11" t="s">
        <v>1066</v>
      </c>
      <c r="S99" s="12" t="s">
        <v>273</v>
      </c>
      <c r="T99" s="12" t="s">
        <v>273</v>
      </c>
      <c r="U99" s="12" t="s">
        <v>273</v>
      </c>
      <c r="V99" s="12" t="s">
        <v>273</v>
      </c>
      <c r="W99" s="12" t="s">
        <v>273</v>
      </c>
      <c r="X99" s="31" t="s">
        <v>319</v>
      </c>
      <c r="Y99" s="30"/>
      <c r="Z99" s="30"/>
      <c r="AA99" s="133" t="str">
        <f>_xlfn.IFS(AND(COUNTIF(Y99,"SCB*")=1, 'PCH320'!G68&gt;=2), "See the Notice *1", TRUE, "")</f>
        <v/>
      </c>
      <c r="AB99" s="29"/>
      <c r="AC99" s="27" t="s">
        <v>272</v>
      </c>
      <c r="AD99" s="27" t="s">
        <v>351</v>
      </c>
      <c r="AE99" s="29"/>
      <c r="AF99" s="29"/>
    </row>
    <row r="100" spans="2:32" x14ac:dyDescent="0.2">
      <c r="B100" s="11" t="s">
        <v>166</v>
      </c>
      <c r="C100" s="11" t="s">
        <v>1707</v>
      </c>
      <c r="D100" s="11" t="s">
        <v>166</v>
      </c>
      <c r="E100" s="11" t="s">
        <v>1172</v>
      </c>
      <c r="F100" s="11" t="s">
        <v>1171</v>
      </c>
      <c r="G100" s="11" t="s">
        <v>1068</v>
      </c>
      <c r="H100" s="11" t="s">
        <v>1069</v>
      </c>
      <c r="I100" s="11" t="s">
        <v>557</v>
      </c>
      <c r="J100" s="12" t="s">
        <v>273</v>
      </c>
      <c r="K100" s="12" t="s">
        <v>273</v>
      </c>
      <c r="L100" s="12" t="s">
        <v>273</v>
      </c>
      <c r="M100" s="12" t="s">
        <v>273</v>
      </c>
      <c r="N100" s="11" t="s">
        <v>1070</v>
      </c>
      <c r="O100" s="11" t="s">
        <v>585</v>
      </c>
      <c r="P100" s="12" t="s">
        <v>273</v>
      </c>
      <c r="Q100" s="12" t="s">
        <v>273</v>
      </c>
      <c r="R100" s="11" t="s">
        <v>1071</v>
      </c>
      <c r="S100" s="11" t="s">
        <v>167</v>
      </c>
      <c r="T100" s="12" t="s">
        <v>273</v>
      </c>
      <c r="U100" s="12" t="s">
        <v>273</v>
      </c>
      <c r="V100" s="12" t="s">
        <v>273</v>
      </c>
      <c r="W100" s="12" t="s">
        <v>273</v>
      </c>
      <c r="X100" s="31" t="s">
        <v>320</v>
      </c>
      <c r="Y100" s="30"/>
      <c r="Z100" s="30"/>
      <c r="AA100" s="133" t="str">
        <f>_xlfn.IFS(AND(COUNTIF(Y100,"SCB*")=1, 'PCH320'!G68&gt;=2), "See the Notice *1", TRUE, "")</f>
        <v/>
      </c>
      <c r="AB100" s="29"/>
      <c r="AC100" s="27" t="s">
        <v>272</v>
      </c>
      <c r="AD100" s="27" t="s">
        <v>351</v>
      </c>
      <c r="AE100" s="29"/>
      <c r="AF100" s="29"/>
    </row>
    <row r="101" spans="2:32" x14ac:dyDescent="0.2">
      <c r="B101" s="11" t="s">
        <v>168</v>
      </c>
      <c r="C101" s="11" t="s">
        <v>1709</v>
      </c>
      <c r="D101" s="11" t="s">
        <v>2711</v>
      </c>
      <c r="E101" s="11" t="s">
        <v>1072</v>
      </c>
      <c r="F101" s="11" t="s">
        <v>2388</v>
      </c>
      <c r="G101" s="11" t="s">
        <v>1073</v>
      </c>
      <c r="H101" s="11" t="s">
        <v>2662</v>
      </c>
      <c r="I101" s="11" t="s">
        <v>625</v>
      </c>
      <c r="J101" s="12" t="s">
        <v>273</v>
      </c>
      <c r="K101" s="12" t="s">
        <v>273</v>
      </c>
      <c r="L101" s="12" t="s">
        <v>273</v>
      </c>
      <c r="M101" s="12" t="s">
        <v>273</v>
      </c>
      <c r="N101" s="12" t="s">
        <v>273</v>
      </c>
      <c r="O101" s="12" t="s">
        <v>273</v>
      </c>
      <c r="P101" s="12" t="s">
        <v>273</v>
      </c>
      <c r="Q101" s="12" t="s">
        <v>273</v>
      </c>
      <c r="R101" s="11" t="s">
        <v>1074</v>
      </c>
      <c r="S101" s="11" t="s">
        <v>169</v>
      </c>
      <c r="T101" s="12" t="s">
        <v>273</v>
      </c>
      <c r="U101" s="12" t="s">
        <v>273</v>
      </c>
      <c r="V101" s="12" t="s">
        <v>273</v>
      </c>
      <c r="W101" s="12" t="s">
        <v>273</v>
      </c>
      <c r="X101" s="31" t="s">
        <v>321</v>
      </c>
      <c r="Y101" s="30"/>
      <c r="Z101" s="30"/>
      <c r="AA101" s="133"/>
      <c r="AB101" s="29"/>
      <c r="AC101" s="27" t="s">
        <v>272</v>
      </c>
      <c r="AD101" s="27" t="s">
        <v>351</v>
      </c>
      <c r="AE101" s="29"/>
      <c r="AF101" s="29"/>
    </row>
    <row r="102" spans="2:32" x14ac:dyDescent="0.2">
      <c r="B102" s="11" t="s">
        <v>170</v>
      </c>
      <c r="C102" s="11" t="s">
        <v>1711</v>
      </c>
      <c r="D102" s="11" t="s">
        <v>170</v>
      </c>
      <c r="E102" s="11" t="s">
        <v>1075</v>
      </c>
      <c r="F102" s="11" t="s">
        <v>1076</v>
      </c>
      <c r="G102" s="11" t="s">
        <v>1077</v>
      </c>
      <c r="H102" s="11" t="s">
        <v>1078</v>
      </c>
      <c r="I102" s="11" t="s">
        <v>562</v>
      </c>
      <c r="J102" s="11" t="s">
        <v>1079</v>
      </c>
      <c r="K102" s="12" t="s">
        <v>273</v>
      </c>
      <c r="L102" s="11" t="s">
        <v>1080</v>
      </c>
      <c r="M102" s="12" t="s">
        <v>273</v>
      </c>
      <c r="N102" s="11" t="s">
        <v>171</v>
      </c>
      <c r="O102" s="11" t="s">
        <v>1081</v>
      </c>
      <c r="P102" s="12" t="s">
        <v>273</v>
      </c>
      <c r="Q102" s="12" t="s">
        <v>273</v>
      </c>
      <c r="R102" s="11" t="s">
        <v>1082</v>
      </c>
      <c r="S102" s="12" t="s">
        <v>273</v>
      </c>
      <c r="T102" s="12" t="s">
        <v>273</v>
      </c>
      <c r="U102" s="12" t="s">
        <v>273</v>
      </c>
      <c r="V102" s="12" t="s">
        <v>273</v>
      </c>
      <c r="W102" s="12" t="s">
        <v>273</v>
      </c>
      <c r="X102" s="31" t="s">
        <v>322</v>
      </c>
      <c r="Y102" s="30"/>
      <c r="Z102" s="30"/>
      <c r="AA102" s="133" t="str">
        <f>_xlfn.IFS(AND(COUNTIF(Y102,"SCB*")=1, 'PCH320'!F68&gt;=2), "See the Notice *1", TRUE, "")</f>
        <v/>
      </c>
      <c r="AB102" s="29"/>
      <c r="AC102" s="27" t="s">
        <v>272</v>
      </c>
      <c r="AD102" s="27" t="s">
        <v>351</v>
      </c>
      <c r="AE102" s="29"/>
      <c r="AF102" s="29"/>
    </row>
    <row r="103" spans="2:32" x14ac:dyDescent="0.2">
      <c r="B103" s="11" t="s">
        <v>172</v>
      </c>
      <c r="C103" s="11" t="s">
        <v>1710</v>
      </c>
      <c r="D103" s="11" t="s">
        <v>172</v>
      </c>
      <c r="E103" s="11" t="s">
        <v>1083</v>
      </c>
      <c r="F103" s="11" t="s">
        <v>1084</v>
      </c>
      <c r="G103" s="11" t="s">
        <v>1085</v>
      </c>
      <c r="H103" s="11" t="s">
        <v>1086</v>
      </c>
      <c r="I103" s="11" t="s">
        <v>645</v>
      </c>
      <c r="J103" s="11" t="s">
        <v>1087</v>
      </c>
      <c r="K103" s="11" t="s">
        <v>1088</v>
      </c>
      <c r="L103" s="11" t="s">
        <v>1089</v>
      </c>
      <c r="M103" s="12" t="s">
        <v>273</v>
      </c>
      <c r="N103" s="11" t="s">
        <v>173</v>
      </c>
      <c r="O103" s="11" t="s">
        <v>1090</v>
      </c>
      <c r="P103" s="12" t="s">
        <v>273</v>
      </c>
      <c r="Q103" s="12" t="s">
        <v>273</v>
      </c>
      <c r="R103" s="11" t="s">
        <v>1091</v>
      </c>
      <c r="S103" s="12" t="s">
        <v>273</v>
      </c>
      <c r="T103" s="12" t="s">
        <v>273</v>
      </c>
      <c r="U103" s="12" t="s">
        <v>273</v>
      </c>
      <c r="V103" s="12" t="s">
        <v>273</v>
      </c>
      <c r="W103" s="12" t="s">
        <v>273</v>
      </c>
      <c r="X103" s="31" t="s">
        <v>323</v>
      </c>
      <c r="Y103" s="30"/>
      <c r="Z103" s="30"/>
      <c r="AA103" s="133" t="str">
        <f>_xlfn.IFS(AND(COUNTIF(Y103,"SCB*")=1, 'PCH320'!F68&gt;=2), "See the Notice *1", TRUE, "")</f>
        <v/>
      </c>
      <c r="AB103" s="29"/>
      <c r="AC103" s="27" t="s">
        <v>272</v>
      </c>
      <c r="AD103" s="27" t="s">
        <v>351</v>
      </c>
      <c r="AE103" s="29"/>
      <c r="AF103" s="29"/>
    </row>
    <row r="104" spans="2:32" x14ac:dyDescent="0.2">
      <c r="B104" s="11" t="s">
        <v>174</v>
      </c>
      <c r="C104" s="11" t="s">
        <v>1713</v>
      </c>
      <c r="D104" s="11" t="s">
        <v>174</v>
      </c>
      <c r="E104" s="11" t="s">
        <v>1092</v>
      </c>
      <c r="F104" s="11" t="s">
        <v>1093</v>
      </c>
      <c r="G104" s="11" t="s">
        <v>1094</v>
      </c>
      <c r="H104" s="11" t="s">
        <v>1095</v>
      </c>
      <c r="I104" s="11" t="s">
        <v>567</v>
      </c>
      <c r="J104" s="11" t="s">
        <v>1096</v>
      </c>
      <c r="K104" s="11" t="s">
        <v>1097</v>
      </c>
      <c r="L104" s="11" t="s">
        <v>1098</v>
      </c>
      <c r="M104" s="11" t="s">
        <v>146</v>
      </c>
      <c r="N104" s="12" t="s">
        <v>273</v>
      </c>
      <c r="O104" s="11" t="s">
        <v>1099</v>
      </c>
      <c r="P104" s="12" t="s">
        <v>273</v>
      </c>
      <c r="Q104" s="12" t="s">
        <v>273</v>
      </c>
      <c r="R104" s="12" t="s">
        <v>273</v>
      </c>
      <c r="S104" s="12" t="s">
        <v>273</v>
      </c>
      <c r="T104" s="12" t="s">
        <v>273</v>
      </c>
      <c r="U104" s="12" t="s">
        <v>273</v>
      </c>
      <c r="V104" s="12" t="s">
        <v>273</v>
      </c>
      <c r="W104" s="12" t="s">
        <v>273</v>
      </c>
      <c r="X104" s="31" t="s">
        <v>324</v>
      </c>
      <c r="Y104" s="30"/>
      <c r="Z104" s="30"/>
      <c r="AA104" s="133" t="str">
        <f>_xlfn.IFS(AND(COUNTIF(Y104,"SCB*")=1, 'PCH320'!F68&gt;=2), "See the Notice *1", TRUE, "")</f>
        <v/>
      </c>
      <c r="AB104" s="29"/>
      <c r="AC104" s="27" t="s">
        <v>272</v>
      </c>
      <c r="AD104" s="27" t="s">
        <v>351</v>
      </c>
      <c r="AE104" s="29"/>
      <c r="AF104" s="29"/>
    </row>
    <row r="105" spans="2:32" x14ac:dyDescent="0.2">
      <c r="B105" s="11" t="s">
        <v>175</v>
      </c>
      <c r="C105" s="11" t="s">
        <v>1715</v>
      </c>
      <c r="D105" s="11" t="s">
        <v>175</v>
      </c>
      <c r="E105" s="11" t="s">
        <v>1100</v>
      </c>
      <c r="F105" s="11" t="s">
        <v>1101</v>
      </c>
      <c r="G105" s="11" t="s">
        <v>1102</v>
      </c>
      <c r="H105" s="11" t="s">
        <v>1103</v>
      </c>
      <c r="I105" s="11" t="s">
        <v>653</v>
      </c>
      <c r="J105" s="11" t="s">
        <v>1104</v>
      </c>
      <c r="K105" s="12" t="s">
        <v>273</v>
      </c>
      <c r="L105" s="11" t="s">
        <v>1105</v>
      </c>
      <c r="M105" s="11" t="s">
        <v>149</v>
      </c>
      <c r="N105" s="12" t="s">
        <v>273</v>
      </c>
      <c r="O105" s="11" t="s">
        <v>1106</v>
      </c>
      <c r="P105" s="12" t="s">
        <v>273</v>
      </c>
      <c r="Q105" s="12" t="s">
        <v>273</v>
      </c>
      <c r="R105" s="12" t="s">
        <v>273</v>
      </c>
      <c r="S105" s="12" t="s">
        <v>273</v>
      </c>
      <c r="T105" s="12" t="s">
        <v>273</v>
      </c>
      <c r="U105" s="12" t="s">
        <v>273</v>
      </c>
      <c r="V105" s="12" t="s">
        <v>273</v>
      </c>
      <c r="W105" s="12" t="s">
        <v>273</v>
      </c>
      <c r="X105" s="31" t="s">
        <v>325</v>
      </c>
      <c r="Y105" s="30"/>
      <c r="Z105" s="30"/>
      <c r="AA105" s="133" t="str">
        <f>_xlfn.IFS(AND(COUNTIF(Y105,"SCB*")=1, 'PCH320'!F68&gt;=2), "See the Notice *1", TRUE, "")</f>
        <v/>
      </c>
      <c r="AB105" s="29"/>
      <c r="AC105" s="27" t="s">
        <v>272</v>
      </c>
      <c r="AD105" s="27" t="s">
        <v>351</v>
      </c>
      <c r="AE105" s="29"/>
      <c r="AF105" s="29"/>
    </row>
    <row r="106" spans="2:32" x14ac:dyDescent="0.2">
      <c r="B106" s="11" t="s">
        <v>176</v>
      </c>
      <c r="C106" s="11" t="s">
        <v>1712</v>
      </c>
      <c r="D106" s="11" t="s">
        <v>176</v>
      </c>
      <c r="E106" s="11" t="s">
        <v>1107</v>
      </c>
      <c r="F106" s="11" t="s">
        <v>1108</v>
      </c>
      <c r="G106" s="11" t="s">
        <v>1109</v>
      </c>
      <c r="H106" s="11" t="s">
        <v>1110</v>
      </c>
      <c r="I106" s="11" t="s">
        <v>590</v>
      </c>
      <c r="J106" s="11" t="s">
        <v>1174</v>
      </c>
      <c r="K106" s="12" t="s">
        <v>273</v>
      </c>
      <c r="L106" s="12" t="s">
        <v>273</v>
      </c>
      <c r="M106" s="11" t="s">
        <v>142</v>
      </c>
      <c r="N106" s="12" t="s">
        <v>273</v>
      </c>
      <c r="O106" s="12" t="s">
        <v>273</v>
      </c>
      <c r="P106" s="12" t="s">
        <v>273</v>
      </c>
      <c r="Q106" s="12" t="s">
        <v>273</v>
      </c>
      <c r="R106" s="11" t="s">
        <v>1111</v>
      </c>
      <c r="S106" s="12" t="s">
        <v>273</v>
      </c>
      <c r="T106" s="12" t="s">
        <v>273</v>
      </c>
      <c r="U106" s="12" t="s">
        <v>273</v>
      </c>
      <c r="V106" s="12" t="s">
        <v>273</v>
      </c>
      <c r="W106" s="12" t="s">
        <v>273</v>
      </c>
      <c r="X106" s="31" t="s">
        <v>326</v>
      </c>
      <c r="Y106" s="30"/>
      <c r="Z106" s="30"/>
      <c r="AA106" s="133" t="str">
        <f>_xlfn.IFS(AND(COUNTIF(Y106,"SCB*")=1, 'PCH320'!F68&gt;=2), "See the Notice *1", TRUE, "")</f>
        <v/>
      </c>
      <c r="AB106" s="29"/>
      <c r="AC106" s="27" t="s">
        <v>272</v>
      </c>
      <c r="AD106" s="27" t="s">
        <v>351</v>
      </c>
      <c r="AE106" s="29"/>
      <c r="AF106" s="29"/>
    </row>
    <row r="107" spans="2:32" x14ac:dyDescent="0.2">
      <c r="B107" s="11" t="s">
        <v>177</v>
      </c>
      <c r="C107" s="11" t="s">
        <v>1716</v>
      </c>
      <c r="D107" s="11" t="s">
        <v>177</v>
      </c>
      <c r="E107" s="11" t="s">
        <v>1112</v>
      </c>
      <c r="F107" s="11" t="s">
        <v>1113</v>
      </c>
      <c r="G107" s="11" t="s">
        <v>1114</v>
      </c>
      <c r="H107" s="11" t="s">
        <v>1115</v>
      </c>
      <c r="I107" s="11" t="s">
        <v>663</v>
      </c>
      <c r="J107" s="11" t="s">
        <v>1175</v>
      </c>
      <c r="K107" s="11" t="s">
        <v>1116</v>
      </c>
      <c r="L107" s="12" t="s">
        <v>273</v>
      </c>
      <c r="M107" s="12" t="s">
        <v>273</v>
      </c>
      <c r="N107" s="12" t="s">
        <v>273</v>
      </c>
      <c r="O107" s="12" t="s">
        <v>273</v>
      </c>
      <c r="P107" s="12" t="s">
        <v>273</v>
      </c>
      <c r="Q107" s="12" t="s">
        <v>273</v>
      </c>
      <c r="R107" s="11" t="s">
        <v>1117</v>
      </c>
      <c r="S107" s="12" t="s">
        <v>273</v>
      </c>
      <c r="T107" s="12" t="s">
        <v>273</v>
      </c>
      <c r="U107" s="12" t="s">
        <v>273</v>
      </c>
      <c r="V107" s="12" t="s">
        <v>273</v>
      </c>
      <c r="W107" s="12" t="s">
        <v>273</v>
      </c>
      <c r="X107" s="31" t="s">
        <v>327</v>
      </c>
      <c r="Y107" s="30"/>
      <c r="Z107" s="30"/>
      <c r="AA107" s="133" t="str">
        <f>_xlfn.IFS(AND(COUNTIF(Y107,"SCB*")=1, 'PCH320'!F68&gt;=2), "See the Notice *1", TRUE, "")</f>
        <v/>
      </c>
      <c r="AB107" s="29"/>
      <c r="AC107" s="27" t="s">
        <v>272</v>
      </c>
      <c r="AD107" s="27" t="s">
        <v>351</v>
      </c>
      <c r="AE107" s="29"/>
      <c r="AF107" s="29"/>
    </row>
    <row r="108" spans="2:32" x14ac:dyDescent="0.2">
      <c r="B108" s="11" t="s">
        <v>178</v>
      </c>
      <c r="C108" s="11" t="s">
        <v>1719</v>
      </c>
      <c r="D108" s="11" t="s">
        <v>178</v>
      </c>
      <c r="E108" s="11" t="s">
        <v>1118</v>
      </c>
      <c r="F108" s="11" t="s">
        <v>1119</v>
      </c>
      <c r="G108" s="11" t="s">
        <v>1120</v>
      </c>
      <c r="H108" s="11" t="s">
        <v>1121</v>
      </c>
      <c r="I108" s="11" t="s">
        <v>596</v>
      </c>
      <c r="J108" s="12" t="s">
        <v>273</v>
      </c>
      <c r="K108" s="11" t="s">
        <v>1122</v>
      </c>
      <c r="L108" s="12" t="s">
        <v>273</v>
      </c>
      <c r="M108" s="12" t="s">
        <v>273</v>
      </c>
      <c r="N108" s="12" t="s">
        <v>273</v>
      </c>
      <c r="O108" s="12" t="s">
        <v>273</v>
      </c>
      <c r="P108" s="12" t="s">
        <v>273</v>
      </c>
      <c r="Q108" s="12" t="s">
        <v>273</v>
      </c>
      <c r="R108" s="12" t="s">
        <v>273</v>
      </c>
      <c r="S108" s="11" t="s">
        <v>179</v>
      </c>
      <c r="T108" s="12" t="s">
        <v>273</v>
      </c>
      <c r="U108" s="12" t="s">
        <v>273</v>
      </c>
      <c r="V108" s="12" t="s">
        <v>273</v>
      </c>
      <c r="W108" s="12" t="s">
        <v>273</v>
      </c>
      <c r="X108" s="31" t="s">
        <v>328</v>
      </c>
      <c r="Y108" s="30"/>
      <c r="Z108" s="30"/>
      <c r="AA108" s="133"/>
      <c r="AB108" s="29"/>
      <c r="AC108" s="27" t="s">
        <v>272</v>
      </c>
      <c r="AD108" s="27" t="s">
        <v>351</v>
      </c>
      <c r="AE108" s="29"/>
      <c r="AF108" s="29"/>
    </row>
    <row r="109" spans="2:32" x14ac:dyDescent="0.2">
      <c r="B109" s="11" t="s">
        <v>180</v>
      </c>
      <c r="C109" s="11" t="s">
        <v>1720</v>
      </c>
      <c r="D109" s="11" t="s">
        <v>180</v>
      </c>
      <c r="E109" s="11" t="s">
        <v>1123</v>
      </c>
      <c r="F109" s="11" t="s">
        <v>1124</v>
      </c>
      <c r="G109" s="11" t="s">
        <v>1125</v>
      </c>
      <c r="H109" s="11" t="s">
        <v>1126</v>
      </c>
      <c r="I109" s="11" t="s">
        <v>670</v>
      </c>
      <c r="J109" s="12" t="s">
        <v>273</v>
      </c>
      <c r="K109" s="11" t="s">
        <v>1127</v>
      </c>
      <c r="L109" s="12" t="s">
        <v>273</v>
      </c>
      <c r="M109" s="12" t="s">
        <v>273</v>
      </c>
      <c r="N109" s="12" t="s">
        <v>273</v>
      </c>
      <c r="O109" s="12" t="s">
        <v>273</v>
      </c>
      <c r="P109" s="12" t="s">
        <v>273</v>
      </c>
      <c r="Q109" s="12" t="s">
        <v>273</v>
      </c>
      <c r="R109" s="12" t="s">
        <v>273</v>
      </c>
      <c r="S109" s="11" t="s">
        <v>181</v>
      </c>
      <c r="T109" s="12" t="s">
        <v>273</v>
      </c>
      <c r="U109" s="12" t="s">
        <v>273</v>
      </c>
      <c r="V109" s="12" t="s">
        <v>273</v>
      </c>
      <c r="W109" s="12" t="s">
        <v>273</v>
      </c>
      <c r="X109" s="31" t="s">
        <v>329</v>
      </c>
      <c r="Y109" s="30"/>
      <c r="Z109" s="30"/>
      <c r="AA109" s="133"/>
      <c r="AB109" s="29"/>
      <c r="AC109" s="27" t="s">
        <v>272</v>
      </c>
      <c r="AD109" s="27" t="s">
        <v>351</v>
      </c>
      <c r="AE109" s="29"/>
      <c r="AF109" s="29"/>
    </row>
    <row r="110" spans="2:32" x14ac:dyDescent="0.2">
      <c r="B110" s="11" t="s">
        <v>182</v>
      </c>
      <c r="C110" s="11" t="s">
        <v>1721</v>
      </c>
      <c r="D110" s="11" t="s">
        <v>182</v>
      </c>
      <c r="E110" s="11" t="s">
        <v>1128</v>
      </c>
      <c r="F110" s="11" t="s">
        <v>1129</v>
      </c>
      <c r="G110" s="11" t="s">
        <v>1130</v>
      </c>
      <c r="H110" s="11" t="s">
        <v>1131</v>
      </c>
      <c r="I110" s="11" t="s">
        <v>604</v>
      </c>
      <c r="J110" s="11" t="s">
        <v>1132</v>
      </c>
      <c r="K110" s="12" t="s">
        <v>273</v>
      </c>
      <c r="L110" s="11" t="s">
        <v>1133</v>
      </c>
      <c r="M110" s="12" t="s">
        <v>273</v>
      </c>
      <c r="N110" s="11" t="s">
        <v>1134</v>
      </c>
      <c r="O110" s="12" t="s">
        <v>273</v>
      </c>
      <c r="P110" s="12" t="s">
        <v>273</v>
      </c>
      <c r="Q110" s="12" t="s">
        <v>273</v>
      </c>
      <c r="R110" s="11" t="s">
        <v>1135</v>
      </c>
      <c r="S110" s="12" t="s">
        <v>273</v>
      </c>
      <c r="T110" s="12" t="s">
        <v>273</v>
      </c>
      <c r="U110" s="12" t="s">
        <v>273</v>
      </c>
      <c r="V110" s="12" t="s">
        <v>273</v>
      </c>
      <c r="W110" s="12" t="s">
        <v>273</v>
      </c>
      <c r="X110" s="31" t="s">
        <v>330</v>
      </c>
      <c r="Y110" s="30"/>
      <c r="Z110" s="30"/>
      <c r="AA110" s="133" t="str">
        <f>_xlfn.IFS(AND(COUNTIF(Y110,"SCB*")=1, 'PCH320'!M68&gt;=2), "See the Notice *1", TRUE, "")</f>
        <v/>
      </c>
      <c r="AB110" s="29"/>
      <c r="AC110" s="27" t="s">
        <v>272</v>
      </c>
      <c r="AD110" s="27" t="s">
        <v>351</v>
      </c>
      <c r="AE110" s="29"/>
      <c r="AF110" s="29"/>
    </row>
    <row r="111" spans="2:32" x14ac:dyDescent="0.2">
      <c r="B111" s="11" t="s">
        <v>183</v>
      </c>
      <c r="C111" s="11" t="s">
        <v>1723</v>
      </c>
      <c r="D111" s="11" t="s">
        <v>183</v>
      </c>
      <c r="E111" s="11" t="s">
        <v>1136</v>
      </c>
      <c r="F111" s="11" t="s">
        <v>1137</v>
      </c>
      <c r="G111" s="11" t="s">
        <v>1138</v>
      </c>
      <c r="H111" s="11" t="s">
        <v>1139</v>
      </c>
      <c r="I111" s="11" t="s">
        <v>676</v>
      </c>
      <c r="J111" s="11" t="s">
        <v>1140</v>
      </c>
      <c r="K111" s="11" t="s">
        <v>1141</v>
      </c>
      <c r="L111" s="11" t="s">
        <v>1142</v>
      </c>
      <c r="M111" s="12" t="s">
        <v>273</v>
      </c>
      <c r="N111" s="11" t="s">
        <v>1143</v>
      </c>
      <c r="O111" s="12" t="s">
        <v>273</v>
      </c>
      <c r="P111" s="12" t="s">
        <v>273</v>
      </c>
      <c r="Q111" s="12" t="s">
        <v>273</v>
      </c>
      <c r="R111" s="11" t="s">
        <v>1144</v>
      </c>
      <c r="S111" s="12" t="s">
        <v>273</v>
      </c>
      <c r="T111" s="12" t="s">
        <v>273</v>
      </c>
      <c r="U111" s="12" t="s">
        <v>273</v>
      </c>
      <c r="V111" s="12" t="s">
        <v>273</v>
      </c>
      <c r="W111" s="12" t="s">
        <v>273</v>
      </c>
      <c r="X111" s="31" t="s">
        <v>331</v>
      </c>
      <c r="Y111" s="30"/>
      <c r="Z111" s="30"/>
      <c r="AA111" s="133" t="str">
        <f>_xlfn.IFS(AND(COUNTIF(Y111,"SCB*")=1, 'PCH320'!M68&gt;=2), "See the Notice *1", TRUE, "")</f>
        <v/>
      </c>
      <c r="AB111" s="29"/>
      <c r="AC111" s="27" t="s">
        <v>272</v>
      </c>
      <c r="AD111" s="27" t="s">
        <v>351</v>
      </c>
      <c r="AE111" s="29"/>
      <c r="AF111" s="29"/>
    </row>
    <row r="112" spans="2:32" x14ac:dyDescent="0.2">
      <c r="B112" s="11" t="s">
        <v>184</v>
      </c>
      <c r="C112" s="11" t="s">
        <v>1722</v>
      </c>
      <c r="D112" s="11" t="s">
        <v>184</v>
      </c>
      <c r="E112" s="11" t="s">
        <v>1145</v>
      </c>
      <c r="F112" s="11" t="s">
        <v>1146</v>
      </c>
      <c r="G112" s="11" t="s">
        <v>1147</v>
      </c>
      <c r="H112" s="11" t="s">
        <v>1148</v>
      </c>
      <c r="I112" s="11" t="s">
        <v>612</v>
      </c>
      <c r="J112" s="11" t="s">
        <v>1149</v>
      </c>
      <c r="K112" s="11" t="s">
        <v>1150</v>
      </c>
      <c r="L112" s="11" t="s">
        <v>1151</v>
      </c>
      <c r="M112" s="12" t="s">
        <v>273</v>
      </c>
      <c r="N112" s="12" t="s">
        <v>273</v>
      </c>
      <c r="O112" s="12" t="s">
        <v>273</v>
      </c>
      <c r="P112" s="12" t="s">
        <v>273</v>
      </c>
      <c r="Q112" s="12" t="s">
        <v>273</v>
      </c>
      <c r="R112" s="11" t="s">
        <v>1152</v>
      </c>
      <c r="S112" s="12" t="s">
        <v>273</v>
      </c>
      <c r="T112" s="12" t="s">
        <v>273</v>
      </c>
      <c r="U112" s="12" t="s">
        <v>273</v>
      </c>
      <c r="V112" s="12" t="s">
        <v>273</v>
      </c>
      <c r="W112" s="12" t="s">
        <v>273</v>
      </c>
      <c r="X112" s="31" t="s">
        <v>332</v>
      </c>
      <c r="Y112" s="30"/>
      <c r="Z112" s="30"/>
      <c r="AA112" s="133" t="str">
        <f>_xlfn.IFS(AND(COUNTIF(Y112,"SCB*")=1, 'PCH320'!M68&gt;=2), "See the Notice *1", TRUE, "")</f>
        <v/>
      </c>
      <c r="AB112" s="29"/>
      <c r="AC112" s="27" t="s">
        <v>272</v>
      </c>
      <c r="AD112" s="27" t="s">
        <v>351</v>
      </c>
      <c r="AE112" s="29"/>
      <c r="AF112" s="29"/>
    </row>
    <row r="113" spans="2:32" x14ac:dyDescent="0.2">
      <c r="B113" s="11" t="s">
        <v>185</v>
      </c>
      <c r="C113" s="11" t="s">
        <v>1726</v>
      </c>
      <c r="D113" s="11" t="s">
        <v>185</v>
      </c>
      <c r="E113" s="11" t="s">
        <v>962</v>
      </c>
      <c r="F113" s="11" t="s">
        <v>1153</v>
      </c>
      <c r="G113" s="11" t="s">
        <v>964</v>
      </c>
      <c r="H113" s="11" t="s">
        <v>1154</v>
      </c>
      <c r="I113" s="11" t="s">
        <v>706</v>
      </c>
      <c r="J113" s="11" t="s">
        <v>1155</v>
      </c>
      <c r="K113" s="12" t="s">
        <v>273</v>
      </c>
      <c r="L113" s="11" t="s">
        <v>1156</v>
      </c>
      <c r="M113" s="12" t="s">
        <v>273</v>
      </c>
      <c r="N113" s="12" t="s">
        <v>273</v>
      </c>
      <c r="O113" s="12" t="s">
        <v>273</v>
      </c>
      <c r="P113" s="12" t="s">
        <v>273</v>
      </c>
      <c r="Q113" s="12" t="s">
        <v>273</v>
      </c>
      <c r="R113" s="11" t="s">
        <v>1157</v>
      </c>
      <c r="S113" s="12" t="s">
        <v>273</v>
      </c>
      <c r="T113" s="12" t="s">
        <v>273</v>
      </c>
      <c r="U113" s="12" t="s">
        <v>273</v>
      </c>
      <c r="V113" s="12" t="s">
        <v>273</v>
      </c>
      <c r="W113" s="12" t="s">
        <v>273</v>
      </c>
      <c r="X113" s="31" t="s">
        <v>333</v>
      </c>
      <c r="Y113" s="30"/>
      <c r="Z113" s="30"/>
      <c r="AA113" s="133" t="str">
        <f>_xlfn.IFS(AND(COUNTIF(Y113,"SCB*")=1, 'PCH320'!M68&gt;=2), "See the Notice *1", TRUE, "")</f>
        <v/>
      </c>
      <c r="AB113" s="29"/>
      <c r="AC113" s="27" t="s">
        <v>272</v>
      </c>
      <c r="AD113" s="27" t="s">
        <v>351</v>
      </c>
      <c r="AE113" s="29"/>
      <c r="AF113" s="29"/>
    </row>
    <row r="114" spans="2:32" x14ac:dyDescent="0.2">
      <c r="B114" s="11" t="s">
        <v>186</v>
      </c>
      <c r="C114" s="11" t="s">
        <v>1728</v>
      </c>
      <c r="D114" s="11" t="s">
        <v>186</v>
      </c>
      <c r="E114" s="11" t="s">
        <v>957</v>
      </c>
      <c r="F114" s="11" t="s">
        <v>1158</v>
      </c>
      <c r="G114" s="11" t="s">
        <v>959</v>
      </c>
      <c r="H114" s="11" t="s">
        <v>1159</v>
      </c>
      <c r="I114" s="11" t="s">
        <v>1160</v>
      </c>
      <c r="J114" s="12" t="s">
        <v>273</v>
      </c>
      <c r="K114" s="12" t="s">
        <v>273</v>
      </c>
      <c r="L114" s="11" t="s">
        <v>1161</v>
      </c>
      <c r="M114" s="11" t="s">
        <v>640</v>
      </c>
      <c r="N114" s="12" t="s">
        <v>273</v>
      </c>
      <c r="O114" s="12" t="s">
        <v>273</v>
      </c>
      <c r="P114" s="12" t="s">
        <v>273</v>
      </c>
      <c r="Q114" s="12" t="s">
        <v>273</v>
      </c>
      <c r="R114" s="12" t="s">
        <v>273</v>
      </c>
      <c r="S114" s="12" t="s">
        <v>273</v>
      </c>
      <c r="T114" s="12" t="s">
        <v>273</v>
      </c>
      <c r="U114" s="12" t="s">
        <v>273</v>
      </c>
      <c r="V114" s="12" t="s">
        <v>273</v>
      </c>
      <c r="W114" s="12" t="s">
        <v>273</v>
      </c>
      <c r="X114" s="31" t="s">
        <v>334</v>
      </c>
      <c r="Y114" s="30"/>
      <c r="Z114" s="28" t="s">
        <v>273</v>
      </c>
      <c r="AA114" s="133" t="str">
        <f>_xlfn.IFS(AND(COUNTIF(Y114,"SCB*")=1, 'PCH320'!M68&gt;=2), "See the Notice *1", TRUE, "")</f>
        <v/>
      </c>
      <c r="AB114" s="29"/>
      <c r="AC114" s="27" t="s">
        <v>272</v>
      </c>
      <c r="AD114" s="27" t="s">
        <v>254</v>
      </c>
      <c r="AE114" s="29"/>
      <c r="AF114" s="29"/>
    </row>
    <row r="115" spans="2:32" x14ac:dyDescent="0.2">
      <c r="B115" s="11" t="s">
        <v>187</v>
      </c>
      <c r="C115" s="11" t="s">
        <v>1730</v>
      </c>
      <c r="D115" s="11" t="s">
        <v>187</v>
      </c>
      <c r="E115" s="11" t="s">
        <v>952</v>
      </c>
      <c r="F115" s="11" t="s">
        <v>963</v>
      </c>
      <c r="G115" s="11" t="s">
        <v>954</v>
      </c>
      <c r="H115" s="11" t="s">
        <v>965</v>
      </c>
      <c r="I115" s="11" t="s">
        <v>1162</v>
      </c>
      <c r="J115" s="12" t="s">
        <v>273</v>
      </c>
      <c r="K115" s="12" t="s">
        <v>273</v>
      </c>
      <c r="L115" s="11" t="s">
        <v>1163</v>
      </c>
      <c r="M115" s="11" t="s">
        <v>714</v>
      </c>
      <c r="N115" s="12" t="s">
        <v>273</v>
      </c>
      <c r="O115" s="12" t="s">
        <v>273</v>
      </c>
      <c r="P115" s="12" t="s">
        <v>273</v>
      </c>
      <c r="Q115" s="12" t="s">
        <v>273</v>
      </c>
      <c r="R115" s="12" t="s">
        <v>273</v>
      </c>
      <c r="S115" s="12" t="s">
        <v>273</v>
      </c>
      <c r="T115" s="12" t="s">
        <v>273</v>
      </c>
      <c r="U115" s="12" t="s">
        <v>273</v>
      </c>
      <c r="V115" s="12" t="s">
        <v>273</v>
      </c>
      <c r="W115" s="12" t="s">
        <v>273</v>
      </c>
      <c r="X115" s="31" t="s">
        <v>335</v>
      </c>
      <c r="Y115" s="30"/>
      <c r="Z115" s="28" t="s">
        <v>273</v>
      </c>
      <c r="AA115" s="133" t="str">
        <f>_xlfn.IFS(AND(COUNTIF(Y115,"SCB*")=1, 'PCH320'!M68&gt;=2), "See the Notice *1", TRUE, "")</f>
        <v/>
      </c>
      <c r="AB115" s="29"/>
      <c r="AC115" s="27" t="s">
        <v>272</v>
      </c>
      <c r="AD115" s="27" t="s">
        <v>254</v>
      </c>
      <c r="AE115" s="29"/>
      <c r="AF115" s="29"/>
    </row>
    <row r="116" spans="2:32" x14ac:dyDescent="0.2">
      <c r="B116" s="11" t="s">
        <v>188</v>
      </c>
      <c r="C116" s="11" t="s">
        <v>1732</v>
      </c>
      <c r="D116" s="11" t="s">
        <v>188</v>
      </c>
      <c r="E116" s="11" t="s">
        <v>1164</v>
      </c>
      <c r="F116" s="11" t="s">
        <v>958</v>
      </c>
      <c r="G116" s="11" t="s">
        <v>1165</v>
      </c>
      <c r="H116" s="11" t="s">
        <v>960</v>
      </c>
      <c r="I116" s="11" t="s">
        <v>1166</v>
      </c>
      <c r="J116" s="12" t="s">
        <v>273</v>
      </c>
      <c r="K116" s="12" t="s">
        <v>273</v>
      </c>
      <c r="L116" s="11" t="s">
        <v>1167</v>
      </c>
      <c r="M116" s="11" t="s">
        <v>720</v>
      </c>
      <c r="N116" s="12" t="s">
        <v>273</v>
      </c>
      <c r="O116" s="12" t="s">
        <v>273</v>
      </c>
      <c r="P116" s="12" t="s">
        <v>273</v>
      </c>
      <c r="Q116" s="12" t="s">
        <v>273</v>
      </c>
      <c r="R116" s="12" t="s">
        <v>273</v>
      </c>
      <c r="S116" s="12" t="s">
        <v>273</v>
      </c>
      <c r="T116" s="12" t="s">
        <v>273</v>
      </c>
      <c r="U116" s="12" t="s">
        <v>273</v>
      </c>
      <c r="V116" s="12" t="s">
        <v>273</v>
      </c>
      <c r="W116" s="12" t="s">
        <v>273</v>
      </c>
      <c r="X116" s="31" t="s">
        <v>336</v>
      </c>
      <c r="Y116" s="30"/>
      <c r="Z116" s="28" t="s">
        <v>273</v>
      </c>
      <c r="AA116" s="133" t="str">
        <f>_xlfn.IFS(AND(COUNTIF(Y116,"SCB*")=1, 'PCH320'!M68&gt;=2), "See the Notice *1", TRUE, "")</f>
        <v/>
      </c>
      <c r="AB116" s="29"/>
      <c r="AC116" s="27" t="s">
        <v>272</v>
      </c>
      <c r="AD116" s="27" t="s">
        <v>254</v>
      </c>
      <c r="AE116" s="29"/>
      <c r="AF116" s="29"/>
    </row>
    <row r="117" spans="2:32" x14ac:dyDescent="0.2">
      <c r="B117" s="16" t="s">
        <v>189</v>
      </c>
      <c r="C117" s="11" t="s">
        <v>1734</v>
      </c>
      <c r="D117" s="16" t="s">
        <v>189</v>
      </c>
      <c r="E117" s="16" t="s">
        <v>1164</v>
      </c>
      <c r="F117" s="16" t="s">
        <v>953</v>
      </c>
      <c r="G117" s="16" t="s">
        <v>1165</v>
      </c>
      <c r="H117" s="16" t="s">
        <v>955</v>
      </c>
      <c r="I117" s="16" t="s">
        <v>1168</v>
      </c>
      <c r="J117" s="12" t="s">
        <v>273</v>
      </c>
      <c r="K117" s="12" t="s">
        <v>273</v>
      </c>
      <c r="L117" s="12" t="s">
        <v>273</v>
      </c>
      <c r="M117" s="12" t="s">
        <v>273</v>
      </c>
      <c r="N117" s="12" t="s">
        <v>273</v>
      </c>
      <c r="O117" s="12" t="s">
        <v>273</v>
      </c>
      <c r="P117" s="12" t="s">
        <v>273</v>
      </c>
      <c r="Q117" s="12" t="s">
        <v>273</v>
      </c>
      <c r="R117" s="12" t="s">
        <v>273</v>
      </c>
      <c r="S117" s="12" t="s">
        <v>273</v>
      </c>
      <c r="T117" s="12" t="s">
        <v>273</v>
      </c>
      <c r="U117" s="12" t="s">
        <v>273</v>
      </c>
      <c r="V117" s="12" t="s">
        <v>273</v>
      </c>
      <c r="W117" s="12" t="s">
        <v>273</v>
      </c>
      <c r="X117" s="31" t="s">
        <v>337</v>
      </c>
      <c r="Y117" s="30"/>
      <c r="Z117" s="28" t="s">
        <v>273</v>
      </c>
      <c r="AA117" s="133"/>
      <c r="AB117" s="29"/>
      <c r="AC117" s="27" t="s">
        <v>272</v>
      </c>
      <c r="AD117" s="27" t="s">
        <v>254</v>
      </c>
      <c r="AE117" s="29"/>
      <c r="AF117" s="29"/>
    </row>
    <row r="118" spans="2:32" x14ac:dyDescent="0.2">
      <c r="B118" s="11" t="s">
        <v>1176</v>
      </c>
      <c r="C118" s="11" t="s">
        <v>1736</v>
      </c>
      <c r="D118" s="11" t="s">
        <v>1176</v>
      </c>
      <c r="E118" s="11" t="s">
        <v>1177</v>
      </c>
      <c r="F118" s="11" t="s">
        <v>1178</v>
      </c>
      <c r="G118" s="11" t="s">
        <v>1179</v>
      </c>
      <c r="H118" s="11" t="s">
        <v>1180</v>
      </c>
      <c r="I118" s="12" t="s">
        <v>273</v>
      </c>
      <c r="J118" s="12" t="s">
        <v>273</v>
      </c>
      <c r="K118" s="12" t="s">
        <v>273</v>
      </c>
      <c r="L118" s="12" t="s">
        <v>273</v>
      </c>
      <c r="M118" s="12" t="s">
        <v>273</v>
      </c>
      <c r="N118" s="12" t="s">
        <v>273</v>
      </c>
      <c r="O118" s="12" t="s">
        <v>273</v>
      </c>
      <c r="P118" s="12" t="s">
        <v>273</v>
      </c>
      <c r="Q118" s="12" t="s">
        <v>273</v>
      </c>
      <c r="R118" s="12" t="s">
        <v>273</v>
      </c>
      <c r="S118" s="12" t="s">
        <v>273</v>
      </c>
      <c r="T118" s="12" t="s">
        <v>273</v>
      </c>
      <c r="U118" s="12" t="s">
        <v>273</v>
      </c>
      <c r="V118" s="12" t="s">
        <v>273</v>
      </c>
      <c r="W118" s="12" t="s">
        <v>273</v>
      </c>
      <c r="X118" s="31" t="s">
        <v>338</v>
      </c>
      <c r="Y118" s="30"/>
      <c r="Z118" s="28" t="s">
        <v>273</v>
      </c>
      <c r="AA118" s="133"/>
      <c r="AB118" s="29"/>
      <c r="AC118" s="27" t="s">
        <v>272</v>
      </c>
      <c r="AD118" s="27" t="s">
        <v>254</v>
      </c>
      <c r="AE118" s="29"/>
      <c r="AF118" s="29"/>
    </row>
    <row r="119" spans="2:32" x14ac:dyDescent="0.2">
      <c r="B119" s="11" t="s">
        <v>1181</v>
      </c>
      <c r="C119" s="11" t="s">
        <v>1737</v>
      </c>
      <c r="D119" s="11" t="s">
        <v>1181</v>
      </c>
      <c r="E119" s="11" t="s">
        <v>1182</v>
      </c>
      <c r="F119" s="11" t="s">
        <v>1183</v>
      </c>
      <c r="G119" s="11" t="s">
        <v>1184</v>
      </c>
      <c r="H119" s="11" t="s">
        <v>1185</v>
      </c>
      <c r="I119" s="12" t="s">
        <v>273</v>
      </c>
      <c r="J119" s="12" t="s">
        <v>273</v>
      </c>
      <c r="K119" s="12" t="s">
        <v>273</v>
      </c>
      <c r="L119" s="12" t="s">
        <v>273</v>
      </c>
      <c r="M119" s="12" t="s">
        <v>273</v>
      </c>
      <c r="N119" s="12" t="s">
        <v>273</v>
      </c>
      <c r="O119" s="12" t="s">
        <v>273</v>
      </c>
      <c r="P119" s="12" t="s">
        <v>273</v>
      </c>
      <c r="Q119" s="12" t="s">
        <v>273</v>
      </c>
      <c r="R119" s="12" t="s">
        <v>273</v>
      </c>
      <c r="S119" s="12" t="s">
        <v>273</v>
      </c>
      <c r="T119" s="12" t="s">
        <v>273</v>
      </c>
      <c r="U119" s="12" t="s">
        <v>273</v>
      </c>
      <c r="V119" s="12" t="s">
        <v>273</v>
      </c>
      <c r="W119" s="12" t="s">
        <v>273</v>
      </c>
      <c r="X119" s="31" t="s">
        <v>339</v>
      </c>
      <c r="Y119" s="30"/>
      <c r="Z119" s="28" t="s">
        <v>273</v>
      </c>
      <c r="AA119" s="133"/>
      <c r="AB119" s="29"/>
      <c r="AC119" s="27" t="s">
        <v>272</v>
      </c>
      <c r="AD119" s="27" t="s">
        <v>254</v>
      </c>
      <c r="AE119" s="29"/>
      <c r="AF119" s="29"/>
    </row>
    <row r="120" spans="2:32" x14ac:dyDescent="0.2">
      <c r="B120" s="11" t="s">
        <v>1186</v>
      </c>
      <c r="C120" s="11" t="s">
        <v>1739</v>
      </c>
      <c r="D120" s="11" t="s">
        <v>1186</v>
      </c>
      <c r="E120" s="11" t="s">
        <v>1187</v>
      </c>
      <c r="F120" s="11" t="s">
        <v>1188</v>
      </c>
      <c r="G120" s="11" t="s">
        <v>1189</v>
      </c>
      <c r="H120" s="11" t="s">
        <v>1190</v>
      </c>
      <c r="I120" s="12" t="s">
        <v>273</v>
      </c>
      <c r="J120" s="12" t="s">
        <v>273</v>
      </c>
      <c r="K120" s="12" t="s">
        <v>273</v>
      </c>
      <c r="L120" s="12" t="s">
        <v>273</v>
      </c>
      <c r="M120" s="12" t="s">
        <v>273</v>
      </c>
      <c r="N120" s="12" t="s">
        <v>273</v>
      </c>
      <c r="O120" s="12" t="s">
        <v>273</v>
      </c>
      <c r="P120" s="12" t="s">
        <v>273</v>
      </c>
      <c r="Q120" s="12" t="s">
        <v>273</v>
      </c>
      <c r="R120" s="12" t="s">
        <v>273</v>
      </c>
      <c r="S120" s="12" t="s">
        <v>273</v>
      </c>
      <c r="T120" s="12" t="s">
        <v>273</v>
      </c>
      <c r="U120" s="12" t="s">
        <v>273</v>
      </c>
      <c r="V120" s="12" t="s">
        <v>273</v>
      </c>
      <c r="W120" s="12" t="s">
        <v>273</v>
      </c>
      <c r="X120" s="31" t="s">
        <v>340</v>
      </c>
      <c r="Y120" s="30"/>
      <c r="Z120" s="28" t="s">
        <v>273</v>
      </c>
      <c r="AA120" s="133"/>
      <c r="AB120" s="29"/>
      <c r="AC120" s="27" t="s">
        <v>272</v>
      </c>
      <c r="AD120" s="27" t="s">
        <v>254</v>
      </c>
      <c r="AE120" s="29"/>
      <c r="AF120" s="29"/>
    </row>
    <row r="121" spans="2:32" x14ac:dyDescent="0.2">
      <c r="B121" s="11" t="s">
        <v>1191</v>
      </c>
      <c r="C121" s="11" t="s">
        <v>1741</v>
      </c>
      <c r="D121" s="11" t="s">
        <v>1191</v>
      </c>
      <c r="E121" s="11" t="s">
        <v>1192</v>
      </c>
      <c r="F121" s="11" t="s">
        <v>1193</v>
      </c>
      <c r="G121" s="11" t="s">
        <v>1194</v>
      </c>
      <c r="H121" s="11" t="s">
        <v>1195</v>
      </c>
      <c r="I121" s="12" t="s">
        <v>273</v>
      </c>
      <c r="J121" s="12" t="s">
        <v>273</v>
      </c>
      <c r="K121" s="12" t="s">
        <v>273</v>
      </c>
      <c r="L121" s="12" t="s">
        <v>273</v>
      </c>
      <c r="M121" s="12" t="s">
        <v>273</v>
      </c>
      <c r="N121" s="12" t="s">
        <v>273</v>
      </c>
      <c r="O121" s="12" t="s">
        <v>273</v>
      </c>
      <c r="P121" s="12" t="s">
        <v>273</v>
      </c>
      <c r="Q121" s="12" t="s">
        <v>273</v>
      </c>
      <c r="R121" s="12" t="s">
        <v>273</v>
      </c>
      <c r="S121" s="12" t="s">
        <v>273</v>
      </c>
      <c r="T121" s="12" t="s">
        <v>273</v>
      </c>
      <c r="U121" s="12" t="s">
        <v>273</v>
      </c>
      <c r="V121" s="12" t="s">
        <v>273</v>
      </c>
      <c r="W121" s="12" t="s">
        <v>273</v>
      </c>
      <c r="X121" s="31" t="s">
        <v>341</v>
      </c>
      <c r="Y121" s="30"/>
      <c r="Z121" s="28" t="s">
        <v>273</v>
      </c>
      <c r="AA121" s="133"/>
      <c r="AB121" s="29"/>
      <c r="AC121" s="27" t="s">
        <v>272</v>
      </c>
      <c r="AD121" s="27" t="s">
        <v>254</v>
      </c>
      <c r="AE121" s="29"/>
      <c r="AF121" s="29"/>
    </row>
    <row r="122" spans="2:32" x14ac:dyDescent="0.2">
      <c r="B122" s="11" t="s">
        <v>190</v>
      </c>
      <c r="C122" s="11" t="s">
        <v>1743</v>
      </c>
      <c r="D122" s="11" t="s">
        <v>190</v>
      </c>
      <c r="E122" s="11" t="s">
        <v>952</v>
      </c>
      <c r="F122" s="11" t="s">
        <v>953</v>
      </c>
      <c r="G122" s="11" t="s">
        <v>954</v>
      </c>
      <c r="H122" s="11" t="s">
        <v>955</v>
      </c>
      <c r="I122" s="12" t="s">
        <v>273</v>
      </c>
      <c r="J122" s="12" t="s">
        <v>273</v>
      </c>
      <c r="K122" s="12" t="s">
        <v>273</v>
      </c>
      <c r="L122" s="12" t="s">
        <v>273</v>
      </c>
      <c r="M122" s="11" t="s">
        <v>640</v>
      </c>
      <c r="N122" s="11" t="s">
        <v>191</v>
      </c>
      <c r="O122" s="12" t="s">
        <v>273</v>
      </c>
      <c r="P122" s="12" t="s">
        <v>273</v>
      </c>
      <c r="Q122" s="12" t="s">
        <v>273</v>
      </c>
      <c r="R122" s="12" t="s">
        <v>273</v>
      </c>
      <c r="S122" s="12" t="s">
        <v>273</v>
      </c>
      <c r="T122" s="12" t="s">
        <v>273</v>
      </c>
      <c r="U122" s="12" t="s">
        <v>273</v>
      </c>
      <c r="V122" s="12" t="s">
        <v>273</v>
      </c>
      <c r="W122" s="12" t="s">
        <v>273</v>
      </c>
      <c r="X122" s="31" t="s">
        <v>1745</v>
      </c>
      <c r="Y122" s="30"/>
      <c r="Z122" s="30"/>
      <c r="AA122" s="133"/>
      <c r="AB122" s="29"/>
      <c r="AC122" s="27" t="s">
        <v>272</v>
      </c>
      <c r="AD122" s="27" t="s">
        <v>254</v>
      </c>
      <c r="AE122" s="29"/>
      <c r="AF122" s="29"/>
    </row>
    <row r="123" spans="2:32" x14ac:dyDescent="0.2">
      <c r="B123" s="11" t="s">
        <v>192</v>
      </c>
      <c r="C123" s="11" t="s">
        <v>1744</v>
      </c>
      <c r="D123" s="11" t="s">
        <v>192</v>
      </c>
      <c r="E123" s="11" t="s">
        <v>957</v>
      </c>
      <c r="F123" s="11" t="s">
        <v>958</v>
      </c>
      <c r="G123" s="11" t="s">
        <v>959</v>
      </c>
      <c r="H123" s="11" t="s">
        <v>960</v>
      </c>
      <c r="I123" s="12" t="s">
        <v>273</v>
      </c>
      <c r="J123" s="11" t="s">
        <v>1196</v>
      </c>
      <c r="K123" s="12" t="s">
        <v>273</v>
      </c>
      <c r="L123" s="12" t="s">
        <v>273</v>
      </c>
      <c r="M123" s="11" t="s">
        <v>714</v>
      </c>
      <c r="N123" s="11" t="s">
        <v>193</v>
      </c>
      <c r="O123" s="12" t="s">
        <v>273</v>
      </c>
      <c r="P123" s="12" t="s">
        <v>273</v>
      </c>
      <c r="Q123" s="12" t="s">
        <v>273</v>
      </c>
      <c r="R123" s="12" t="s">
        <v>273</v>
      </c>
      <c r="S123" s="12" t="s">
        <v>273</v>
      </c>
      <c r="T123" s="12" t="s">
        <v>273</v>
      </c>
      <c r="U123" s="12" t="s">
        <v>273</v>
      </c>
      <c r="V123" s="12" t="s">
        <v>273</v>
      </c>
      <c r="W123" s="12" t="s">
        <v>273</v>
      </c>
      <c r="X123" s="31" t="s">
        <v>1747</v>
      </c>
      <c r="Y123" s="30"/>
      <c r="Z123" s="30"/>
      <c r="AA123" s="133" t="str">
        <f>_xlfn.IFS(AND(COUNTIF(Y123,"SCB*")=1, 'PCH320'!G68&gt;=2), "See the Notice *1", TRUE, "")</f>
        <v/>
      </c>
      <c r="AB123" s="29"/>
      <c r="AC123" s="27" t="s">
        <v>272</v>
      </c>
      <c r="AD123" s="27" t="s">
        <v>254</v>
      </c>
      <c r="AE123" s="29"/>
      <c r="AF123" s="29"/>
    </row>
    <row r="124" spans="2:32" x14ac:dyDescent="0.2">
      <c r="B124" s="11" t="s">
        <v>194</v>
      </c>
      <c r="C124" s="11" t="s">
        <v>1740</v>
      </c>
      <c r="D124" s="11" t="s">
        <v>194</v>
      </c>
      <c r="E124" s="11" t="s">
        <v>962</v>
      </c>
      <c r="F124" s="11" t="s">
        <v>963</v>
      </c>
      <c r="G124" s="11" t="s">
        <v>964</v>
      </c>
      <c r="H124" s="11" t="s">
        <v>965</v>
      </c>
      <c r="I124" s="12" t="s">
        <v>273</v>
      </c>
      <c r="J124" s="11" t="s">
        <v>1197</v>
      </c>
      <c r="K124" s="11" t="s">
        <v>1198</v>
      </c>
      <c r="L124" s="12" t="s">
        <v>273</v>
      </c>
      <c r="M124" s="11" t="s">
        <v>2333</v>
      </c>
      <c r="N124" s="12" t="s">
        <v>273</v>
      </c>
      <c r="O124" s="12" t="s">
        <v>273</v>
      </c>
      <c r="P124" s="12" t="s">
        <v>273</v>
      </c>
      <c r="Q124" s="12" t="s">
        <v>273</v>
      </c>
      <c r="R124" s="12" t="s">
        <v>273</v>
      </c>
      <c r="S124" s="12" t="s">
        <v>273</v>
      </c>
      <c r="T124" s="12" t="s">
        <v>273</v>
      </c>
      <c r="U124" s="12" t="s">
        <v>273</v>
      </c>
      <c r="V124" s="12" t="s">
        <v>273</v>
      </c>
      <c r="W124" s="12" t="s">
        <v>273</v>
      </c>
      <c r="X124" s="31" t="s">
        <v>1749</v>
      </c>
      <c r="Y124" s="30"/>
      <c r="Z124" s="30"/>
      <c r="AA124" s="133" t="str">
        <f>_xlfn.IFS(AND(COUNTIF(Y124,"SCB*")=1, 'PCH320'!G68&gt;=2), "See the Notice *1", TRUE, "")</f>
        <v/>
      </c>
      <c r="AB124" s="29"/>
      <c r="AC124" s="27" t="s">
        <v>272</v>
      </c>
      <c r="AD124" s="27" t="s">
        <v>254</v>
      </c>
      <c r="AE124" s="29"/>
      <c r="AF124" s="29"/>
    </row>
    <row r="125" spans="2:32" x14ac:dyDescent="0.2">
      <c r="B125" s="11" t="s">
        <v>195</v>
      </c>
      <c r="C125" s="11" t="s">
        <v>1750</v>
      </c>
      <c r="D125" s="11" t="s">
        <v>195</v>
      </c>
      <c r="E125" s="11" t="s">
        <v>1145</v>
      </c>
      <c r="F125" s="11" t="s">
        <v>1158</v>
      </c>
      <c r="G125" s="11" t="s">
        <v>1147</v>
      </c>
      <c r="H125" s="11" t="s">
        <v>1159</v>
      </c>
      <c r="I125" s="11" t="s">
        <v>1199</v>
      </c>
      <c r="J125" s="11" t="s">
        <v>1200</v>
      </c>
      <c r="K125" s="11" t="s">
        <v>1201</v>
      </c>
      <c r="L125" s="12" t="s">
        <v>273</v>
      </c>
      <c r="M125" s="12" t="s">
        <v>273</v>
      </c>
      <c r="N125" s="11" t="s">
        <v>1202</v>
      </c>
      <c r="O125" s="12" t="s">
        <v>273</v>
      </c>
      <c r="P125" s="12" t="s">
        <v>273</v>
      </c>
      <c r="Q125" s="12" t="s">
        <v>273</v>
      </c>
      <c r="R125" s="12" t="s">
        <v>273</v>
      </c>
      <c r="S125" s="11" t="s">
        <v>196</v>
      </c>
      <c r="T125" s="12" t="s">
        <v>273</v>
      </c>
      <c r="U125" s="12" t="s">
        <v>273</v>
      </c>
      <c r="V125" s="12" t="s">
        <v>273</v>
      </c>
      <c r="W125" s="12" t="s">
        <v>273</v>
      </c>
      <c r="X125" s="31" t="s">
        <v>1752</v>
      </c>
      <c r="Y125" s="30"/>
      <c r="Z125" s="30"/>
      <c r="AA125" s="133" t="str">
        <f>_xlfn.IFS(AND(COUNTIF(Y125,"SCB*")=1, 'PCH320'!G68&gt;=2), "See the Notice *1", TRUE, "")</f>
        <v/>
      </c>
      <c r="AB125" s="29"/>
      <c r="AC125" s="27" t="s">
        <v>272</v>
      </c>
      <c r="AD125" s="27" t="s">
        <v>254</v>
      </c>
      <c r="AE125" s="29"/>
      <c r="AF125" s="29"/>
    </row>
    <row r="126" spans="2:32" x14ac:dyDescent="0.2">
      <c r="B126" s="11" t="s">
        <v>197</v>
      </c>
      <c r="C126" s="11" t="s">
        <v>1753</v>
      </c>
      <c r="D126" s="11" t="s">
        <v>197</v>
      </c>
      <c r="E126" s="11" t="s">
        <v>1136</v>
      </c>
      <c r="F126" s="11" t="s">
        <v>1153</v>
      </c>
      <c r="G126" s="11" t="s">
        <v>1138</v>
      </c>
      <c r="H126" s="11" t="s">
        <v>1154</v>
      </c>
      <c r="I126" s="11" t="s">
        <v>1203</v>
      </c>
      <c r="J126" s="11" t="s">
        <v>1204</v>
      </c>
      <c r="K126" s="12" t="s">
        <v>273</v>
      </c>
      <c r="L126" s="12" t="s">
        <v>273</v>
      </c>
      <c r="M126" s="12" t="s">
        <v>273</v>
      </c>
      <c r="N126" s="11" t="s">
        <v>1205</v>
      </c>
      <c r="O126" s="12" t="s">
        <v>273</v>
      </c>
      <c r="P126" s="12" t="s">
        <v>273</v>
      </c>
      <c r="Q126" s="12" t="s">
        <v>273</v>
      </c>
      <c r="R126" s="12" t="s">
        <v>273</v>
      </c>
      <c r="S126" s="11" t="s">
        <v>198</v>
      </c>
      <c r="T126" s="12" t="s">
        <v>273</v>
      </c>
      <c r="U126" s="12" t="s">
        <v>273</v>
      </c>
      <c r="V126" s="12" t="s">
        <v>273</v>
      </c>
      <c r="W126" s="12" t="s">
        <v>273</v>
      </c>
      <c r="X126" s="31" t="s">
        <v>1755</v>
      </c>
      <c r="Y126" s="30"/>
      <c r="Z126" s="30"/>
      <c r="AA126" s="133" t="str">
        <f>_xlfn.IFS(AND(COUNTIF(Y126,"SCB*")=1, 'PCH320'!G68&gt;=2), "See the Notice *1", TRUE, "")</f>
        <v/>
      </c>
      <c r="AB126" s="29"/>
      <c r="AC126" s="27" t="s">
        <v>272</v>
      </c>
      <c r="AD126" s="27" t="s">
        <v>254</v>
      </c>
      <c r="AE126" s="29"/>
      <c r="AF126" s="29"/>
    </row>
    <row r="127" spans="2:32" x14ac:dyDescent="0.2">
      <c r="B127" s="11" t="s">
        <v>199</v>
      </c>
      <c r="C127" s="11" t="s">
        <v>1756</v>
      </c>
      <c r="D127" s="11" t="s">
        <v>199</v>
      </c>
      <c r="E127" s="11" t="s">
        <v>1128</v>
      </c>
      <c r="F127" s="11" t="s">
        <v>1146</v>
      </c>
      <c r="G127" s="11" t="s">
        <v>1130</v>
      </c>
      <c r="H127" s="11" t="s">
        <v>1148</v>
      </c>
      <c r="I127" s="11" t="s">
        <v>1206</v>
      </c>
      <c r="J127" s="12" t="s">
        <v>273</v>
      </c>
      <c r="K127" s="11" t="s">
        <v>733</v>
      </c>
      <c r="L127" s="12" t="s">
        <v>273</v>
      </c>
      <c r="M127" s="12" t="s">
        <v>273</v>
      </c>
      <c r="N127" s="11" t="s">
        <v>1207</v>
      </c>
      <c r="O127" s="12" t="s">
        <v>273</v>
      </c>
      <c r="P127" s="12" t="s">
        <v>273</v>
      </c>
      <c r="Q127" s="12" t="s">
        <v>273</v>
      </c>
      <c r="R127" s="12" t="s">
        <v>273</v>
      </c>
      <c r="S127" s="12" t="s">
        <v>273</v>
      </c>
      <c r="T127" s="12" t="s">
        <v>273</v>
      </c>
      <c r="U127" s="12" t="s">
        <v>273</v>
      </c>
      <c r="V127" s="12" t="s">
        <v>273</v>
      </c>
      <c r="W127" s="12" t="s">
        <v>273</v>
      </c>
      <c r="X127" s="31" t="s">
        <v>1758</v>
      </c>
      <c r="Y127" s="30"/>
      <c r="Z127" s="30"/>
      <c r="AA127" s="133" t="str">
        <f>_xlfn.IFS(AND(COUNTIF(Y127,"SCB*")=1, 'PCH320'!G68&gt;=2), "See the Notice *1", TRUE, "")</f>
        <v/>
      </c>
      <c r="AB127" s="29"/>
      <c r="AC127" s="27" t="s">
        <v>272</v>
      </c>
      <c r="AD127" s="27" t="s">
        <v>254</v>
      </c>
      <c r="AE127" s="29"/>
      <c r="AF127" s="29"/>
    </row>
    <row r="128" spans="2:32" x14ac:dyDescent="0.2">
      <c r="B128" s="11" t="s">
        <v>200</v>
      </c>
      <c r="C128" s="11" t="s">
        <v>1759</v>
      </c>
      <c r="D128" s="11" t="s">
        <v>200</v>
      </c>
      <c r="E128" s="11" t="s">
        <v>790</v>
      </c>
      <c r="F128" s="11" t="s">
        <v>1137</v>
      </c>
      <c r="G128" s="11" t="s">
        <v>791</v>
      </c>
      <c r="H128" s="11" t="s">
        <v>1139</v>
      </c>
      <c r="I128" s="11" t="s">
        <v>1208</v>
      </c>
      <c r="J128" s="12" t="s">
        <v>273</v>
      </c>
      <c r="K128" s="11" t="s">
        <v>747</v>
      </c>
      <c r="L128" s="12" t="s">
        <v>273</v>
      </c>
      <c r="M128" s="12" t="s">
        <v>273</v>
      </c>
      <c r="N128" s="11" t="s">
        <v>1209</v>
      </c>
      <c r="O128" s="12" t="s">
        <v>273</v>
      </c>
      <c r="P128" s="12" t="s">
        <v>273</v>
      </c>
      <c r="Q128" s="13" t="s">
        <v>273</v>
      </c>
      <c r="R128" s="13" t="s">
        <v>273</v>
      </c>
      <c r="S128" s="13" t="s">
        <v>273</v>
      </c>
      <c r="T128" s="13" t="s">
        <v>273</v>
      </c>
      <c r="U128" s="13" t="s">
        <v>273</v>
      </c>
      <c r="V128" s="13" t="s">
        <v>273</v>
      </c>
      <c r="W128" s="13" t="s">
        <v>273</v>
      </c>
      <c r="X128" s="31" t="s">
        <v>1761</v>
      </c>
      <c r="Y128" s="30"/>
      <c r="Z128" s="30"/>
      <c r="AA128" s="133" t="str">
        <f>_xlfn.IFS(AND(COUNTIF(Y128,"SCB*")=1, 'PCH320'!G68&gt;=2), "See the Notice *1", TRUE, "")</f>
        <v/>
      </c>
      <c r="AB128" s="29"/>
      <c r="AC128" s="27" t="s">
        <v>272</v>
      </c>
      <c r="AD128" s="27" t="s">
        <v>254</v>
      </c>
      <c r="AE128" s="29"/>
      <c r="AF128" s="29"/>
    </row>
    <row r="129" spans="2:32" x14ac:dyDescent="0.2">
      <c r="B129" s="11" t="s">
        <v>201</v>
      </c>
      <c r="C129" s="11" t="s">
        <v>1762</v>
      </c>
      <c r="D129" s="11" t="s">
        <v>201</v>
      </c>
      <c r="E129" s="11" t="s">
        <v>803</v>
      </c>
      <c r="F129" s="11" t="s">
        <v>796</v>
      </c>
      <c r="G129" s="11" t="s">
        <v>805</v>
      </c>
      <c r="H129" s="11" t="s">
        <v>798</v>
      </c>
      <c r="I129" s="12" t="s">
        <v>273</v>
      </c>
      <c r="J129" s="12" t="s">
        <v>273</v>
      </c>
      <c r="K129" s="11" t="s">
        <v>1210</v>
      </c>
      <c r="L129" s="12" t="s">
        <v>273</v>
      </c>
      <c r="M129" s="12" t="s">
        <v>273</v>
      </c>
      <c r="N129" s="11" t="s">
        <v>892</v>
      </c>
      <c r="O129" s="12" t="s">
        <v>273</v>
      </c>
      <c r="P129" s="12" t="s">
        <v>273</v>
      </c>
      <c r="Q129" s="13" t="s">
        <v>273</v>
      </c>
      <c r="R129" s="13" t="s">
        <v>273</v>
      </c>
      <c r="S129" s="13" t="s">
        <v>273</v>
      </c>
      <c r="T129" s="13" t="s">
        <v>273</v>
      </c>
      <c r="U129" s="13" t="s">
        <v>273</v>
      </c>
      <c r="V129" s="13" t="s">
        <v>273</v>
      </c>
      <c r="W129" s="13" t="s">
        <v>273</v>
      </c>
      <c r="X129" s="31" t="s">
        <v>1764</v>
      </c>
      <c r="Y129" s="30"/>
      <c r="Z129" s="30"/>
      <c r="AA129" s="133"/>
      <c r="AB129" s="29"/>
      <c r="AC129" s="27" t="s">
        <v>272</v>
      </c>
      <c r="AD129" s="27" t="s">
        <v>254</v>
      </c>
      <c r="AE129" s="29"/>
      <c r="AF129" s="29"/>
    </row>
    <row r="130" spans="2:32" x14ac:dyDescent="0.2">
      <c r="B130" s="11" t="s">
        <v>202</v>
      </c>
      <c r="C130" s="11" t="s">
        <v>1757</v>
      </c>
      <c r="D130" s="11" t="s">
        <v>202</v>
      </c>
      <c r="E130" s="11" t="s">
        <v>835</v>
      </c>
      <c r="F130" s="11" t="s">
        <v>813</v>
      </c>
      <c r="G130" s="11" t="s">
        <v>837</v>
      </c>
      <c r="H130" s="11" t="s">
        <v>815</v>
      </c>
      <c r="I130" s="11" t="s">
        <v>1160</v>
      </c>
      <c r="J130" s="11" t="s">
        <v>1211</v>
      </c>
      <c r="K130" s="12" t="s">
        <v>273</v>
      </c>
      <c r="L130" s="11" t="s">
        <v>1212</v>
      </c>
      <c r="M130" s="12" t="s">
        <v>273</v>
      </c>
      <c r="N130" s="11" t="s">
        <v>898</v>
      </c>
      <c r="O130" s="12" t="s">
        <v>273</v>
      </c>
      <c r="P130" s="12" t="s">
        <v>273</v>
      </c>
      <c r="Q130" s="11" t="s">
        <v>1261</v>
      </c>
      <c r="R130" s="13" t="s">
        <v>273</v>
      </c>
      <c r="S130" s="13" t="s">
        <v>273</v>
      </c>
      <c r="T130" s="11" t="s">
        <v>2677</v>
      </c>
      <c r="U130" s="13" t="s">
        <v>273</v>
      </c>
      <c r="V130" s="13" t="s">
        <v>273</v>
      </c>
      <c r="W130" s="13" t="s">
        <v>273</v>
      </c>
      <c r="X130" s="31" t="s">
        <v>1766</v>
      </c>
      <c r="Y130" s="30"/>
      <c r="Z130" s="28" t="s">
        <v>273</v>
      </c>
      <c r="AA130" s="133" t="str">
        <f>_xlfn.IFS(AND(COUNTIF(Y130,"SCB*")=1, 'PCH320'!E68&gt;=2), "See the Notice *1", AND(COUNTIF(Y130,"ETH*")=1, 'PCH320'!D223&gt;=2), "See the Notice *1", TRUE, "")</f>
        <v/>
      </c>
      <c r="AB130" s="29"/>
      <c r="AC130" s="27" t="s">
        <v>272</v>
      </c>
      <c r="AD130" s="27" t="s">
        <v>254</v>
      </c>
      <c r="AE130" s="29"/>
      <c r="AF130" s="29"/>
    </row>
    <row r="131" spans="2:32" x14ac:dyDescent="0.2">
      <c r="B131" s="11" t="s">
        <v>203</v>
      </c>
      <c r="C131" s="11" t="s">
        <v>1767</v>
      </c>
      <c r="D131" s="11" t="s">
        <v>203</v>
      </c>
      <c r="E131" s="11" t="s">
        <v>848</v>
      </c>
      <c r="F131" s="11" t="s">
        <v>843</v>
      </c>
      <c r="G131" s="11" t="s">
        <v>849</v>
      </c>
      <c r="H131" s="11" t="s">
        <v>844</v>
      </c>
      <c r="I131" s="11" t="s">
        <v>1162</v>
      </c>
      <c r="J131" s="11" t="s">
        <v>1213</v>
      </c>
      <c r="K131" s="11" t="s">
        <v>1214</v>
      </c>
      <c r="L131" s="11" t="s">
        <v>1215</v>
      </c>
      <c r="M131" s="12" t="s">
        <v>273</v>
      </c>
      <c r="N131" s="11" t="s">
        <v>1216</v>
      </c>
      <c r="O131" s="12" t="s">
        <v>273</v>
      </c>
      <c r="P131" s="12" t="s">
        <v>273</v>
      </c>
      <c r="Q131" s="11" t="s">
        <v>1217</v>
      </c>
      <c r="R131" s="13" t="s">
        <v>273</v>
      </c>
      <c r="S131" s="13" t="s">
        <v>273</v>
      </c>
      <c r="T131" s="11" t="s">
        <v>2679</v>
      </c>
      <c r="U131" s="13" t="s">
        <v>273</v>
      </c>
      <c r="V131" s="13" t="s">
        <v>273</v>
      </c>
      <c r="W131" s="13" t="s">
        <v>273</v>
      </c>
      <c r="X131" s="31" t="s">
        <v>1769</v>
      </c>
      <c r="Y131" s="30"/>
      <c r="Z131" s="28" t="s">
        <v>273</v>
      </c>
      <c r="AA131" s="133" t="str">
        <f>_xlfn.IFS(AND(COUNTIF(Y131,"SCB1*")=1, 'PCH320'!E68&gt;=2), "See the Notice *1", AND(COUNTIF(Y131,"SCB3*")=1, 'PCH320'!G68&gt;=2), "See the Notice *1", AND(COUNTIF(Y131,"ETH*")=1, 'PCH320'!D223&gt;=2), "See the Notice *1", TRUE, "")</f>
        <v/>
      </c>
      <c r="AB131" s="29"/>
      <c r="AC131" s="27" t="s">
        <v>272</v>
      </c>
      <c r="AD131" s="27" t="s">
        <v>254</v>
      </c>
      <c r="AE131" s="29"/>
      <c r="AF131" s="29"/>
    </row>
    <row r="132" spans="2:32" x14ac:dyDescent="0.2">
      <c r="B132" s="11" t="s">
        <v>204</v>
      </c>
      <c r="C132" s="11" t="s">
        <v>1770</v>
      </c>
      <c r="D132" s="11" t="s">
        <v>204</v>
      </c>
      <c r="E132" s="11" t="s">
        <v>1123</v>
      </c>
      <c r="F132" s="11" t="s">
        <v>850</v>
      </c>
      <c r="G132" s="11" t="s">
        <v>1125</v>
      </c>
      <c r="H132" s="11" t="s">
        <v>851</v>
      </c>
      <c r="I132" s="11" t="s">
        <v>1166</v>
      </c>
      <c r="J132" s="11" t="s">
        <v>1218</v>
      </c>
      <c r="K132" s="11" t="s">
        <v>1219</v>
      </c>
      <c r="L132" s="11" t="s">
        <v>1220</v>
      </c>
      <c r="M132" s="12" t="s">
        <v>273</v>
      </c>
      <c r="N132" s="11" t="s">
        <v>1221</v>
      </c>
      <c r="O132" s="12" t="s">
        <v>273</v>
      </c>
      <c r="P132" s="12" t="s">
        <v>273</v>
      </c>
      <c r="Q132" s="11" t="s">
        <v>1222</v>
      </c>
      <c r="R132" s="13" t="s">
        <v>273</v>
      </c>
      <c r="S132" s="13" t="s">
        <v>273</v>
      </c>
      <c r="T132" s="13" t="s">
        <v>273</v>
      </c>
      <c r="U132" s="13" t="s">
        <v>273</v>
      </c>
      <c r="V132" s="13" t="s">
        <v>273</v>
      </c>
      <c r="W132" s="13" t="s">
        <v>273</v>
      </c>
      <c r="X132" s="31" t="s">
        <v>1772</v>
      </c>
      <c r="Y132" s="30"/>
      <c r="Z132" s="28" t="s">
        <v>273</v>
      </c>
      <c r="AA132" s="133" t="str">
        <f>_xlfn.IFS(AND(COUNTIF(Y132,"SCB1*")=1, 'PCH320'!E68&gt;=2), "See the Notice *1", AND(COUNTIF(Y132,"SCB3*")=1, 'PCH320'!G68&gt;=2), "See the Notice *1", AND(COUNTIF(Y132,"ETH*")=1, 'PCH320'!D223&gt;=2), "See the Notice *1", TRUE, "")</f>
        <v/>
      </c>
      <c r="AB132" s="29"/>
      <c r="AC132" s="27" t="s">
        <v>272</v>
      </c>
      <c r="AD132" s="27" t="s">
        <v>254</v>
      </c>
      <c r="AE132" s="29"/>
      <c r="AF132" s="29"/>
    </row>
    <row r="133" spans="2:32" x14ac:dyDescent="0.2">
      <c r="B133" s="11" t="s">
        <v>205</v>
      </c>
      <c r="C133" s="11" t="s">
        <v>1773</v>
      </c>
      <c r="D133" s="11" t="s">
        <v>205</v>
      </c>
      <c r="E133" s="11" t="s">
        <v>1118</v>
      </c>
      <c r="F133" s="11" t="s">
        <v>1129</v>
      </c>
      <c r="G133" s="11" t="s">
        <v>1120</v>
      </c>
      <c r="H133" s="11" t="s">
        <v>1131</v>
      </c>
      <c r="I133" s="11" t="s">
        <v>1168</v>
      </c>
      <c r="J133" s="11" t="s">
        <v>1223</v>
      </c>
      <c r="K133" s="12" t="s">
        <v>273</v>
      </c>
      <c r="L133" s="11" t="s">
        <v>1224</v>
      </c>
      <c r="M133" s="12" t="s">
        <v>273</v>
      </c>
      <c r="N133" s="11" t="s">
        <v>1225</v>
      </c>
      <c r="O133" s="12" t="s">
        <v>273</v>
      </c>
      <c r="P133" s="12" t="s">
        <v>273</v>
      </c>
      <c r="Q133" s="11" t="s">
        <v>1263</v>
      </c>
      <c r="R133" s="13" t="s">
        <v>273</v>
      </c>
      <c r="S133" s="13" t="s">
        <v>273</v>
      </c>
      <c r="T133" s="11" t="s">
        <v>1262</v>
      </c>
      <c r="U133" s="13" t="s">
        <v>273</v>
      </c>
      <c r="V133" s="13" t="s">
        <v>273</v>
      </c>
      <c r="W133" s="13" t="s">
        <v>273</v>
      </c>
      <c r="X133" s="31" t="s">
        <v>1775</v>
      </c>
      <c r="Y133" s="30"/>
      <c r="Z133" s="28" t="s">
        <v>273</v>
      </c>
      <c r="AA133" s="133" t="str">
        <f>_xlfn.IFS(AND(COUNTIF(Y133,"SCB1*")=1, 'PCH320'!E68&gt;=2), "See the Notice *1", AND(COUNTIF(Y133,"SCB3*")=1, 'PCH320'!G68&gt;=2), "See the Notice *1", AND(COUNTIF(Y133,"ETH*")=1, 'PCH320'!D223&gt;=2), "See the Notice *1", TRUE, "")</f>
        <v/>
      </c>
      <c r="AB133" s="29"/>
      <c r="AC133" s="27" t="s">
        <v>272</v>
      </c>
      <c r="AD133" s="27" t="s">
        <v>254</v>
      </c>
      <c r="AE133" s="29"/>
      <c r="AF133" s="29"/>
    </row>
    <row r="134" spans="2:32" x14ac:dyDescent="0.2">
      <c r="B134" s="11" t="s">
        <v>206</v>
      </c>
      <c r="C134" s="11" t="s">
        <v>1776</v>
      </c>
      <c r="D134" s="11" t="s">
        <v>206</v>
      </c>
      <c r="E134" s="11" t="s">
        <v>1112</v>
      </c>
      <c r="F134" s="11" t="s">
        <v>1124</v>
      </c>
      <c r="G134" s="11" t="s">
        <v>1114</v>
      </c>
      <c r="H134" s="11" t="s">
        <v>1126</v>
      </c>
      <c r="I134" s="11" t="s">
        <v>1206</v>
      </c>
      <c r="J134" s="12" t="s">
        <v>273</v>
      </c>
      <c r="K134" s="12" t="s">
        <v>273</v>
      </c>
      <c r="L134" s="11" t="s">
        <v>1226</v>
      </c>
      <c r="M134" s="12" t="s">
        <v>273</v>
      </c>
      <c r="N134" s="11" t="s">
        <v>1227</v>
      </c>
      <c r="O134" s="11" t="s">
        <v>1228</v>
      </c>
      <c r="P134" s="12" t="s">
        <v>273</v>
      </c>
      <c r="Q134" s="11" t="s">
        <v>1229</v>
      </c>
      <c r="R134" s="13" t="s">
        <v>273</v>
      </c>
      <c r="S134" s="13" t="s">
        <v>273</v>
      </c>
      <c r="T134" s="11" t="s">
        <v>1264</v>
      </c>
      <c r="U134" s="13" t="s">
        <v>273</v>
      </c>
      <c r="V134" s="13" t="s">
        <v>273</v>
      </c>
      <c r="W134" s="13" t="s">
        <v>273</v>
      </c>
      <c r="X134" s="31" t="s">
        <v>1778</v>
      </c>
      <c r="Y134" s="30"/>
      <c r="Z134" s="28" t="s">
        <v>273</v>
      </c>
      <c r="AA134" s="133" t="str">
        <f>_xlfn.IFS(AND(COUNTIF(Y134,"SCB1*")=1, 'PCH320'!E68&gt;=2), "See the Notice *1", AND(COUNTIF(Y134,"SCB3*")=1, 'PCH320'!G68&gt;=2), "See the Notice *1", AND(COUNTIF(Y134,"ETH*")=1, 'PCH320'!D223&gt;=2), "See the Notice *1", TRUE, "")</f>
        <v/>
      </c>
      <c r="AB134" s="29"/>
      <c r="AC134" s="27" t="s">
        <v>272</v>
      </c>
      <c r="AD134" s="27" t="s">
        <v>254</v>
      </c>
      <c r="AE134" s="29"/>
      <c r="AF134" s="29"/>
    </row>
    <row r="135" spans="2:32" x14ac:dyDescent="0.2">
      <c r="B135" s="11" t="s">
        <v>207</v>
      </c>
      <c r="C135" s="11" t="s">
        <v>1754</v>
      </c>
      <c r="D135" s="11" t="s">
        <v>207</v>
      </c>
      <c r="E135" s="11" t="s">
        <v>1107</v>
      </c>
      <c r="F135" s="11" t="s">
        <v>1119</v>
      </c>
      <c r="G135" s="11" t="s">
        <v>1109</v>
      </c>
      <c r="H135" s="11" t="s">
        <v>1121</v>
      </c>
      <c r="I135" s="11" t="s">
        <v>1208</v>
      </c>
      <c r="J135" s="12" t="s">
        <v>273</v>
      </c>
      <c r="K135" s="12" t="s">
        <v>273</v>
      </c>
      <c r="L135" s="11" t="s">
        <v>1230</v>
      </c>
      <c r="M135" s="12" t="s">
        <v>273</v>
      </c>
      <c r="N135" s="12" t="s">
        <v>273</v>
      </c>
      <c r="O135" s="11" t="s">
        <v>1231</v>
      </c>
      <c r="P135" s="12" t="s">
        <v>273</v>
      </c>
      <c r="Q135" s="11" t="s">
        <v>1232</v>
      </c>
      <c r="R135" s="13" t="s">
        <v>273</v>
      </c>
      <c r="S135" s="13" t="s">
        <v>273</v>
      </c>
      <c r="T135" s="11" t="s">
        <v>1265</v>
      </c>
      <c r="U135" s="13" t="s">
        <v>273</v>
      </c>
      <c r="V135" s="13" t="s">
        <v>273</v>
      </c>
      <c r="W135" s="13" t="s">
        <v>273</v>
      </c>
      <c r="X135" s="31" t="s">
        <v>1780</v>
      </c>
      <c r="Y135" s="30"/>
      <c r="Z135" s="28" t="s">
        <v>273</v>
      </c>
      <c r="AA135" s="133" t="str">
        <f>_xlfn.IFS(AND(COUNTIF(Y135,"SCB*")=1, 'PCH320'!E68&gt;=2), "See the Notice *1", AND(COUNTIF(Y135,"ETH*")=1, 'PCH320'!D223&gt;=2), "See the Notice *1", TRUE, "")</f>
        <v/>
      </c>
      <c r="AB135" s="29"/>
      <c r="AC135" s="27" t="s">
        <v>272</v>
      </c>
      <c r="AD135" s="27" t="s">
        <v>254</v>
      </c>
      <c r="AE135" s="29"/>
      <c r="AF135" s="29"/>
    </row>
    <row r="136" spans="2:32" x14ac:dyDescent="0.2">
      <c r="B136" s="11" t="s">
        <v>208</v>
      </c>
      <c r="C136" s="11" t="s">
        <v>1777</v>
      </c>
      <c r="D136" s="11" t="s">
        <v>208</v>
      </c>
      <c r="E136" s="11" t="s">
        <v>1100</v>
      </c>
      <c r="F136" s="11" t="s">
        <v>1113</v>
      </c>
      <c r="G136" s="11" t="s">
        <v>1102</v>
      </c>
      <c r="H136" s="11" t="s">
        <v>1115</v>
      </c>
      <c r="I136" s="11" t="s">
        <v>1199</v>
      </c>
      <c r="J136" s="12" t="s">
        <v>273</v>
      </c>
      <c r="K136" s="12" t="s">
        <v>273</v>
      </c>
      <c r="L136" s="11" t="s">
        <v>1233</v>
      </c>
      <c r="M136" s="12" t="s">
        <v>273</v>
      </c>
      <c r="N136" s="11" t="s">
        <v>209</v>
      </c>
      <c r="O136" s="11" t="s">
        <v>1234</v>
      </c>
      <c r="P136" s="12" t="s">
        <v>273</v>
      </c>
      <c r="Q136" s="11" t="s">
        <v>1235</v>
      </c>
      <c r="R136" s="13" t="s">
        <v>273</v>
      </c>
      <c r="S136" s="13" t="s">
        <v>273</v>
      </c>
      <c r="T136" s="11" t="s">
        <v>1266</v>
      </c>
      <c r="U136" s="13" t="s">
        <v>273</v>
      </c>
      <c r="V136" s="13" t="s">
        <v>273</v>
      </c>
      <c r="W136" s="13" t="s">
        <v>273</v>
      </c>
      <c r="X136" s="31" t="s">
        <v>1782</v>
      </c>
      <c r="Y136" s="30"/>
      <c r="Z136" s="28" t="s">
        <v>273</v>
      </c>
      <c r="AA136" s="133" t="str">
        <f>_xlfn.IFS(AND(COUNTIF(Y136,"SCB*")=1, 'PCH320'!E68&gt;=2), "See the Notice *1", AND(COUNTIF(Y136,"ETH*")=1, 'PCH320'!D223&gt;=2), "See the Notice *1", TRUE, "")</f>
        <v/>
      </c>
      <c r="AB136" s="29"/>
      <c r="AC136" s="27" t="s">
        <v>272</v>
      </c>
      <c r="AD136" s="27" t="s">
        <v>254</v>
      </c>
      <c r="AE136" s="29"/>
      <c r="AF136" s="29"/>
    </row>
    <row r="137" spans="2:32" x14ac:dyDescent="0.2">
      <c r="B137" s="11" t="s">
        <v>210</v>
      </c>
      <c r="C137" s="11" t="s">
        <v>1779</v>
      </c>
      <c r="D137" s="11" t="s">
        <v>210</v>
      </c>
      <c r="E137" s="11" t="s">
        <v>1092</v>
      </c>
      <c r="F137" s="11" t="s">
        <v>1108</v>
      </c>
      <c r="G137" s="11" t="s">
        <v>1094</v>
      </c>
      <c r="H137" s="11" t="s">
        <v>1110</v>
      </c>
      <c r="I137" s="11" t="s">
        <v>1203</v>
      </c>
      <c r="J137" s="12" t="s">
        <v>273</v>
      </c>
      <c r="K137" s="12" t="s">
        <v>273</v>
      </c>
      <c r="L137" s="12" t="s">
        <v>273</v>
      </c>
      <c r="M137" s="12" t="s">
        <v>273</v>
      </c>
      <c r="N137" s="11" t="s">
        <v>211</v>
      </c>
      <c r="O137" s="11" t="s">
        <v>1236</v>
      </c>
      <c r="P137" s="12" t="s">
        <v>273</v>
      </c>
      <c r="Q137" s="11" t="s">
        <v>1237</v>
      </c>
      <c r="R137" s="13" t="s">
        <v>273</v>
      </c>
      <c r="S137" s="13" t="s">
        <v>273</v>
      </c>
      <c r="T137" s="11" t="s">
        <v>1267</v>
      </c>
      <c r="U137" s="13" t="s">
        <v>273</v>
      </c>
      <c r="V137" s="13" t="s">
        <v>273</v>
      </c>
      <c r="W137" s="13" t="s">
        <v>273</v>
      </c>
      <c r="X137" s="31" t="s">
        <v>1784</v>
      </c>
      <c r="Y137" s="30"/>
      <c r="Z137" s="28" t="s">
        <v>273</v>
      </c>
      <c r="AA137" s="133" t="str">
        <f>_xlfn.IFS(AND(COUNTIF(Y137,"ETH*")=1, 'PCH320'!D223&gt;=2), "See the Notice *1", TRUE, "")</f>
        <v/>
      </c>
      <c r="AB137" s="29"/>
      <c r="AC137" s="27" t="s">
        <v>272</v>
      </c>
      <c r="AD137" s="27" t="s">
        <v>254</v>
      </c>
      <c r="AE137" s="29"/>
      <c r="AF137" s="29"/>
    </row>
    <row r="138" spans="2:32" x14ac:dyDescent="0.2">
      <c r="B138" s="11" t="s">
        <v>212</v>
      </c>
      <c r="C138" s="11" t="s">
        <v>1785</v>
      </c>
      <c r="D138" s="11" t="s">
        <v>212</v>
      </c>
      <c r="E138" s="11" t="s">
        <v>2712</v>
      </c>
      <c r="F138" s="11" t="s">
        <v>1101</v>
      </c>
      <c r="G138" s="11" t="s">
        <v>661</v>
      </c>
      <c r="H138" s="11" t="s">
        <v>1103</v>
      </c>
      <c r="I138" s="11" t="s">
        <v>1238</v>
      </c>
      <c r="J138" s="11" t="s">
        <v>1239</v>
      </c>
      <c r="K138" s="12" t="s">
        <v>273</v>
      </c>
      <c r="L138" s="11" t="s">
        <v>1240</v>
      </c>
      <c r="M138" s="12" t="s">
        <v>273</v>
      </c>
      <c r="N138" s="11" t="s">
        <v>1134</v>
      </c>
      <c r="O138" s="12" t="s">
        <v>273</v>
      </c>
      <c r="P138" s="12" t="s">
        <v>273</v>
      </c>
      <c r="Q138" s="11" t="s">
        <v>1241</v>
      </c>
      <c r="R138" s="13" t="s">
        <v>273</v>
      </c>
      <c r="S138" s="13" t="s">
        <v>273</v>
      </c>
      <c r="T138" s="11" t="s">
        <v>2680</v>
      </c>
      <c r="U138" s="13" t="s">
        <v>273</v>
      </c>
      <c r="V138" s="13" t="s">
        <v>273</v>
      </c>
      <c r="W138" s="13" t="s">
        <v>273</v>
      </c>
      <c r="X138" s="31" t="s">
        <v>1787</v>
      </c>
      <c r="Y138" s="30"/>
      <c r="Z138" s="28" t="s">
        <v>273</v>
      </c>
      <c r="AA138" s="133" t="str">
        <f>_xlfn.IFS(AND(COUNTIF(Y138,"SCB*")=1, 'PCH320'!F68&gt;=2), "See the Notice *1", AND(COUNTIF(Y138,"ETH*")=1, 'PCH320'!D223&gt;=2), "See the Notice *1", TRUE, "")</f>
        <v/>
      </c>
      <c r="AB138" s="29"/>
      <c r="AC138" s="27" t="s">
        <v>272</v>
      </c>
      <c r="AD138" s="27" t="s">
        <v>254</v>
      </c>
      <c r="AE138" s="29"/>
      <c r="AF138" s="29"/>
    </row>
    <row r="139" spans="2:32" x14ac:dyDescent="0.2">
      <c r="B139" s="11" t="s">
        <v>213</v>
      </c>
      <c r="C139" s="11" t="s">
        <v>1788</v>
      </c>
      <c r="D139" s="11" t="s">
        <v>213</v>
      </c>
      <c r="E139" s="11" t="s">
        <v>893</v>
      </c>
      <c r="F139" s="11" t="s">
        <v>667</v>
      </c>
      <c r="G139" s="11" t="s">
        <v>895</v>
      </c>
      <c r="H139" s="11" t="s">
        <v>669</v>
      </c>
      <c r="I139" s="11" t="s">
        <v>1242</v>
      </c>
      <c r="J139" s="11" t="s">
        <v>1243</v>
      </c>
      <c r="K139" s="17" t="s">
        <v>2687</v>
      </c>
      <c r="L139" s="11" t="s">
        <v>1244</v>
      </c>
      <c r="M139" s="12" t="s">
        <v>273</v>
      </c>
      <c r="N139" s="11" t="s">
        <v>1143</v>
      </c>
      <c r="O139" s="12" t="s">
        <v>273</v>
      </c>
      <c r="P139" s="12" t="s">
        <v>273</v>
      </c>
      <c r="Q139" s="11" t="s">
        <v>1245</v>
      </c>
      <c r="R139" s="13" t="s">
        <v>273</v>
      </c>
      <c r="S139" s="13" t="s">
        <v>273</v>
      </c>
      <c r="T139" s="11" t="s">
        <v>2682</v>
      </c>
      <c r="U139" s="13" t="s">
        <v>273</v>
      </c>
      <c r="V139" s="13" t="s">
        <v>273</v>
      </c>
      <c r="W139" s="13" t="s">
        <v>273</v>
      </c>
      <c r="X139" s="31" t="s">
        <v>1790</v>
      </c>
      <c r="Y139" s="30"/>
      <c r="Z139" s="28" t="s">
        <v>273</v>
      </c>
      <c r="AA139" s="133" t="str">
        <f>_xlfn.IFS(AND(COUNTIF(Y139,"SCB*")=1, 'PCH320'!F68&gt;=2), "See the Notice *1", AND(COUNTIF(Y139,"ETH*")=1, 'PCH320'!D223&gt;=2), "See the Notice *1", TRUE, "")</f>
        <v/>
      </c>
      <c r="AB139" s="29"/>
      <c r="AC139" s="27" t="s">
        <v>272</v>
      </c>
      <c r="AD139" s="27" t="s">
        <v>254</v>
      </c>
      <c r="AE139" s="29"/>
      <c r="AF139" s="29"/>
    </row>
    <row r="140" spans="2:32" x14ac:dyDescent="0.2">
      <c r="B140" s="11" t="s">
        <v>214</v>
      </c>
      <c r="C140" s="11" t="s">
        <v>1791</v>
      </c>
      <c r="D140" s="11" t="s">
        <v>214</v>
      </c>
      <c r="E140" s="11" t="s">
        <v>899</v>
      </c>
      <c r="F140" s="11" t="s">
        <v>900</v>
      </c>
      <c r="G140" s="11" t="s">
        <v>901</v>
      </c>
      <c r="H140" s="11" t="s">
        <v>902</v>
      </c>
      <c r="I140" s="11" t="s">
        <v>1246</v>
      </c>
      <c r="J140" s="11" t="s">
        <v>1247</v>
      </c>
      <c r="K140" s="11" t="s">
        <v>1248</v>
      </c>
      <c r="L140" s="11" t="s">
        <v>1249</v>
      </c>
      <c r="M140" s="12" t="s">
        <v>273</v>
      </c>
      <c r="N140" s="12" t="s">
        <v>273</v>
      </c>
      <c r="O140" s="12" t="s">
        <v>273</v>
      </c>
      <c r="P140" s="12" t="s">
        <v>273</v>
      </c>
      <c r="Q140" s="11" t="s">
        <v>1250</v>
      </c>
      <c r="R140" s="13" t="s">
        <v>273</v>
      </c>
      <c r="S140" s="11" t="s">
        <v>215</v>
      </c>
      <c r="T140" s="13" t="s">
        <v>273</v>
      </c>
      <c r="U140" s="13" t="s">
        <v>273</v>
      </c>
      <c r="V140" s="13" t="s">
        <v>273</v>
      </c>
      <c r="W140" s="13" t="s">
        <v>273</v>
      </c>
      <c r="X140" s="31" t="s">
        <v>1793</v>
      </c>
      <c r="Y140" s="30"/>
      <c r="Z140" s="28" t="s">
        <v>273</v>
      </c>
      <c r="AA140" s="133" t="str">
        <f>_xlfn.IFS(AND(COUNTIF(Y140,"SCB*")=1, 'PCH320'!F68&gt;=2), "See the Notice *1", AND(COUNTIF(Y140,"ETH*")=1, 'PCH320'!D223&gt;=2), "See the Notice *1", TRUE, "")</f>
        <v/>
      </c>
      <c r="AB140" s="29"/>
      <c r="AC140" s="27" t="s">
        <v>272</v>
      </c>
      <c r="AD140" s="27" t="s">
        <v>254</v>
      </c>
      <c r="AE140" s="29"/>
      <c r="AF140" s="29"/>
    </row>
    <row r="141" spans="2:32" x14ac:dyDescent="0.2">
      <c r="B141" s="11" t="s">
        <v>216</v>
      </c>
      <c r="C141" s="11" t="s">
        <v>1783</v>
      </c>
      <c r="D141" s="11" t="s">
        <v>216</v>
      </c>
      <c r="E141" s="11" t="s">
        <v>905</v>
      </c>
      <c r="F141" s="11" t="s">
        <v>906</v>
      </c>
      <c r="G141" s="11" t="s">
        <v>907</v>
      </c>
      <c r="H141" s="11" t="s">
        <v>908</v>
      </c>
      <c r="I141" s="11" t="s">
        <v>1251</v>
      </c>
      <c r="J141" s="11" t="s">
        <v>1252</v>
      </c>
      <c r="K141" s="12" t="s">
        <v>273</v>
      </c>
      <c r="L141" s="11" t="s">
        <v>1253</v>
      </c>
      <c r="M141" s="12" t="s">
        <v>273</v>
      </c>
      <c r="N141" s="12" t="s">
        <v>273</v>
      </c>
      <c r="O141" s="12" t="s">
        <v>273</v>
      </c>
      <c r="P141" s="12" t="s">
        <v>273</v>
      </c>
      <c r="Q141" s="11" t="s">
        <v>1254</v>
      </c>
      <c r="R141" s="13" t="s">
        <v>273</v>
      </c>
      <c r="S141" s="11" t="s">
        <v>217</v>
      </c>
      <c r="T141" s="13" t="s">
        <v>273</v>
      </c>
      <c r="U141" s="13" t="s">
        <v>273</v>
      </c>
      <c r="V141" s="13" t="s">
        <v>273</v>
      </c>
      <c r="W141" s="13" t="s">
        <v>273</v>
      </c>
      <c r="X141" s="31" t="s">
        <v>1794</v>
      </c>
      <c r="Y141" s="30"/>
      <c r="Z141" s="28" t="s">
        <v>273</v>
      </c>
      <c r="AA141" s="133" t="str">
        <f>_xlfn.IFS(AND(COUNTIF(Y141,"SCB*")=1, 'PCH320'!F68&gt;=2), "See the Notice *1", AND(COUNTIF(Y141,"ETH*")=1, 'PCH320'!D223&gt;=2), "See the Notice *1", TRUE, "")</f>
        <v/>
      </c>
      <c r="AB141" s="29"/>
      <c r="AC141" s="27" t="s">
        <v>272</v>
      </c>
      <c r="AD141" s="27" t="s">
        <v>254</v>
      </c>
      <c r="AE141" s="29"/>
      <c r="AF141" s="29"/>
    </row>
    <row r="142" spans="2:32" x14ac:dyDescent="0.2">
      <c r="B142" s="11" t="s">
        <v>218</v>
      </c>
      <c r="C142" s="11" t="s">
        <v>1795</v>
      </c>
      <c r="D142" s="11" t="s">
        <v>218</v>
      </c>
      <c r="E142" s="11" t="s">
        <v>911</v>
      </c>
      <c r="F142" s="11" t="s">
        <v>912</v>
      </c>
      <c r="G142" s="11" t="s">
        <v>913</v>
      </c>
      <c r="H142" s="11" t="s">
        <v>914</v>
      </c>
      <c r="I142" s="11" t="s">
        <v>1255</v>
      </c>
      <c r="J142" s="11" t="s">
        <v>1256</v>
      </c>
      <c r="K142" s="12" t="s">
        <v>273</v>
      </c>
      <c r="L142" s="12" t="s">
        <v>273</v>
      </c>
      <c r="M142" s="12" t="s">
        <v>273</v>
      </c>
      <c r="N142" s="12" t="s">
        <v>273</v>
      </c>
      <c r="O142" s="12" t="s">
        <v>273</v>
      </c>
      <c r="P142" s="12" t="s">
        <v>273</v>
      </c>
      <c r="Q142" s="13" t="s">
        <v>273</v>
      </c>
      <c r="R142" s="13" t="s">
        <v>273</v>
      </c>
      <c r="S142" s="13" t="s">
        <v>273</v>
      </c>
      <c r="T142" s="13" t="s">
        <v>273</v>
      </c>
      <c r="U142" s="13" t="s">
        <v>273</v>
      </c>
      <c r="V142" s="13" t="s">
        <v>273</v>
      </c>
      <c r="W142" s="13" t="s">
        <v>273</v>
      </c>
      <c r="X142" s="31" t="s">
        <v>1797</v>
      </c>
      <c r="Y142" s="30"/>
      <c r="Z142" s="28" t="s">
        <v>273</v>
      </c>
      <c r="AA142" s="133" t="str">
        <f>_xlfn.IFS(AND(COUNTIF(Y142,"SCB*")=1, 'PCH320'!F68&gt;=2), "See the Notice *1", TRUE, "")</f>
        <v/>
      </c>
      <c r="AB142" s="29"/>
      <c r="AC142" s="27" t="s">
        <v>272</v>
      </c>
      <c r="AD142" s="27" t="s">
        <v>254</v>
      </c>
      <c r="AE142" s="29"/>
      <c r="AF142" s="29"/>
    </row>
    <row r="143" spans="2:32" x14ac:dyDescent="0.2">
      <c r="B143" s="11" t="s">
        <v>219</v>
      </c>
      <c r="C143" s="11" t="s">
        <v>1798</v>
      </c>
      <c r="D143" s="11" t="s">
        <v>219</v>
      </c>
      <c r="E143" s="11" t="s">
        <v>918</v>
      </c>
      <c r="F143" s="11" t="s">
        <v>919</v>
      </c>
      <c r="G143" s="11" t="s">
        <v>920</v>
      </c>
      <c r="H143" s="11" t="s">
        <v>921</v>
      </c>
      <c r="I143" s="11" t="s">
        <v>1257</v>
      </c>
      <c r="J143" s="11" t="s">
        <v>1258</v>
      </c>
      <c r="K143" s="12" t="s">
        <v>273</v>
      </c>
      <c r="L143" s="12" t="s">
        <v>273</v>
      </c>
      <c r="M143" s="11" t="s">
        <v>49</v>
      </c>
      <c r="N143" s="12" t="s">
        <v>273</v>
      </c>
      <c r="O143" s="12" t="s">
        <v>273</v>
      </c>
      <c r="P143" s="12" t="s">
        <v>273</v>
      </c>
      <c r="Q143" s="13" t="s">
        <v>273</v>
      </c>
      <c r="R143" s="13" t="s">
        <v>273</v>
      </c>
      <c r="S143" s="13" t="s">
        <v>273</v>
      </c>
      <c r="T143" s="13" t="s">
        <v>273</v>
      </c>
      <c r="U143" s="13" t="s">
        <v>273</v>
      </c>
      <c r="V143" s="13" t="s">
        <v>273</v>
      </c>
      <c r="W143" s="13" t="s">
        <v>273</v>
      </c>
      <c r="X143" s="31" t="s">
        <v>1799</v>
      </c>
      <c r="Y143" s="30"/>
      <c r="Z143" s="28" t="s">
        <v>273</v>
      </c>
      <c r="AA143" s="133" t="str">
        <f>_xlfn.IFS(AND(COUNTIF(Y143,"SCB*")=1, 'PCH320'!F68&gt;=2), "See the Notice *1", TRUE, "")</f>
        <v/>
      </c>
      <c r="AB143" s="29"/>
      <c r="AC143" s="27" t="s">
        <v>272</v>
      </c>
      <c r="AD143" s="27" t="s">
        <v>254</v>
      </c>
      <c r="AE143" s="29"/>
      <c r="AF143" s="29"/>
    </row>
    <row r="144" spans="2:32" x14ac:dyDescent="0.2">
      <c r="B144" s="11" t="s">
        <v>220</v>
      </c>
      <c r="C144" s="11" t="s">
        <v>1800</v>
      </c>
      <c r="D144" s="11" t="s">
        <v>220</v>
      </c>
      <c r="E144" s="11" t="s">
        <v>1083</v>
      </c>
      <c r="F144" s="11" t="s">
        <v>926</v>
      </c>
      <c r="G144" s="11" t="s">
        <v>1085</v>
      </c>
      <c r="H144" s="11" t="s">
        <v>928</v>
      </c>
      <c r="I144" s="11" t="s">
        <v>1259</v>
      </c>
      <c r="J144" s="12" t="s">
        <v>273</v>
      </c>
      <c r="K144" s="12" t="s">
        <v>273</v>
      </c>
      <c r="L144" s="12" t="s">
        <v>273</v>
      </c>
      <c r="M144" s="11" t="s">
        <v>52</v>
      </c>
      <c r="N144" s="12" t="s">
        <v>273</v>
      </c>
      <c r="O144" s="12" t="s">
        <v>273</v>
      </c>
      <c r="P144" s="12" t="s">
        <v>273</v>
      </c>
      <c r="Q144" s="13" t="s">
        <v>273</v>
      </c>
      <c r="R144" s="13" t="s">
        <v>273</v>
      </c>
      <c r="S144" s="13" t="s">
        <v>273</v>
      </c>
      <c r="T144" s="13" t="s">
        <v>273</v>
      </c>
      <c r="U144" s="13" t="s">
        <v>273</v>
      </c>
      <c r="V144" s="13" t="s">
        <v>273</v>
      </c>
      <c r="W144" s="13" t="s">
        <v>273</v>
      </c>
      <c r="X144" s="31" t="s">
        <v>1802</v>
      </c>
      <c r="Y144" s="30"/>
      <c r="Z144" s="28" t="s">
        <v>273</v>
      </c>
      <c r="AA144" s="133"/>
      <c r="AB144" s="29"/>
      <c r="AC144" s="27" t="s">
        <v>272</v>
      </c>
      <c r="AD144" s="27" t="s">
        <v>254</v>
      </c>
      <c r="AE144" s="29"/>
      <c r="AF144" s="29"/>
    </row>
    <row r="145" spans="2:32" x14ac:dyDescent="0.2">
      <c r="B145" s="16" t="s">
        <v>221</v>
      </c>
      <c r="C145" s="11" t="s">
        <v>1801</v>
      </c>
      <c r="D145" s="16" t="s">
        <v>221</v>
      </c>
      <c r="E145" s="16" t="s">
        <v>1075</v>
      </c>
      <c r="F145" s="16" t="s">
        <v>1093</v>
      </c>
      <c r="G145" s="16" t="s">
        <v>1077</v>
      </c>
      <c r="H145" s="16" t="s">
        <v>1095</v>
      </c>
      <c r="I145" s="16" t="s">
        <v>1260</v>
      </c>
      <c r="J145" s="12" t="s">
        <v>273</v>
      </c>
      <c r="K145" s="12" t="s">
        <v>273</v>
      </c>
      <c r="L145" s="12" t="s">
        <v>273</v>
      </c>
      <c r="M145" s="16" t="s">
        <v>55</v>
      </c>
      <c r="N145" s="12" t="s">
        <v>273</v>
      </c>
      <c r="O145" s="12" t="s">
        <v>273</v>
      </c>
      <c r="P145" s="12" t="s">
        <v>273</v>
      </c>
      <c r="Q145" s="13" t="s">
        <v>273</v>
      </c>
      <c r="R145" s="13" t="s">
        <v>273</v>
      </c>
      <c r="S145" s="13" t="s">
        <v>273</v>
      </c>
      <c r="T145" s="13" t="s">
        <v>273</v>
      </c>
      <c r="U145" s="13" t="s">
        <v>273</v>
      </c>
      <c r="V145" s="13" t="s">
        <v>273</v>
      </c>
      <c r="W145" s="13" t="s">
        <v>273</v>
      </c>
      <c r="X145" s="31" t="s">
        <v>1804</v>
      </c>
      <c r="Y145" s="30"/>
      <c r="Z145" s="28" t="s">
        <v>273</v>
      </c>
      <c r="AA145" s="133"/>
      <c r="AB145" s="29"/>
      <c r="AC145" s="27" t="s">
        <v>272</v>
      </c>
      <c r="AD145" s="27" t="s">
        <v>254</v>
      </c>
      <c r="AE145" s="29"/>
      <c r="AF145" s="29"/>
    </row>
    <row r="146" spans="2:32" x14ac:dyDescent="0.2">
      <c r="B146" s="11" t="s">
        <v>222</v>
      </c>
      <c r="C146" s="11" t="s">
        <v>1805</v>
      </c>
      <c r="D146" s="11" t="s">
        <v>222</v>
      </c>
      <c r="E146" s="11" t="s">
        <v>1072</v>
      </c>
      <c r="F146" s="11" t="s">
        <v>1084</v>
      </c>
      <c r="G146" s="11" t="s">
        <v>1073</v>
      </c>
      <c r="H146" s="11" t="s">
        <v>1086</v>
      </c>
      <c r="I146" s="12" t="s">
        <v>273</v>
      </c>
      <c r="J146" s="11" t="s">
        <v>1268</v>
      </c>
      <c r="K146" s="12" t="s">
        <v>273</v>
      </c>
      <c r="L146" s="11" t="s">
        <v>1269</v>
      </c>
      <c r="M146" s="12" t="s">
        <v>273</v>
      </c>
      <c r="N146" s="11" t="s">
        <v>209</v>
      </c>
      <c r="O146" s="12" t="s">
        <v>273</v>
      </c>
      <c r="P146" s="12" t="s">
        <v>273</v>
      </c>
      <c r="Q146" s="13" t="s">
        <v>273</v>
      </c>
      <c r="R146" s="13" t="s">
        <v>273</v>
      </c>
      <c r="S146" s="13" t="s">
        <v>273</v>
      </c>
      <c r="T146" s="13" t="s">
        <v>273</v>
      </c>
      <c r="U146" s="13" t="s">
        <v>273</v>
      </c>
      <c r="V146" s="13" t="s">
        <v>273</v>
      </c>
      <c r="W146" s="13" t="s">
        <v>273</v>
      </c>
      <c r="X146" s="33" t="s">
        <v>273</v>
      </c>
      <c r="Y146" s="30"/>
      <c r="Z146" s="28" t="s">
        <v>273</v>
      </c>
      <c r="AA146" s="133" t="str">
        <f>_xlfn.IFS(AND(COUNTIF(Y146,"SCB*")=1, 'PCH320'!E68&gt;=2), "See the Notice *1", TRUE, "")</f>
        <v/>
      </c>
      <c r="AB146" s="29"/>
      <c r="AC146" s="27" t="s">
        <v>272</v>
      </c>
      <c r="AD146" s="27" t="s">
        <v>254</v>
      </c>
      <c r="AE146" s="29"/>
      <c r="AF146" s="29"/>
    </row>
    <row r="147" spans="2:32" x14ac:dyDescent="0.2">
      <c r="B147" s="11" t="s">
        <v>223</v>
      </c>
      <c r="C147" s="11" t="s">
        <v>1807</v>
      </c>
      <c r="D147" s="11" t="s">
        <v>223</v>
      </c>
      <c r="E147" s="11" t="s">
        <v>1063</v>
      </c>
      <c r="F147" s="11" t="s">
        <v>1076</v>
      </c>
      <c r="G147" s="11" t="s">
        <v>1064</v>
      </c>
      <c r="H147" s="11" t="s">
        <v>1078</v>
      </c>
      <c r="I147" s="12" t="s">
        <v>273</v>
      </c>
      <c r="J147" s="11" t="s">
        <v>1270</v>
      </c>
      <c r="K147" s="11" t="s">
        <v>1271</v>
      </c>
      <c r="L147" s="11" t="s">
        <v>1272</v>
      </c>
      <c r="M147" s="12" t="s">
        <v>273</v>
      </c>
      <c r="N147" s="11" t="s">
        <v>211</v>
      </c>
      <c r="O147" s="12" t="s">
        <v>273</v>
      </c>
      <c r="P147" s="12" t="s">
        <v>273</v>
      </c>
      <c r="Q147" s="13" t="s">
        <v>273</v>
      </c>
      <c r="R147" s="13" t="s">
        <v>273</v>
      </c>
      <c r="S147" s="13" t="s">
        <v>273</v>
      </c>
      <c r="T147" s="13" t="s">
        <v>273</v>
      </c>
      <c r="U147" s="13" t="s">
        <v>273</v>
      </c>
      <c r="V147" s="13" t="s">
        <v>273</v>
      </c>
      <c r="W147" s="13" t="s">
        <v>273</v>
      </c>
      <c r="X147" s="33" t="s">
        <v>273</v>
      </c>
      <c r="Y147" s="30"/>
      <c r="Z147" s="28" t="s">
        <v>273</v>
      </c>
      <c r="AA147" s="133" t="str">
        <f>_xlfn.IFS(AND(COUNTIF(Y147,"SCB*")=1, 'PCH320'!E68&gt;=2), "See the Notice *1", TRUE, "")</f>
        <v/>
      </c>
      <c r="AB147" s="29"/>
      <c r="AC147" s="27" t="s">
        <v>272</v>
      </c>
      <c r="AD147" s="27" t="s">
        <v>254</v>
      </c>
      <c r="AE147" s="29"/>
      <c r="AF147" s="29"/>
    </row>
    <row r="148" spans="2:32" x14ac:dyDescent="0.2">
      <c r="B148" s="11" t="s">
        <v>224</v>
      </c>
      <c r="C148" s="11" t="s">
        <v>1808</v>
      </c>
      <c r="D148" s="11" t="s">
        <v>224</v>
      </c>
      <c r="E148" s="11" t="s">
        <v>1051</v>
      </c>
      <c r="F148" s="11" t="s">
        <v>1067</v>
      </c>
      <c r="G148" s="11" t="s">
        <v>1053</v>
      </c>
      <c r="H148" s="11" t="s">
        <v>1069</v>
      </c>
      <c r="I148" s="12" t="s">
        <v>273</v>
      </c>
      <c r="J148" s="11" t="s">
        <v>1273</v>
      </c>
      <c r="K148" s="11" t="s">
        <v>1274</v>
      </c>
      <c r="L148" s="11" t="s">
        <v>1275</v>
      </c>
      <c r="M148" s="12" t="s">
        <v>273</v>
      </c>
      <c r="N148" s="12" t="s">
        <v>273</v>
      </c>
      <c r="O148" s="12" t="s">
        <v>273</v>
      </c>
      <c r="P148" s="12" t="s">
        <v>273</v>
      </c>
      <c r="Q148" s="13" t="s">
        <v>273</v>
      </c>
      <c r="R148" s="13" t="s">
        <v>273</v>
      </c>
      <c r="S148" s="13" t="s">
        <v>273</v>
      </c>
      <c r="T148" s="13" t="s">
        <v>273</v>
      </c>
      <c r="U148" s="13" t="s">
        <v>273</v>
      </c>
      <c r="V148" s="13" t="s">
        <v>273</v>
      </c>
      <c r="W148" s="13" t="s">
        <v>273</v>
      </c>
      <c r="X148" s="33" t="s">
        <v>273</v>
      </c>
      <c r="Y148" s="30"/>
      <c r="Z148" s="28" t="s">
        <v>273</v>
      </c>
      <c r="AA148" s="133" t="str">
        <f>_xlfn.IFS(AND(COUNTIF(Y148,"SCB*")=1, 'PCH320'!E68&gt;=2), "See the Notice *1", TRUE, "")</f>
        <v/>
      </c>
      <c r="AB148" s="29"/>
      <c r="AC148" s="27" t="s">
        <v>272</v>
      </c>
      <c r="AD148" s="27" t="s">
        <v>254</v>
      </c>
      <c r="AE148" s="29"/>
      <c r="AF148" s="29"/>
    </row>
    <row r="149" spans="2:32" x14ac:dyDescent="0.2">
      <c r="B149" s="11" t="s">
        <v>225</v>
      </c>
      <c r="C149" s="11" t="s">
        <v>1810</v>
      </c>
      <c r="D149" s="11" t="s">
        <v>225</v>
      </c>
      <c r="E149" s="11" t="s">
        <v>1033</v>
      </c>
      <c r="F149" s="11" t="s">
        <v>1058</v>
      </c>
      <c r="G149" s="11" t="s">
        <v>1035</v>
      </c>
      <c r="H149" s="11" t="s">
        <v>1060</v>
      </c>
      <c r="I149" s="12" t="s">
        <v>273</v>
      </c>
      <c r="J149" s="11" t="s">
        <v>1276</v>
      </c>
      <c r="K149" s="12" t="s">
        <v>273</v>
      </c>
      <c r="L149" s="11" t="s">
        <v>1277</v>
      </c>
      <c r="M149" s="12" t="s">
        <v>273</v>
      </c>
      <c r="N149" s="11" t="s">
        <v>1278</v>
      </c>
      <c r="O149" s="12" t="s">
        <v>273</v>
      </c>
      <c r="P149" s="12" t="s">
        <v>273</v>
      </c>
      <c r="Q149" s="13" t="s">
        <v>273</v>
      </c>
      <c r="R149" s="13" t="s">
        <v>273</v>
      </c>
      <c r="S149" s="13" t="s">
        <v>273</v>
      </c>
      <c r="T149" s="13" t="s">
        <v>273</v>
      </c>
      <c r="U149" s="13" t="s">
        <v>273</v>
      </c>
      <c r="V149" s="13" t="s">
        <v>273</v>
      </c>
      <c r="W149" s="13" t="s">
        <v>273</v>
      </c>
      <c r="X149" s="33" t="s">
        <v>273</v>
      </c>
      <c r="Y149" s="30"/>
      <c r="Z149" s="28" t="s">
        <v>273</v>
      </c>
      <c r="AA149" s="133" t="str">
        <f>_xlfn.IFS(AND(COUNTIF(Y149,"SCB*")=1, 'PCH320'!E68&gt;=2), "See the Notice *1", TRUE, "")</f>
        <v/>
      </c>
      <c r="AB149" s="29"/>
      <c r="AC149" s="27" t="s">
        <v>272</v>
      </c>
      <c r="AD149" s="27" t="s">
        <v>254</v>
      </c>
      <c r="AE149" s="29"/>
      <c r="AF149" s="29"/>
    </row>
    <row r="150" spans="2:32" x14ac:dyDescent="0.2">
      <c r="B150" s="11" t="s">
        <v>226</v>
      </c>
      <c r="C150" s="11" t="s">
        <v>1811</v>
      </c>
      <c r="D150" s="11" t="s">
        <v>226</v>
      </c>
      <c r="E150" s="11" t="s">
        <v>1021</v>
      </c>
      <c r="F150" s="11" t="s">
        <v>1043</v>
      </c>
      <c r="G150" s="11" t="s">
        <v>1023</v>
      </c>
      <c r="H150" s="11" t="s">
        <v>1045</v>
      </c>
      <c r="I150" s="12" t="s">
        <v>273</v>
      </c>
      <c r="J150" s="12" t="s">
        <v>273</v>
      </c>
      <c r="K150" s="12" t="s">
        <v>273</v>
      </c>
      <c r="L150" s="11" t="s">
        <v>1279</v>
      </c>
      <c r="M150" s="12" t="s">
        <v>273</v>
      </c>
      <c r="N150" s="11" t="s">
        <v>1280</v>
      </c>
      <c r="O150" s="12" t="s">
        <v>273</v>
      </c>
      <c r="P150" s="12" t="s">
        <v>273</v>
      </c>
      <c r="Q150" s="13" t="s">
        <v>273</v>
      </c>
      <c r="R150" s="13" t="s">
        <v>273</v>
      </c>
      <c r="S150" s="13" t="s">
        <v>273</v>
      </c>
      <c r="T150" s="13" t="s">
        <v>273</v>
      </c>
      <c r="U150" s="13" t="s">
        <v>273</v>
      </c>
      <c r="V150" s="13" t="s">
        <v>273</v>
      </c>
      <c r="W150" s="13" t="s">
        <v>273</v>
      </c>
      <c r="X150" s="33" t="s">
        <v>273</v>
      </c>
      <c r="Y150" s="30"/>
      <c r="Z150" s="28" t="s">
        <v>273</v>
      </c>
      <c r="AA150" s="133" t="str">
        <f>_xlfn.IFS(AND(COUNTIF(Y150,"SCB*")=1, 'PCH320'!E68&gt;=2), "See the Notice *1", TRUE, "")</f>
        <v/>
      </c>
      <c r="AB150" s="29"/>
      <c r="AC150" s="27" t="s">
        <v>272</v>
      </c>
      <c r="AD150" s="27" t="s">
        <v>254</v>
      </c>
      <c r="AE150" s="29"/>
      <c r="AF150" s="29"/>
    </row>
    <row r="151" spans="2:32" x14ac:dyDescent="0.2">
      <c r="B151" s="11" t="s">
        <v>227</v>
      </c>
      <c r="C151" s="11" t="s">
        <v>1813</v>
      </c>
      <c r="D151" s="11" t="s">
        <v>227</v>
      </c>
      <c r="E151" s="11" t="s">
        <v>1017</v>
      </c>
      <c r="F151" s="11" t="s">
        <v>1026</v>
      </c>
      <c r="G151" s="11" t="s">
        <v>1019</v>
      </c>
      <c r="H151" s="11" t="s">
        <v>1028</v>
      </c>
      <c r="I151" s="12" t="s">
        <v>273</v>
      </c>
      <c r="J151" s="12" t="s">
        <v>273</v>
      </c>
      <c r="K151" s="12" t="s">
        <v>273</v>
      </c>
      <c r="L151" s="11" t="s">
        <v>1281</v>
      </c>
      <c r="M151" s="12" t="s">
        <v>273</v>
      </c>
      <c r="N151" s="12" t="s">
        <v>273</v>
      </c>
      <c r="O151" s="12" t="s">
        <v>273</v>
      </c>
      <c r="P151" s="12" t="s">
        <v>273</v>
      </c>
      <c r="Q151" s="13" t="s">
        <v>273</v>
      </c>
      <c r="R151" s="13" t="s">
        <v>273</v>
      </c>
      <c r="S151" s="13" t="s">
        <v>273</v>
      </c>
      <c r="T151" s="13" t="s">
        <v>273</v>
      </c>
      <c r="U151" s="13" t="s">
        <v>273</v>
      </c>
      <c r="V151" s="13" t="s">
        <v>273</v>
      </c>
      <c r="W151" s="13" t="s">
        <v>273</v>
      </c>
      <c r="X151" s="31" t="s">
        <v>345</v>
      </c>
      <c r="Y151" s="30"/>
      <c r="Z151" s="28" t="s">
        <v>273</v>
      </c>
      <c r="AA151" s="133" t="str">
        <f>_xlfn.IFS(AND(COUNTIF(Y151,"SCB*")=1, 'PCH320'!E68&gt;=2), "See the Notice *1", TRUE, "")</f>
        <v/>
      </c>
      <c r="AB151" s="29"/>
      <c r="AC151" s="27" t="s">
        <v>272</v>
      </c>
      <c r="AD151" s="27" t="s">
        <v>254</v>
      </c>
      <c r="AE151" s="29"/>
      <c r="AF151" s="29"/>
    </row>
    <row r="152" spans="2:32" x14ac:dyDescent="0.2">
      <c r="B152" s="11" t="s">
        <v>228</v>
      </c>
      <c r="C152" s="16" t="s">
        <v>1815</v>
      </c>
      <c r="D152" s="11" t="s">
        <v>228</v>
      </c>
      <c r="E152" s="11" t="s">
        <v>1013</v>
      </c>
      <c r="F152" s="11" t="s">
        <v>1022</v>
      </c>
      <c r="G152" s="11" t="s">
        <v>1015</v>
      </c>
      <c r="H152" s="11" t="s">
        <v>1024</v>
      </c>
      <c r="I152" s="12" t="s">
        <v>273</v>
      </c>
      <c r="J152" s="12" t="s">
        <v>273</v>
      </c>
      <c r="K152" s="12" t="s">
        <v>273</v>
      </c>
      <c r="L152" s="12" t="s">
        <v>273</v>
      </c>
      <c r="M152" s="12" t="s">
        <v>273</v>
      </c>
      <c r="N152" s="12" t="s">
        <v>273</v>
      </c>
      <c r="O152" s="12" t="s">
        <v>273</v>
      </c>
      <c r="P152" s="12" t="s">
        <v>273</v>
      </c>
      <c r="Q152" s="13" t="s">
        <v>273</v>
      </c>
      <c r="R152" s="13" t="s">
        <v>273</v>
      </c>
      <c r="S152" s="13" t="s">
        <v>273</v>
      </c>
      <c r="T152" s="13" t="s">
        <v>273</v>
      </c>
      <c r="U152" s="13" t="s">
        <v>273</v>
      </c>
      <c r="V152" s="13" t="s">
        <v>273</v>
      </c>
      <c r="W152" s="13" t="s">
        <v>273</v>
      </c>
      <c r="X152" s="32" t="s">
        <v>346</v>
      </c>
      <c r="Y152" s="30"/>
      <c r="Z152" s="28" t="s">
        <v>273</v>
      </c>
      <c r="AA152" s="133"/>
      <c r="AB152" s="29"/>
      <c r="AC152" s="27" t="s">
        <v>272</v>
      </c>
      <c r="AD152" s="27" t="s">
        <v>254</v>
      </c>
      <c r="AE152" s="29"/>
      <c r="AF152" s="29"/>
    </row>
    <row r="153" spans="2:32" x14ac:dyDescent="0.2">
      <c r="B153" s="11" t="s">
        <v>229</v>
      </c>
      <c r="C153" s="11" t="s">
        <v>1816</v>
      </c>
      <c r="D153" s="11" t="s">
        <v>229</v>
      </c>
      <c r="E153" s="11" t="s">
        <v>1006</v>
      </c>
      <c r="F153" s="11" t="s">
        <v>1018</v>
      </c>
      <c r="G153" s="11" t="s">
        <v>1008</v>
      </c>
      <c r="H153" s="11" t="s">
        <v>1020</v>
      </c>
      <c r="I153" s="12" t="s">
        <v>273</v>
      </c>
      <c r="J153" s="12" t="s">
        <v>273</v>
      </c>
      <c r="K153" s="12" t="s">
        <v>273</v>
      </c>
      <c r="L153" s="12" t="s">
        <v>273</v>
      </c>
      <c r="M153" s="12" t="s">
        <v>273</v>
      </c>
      <c r="N153" s="12" t="s">
        <v>273</v>
      </c>
      <c r="O153" s="11" t="s">
        <v>230</v>
      </c>
      <c r="P153" s="12" t="s">
        <v>273</v>
      </c>
      <c r="Q153" s="13" t="s">
        <v>273</v>
      </c>
      <c r="R153" s="13" t="s">
        <v>273</v>
      </c>
      <c r="S153" s="13" t="s">
        <v>273</v>
      </c>
      <c r="T153" s="11" t="s">
        <v>698</v>
      </c>
      <c r="U153" s="13" t="s">
        <v>273</v>
      </c>
      <c r="V153" s="13" t="s">
        <v>273</v>
      </c>
      <c r="W153" s="13" t="s">
        <v>273</v>
      </c>
      <c r="X153" s="31" t="s">
        <v>347</v>
      </c>
      <c r="Y153" s="30"/>
      <c r="Z153" s="28" t="s">
        <v>273</v>
      </c>
      <c r="AA153" s="133"/>
      <c r="AB153" s="29"/>
      <c r="AC153" s="27" t="s">
        <v>272</v>
      </c>
      <c r="AD153" s="27" t="s">
        <v>254</v>
      </c>
      <c r="AE153" s="29"/>
      <c r="AF153" s="29"/>
    </row>
    <row r="154" spans="2:32" x14ac:dyDescent="0.2">
      <c r="B154" s="11" t="s">
        <v>231</v>
      </c>
      <c r="C154" s="11" t="s">
        <v>1818</v>
      </c>
      <c r="D154" s="11" t="s">
        <v>231</v>
      </c>
      <c r="E154" s="11" t="s">
        <v>998</v>
      </c>
      <c r="F154" s="11" t="s">
        <v>1014</v>
      </c>
      <c r="G154" s="11" t="s">
        <v>1000</v>
      </c>
      <c r="H154" s="11" t="s">
        <v>1016</v>
      </c>
      <c r="I154" s="12" t="s">
        <v>273</v>
      </c>
      <c r="J154" s="12" t="s">
        <v>273</v>
      </c>
      <c r="K154" s="12" t="s">
        <v>273</v>
      </c>
      <c r="L154" s="12" t="s">
        <v>273</v>
      </c>
      <c r="M154" s="12" t="s">
        <v>273</v>
      </c>
      <c r="N154" s="12" t="s">
        <v>273</v>
      </c>
      <c r="O154" s="12" t="s">
        <v>273</v>
      </c>
      <c r="P154" s="12" t="s">
        <v>273</v>
      </c>
      <c r="Q154" s="13" t="s">
        <v>273</v>
      </c>
      <c r="R154" s="13" t="s">
        <v>273</v>
      </c>
      <c r="S154" s="13" t="s">
        <v>273</v>
      </c>
      <c r="T154" s="13" t="s">
        <v>273</v>
      </c>
      <c r="U154" s="13" t="s">
        <v>273</v>
      </c>
      <c r="V154" s="13" t="s">
        <v>273</v>
      </c>
      <c r="W154" s="13" t="s">
        <v>273</v>
      </c>
      <c r="X154" s="31" t="s">
        <v>348</v>
      </c>
      <c r="Y154" s="30"/>
      <c r="Z154" s="28" t="s">
        <v>273</v>
      </c>
      <c r="AA154" s="133"/>
      <c r="AB154" s="29"/>
      <c r="AC154" s="27" t="s">
        <v>272</v>
      </c>
      <c r="AD154" s="27" t="s">
        <v>254</v>
      </c>
      <c r="AE154" s="29"/>
      <c r="AF154" s="29"/>
    </row>
    <row r="155" spans="2:32" x14ac:dyDescent="0.2">
      <c r="B155" s="11" t="s">
        <v>232</v>
      </c>
      <c r="C155" s="11" t="s">
        <v>1819</v>
      </c>
      <c r="D155" s="11" t="s">
        <v>232</v>
      </c>
      <c r="E155" s="11" t="s">
        <v>984</v>
      </c>
      <c r="F155" s="11" t="s">
        <v>1007</v>
      </c>
      <c r="G155" s="11" t="s">
        <v>986</v>
      </c>
      <c r="H155" s="11" t="s">
        <v>1009</v>
      </c>
      <c r="I155" s="12" t="s">
        <v>273</v>
      </c>
      <c r="J155" s="12" t="s">
        <v>273</v>
      </c>
      <c r="K155" s="12" t="s">
        <v>273</v>
      </c>
      <c r="L155" s="12" t="s">
        <v>273</v>
      </c>
      <c r="M155" s="12" t="s">
        <v>273</v>
      </c>
      <c r="N155" s="12" t="s">
        <v>273</v>
      </c>
      <c r="O155" s="12" t="s">
        <v>273</v>
      </c>
      <c r="P155" s="12" t="s">
        <v>273</v>
      </c>
      <c r="Q155" s="13" t="s">
        <v>273</v>
      </c>
      <c r="R155" s="13" t="s">
        <v>273</v>
      </c>
      <c r="S155" s="13" t="s">
        <v>273</v>
      </c>
      <c r="T155" s="13" t="s">
        <v>273</v>
      </c>
      <c r="U155" s="13" t="s">
        <v>273</v>
      </c>
      <c r="V155" s="13" t="s">
        <v>273</v>
      </c>
      <c r="W155" s="13" t="s">
        <v>273</v>
      </c>
      <c r="X155" s="31" t="s">
        <v>350</v>
      </c>
      <c r="Y155" s="30"/>
      <c r="Z155" s="28" t="s">
        <v>273</v>
      </c>
      <c r="AA155" s="133"/>
      <c r="AB155" s="29"/>
      <c r="AC155" s="27" t="s">
        <v>272</v>
      </c>
      <c r="AD155" s="27" t="s">
        <v>254</v>
      </c>
      <c r="AE155" s="29"/>
      <c r="AF155" s="29"/>
    </row>
    <row r="156" spans="2:32" x14ac:dyDescent="0.2">
      <c r="B156" s="11" t="s">
        <v>233</v>
      </c>
      <c r="C156" s="11" t="s">
        <v>1821</v>
      </c>
      <c r="D156" s="11" t="s">
        <v>233</v>
      </c>
      <c r="E156" s="11" t="s">
        <v>975</v>
      </c>
      <c r="F156" s="11" t="s">
        <v>999</v>
      </c>
      <c r="G156" s="11" t="s">
        <v>977</v>
      </c>
      <c r="H156" s="11" t="s">
        <v>1001</v>
      </c>
      <c r="I156" s="12" t="s">
        <v>273</v>
      </c>
      <c r="J156" s="12" t="s">
        <v>273</v>
      </c>
      <c r="K156" s="11" t="s">
        <v>970</v>
      </c>
      <c r="L156" s="11" t="s">
        <v>944</v>
      </c>
      <c r="M156" s="11" t="s">
        <v>38</v>
      </c>
      <c r="N156" s="11" t="s">
        <v>191</v>
      </c>
      <c r="O156" s="11" t="s">
        <v>946</v>
      </c>
      <c r="P156" s="11" t="s">
        <v>973</v>
      </c>
      <c r="Q156" s="11" t="s">
        <v>1282</v>
      </c>
      <c r="R156" s="13" t="s">
        <v>273</v>
      </c>
      <c r="S156" s="13" t="s">
        <v>273</v>
      </c>
      <c r="T156" s="11" t="s">
        <v>1310</v>
      </c>
      <c r="U156" s="13" t="s">
        <v>273</v>
      </c>
      <c r="V156" s="13" t="s">
        <v>273</v>
      </c>
      <c r="W156" s="13" t="s">
        <v>273</v>
      </c>
      <c r="X156" s="33" t="s">
        <v>273</v>
      </c>
      <c r="Y156" s="30"/>
      <c r="Z156" s="28" t="s">
        <v>273</v>
      </c>
      <c r="AA156" s="133" t="str">
        <f>_xlfn.IFS(AND(COUNTIF(Y156,"ETH*")=1, 'PCH320'!D223&gt;=2), "See the Notice *1", TRUE, "")</f>
        <v/>
      </c>
      <c r="AB156" s="29"/>
      <c r="AC156" s="27" t="s">
        <v>272</v>
      </c>
      <c r="AD156" s="27" t="s">
        <v>254</v>
      </c>
      <c r="AE156" s="29"/>
      <c r="AF156" s="29"/>
    </row>
    <row r="157" spans="2:32" x14ac:dyDescent="0.2">
      <c r="B157" s="11" t="s">
        <v>234</v>
      </c>
      <c r="C157" s="11" t="s">
        <v>1823</v>
      </c>
      <c r="D157" s="11" t="s">
        <v>234</v>
      </c>
      <c r="E157" s="11" t="s">
        <v>967</v>
      </c>
      <c r="F157" s="11" t="s">
        <v>985</v>
      </c>
      <c r="G157" s="11" t="s">
        <v>968</v>
      </c>
      <c r="H157" s="11" t="s">
        <v>987</v>
      </c>
      <c r="I157" s="12" t="s">
        <v>273</v>
      </c>
      <c r="J157" s="12" t="s">
        <v>273</v>
      </c>
      <c r="K157" s="12" t="s">
        <v>273</v>
      </c>
      <c r="L157" s="12" t="s">
        <v>273</v>
      </c>
      <c r="M157" s="11" t="s">
        <v>42</v>
      </c>
      <c r="N157" s="11" t="s">
        <v>941</v>
      </c>
      <c r="O157" s="12" t="s">
        <v>273</v>
      </c>
      <c r="P157" s="12" t="s">
        <v>273</v>
      </c>
      <c r="Q157" s="13" t="s">
        <v>273</v>
      </c>
      <c r="R157" s="13" t="s">
        <v>273</v>
      </c>
      <c r="S157" s="13" t="s">
        <v>273</v>
      </c>
      <c r="T157" s="13" t="s">
        <v>273</v>
      </c>
      <c r="U157" s="13" t="s">
        <v>273</v>
      </c>
      <c r="V157" s="13" t="s">
        <v>273</v>
      </c>
      <c r="W157" s="13" t="s">
        <v>273</v>
      </c>
      <c r="X157" s="33" t="s">
        <v>273</v>
      </c>
      <c r="Y157" s="30"/>
      <c r="Z157" s="28" t="s">
        <v>273</v>
      </c>
      <c r="AA157" s="133"/>
      <c r="AB157" s="29"/>
      <c r="AC157" s="27" t="s">
        <v>272</v>
      </c>
      <c r="AD157" s="27" t="s">
        <v>254</v>
      </c>
      <c r="AE157" s="29"/>
      <c r="AF157" s="29"/>
    </row>
    <row r="158" spans="2:32" x14ac:dyDescent="0.2">
      <c r="B158" s="11" t="s">
        <v>2700</v>
      </c>
      <c r="C158" s="11" t="s">
        <v>1825</v>
      </c>
      <c r="D158" s="11" t="s">
        <v>235</v>
      </c>
      <c r="E158" s="11" t="s">
        <v>947</v>
      </c>
      <c r="F158" s="11" t="s">
        <v>976</v>
      </c>
      <c r="G158" s="11" t="s">
        <v>949</v>
      </c>
      <c r="H158" s="11" t="s">
        <v>978</v>
      </c>
      <c r="I158" s="12" t="s">
        <v>273</v>
      </c>
      <c r="J158" s="11" t="s">
        <v>1283</v>
      </c>
      <c r="K158" s="12" t="s">
        <v>273</v>
      </c>
      <c r="L158" s="11" t="s">
        <v>1284</v>
      </c>
      <c r="M158" s="11" t="s">
        <v>46</v>
      </c>
      <c r="N158" s="11" t="s">
        <v>945</v>
      </c>
      <c r="O158" s="12" t="s">
        <v>273</v>
      </c>
      <c r="P158" s="12" t="s">
        <v>273</v>
      </c>
      <c r="Q158" s="13" t="s">
        <v>273</v>
      </c>
      <c r="R158" s="13" t="s">
        <v>273</v>
      </c>
      <c r="S158" s="13" t="s">
        <v>273</v>
      </c>
      <c r="T158" s="11" t="s">
        <v>2668</v>
      </c>
      <c r="U158" s="13" t="s">
        <v>273</v>
      </c>
      <c r="V158" s="11" t="s">
        <v>2381</v>
      </c>
      <c r="W158" s="13" t="s">
        <v>273</v>
      </c>
      <c r="X158" s="33" t="s">
        <v>273</v>
      </c>
      <c r="Y158" s="30"/>
      <c r="Z158" s="28" t="s">
        <v>273</v>
      </c>
      <c r="AA158" s="133" t="str">
        <f>_xlfn.IFS(AND(COUNTIF(Y158,"SCB*")=1, 'PCH320'!J68&gt;=2), "See the Notice *1", TRUE, "")</f>
        <v/>
      </c>
      <c r="AB158" s="29"/>
      <c r="AC158" s="27" t="s">
        <v>272</v>
      </c>
      <c r="AD158" s="27" t="s">
        <v>254</v>
      </c>
      <c r="AE158" s="29"/>
      <c r="AF158" s="29"/>
    </row>
    <row r="159" spans="2:32" x14ac:dyDescent="0.2">
      <c r="B159" s="11" t="s">
        <v>236</v>
      </c>
      <c r="C159" s="11" t="s">
        <v>1826</v>
      </c>
      <c r="D159" s="11" t="s">
        <v>236</v>
      </c>
      <c r="E159" s="11" t="s">
        <v>936</v>
      </c>
      <c r="F159" s="11" t="s">
        <v>948</v>
      </c>
      <c r="G159" s="11" t="s">
        <v>938</v>
      </c>
      <c r="H159" s="11" t="s">
        <v>950</v>
      </c>
      <c r="I159" s="12" t="s">
        <v>273</v>
      </c>
      <c r="J159" s="11" t="s">
        <v>1285</v>
      </c>
      <c r="K159" s="11" t="s">
        <v>1286</v>
      </c>
      <c r="L159" s="11" t="s">
        <v>1287</v>
      </c>
      <c r="M159" s="12" t="s">
        <v>273</v>
      </c>
      <c r="N159" s="11" t="s">
        <v>193</v>
      </c>
      <c r="O159" s="12" t="s">
        <v>273</v>
      </c>
      <c r="P159" s="12" t="s">
        <v>273</v>
      </c>
      <c r="Q159" s="13" t="s">
        <v>273</v>
      </c>
      <c r="R159" s="13" t="s">
        <v>273</v>
      </c>
      <c r="S159" s="13" t="s">
        <v>273</v>
      </c>
      <c r="T159" s="11" t="s">
        <v>1311</v>
      </c>
      <c r="U159" s="13" t="s">
        <v>273</v>
      </c>
      <c r="V159" s="13" t="s">
        <v>273</v>
      </c>
      <c r="W159" s="13" t="s">
        <v>273</v>
      </c>
      <c r="X159" s="31" t="s">
        <v>1856</v>
      </c>
      <c r="Y159" s="30"/>
      <c r="Z159" s="28" t="s">
        <v>273</v>
      </c>
      <c r="AA159" s="133" t="str">
        <f>_xlfn.IFS(AND(COUNTIF(Y159,"SCB*")=1, 'PCH320'!J68&gt;=2), "See the Notice *1", TRUE, "")</f>
        <v/>
      </c>
      <c r="AB159" s="29"/>
      <c r="AC159" s="27" t="s">
        <v>272</v>
      </c>
      <c r="AD159" s="27" t="s">
        <v>254</v>
      </c>
      <c r="AE159" s="29"/>
      <c r="AF159" s="29"/>
    </row>
    <row r="160" spans="2:32" x14ac:dyDescent="0.2">
      <c r="B160" s="11" t="s">
        <v>237</v>
      </c>
      <c r="C160" s="11" t="s">
        <v>1827</v>
      </c>
      <c r="D160" s="11" t="s">
        <v>237</v>
      </c>
      <c r="E160" s="11" t="s">
        <v>931</v>
      </c>
      <c r="F160" s="11" t="s">
        <v>942</v>
      </c>
      <c r="G160" s="11" t="s">
        <v>933</v>
      </c>
      <c r="H160" s="11" t="s">
        <v>943</v>
      </c>
      <c r="I160" s="12" t="s">
        <v>273</v>
      </c>
      <c r="J160" s="11" t="s">
        <v>1288</v>
      </c>
      <c r="K160" s="11" t="s">
        <v>1289</v>
      </c>
      <c r="L160" s="11" t="s">
        <v>1290</v>
      </c>
      <c r="M160" s="12" t="s">
        <v>273</v>
      </c>
      <c r="N160" s="12" t="s">
        <v>273</v>
      </c>
      <c r="O160" s="12" t="s">
        <v>273</v>
      </c>
      <c r="P160" s="12" t="s">
        <v>273</v>
      </c>
      <c r="Q160" s="13" t="s">
        <v>273</v>
      </c>
      <c r="R160" s="13" t="s">
        <v>273</v>
      </c>
      <c r="S160" s="13" t="s">
        <v>273</v>
      </c>
      <c r="T160" s="11" t="s">
        <v>1312</v>
      </c>
      <c r="U160" s="13" t="s">
        <v>273</v>
      </c>
      <c r="V160" s="13" t="s">
        <v>273</v>
      </c>
      <c r="W160" s="13" t="s">
        <v>273</v>
      </c>
      <c r="X160" s="31" t="s">
        <v>1857</v>
      </c>
      <c r="Y160" s="30"/>
      <c r="Z160" s="28" t="s">
        <v>273</v>
      </c>
      <c r="AA160" s="133" t="str">
        <f>_xlfn.IFS(AND(COUNTIF(Y160,"SCB*")=1, 'PCH320'!J68&gt;=2), "See the Notice *1", TRUE, "")</f>
        <v/>
      </c>
      <c r="AB160" s="29"/>
      <c r="AC160" s="27" t="s">
        <v>272</v>
      </c>
      <c r="AD160" s="27" t="s">
        <v>254</v>
      </c>
      <c r="AE160" s="29"/>
      <c r="AF160" s="29"/>
    </row>
    <row r="161" spans="2:32" x14ac:dyDescent="0.2">
      <c r="B161" s="11" t="s">
        <v>238</v>
      </c>
      <c r="C161" s="11" t="s">
        <v>1829</v>
      </c>
      <c r="D161" s="11" t="s">
        <v>238</v>
      </c>
      <c r="E161" s="11" t="s">
        <v>925</v>
      </c>
      <c r="F161" s="11" t="s">
        <v>937</v>
      </c>
      <c r="G161" s="11" t="s">
        <v>927</v>
      </c>
      <c r="H161" s="11" t="s">
        <v>939</v>
      </c>
      <c r="I161" s="12" t="s">
        <v>273</v>
      </c>
      <c r="J161" s="11" t="s">
        <v>1291</v>
      </c>
      <c r="K161" s="12" t="s">
        <v>273</v>
      </c>
      <c r="L161" s="11" t="s">
        <v>1292</v>
      </c>
      <c r="M161" s="12" t="s">
        <v>273</v>
      </c>
      <c r="N161" s="12" t="s">
        <v>273</v>
      </c>
      <c r="O161" s="12" t="s">
        <v>273</v>
      </c>
      <c r="P161" s="12" t="s">
        <v>273</v>
      </c>
      <c r="Q161" s="13" t="s">
        <v>273</v>
      </c>
      <c r="R161" s="13" t="s">
        <v>273</v>
      </c>
      <c r="S161" s="13" t="s">
        <v>273</v>
      </c>
      <c r="T161" s="11" t="s">
        <v>1313</v>
      </c>
      <c r="U161" s="13" t="s">
        <v>273</v>
      </c>
      <c r="V161" s="13" t="s">
        <v>273</v>
      </c>
      <c r="W161" s="13" t="s">
        <v>273</v>
      </c>
      <c r="X161" s="31" t="s">
        <v>1858</v>
      </c>
      <c r="Y161" s="30"/>
      <c r="Z161" s="28" t="s">
        <v>273</v>
      </c>
      <c r="AA161" s="133" t="str">
        <f>_xlfn.IFS(AND(COUNTIF(Y161,"SCB*")=1, 'PCH320'!J68&gt;=2), "See the Notice *1", TRUE, "")</f>
        <v/>
      </c>
      <c r="AB161" s="29"/>
      <c r="AC161" s="27" t="s">
        <v>272</v>
      </c>
      <c r="AD161" s="27" t="s">
        <v>254</v>
      </c>
      <c r="AE161" s="29"/>
      <c r="AF161" s="29"/>
    </row>
    <row r="162" spans="2:32" x14ac:dyDescent="0.2">
      <c r="B162" s="11" t="s">
        <v>239</v>
      </c>
      <c r="C162" s="11" t="s">
        <v>1831</v>
      </c>
      <c r="D162" s="11" t="s">
        <v>239</v>
      </c>
      <c r="E162" s="11" t="s">
        <v>918</v>
      </c>
      <c r="F162" s="11" t="s">
        <v>932</v>
      </c>
      <c r="G162" s="11" t="s">
        <v>920</v>
      </c>
      <c r="H162" s="11" t="s">
        <v>934</v>
      </c>
      <c r="I162" s="12" t="s">
        <v>273</v>
      </c>
      <c r="J162" s="12" t="s">
        <v>273</v>
      </c>
      <c r="K162" s="12" t="s">
        <v>273</v>
      </c>
      <c r="L162" s="11" t="s">
        <v>1293</v>
      </c>
      <c r="M162" s="12" t="s">
        <v>273</v>
      </c>
      <c r="N162" s="12" t="s">
        <v>273</v>
      </c>
      <c r="O162" s="12" t="s">
        <v>273</v>
      </c>
      <c r="P162" s="12" t="s">
        <v>273</v>
      </c>
      <c r="Q162" s="13" t="s">
        <v>273</v>
      </c>
      <c r="R162" s="13" t="s">
        <v>273</v>
      </c>
      <c r="S162" s="13" t="s">
        <v>273</v>
      </c>
      <c r="T162" s="11" t="s">
        <v>1314</v>
      </c>
      <c r="U162" s="13" t="s">
        <v>273</v>
      </c>
      <c r="V162" s="13" t="s">
        <v>273</v>
      </c>
      <c r="W162" s="13" t="s">
        <v>273</v>
      </c>
      <c r="X162" s="33" t="s">
        <v>273</v>
      </c>
      <c r="Y162" s="30"/>
      <c r="Z162" s="28" t="s">
        <v>273</v>
      </c>
      <c r="AA162" s="133" t="str">
        <f>_xlfn.IFS(AND(COUNTIF(Y162,"SCB*")=1, 'PCH320'!J68&gt;=2), "See the Notice *1", TRUE, "")</f>
        <v/>
      </c>
      <c r="AB162" s="29"/>
      <c r="AC162" s="27" t="s">
        <v>272</v>
      </c>
      <c r="AD162" s="27" t="s">
        <v>254</v>
      </c>
      <c r="AE162" s="29"/>
      <c r="AF162" s="29"/>
    </row>
    <row r="163" spans="2:32" x14ac:dyDescent="0.2">
      <c r="B163" s="11" t="s">
        <v>240</v>
      </c>
      <c r="C163" s="11" t="s">
        <v>1828</v>
      </c>
      <c r="D163" s="11" t="s">
        <v>240</v>
      </c>
      <c r="E163" s="11" t="s">
        <v>911</v>
      </c>
      <c r="F163" s="11" t="s">
        <v>926</v>
      </c>
      <c r="G163" s="11" t="s">
        <v>913</v>
      </c>
      <c r="H163" s="11" t="s">
        <v>928</v>
      </c>
      <c r="I163" s="11" t="s">
        <v>855</v>
      </c>
      <c r="J163" s="12" t="s">
        <v>273</v>
      </c>
      <c r="K163" s="12" t="s">
        <v>273</v>
      </c>
      <c r="L163" s="11" t="s">
        <v>1294</v>
      </c>
      <c r="M163" s="11" t="s">
        <v>76</v>
      </c>
      <c r="N163" s="12" t="s">
        <v>273</v>
      </c>
      <c r="O163" s="12" t="s">
        <v>273</v>
      </c>
      <c r="P163" s="12" t="s">
        <v>273</v>
      </c>
      <c r="Q163" s="13" t="s">
        <v>273</v>
      </c>
      <c r="R163" s="13" t="s">
        <v>273</v>
      </c>
      <c r="S163" s="13" t="s">
        <v>273</v>
      </c>
      <c r="T163" s="13" t="s">
        <v>273</v>
      </c>
      <c r="U163" s="13" t="s">
        <v>273</v>
      </c>
      <c r="V163" s="13" t="s">
        <v>273</v>
      </c>
      <c r="W163" s="13" t="s">
        <v>273</v>
      </c>
      <c r="X163" s="33" t="s">
        <v>273</v>
      </c>
      <c r="Y163" s="30"/>
      <c r="Z163" s="28" t="s">
        <v>273</v>
      </c>
      <c r="AA163" s="133" t="str">
        <f>_xlfn.IFS(AND(COUNTIF(Y163,"SCB*")=1, 'PCH320'!J68&gt;=2), "See the Notice *1", TRUE, "")</f>
        <v/>
      </c>
      <c r="AB163" s="29"/>
      <c r="AC163" s="27" t="s">
        <v>272</v>
      </c>
      <c r="AD163" s="27" t="s">
        <v>254</v>
      </c>
      <c r="AE163" s="29"/>
      <c r="AF163" s="29"/>
    </row>
    <row r="164" spans="2:32" x14ac:dyDescent="0.2">
      <c r="B164" s="11" t="s">
        <v>241</v>
      </c>
      <c r="C164" s="11" t="s">
        <v>1833</v>
      </c>
      <c r="D164" s="11" t="s">
        <v>241</v>
      </c>
      <c r="E164" s="11" t="s">
        <v>905</v>
      </c>
      <c r="F164" s="11" t="s">
        <v>919</v>
      </c>
      <c r="G164" s="11" t="s">
        <v>907</v>
      </c>
      <c r="H164" s="11" t="s">
        <v>921</v>
      </c>
      <c r="I164" s="11" t="s">
        <v>862</v>
      </c>
      <c r="J164" s="12" t="s">
        <v>273</v>
      </c>
      <c r="K164" s="12" t="s">
        <v>273</v>
      </c>
      <c r="L164" s="12" t="s">
        <v>273</v>
      </c>
      <c r="M164" s="11" t="s">
        <v>78</v>
      </c>
      <c r="N164" s="12" t="s">
        <v>273</v>
      </c>
      <c r="O164" s="12" t="s">
        <v>273</v>
      </c>
      <c r="P164" s="12" t="s">
        <v>273</v>
      </c>
      <c r="Q164" s="13" t="s">
        <v>273</v>
      </c>
      <c r="R164" s="13" t="s">
        <v>273</v>
      </c>
      <c r="S164" s="13" t="s">
        <v>273</v>
      </c>
      <c r="T164" s="13" t="s">
        <v>273</v>
      </c>
      <c r="U164" s="13" t="s">
        <v>273</v>
      </c>
      <c r="V164" s="13" t="s">
        <v>273</v>
      </c>
      <c r="W164" s="13" t="s">
        <v>273</v>
      </c>
      <c r="X164" s="33" t="s">
        <v>273</v>
      </c>
      <c r="Y164" s="30"/>
      <c r="Z164" s="28" t="s">
        <v>273</v>
      </c>
      <c r="AA164" s="133"/>
      <c r="AB164" s="29"/>
      <c r="AC164" s="27" t="s">
        <v>272</v>
      </c>
      <c r="AD164" s="27" t="s">
        <v>254</v>
      </c>
      <c r="AE164" s="29"/>
      <c r="AF164" s="29"/>
    </row>
    <row r="165" spans="2:32" x14ac:dyDescent="0.2">
      <c r="B165" s="11" t="s">
        <v>242</v>
      </c>
      <c r="C165" s="11" t="s">
        <v>1835</v>
      </c>
      <c r="D165" s="11" t="s">
        <v>242</v>
      </c>
      <c r="E165" s="11" t="s">
        <v>899</v>
      </c>
      <c r="F165" s="11" t="s">
        <v>912</v>
      </c>
      <c r="G165" s="11" t="s">
        <v>901</v>
      </c>
      <c r="H165" s="11" t="s">
        <v>914</v>
      </c>
      <c r="I165" s="11" t="s">
        <v>869</v>
      </c>
      <c r="J165" s="12" t="s">
        <v>273</v>
      </c>
      <c r="K165" s="11" t="s">
        <v>1116</v>
      </c>
      <c r="L165" s="12" t="s">
        <v>273</v>
      </c>
      <c r="M165" s="11" t="s">
        <v>80</v>
      </c>
      <c r="N165" s="12" t="s">
        <v>273</v>
      </c>
      <c r="O165" s="12" t="s">
        <v>273</v>
      </c>
      <c r="P165" s="12" t="s">
        <v>273</v>
      </c>
      <c r="Q165" s="13" t="s">
        <v>273</v>
      </c>
      <c r="R165" s="13" t="s">
        <v>273</v>
      </c>
      <c r="S165" s="13" t="s">
        <v>273</v>
      </c>
      <c r="T165" s="13" t="s">
        <v>273</v>
      </c>
      <c r="U165" s="13" t="s">
        <v>273</v>
      </c>
      <c r="V165" s="13" t="s">
        <v>273</v>
      </c>
      <c r="W165" s="13" t="s">
        <v>273</v>
      </c>
      <c r="X165" s="33" t="s">
        <v>273</v>
      </c>
      <c r="Y165" s="30"/>
      <c r="Z165" s="28" t="s">
        <v>273</v>
      </c>
      <c r="AA165" s="133"/>
      <c r="AB165" s="29"/>
      <c r="AC165" s="27" t="s">
        <v>272</v>
      </c>
      <c r="AD165" s="27" t="s">
        <v>254</v>
      </c>
      <c r="AE165" s="29"/>
      <c r="AF165" s="29"/>
    </row>
    <row r="166" spans="2:32" x14ac:dyDescent="0.2">
      <c r="B166" s="11" t="s">
        <v>243</v>
      </c>
      <c r="C166" s="11" t="s">
        <v>1837</v>
      </c>
      <c r="D166" s="11" t="s">
        <v>243</v>
      </c>
      <c r="E166" s="11" t="s">
        <v>1025</v>
      </c>
      <c r="F166" s="11" t="s">
        <v>906</v>
      </c>
      <c r="G166" s="11" t="s">
        <v>1027</v>
      </c>
      <c r="H166" s="11" t="s">
        <v>908</v>
      </c>
      <c r="I166" s="11" t="s">
        <v>876</v>
      </c>
      <c r="J166" s="11" t="s">
        <v>1295</v>
      </c>
      <c r="K166" s="11" t="s">
        <v>1122</v>
      </c>
      <c r="L166" s="11" t="s">
        <v>1296</v>
      </c>
      <c r="M166" s="12" t="s">
        <v>273</v>
      </c>
      <c r="N166" s="11" t="s">
        <v>171</v>
      </c>
      <c r="O166" s="12" t="s">
        <v>273</v>
      </c>
      <c r="P166" s="12" t="s">
        <v>273</v>
      </c>
      <c r="Q166" s="13" t="s">
        <v>273</v>
      </c>
      <c r="R166" s="13" t="s">
        <v>273</v>
      </c>
      <c r="S166" s="13" t="s">
        <v>273</v>
      </c>
      <c r="T166" s="11" t="s">
        <v>2677</v>
      </c>
      <c r="U166" s="13" t="s">
        <v>273</v>
      </c>
      <c r="V166" s="13" t="s">
        <v>273</v>
      </c>
      <c r="W166" s="13" t="s">
        <v>273</v>
      </c>
      <c r="X166" s="33" t="s">
        <v>273</v>
      </c>
      <c r="Y166" s="30"/>
      <c r="Z166" s="28" t="s">
        <v>273</v>
      </c>
      <c r="AA166" s="133" t="str">
        <f>_xlfn.IFS(AND(COUNTIF(Y166,"SCB*")=1, 'PCH320'!K68&gt;=2), "See the Notice *1", TRUE, "")</f>
        <v/>
      </c>
      <c r="AB166" s="29"/>
      <c r="AC166" s="27" t="s">
        <v>272</v>
      </c>
      <c r="AD166" s="27" t="s">
        <v>254</v>
      </c>
      <c r="AE166" s="29"/>
      <c r="AF166" s="29"/>
    </row>
    <row r="167" spans="2:32" x14ac:dyDescent="0.2">
      <c r="B167" s="11" t="s">
        <v>244</v>
      </c>
      <c r="C167" s="11" t="s">
        <v>1830</v>
      </c>
      <c r="D167" s="11" t="s">
        <v>244</v>
      </c>
      <c r="E167" s="11" t="s">
        <v>1042</v>
      </c>
      <c r="F167" s="11" t="s">
        <v>1034</v>
      </c>
      <c r="G167" s="11" t="s">
        <v>1044</v>
      </c>
      <c r="H167" s="11" t="s">
        <v>1036</v>
      </c>
      <c r="I167" s="12" t="s">
        <v>273</v>
      </c>
      <c r="J167" s="11" t="s">
        <v>1297</v>
      </c>
      <c r="K167" s="11" t="s">
        <v>1298</v>
      </c>
      <c r="L167" s="11" t="s">
        <v>1299</v>
      </c>
      <c r="M167" s="12" t="s">
        <v>273</v>
      </c>
      <c r="N167" s="11" t="s">
        <v>173</v>
      </c>
      <c r="O167" s="12" t="s">
        <v>273</v>
      </c>
      <c r="P167" s="12" t="s">
        <v>273</v>
      </c>
      <c r="Q167" s="13" t="s">
        <v>273</v>
      </c>
      <c r="R167" s="13" t="s">
        <v>273</v>
      </c>
      <c r="S167" s="13" t="s">
        <v>273</v>
      </c>
      <c r="T167" s="11" t="s">
        <v>2679</v>
      </c>
      <c r="U167" s="13" t="s">
        <v>273</v>
      </c>
      <c r="V167" s="13" t="s">
        <v>273</v>
      </c>
      <c r="W167" s="13" t="s">
        <v>273</v>
      </c>
      <c r="X167" s="33" t="s">
        <v>273</v>
      </c>
      <c r="Y167" s="30"/>
      <c r="Z167" s="28" t="s">
        <v>273</v>
      </c>
      <c r="AA167" s="133" t="str">
        <f>_xlfn.IFS(AND(COUNTIF(Y167,"SCB*")=1, 'PCH320'!K68&gt;=2), "See the Notice *1", TRUE, "")</f>
        <v/>
      </c>
      <c r="AB167" s="29"/>
      <c r="AC167" s="27" t="s">
        <v>272</v>
      </c>
      <c r="AD167" s="27" t="s">
        <v>254</v>
      </c>
      <c r="AE167" s="29"/>
      <c r="AF167" s="29"/>
    </row>
    <row r="168" spans="2:32" x14ac:dyDescent="0.2">
      <c r="B168" s="11" t="s">
        <v>245</v>
      </c>
      <c r="C168" s="11" t="s">
        <v>1839</v>
      </c>
      <c r="D168" s="11" t="s">
        <v>2708</v>
      </c>
      <c r="E168" s="11" t="s">
        <v>2665</v>
      </c>
      <c r="F168" s="11" t="s">
        <v>1052</v>
      </c>
      <c r="G168" s="11" t="s">
        <v>1059</v>
      </c>
      <c r="H168" s="11" t="s">
        <v>1054</v>
      </c>
      <c r="I168" s="12" t="s">
        <v>273</v>
      </c>
      <c r="J168" s="11" t="s">
        <v>1300</v>
      </c>
      <c r="K168" s="11" t="s">
        <v>1301</v>
      </c>
      <c r="L168" s="11" t="s">
        <v>1302</v>
      </c>
      <c r="M168" s="11" t="s">
        <v>146</v>
      </c>
      <c r="N168" s="12" t="s">
        <v>273</v>
      </c>
      <c r="O168" s="12" t="s">
        <v>273</v>
      </c>
      <c r="P168" s="12" t="s">
        <v>273</v>
      </c>
      <c r="Q168" s="13" t="s">
        <v>273</v>
      </c>
      <c r="R168" s="13" t="s">
        <v>273</v>
      </c>
      <c r="S168" s="13" t="s">
        <v>273</v>
      </c>
      <c r="T168" s="11" t="s">
        <v>2680</v>
      </c>
      <c r="U168" s="13" t="s">
        <v>273</v>
      </c>
      <c r="V168" s="13" t="s">
        <v>273</v>
      </c>
      <c r="W168" s="13" t="s">
        <v>273</v>
      </c>
      <c r="X168" s="33" t="s">
        <v>273</v>
      </c>
      <c r="Y168" s="30"/>
      <c r="Z168" s="28" t="s">
        <v>273</v>
      </c>
      <c r="AA168" s="133" t="str">
        <f>_xlfn.IFS(AND(COUNTIF(Y168,"SCB*")=1, 'PCH320'!K68&gt;=2), "See the Notice *1", TRUE, "")</f>
        <v/>
      </c>
      <c r="AB168" s="29"/>
      <c r="AC168" s="27" t="s">
        <v>272</v>
      </c>
      <c r="AD168" s="27" t="s">
        <v>254</v>
      </c>
      <c r="AE168" s="29"/>
      <c r="AF168" s="29"/>
    </row>
    <row r="169" spans="2:32" x14ac:dyDescent="0.2">
      <c r="B169" s="11" t="s">
        <v>2704</v>
      </c>
      <c r="C169" s="11" t="s">
        <v>1841</v>
      </c>
      <c r="D169" s="11" t="s">
        <v>2704</v>
      </c>
      <c r="E169" s="11" t="s">
        <v>2666</v>
      </c>
      <c r="F169" s="11" t="s">
        <v>2663</v>
      </c>
      <c r="G169" s="11" t="s">
        <v>1068</v>
      </c>
      <c r="H169" s="11" t="s">
        <v>2705</v>
      </c>
      <c r="I169" s="12" t="s">
        <v>273</v>
      </c>
      <c r="J169" s="11" t="s">
        <v>1303</v>
      </c>
      <c r="K169" s="12" t="s">
        <v>273</v>
      </c>
      <c r="L169" s="11" t="s">
        <v>1939</v>
      </c>
      <c r="M169" s="11" t="s">
        <v>149</v>
      </c>
      <c r="N169" s="12" t="s">
        <v>273</v>
      </c>
      <c r="O169" s="12" t="s">
        <v>273</v>
      </c>
      <c r="P169" s="12" t="s">
        <v>273</v>
      </c>
      <c r="Q169" s="11" t="s">
        <v>1304</v>
      </c>
      <c r="R169" s="13" t="s">
        <v>273</v>
      </c>
      <c r="S169" s="11" t="s">
        <v>247</v>
      </c>
      <c r="T169" s="11" t="s">
        <v>2682</v>
      </c>
      <c r="U169" s="13" t="s">
        <v>273</v>
      </c>
      <c r="V169" s="13" t="s">
        <v>273</v>
      </c>
      <c r="W169" s="13" t="s">
        <v>273</v>
      </c>
      <c r="X169" s="33" t="s">
        <v>273</v>
      </c>
      <c r="Y169" s="30"/>
      <c r="Z169" s="28" t="s">
        <v>273</v>
      </c>
      <c r="AA169" s="133" t="str">
        <f>_xlfn.IFS(AND(COUNTIF(Y169,"ETH*")=1, 'PCH320'!D223&gt;=2), "See the Notice *1", TRUE, "")</f>
        <v/>
      </c>
      <c r="AB169" s="29"/>
      <c r="AC169" s="27" t="s">
        <v>272</v>
      </c>
      <c r="AD169" s="27" t="s">
        <v>254</v>
      </c>
      <c r="AE169" s="29"/>
      <c r="AF169" s="29"/>
    </row>
    <row r="170" spans="2:32" x14ac:dyDescent="0.2">
      <c r="B170" s="11" t="s">
        <v>248</v>
      </c>
      <c r="C170" s="11" t="s">
        <v>1843</v>
      </c>
      <c r="D170" s="11" t="s">
        <v>2710</v>
      </c>
      <c r="E170" s="11" t="s">
        <v>887</v>
      </c>
      <c r="F170" s="11" t="s">
        <v>2664</v>
      </c>
      <c r="G170" s="11" t="s">
        <v>889</v>
      </c>
      <c r="H170" s="11" t="s">
        <v>2706</v>
      </c>
      <c r="I170" s="11" t="s">
        <v>885</v>
      </c>
      <c r="J170" s="11" t="s">
        <v>1305</v>
      </c>
      <c r="K170" s="12" t="s">
        <v>273</v>
      </c>
      <c r="L170" s="11" t="s">
        <v>1306</v>
      </c>
      <c r="M170" s="12" t="s">
        <v>273</v>
      </c>
      <c r="N170" s="12" t="s">
        <v>273</v>
      </c>
      <c r="O170" s="12" t="s">
        <v>273</v>
      </c>
      <c r="P170" s="12" t="s">
        <v>273</v>
      </c>
      <c r="Q170" s="13" t="s">
        <v>273</v>
      </c>
      <c r="R170" s="13" t="s">
        <v>273</v>
      </c>
      <c r="S170" s="11" t="s">
        <v>249</v>
      </c>
      <c r="T170" s="11" t="s">
        <v>697</v>
      </c>
      <c r="U170" s="13" t="s">
        <v>273</v>
      </c>
      <c r="V170" s="11" t="s">
        <v>1859</v>
      </c>
      <c r="W170" s="13" t="s">
        <v>273</v>
      </c>
      <c r="X170" s="33" t="s">
        <v>273</v>
      </c>
      <c r="Y170" s="30"/>
      <c r="Z170" s="28" t="s">
        <v>273</v>
      </c>
      <c r="AA170" s="133" t="str">
        <f>_xlfn.IFS(AND(COUNTIF(Y170,"SCB2*")=1, 'PCH320'!F68&gt;=2), "See the Notice *1", AND(COUNTIF(Y170,"SCB7*")=1, 'PCH320'!K68&gt;=2), "See the Notice *1", TRUE, "")</f>
        <v/>
      </c>
      <c r="AB170" s="29"/>
      <c r="AC170" s="27" t="s">
        <v>272</v>
      </c>
      <c r="AD170" s="27" t="s">
        <v>254</v>
      </c>
      <c r="AE170" s="29"/>
      <c r="AF170" s="29"/>
    </row>
    <row r="171" spans="2:32" x14ac:dyDescent="0.2">
      <c r="B171" s="11" t="s">
        <v>250</v>
      </c>
      <c r="C171" s="11" t="s">
        <v>1845</v>
      </c>
      <c r="D171" s="11" t="s">
        <v>250</v>
      </c>
      <c r="E171" s="11" t="s">
        <v>881</v>
      </c>
      <c r="F171" s="11" t="s">
        <v>894</v>
      </c>
      <c r="G171" s="11" t="s">
        <v>883</v>
      </c>
      <c r="H171" s="11" t="s">
        <v>896</v>
      </c>
      <c r="I171" s="11" t="s">
        <v>891</v>
      </c>
      <c r="J171" s="11" t="s">
        <v>1307</v>
      </c>
      <c r="K171" s="12" t="s">
        <v>273</v>
      </c>
      <c r="L171" s="11" t="s">
        <v>1308</v>
      </c>
      <c r="M171" s="12" t="s">
        <v>273</v>
      </c>
      <c r="N171" s="12" t="s">
        <v>273</v>
      </c>
      <c r="O171" s="12" t="s">
        <v>273</v>
      </c>
      <c r="P171" s="11" t="s">
        <v>761</v>
      </c>
      <c r="Q171" s="13" t="s">
        <v>273</v>
      </c>
      <c r="R171" s="13" t="s">
        <v>273</v>
      </c>
      <c r="S171" s="13" t="s">
        <v>273</v>
      </c>
      <c r="T171" s="13" t="s">
        <v>273</v>
      </c>
      <c r="U171" s="13" t="s">
        <v>273</v>
      </c>
      <c r="V171" s="11" t="s">
        <v>1860</v>
      </c>
      <c r="W171" s="13" t="s">
        <v>273</v>
      </c>
      <c r="X171" s="33" t="s">
        <v>273</v>
      </c>
      <c r="Y171" s="30"/>
      <c r="Z171" s="28" t="s">
        <v>273</v>
      </c>
      <c r="AA171" s="133" t="str">
        <f>_xlfn.IFS(AND(COUNTIF(Y171,"SCB2*")=1, 'PCH320'!F68&gt;=2), "See the Notice *1", AND(COUNTIF(Y171,"SCB7*")=1, 'PCH320'!K68&gt;=2), "See the Notice *1", TRUE, "")</f>
        <v/>
      </c>
      <c r="AB171" s="29"/>
      <c r="AC171" s="27" t="s">
        <v>272</v>
      </c>
      <c r="AD171" s="27" t="s">
        <v>254</v>
      </c>
      <c r="AE171" s="29"/>
      <c r="AF171" s="29"/>
    </row>
    <row r="172" spans="2:32" x14ac:dyDescent="0.2">
      <c r="B172" s="16" t="s">
        <v>251</v>
      </c>
      <c r="C172" s="11" t="s">
        <v>1844</v>
      </c>
      <c r="D172" s="16" t="s">
        <v>251</v>
      </c>
      <c r="E172" s="16" t="s">
        <v>878</v>
      </c>
      <c r="F172" s="16" t="s">
        <v>888</v>
      </c>
      <c r="G172" s="16" t="s">
        <v>879</v>
      </c>
      <c r="H172" s="16" t="s">
        <v>890</v>
      </c>
      <c r="I172" s="16" t="s">
        <v>897</v>
      </c>
      <c r="J172" s="16" t="s">
        <v>1309</v>
      </c>
      <c r="K172" s="12" t="s">
        <v>273</v>
      </c>
      <c r="L172" s="12" t="s">
        <v>273</v>
      </c>
      <c r="M172" s="12" t="s">
        <v>273</v>
      </c>
      <c r="N172" s="12" t="s">
        <v>273</v>
      </c>
      <c r="O172" s="12" t="s">
        <v>273</v>
      </c>
      <c r="P172" s="16" t="s">
        <v>763</v>
      </c>
      <c r="Q172" s="13" t="s">
        <v>273</v>
      </c>
      <c r="R172" s="13" t="s">
        <v>273</v>
      </c>
      <c r="S172" s="13" t="s">
        <v>273</v>
      </c>
      <c r="T172" s="13" t="s">
        <v>273</v>
      </c>
      <c r="U172" s="13" t="s">
        <v>273</v>
      </c>
      <c r="V172" s="11" t="s">
        <v>1861</v>
      </c>
      <c r="W172" s="13" t="s">
        <v>273</v>
      </c>
      <c r="X172" s="33" t="s">
        <v>273</v>
      </c>
      <c r="Y172" s="30"/>
      <c r="Z172" s="28" t="s">
        <v>273</v>
      </c>
      <c r="AA172" s="133" t="str">
        <f>_xlfn.IFS(AND(COUNTIF(Y172,"SCB*")=1, 'PCH320'!F68&gt;=2), "See the Notice *1", TRUE, "")</f>
        <v/>
      </c>
      <c r="AB172" s="29"/>
      <c r="AC172" s="27" t="s">
        <v>272</v>
      </c>
      <c r="AD172" s="27" t="s">
        <v>254</v>
      </c>
      <c r="AE172" s="29"/>
      <c r="AF172" s="29"/>
    </row>
    <row r="173" spans="2:32" x14ac:dyDescent="0.2">
      <c r="B173" s="11" t="s">
        <v>2701</v>
      </c>
      <c r="C173" s="11" t="s">
        <v>1838</v>
      </c>
      <c r="D173" s="11" t="s">
        <v>252</v>
      </c>
      <c r="E173" s="11" t="s">
        <v>872</v>
      </c>
      <c r="F173" s="11" t="s">
        <v>882</v>
      </c>
      <c r="G173" s="11" t="s">
        <v>874</v>
      </c>
      <c r="H173" s="11" t="s">
        <v>884</v>
      </c>
      <c r="I173" s="11" t="s">
        <v>903</v>
      </c>
      <c r="J173" s="11" t="s">
        <v>1315</v>
      </c>
      <c r="K173" s="12" t="s">
        <v>273</v>
      </c>
      <c r="L173" s="12" t="s">
        <v>273</v>
      </c>
      <c r="M173" s="12" t="s">
        <v>273</v>
      </c>
      <c r="N173" s="12" t="s">
        <v>273</v>
      </c>
      <c r="O173" s="11" t="s">
        <v>230</v>
      </c>
      <c r="P173" s="11" t="s">
        <v>768</v>
      </c>
      <c r="Q173" s="13" t="s">
        <v>273</v>
      </c>
      <c r="R173" s="13" t="s">
        <v>273</v>
      </c>
      <c r="S173" s="13" t="s">
        <v>273</v>
      </c>
      <c r="T173" s="11" t="s">
        <v>2668</v>
      </c>
      <c r="U173" s="13" t="s">
        <v>273</v>
      </c>
      <c r="V173" s="11" t="s">
        <v>1862</v>
      </c>
      <c r="W173" s="13" t="s">
        <v>273</v>
      </c>
      <c r="X173" s="31" t="s">
        <v>349</v>
      </c>
      <c r="Y173" s="30"/>
      <c r="Z173" s="28" t="s">
        <v>273</v>
      </c>
      <c r="AA173" s="133" t="str">
        <f>_xlfn.IFS(AND(COUNTIF(Y173,"SCB*")=1, 'PCH320'!F68&gt;=2), "See the Notice *1", TRUE, "")</f>
        <v/>
      </c>
      <c r="AB173" s="29"/>
      <c r="AC173" s="27" t="s">
        <v>272</v>
      </c>
      <c r="AD173" s="27" t="s">
        <v>254</v>
      </c>
      <c r="AE173" s="29"/>
      <c r="AF173" s="29"/>
    </row>
    <row r="174" spans="2:32" x14ac:dyDescent="0.2">
      <c r="B174" s="11" t="s">
        <v>1316</v>
      </c>
      <c r="C174" s="11" t="s">
        <v>1849</v>
      </c>
      <c r="D174" s="11" t="s">
        <v>1316</v>
      </c>
      <c r="E174" s="12" t="s">
        <v>273</v>
      </c>
      <c r="F174" s="12" t="s">
        <v>273</v>
      </c>
      <c r="G174" s="12" t="s">
        <v>273</v>
      </c>
      <c r="H174" s="12" t="s">
        <v>273</v>
      </c>
      <c r="I174" s="12" t="s">
        <v>273</v>
      </c>
      <c r="J174" s="12" t="s">
        <v>273</v>
      </c>
      <c r="K174" s="12" t="s">
        <v>273</v>
      </c>
      <c r="L174" s="12" t="s">
        <v>273</v>
      </c>
      <c r="M174" s="11" t="s">
        <v>877</v>
      </c>
      <c r="N174" s="12" t="s">
        <v>273</v>
      </c>
      <c r="O174" s="11" t="s">
        <v>230</v>
      </c>
      <c r="P174" s="12" t="s">
        <v>273</v>
      </c>
      <c r="Q174" s="13" t="s">
        <v>273</v>
      </c>
      <c r="R174" s="11" t="s">
        <v>1317</v>
      </c>
      <c r="S174" s="13" t="s">
        <v>273</v>
      </c>
      <c r="T174" s="13" t="s">
        <v>273</v>
      </c>
      <c r="U174" s="13" t="s">
        <v>273</v>
      </c>
      <c r="V174" s="13" t="s">
        <v>273</v>
      </c>
      <c r="W174" s="13" t="s">
        <v>273</v>
      </c>
      <c r="X174" s="33" t="s">
        <v>273</v>
      </c>
      <c r="Y174" s="30"/>
      <c r="Z174" s="28" t="s">
        <v>273</v>
      </c>
      <c r="AA174" s="133" t="str">
        <f>_xlfn.IFS(AND(COUNTIF(Y174,"SDHC*")=1, 'PCH320'!D256&gt;=2), "See the Notice *1", TRUE, "")</f>
        <v/>
      </c>
      <c r="AB174" s="29"/>
      <c r="AC174" s="27" t="s">
        <v>1848</v>
      </c>
      <c r="AD174" s="27" t="s">
        <v>1933</v>
      </c>
      <c r="AE174" s="29"/>
      <c r="AF174" s="29"/>
    </row>
    <row r="175" spans="2:32" x14ac:dyDescent="0.2">
      <c r="B175" s="11" t="s">
        <v>1318</v>
      </c>
      <c r="C175" s="11" t="s">
        <v>1850</v>
      </c>
      <c r="D175" s="11" t="s">
        <v>1318</v>
      </c>
      <c r="E175" s="12" t="s">
        <v>273</v>
      </c>
      <c r="F175" s="12" t="s">
        <v>273</v>
      </c>
      <c r="G175" s="12" t="s">
        <v>273</v>
      </c>
      <c r="H175" s="12" t="s">
        <v>273</v>
      </c>
      <c r="I175" s="12" t="s">
        <v>273</v>
      </c>
      <c r="J175" s="12" t="s">
        <v>273</v>
      </c>
      <c r="K175" s="12" t="s">
        <v>273</v>
      </c>
      <c r="L175" s="12" t="s">
        <v>273</v>
      </c>
      <c r="M175" s="12" t="s">
        <v>273</v>
      </c>
      <c r="N175" s="12" t="s">
        <v>273</v>
      </c>
      <c r="O175" s="12" t="s">
        <v>273</v>
      </c>
      <c r="P175" s="11" t="s">
        <v>1351</v>
      </c>
      <c r="Q175" s="13" t="s">
        <v>273</v>
      </c>
      <c r="R175" s="11" t="s">
        <v>1362</v>
      </c>
      <c r="S175" s="13" t="s">
        <v>273</v>
      </c>
      <c r="T175" s="13" t="s">
        <v>273</v>
      </c>
      <c r="U175" s="13" t="s">
        <v>273</v>
      </c>
      <c r="V175" s="13" t="s">
        <v>273</v>
      </c>
      <c r="W175" s="13" t="s">
        <v>273</v>
      </c>
      <c r="X175" s="33" t="s">
        <v>273</v>
      </c>
      <c r="Y175" s="30"/>
      <c r="Z175" s="28" t="s">
        <v>273</v>
      </c>
      <c r="AA175" s="133" t="str">
        <f>_xlfn.IFS(AND(COUNTIF(Y175,"SPIHB*")=1, 'PCH320'!D173&gt;=2), "See the Notice *1", AND(COUNTIF(Y175,"SDHC*")=1, 'PCH320'!D256&gt;=2), "See the Notice *1", TRUE, "")</f>
        <v/>
      </c>
      <c r="AB175" s="29"/>
      <c r="AC175" s="27" t="s">
        <v>1848</v>
      </c>
      <c r="AD175" s="27" t="s">
        <v>1933</v>
      </c>
      <c r="AE175" s="29"/>
      <c r="AF175" s="29"/>
    </row>
    <row r="176" spans="2:32" x14ac:dyDescent="0.2">
      <c r="B176" s="11" t="s">
        <v>1319</v>
      </c>
      <c r="C176" s="11" t="s">
        <v>1852</v>
      </c>
      <c r="D176" s="11" t="s">
        <v>1319</v>
      </c>
      <c r="E176" s="12" t="s">
        <v>273</v>
      </c>
      <c r="F176" s="12" t="s">
        <v>273</v>
      </c>
      <c r="G176" s="12" t="s">
        <v>273</v>
      </c>
      <c r="H176" s="12" t="s">
        <v>273</v>
      </c>
      <c r="I176" s="12" t="s">
        <v>273</v>
      </c>
      <c r="J176" s="12" t="s">
        <v>273</v>
      </c>
      <c r="K176" s="12" t="s">
        <v>273</v>
      </c>
      <c r="L176" s="12" t="s">
        <v>273</v>
      </c>
      <c r="M176" s="12" t="s">
        <v>273</v>
      </c>
      <c r="N176" s="12" t="s">
        <v>273</v>
      </c>
      <c r="O176" s="12" t="s">
        <v>273</v>
      </c>
      <c r="P176" s="11" t="s">
        <v>2568</v>
      </c>
      <c r="Q176" s="13" t="s">
        <v>273</v>
      </c>
      <c r="R176" s="11" t="s">
        <v>1320</v>
      </c>
      <c r="S176" s="13" t="s">
        <v>273</v>
      </c>
      <c r="T176" s="13" t="s">
        <v>273</v>
      </c>
      <c r="U176" s="13" t="s">
        <v>273</v>
      </c>
      <c r="V176" s="13" t="s">
        <v>273</v>
      </c>
      <c r="W176" s="13" t="s">
        <v>273</v>
      </c>
      <c r="X176" s="33" t="s">
        <v>273</v>
      </c>
      <c r="Y176" s="30"/>
      <c r="Z176" s="28" t="s">
        <v>273</v>
      </c>
      <c r="AA176" s="133" t="str">
        <f>_xlfn.IFS(AND(COUNTIF(Y176,"SPIHB*")=1, 'PCH320'!D173&gt;=2), "See the Notice *1", AND(COUNTIF(Y176,"SDHC*")=1, 'PCH320'!D256&gt;=2), "See the Notice *1", TRUE, "")</f>
        <v/>
      </c>
      <c r="AB176" s="29"/>
      <c r="AC176" s="27" t="s">
        <v>1848</v>
      </c>
      <c r="AD176" s="27" t="s">
        <v>1933</v>
      </c>
      <c r="AE176" s="29"/>
      <c r="AF176" s="29"/>
    </row>
    <row r="177" spans="2:32" x14ac:dyDescent="0.2">
      <c r="B177" s="11" t="s">
        <v>1321</v>
      </c>
      <c r="C177" s="11" t="s">
        <v>1853</v>
      </c>
      <c r="D177" s="11" t="s">
        <v>1321</v>
      </c>
      <c r="E177" s="12" t="s">
        <v>273</v>
      </c>
      <c r="F177" s="12" t="s">
        <v>273</v>
      </c>
      <c r="G177" s="12" t="s">
        <v>273</v>
      </c>
      <c r="H177" s="12" t="s">
        <v>273</v>
      </c>
      <c r="I177" s="12" t="s">
        <v>273</v>
      </c>
      <c r="J177" s="12" t="s">
        <v>273</v>
      </c>
      <c r="K177" s="12" t="s">
        <v>273</v>
      </c>
      <c r="L177" s="12" t="s">
        <v>273</v>
      </c>
      <c r="M177" s="11" t="s">
        <v>880</v>
      </c>
      <c r="N177" s="12" t="s">
        <v>273</v>
      </c>
      <c r="O177" s="12" t="s">
        <v>273</v>
      </c>
      <c r="P177" s="11" t="s">
        <v>1352</v>
      </c>
      <c r="Q177" s="13" t="s">
        <v>273</v>
      </c>
      <c r="R177" s="11" t="s">
        <v>1322</v>
      </c>
      <c r="S177" s="13" t="s">
        <v>273</v>
      </c>
      <c r="T177" s="13" t="s">
        <v>273</v>
      </c>
      <c r="U177" s="13" t="s">
        <v>273</v>
      </c>
      <c r="V177" s="13" t="s">
        <v>273</v>
      </c>
      <c r="W177" s="13" t="s">
        <v>273</v>
      </c>
      <c r="X177" s="33" t="s">
        <v>273</v>
      </c>
      <c r="Y177" s="30"/>
      <c r="Z177" s="28" t="s">
        <v>273</v>
      </c>
      <c r="AA177" s="133" t="str">
        <f>_xlfn.IFS(AND(COUNTIF(Y177,"SPIHB*")=1, 'PCH320'!D173&gt;=2), "See the Notice *1", AND(COUNTIF(Y177,"SDHC*")=1, 'PCH320'!D256&gt;=2), "See the Notice *1", TRUE, "")</f>
        <v/>
      </c>
      <c r="AB177" s="29"/>
      <c r="AC177" s="27" t="s">
        <v>1848</v>
      </c>
      <c r="AD177" s="27" t="s">
        <v>1933</v>
      </c>
      <c r="AE177" s="29"/>
      <c r="AF177" s="29"/>
    </row>
    <row r="178" spans="2:32" x14ac:dyDescent="0.2">
      <c r="B178" s="11" t="s">
        <v>1323</v>
      </c>
      <c r="C178" s="11" t="s">
        <v>1668</v>
      </c>
      <c r="D178" s="11" t="s">
        <v>1323</v>
      </c>
      <c r="E178" s="12" t="s">
        <v>273</v>
      </c>
      <c r="F178" s="12" t="s">
        <v>273</v>
      </c>
      <c r="G178" s="12" t="s">
        <v>273</v>
      </c>
      <c r="H178" s="12" t="s">
        <v>273</v>
      </c>
      <c r="I178" s="12" t="s">
        <v>273</v>
      </c>
      <c r="J178" s="12" t="s">
        <v>273</v>
      </c>
      <c r="K178" s="12" t="s">
        <v>273</v>
      </c>
      <c r="L178" s="12" t="s">
        <v>273</v>
      </c>
      <c r="M178" s="11" t="s">
        <v>886</v>
      </c>
      <c r="N178" s="12" t="s">
        <v>273</v>
      </c>
      <c r="O178" s="12" t="s">
        <v>273</v>
      </c>
      <c r="P178" s="11" t="s">
        <v>1353</v>
      </c>
      <c r="Q178" s="13" t="s">
        <v>273</v>
      </c>
      <c r="R178" s="11" t="s">
        <v>1324</v>
      </c>
      <c r="S178" s="13" t="s">
        <v>273</v>
      </c>
      <c r="T178" s="13" t="s">
        <v>273</v>
      </c>
      <c r="U178" s="13" t="s">
        <v>273</v>
      </c>
      <c r="V178" s="13" t="s">
        <v>273</v>
      </c>
      <c r="W178" s="13" t="s">
        <v>273</v>
      </c>
      <c r="X178" s="33" t="s">
        <v>273</v>
      </c>
      <c r="Y178" s="30"/>
      <c r="Z178" s="28" t="s">
        <v>273</v>
      </c>
      <c r="AA178" s="133" t="str">
        <f>_xlfn.IFS(AND(COUNTIF(Y178,"SPIHB*")=1, 'PCH320'!D173&gt;=2), "See the Notice *1", AND(COUNTIF(Y178,"SDHC*")=1, 'PCH320'!D256&gt;=2), "See the Notice *1", TRUE, "")</f>
        <v/>
      </c>
      <c r="AB178" s="29"/>
      <c r="AC178" s="27" t="s">
        <v>1848</v>
      </c>
      <c r="AD178" s="27" t="s">
        <v>1933</v>
      </c>
      <c r="AE178" s="29"/>
      <c r="AF178" s="29"/>
    </row>
    <row r="179" spans="2:32" x14ac:dyDescent="0.2">
      <c r="B179" s="11" t="s">
        <v>1325</v>
      </c>
      <c r="C179" s="11" t="s">
        <v>1854</v>
      </c>
      <c r="D179" s="11" t="s">
        <v>1325</v>
      </c>
      <c r="E179" s="12" t="s">
        <v>273</v>
      </c>
      <c r="F179" s="12" t="s">
        <v>273</v>
      </c>
      <c r="G179" s="12" t="s">
        <v>273</v>
      </c>
      <c r="H179" s="12" t="s">
        <v>273</v>
      </c>
      <c r="I179" s="12" t="s">
        <v>273</v>
      </c>
      <c r="J179" s="12" t="s">
        <v>273</v>
      </c>
      <c r="K179" s="12" t="s">
        <v>273</v>
      </c>
      <c r="L179" s="12" t="s">
        <v>273</v>
      </c>
      <c r="M179" s="12" t="s">
        <v>273</v>
      </c>
      <c r="N179" s="12" t="s">
        <v>273</v>
      </c>
      <c r="O179" s="12" t="s">
        <v>273</v>
      </c>
      <c r="P179" s="11" t="s">
        <v>1354</v>
      </c>
      <c r="Q179" s="13" t="s">
        <v>273</v>
      </c>
      <c r="R179" s="11" t="s">
        <v>1326</v>
      </c>
      <c r="S179" s="13" t="s">
        <v>273</v>
      </c>
      <c r="T179" s="13" t="s">
        <v>273</v>
      </c>
      <c r="U179" s="13" t="s">
        <v>273</v>
      </c>
      <c r="V179" s="13" t="s">
        <v>273</v>
      </c>
      <c r="W179" s="13" t="s">
        <v>273</v>
      </c>
      <c r="X179" s="33" t="s">
        <v>273</v>
      </c>
      <c r="Y179" s="30"/>
      <c r="Z179" s="28" t="s">
        <v>273</v>
      </c>
      <c r="AA179" s="133" t="str">
        <f>_xlfn.IFS(AND(COUNTIF(Y179,"SPIHB*")=1, 'PCH320'!D173&gt;=2), "See the Notice *1", AND(COUNTIF(Y179,"SDHC*")=1, 'PCH320'!D256&gt;=2), "See the Notice *1", TRUE, "")</f>
        <v/>
      </c>
      <c r="AB179" s="29"/>
      <c r="AC179" s="27" t="s">
        <v>1848</v>
      </c>
      <c r="AD179" s="27" t="s">
        <v>1933</v>
      </c>
      <c r="AE179" s="29"/>
      <c r="AF179" s="29"/>
    </row>
    <row r="180" spans="2:32" x14ac:dyDescent="0.2">
      <c r="B180" s="11" t="s">
        <v>1327</v>
      </c>
      <c r="C180" s="11" t="s">
        <v>1863</v>
      </c>
      <c r="D180" s="11" t="s">
        <v>1327</v>
      </c>
      <c r="E180" s="12" t="s">
        <v>273</v>
      </c>
      <c r="F180" s="12" t="s">
        <v>273</v>
      </c>
      <c r="G180" s="12" t="s">
        <v>273</v>
      </c>
      <c r="H180" s="12" t="s">
        <v>273</v>
      </c>
      <c r="I180" s="12" t="s">
        <v>273</v>
      </c>
      <c r="J180" s="12" t="s">
        <v>273</v>
      </c>
      <c r="K180" s="12" t="s">
        <v>273</v>
      </c>
      <c r="L180" s="12" t="s">
        <v>273</v>
      </c>
      <c r="M180" s="12" t="s">
        <v>273</v>
      </c>
      <c r="N180" s="12" t="s">
        <v>273</v>
      </c>
      <c r="O180" s="12" t="s">
        <v>273</v>
      </c>
      <c r="P180" s="11" t="s">
        <v>1355</v>
      </c>
      <c r="Q180" s="13" t="s">
        <v>273</v>
      </c>
      <c r="R180" s="11" t="s">
        <v>1328</v>
      </c>
      <c r="S180" s="13" t="s">
        <v>273</v>
      </c>
      <c r="T180" s="13" t="s">
        <v>273</v>
      </c>
      <c r="U180" s="13" t="s">
        <v>273</v>
      </c>
      <c r="V180" s="13" t="s">
        <v>273</v>
      </c>
      <c r="W180" s="13" t="s">
        <v>273</v>
      </c>
      <c r="X180" s="33" t="s">
        <v>273</v>
      </c>
      <c r="Y180" s="30"/>
      <c r="Z180" s="28" t="s">
        <v>273</v>
      </c>
      <c r="AA180" s="133" t="str">
        <f>_xlfn.IFS(AND(COUNTIF(Y180,"SPIHB*")=1, 'PCH320'!D173&gt;=2), "See the Notice *1", AND(COUNTIF(Y180,"SDHC*")=1, 'PCH320'!D256&gt;=2), "See the Notice *1", TRUE, "")</f>
        <v/>
      </c>
      <c r="AB180" s="29"/>
      <c r="AC180" s="27" t="s">
        <v>1848</v>
      </c>
      <c r="AD180" s="27" t="s">
        <v>1933</v>
      </c>
      <c r="AE180" s="29"/>
      <c r="AF180" s="29"/>
    </row>
    <row r="181" spans="2:32" x14ac:dyDescent="0.2">
      <c r="B181" s="11" t="s">
        <v>1329</v>
      </c>
      <c r="C181" s="11" t="s">
        <v>1670</v>
      </c>
      <c r="D181" s="11" t="s">
        <v>1329</v>
      </c>
      <c r="E181" s="12" t="s">
        <v>273</v>
      </c>
      <c r="F181" s="12" t="s">
        <v>273</v>
      </c>
      <c r="G181" s="12" t="s">
        <v>273</v>
      </c>
      <c r="H181" s="12" t="s">
        <v>273</v>
      </c>
      <c r="I181" s="12" t="s">
        <v>273</v>
      </c>
      <c r="J181" s="12" t="s">
        <v>273</v>
      </c>
      <c r="K181" s="12" t="s">
        <v>273</v>
      </c>
      <c r="L181" s="12" t="s">
        <v>273</v>
      </c>
      <c r="M181" s="12" t="s">
        <v>273</v>
      </c>
      <c r="N181" s="12" t="s">
        <v>273</v>
      </c>
      <c r="O181" s="12" t="s">
        <v>273</v>
      </c>
      <c r="P181" s="11" t="s">
        <v>1356</v>
      </c>
      <c r="Q181" s="13" t="s">
        <v>273</v>
      </c>
      <c r="R181" s="11" t="s">
        <v>1330</v>
      </c>
      <c r="S181" s="13" t="s">
        <v>273</v>
      </c>
      <c r="T181" s="13" t="s">
        <v>273</v>
      </c>
      <c r="U181" s="13" t="s">
        <v>273</v>
      </c>
      <c r="V181" s="13" t="s">
        <v>273</v>
      </c>
      <c r="W181" s="13" t="s">
        <v>273</v>
      </c>
      <c r="X181" s="33" t="s">
        <v>273</v>
      </c>
      <c r="Y181" s="30"/>
      <c r="Z181" s="28" t="s">
        <v>273</v>
      </c>
      <c r="AA181" s="133" t="str">
        <f>_xlfn.IFS(AND(COUNTIF(Y181,"SPIHB*")=1, 'PCH320'!D173&gt;=2), "See the Notice *1", AND(COUNTIF(Y181,"SDHC*")=1, 'PCH320'!D256&gt;=2), "See the Notice *1", TRUE, "")</f>
        <v/>
      </c>
      <c r="AB181" s="29"/>
      <c r="AC181" s="27" t="s">
        <v>1848</v>
      </c>
      <c r="AD181" s="27" t="s">
        <v>1933</v>
      </c>
      <c r="AE181" s="29"/>
      <c r="AF181" s="29"/>
    </row>
    <row r="182" spans="2:32" x14ac:dyDescent="0.2">
      <c r="B182" s="11" t="s">
        <v>1331</v>
      </c>
      <c r="C182" s="11" t="s">
        <v>1672</v>
      </c>
      <c r="D182" s="11" t="s">
        <v>1331</v>
      </c>
      <c r="E182" s="12" t="s">
        <v>273</v>
      </c>
      <c r="F182" s="12" t="s">
        <v>273</v>
      </c>
      <c r="G182" s="12" t="s">
        <v>273</v>
      </c>
      <c r="H182" s="12" t="s">
        <v>273</v>
      </c>
      <c r="I182" s="12" t="s">
        <v>273</v>
      </c>
      <c r="J182" s="12" t="s">
        <v>273</v>
      </c>
      <c r="K182" s="12" t="s">
        <v>273</v>
      </c>
      <c r="L182" s="12" t="s">
        <v>273</v>
      </c>
      <c r="M182" s="12" t="s">
        <v>273</v>
      </c>
      <c r="N182" s="12" t="s">
        <v>273</v>
      </c>
      <c r="O182" s="12" t="s">
        <v>273</v>
      </c>
      <c r="P182" s="11" t="s">
        <v>1357</v>
      </c>
      <c r="Q182" s="13" t="s">
        <v>273</v>
      </c>
      <c r="R182" s="11" t="s">
        <v>1332</v>
      </c>
      <c r="S182" s="13" t="s">
        <v>273</v>
      </c>
      <c r="T182" s="13" t="s">
        <v>273</v>
      </c>
      <c r="U182" s="13" t="s">
        <v>273</v>
      </c>
      <c r="V182" s="13" t="s">
        <v>273</v>
      </c>
      <c r="W182" s="13" t="s">
        <v>273</v>
      </c>
      <c r="X182" s="33" t="s">
        <v>273</v>
      </c>
      <c r="Y182" s="30"/>
      <c r="Z182" s="28" t="s">
        <v>273</v>
      </c>
      <c r="AA182" s="133" t="str">
        <f>_xlfn.IFS(AND(COUNTIF(Y182,"SPIHB*")=1, 'PCH320'!D173&gt;=2), "See the Notice *1", AND(COUNTIF(Y182,"SDHC*")=1, 'PCH320'!D256&gt;=2), "See the Notice *1", TRUE, "")</f>
        <v/>
      </c>
      <c r="AB182" s="29"/>
      <c r="AC182" s="27" t="s">
        <v>1848</v>
      </c>
      <c r="AD182" s="27" t="s">
        <v>1933</v>
      </c>
      <c r="AE182" s="29"/>
      <c r="AF182" s="29"/>
    </row>
    <row r="183" spans="2:32" x14ac:dyDescent="0.2">
      <c r="B183" s="11" t="s">
        <v>1333</v>
      </c>
      <c r="C183" s="11" t="s">
        <v>1674</v>
      </c>
      <c r="D183" s="11" t="s">
        <v>1333</v>
      </c>
      <c r="E183" s="12" t="s">
        <v>273</v>
      </c>
      <c r="F183" s="12" t="s">
        <v>273</v>
      </c>
      <c r="G183" s="12" t="s">
        <v>273</v>
      </c>
      <c r="H183" s="12" t="s">
        <v>273</v>
      </c>
      <c r="I183" s="12" t="s">
        <v>273</v>
      </c>
      <c r="J183" s="12" t="s">
        <v>273</v>
      </c>
      <c r="K183" s="12" t="s">
        <v>273</v>
      </c>
      <c r="L183" s="12" t="s">
        <v>273</v>
      </c>
      <c r="M183" s="12" t="s">
        <v>273</v>
      </c>
      <c r="N183" s="12" t="s">
        <v>273</v>
      </c>
      <c r="O183" s="12" t="s">
        <v>273</v>
      </c>
      <c r="P183" s="11" t="s">
        <v>1358</v>
      </c>
      <c r="Q183" s="13" t="s">
        <v>273</v>
      </c>
      <c r="R183" s="11" t="s">
        <v>1334</v>
      </c>
      <c r="S183" s="13" t="s">
        <v>273</v>
      </c>
      <c r="T183" s="13" t="s">
        <v>273</v>
      </c>
      <c r="U183" s="13" t="s">
        <v>273</v>
      </c>
      <c r="V183" s="13" t="s">
        <v>273</v>
      </c>
      <c r="W183" s="13" t="s">
        <v>273</v>
      </c>
      <c r="X183" s="33" t="s">
        <v>273</v>
      </c>
      <c r="Y183" s="30"/>
      <c r="Z183" s="28" t="s">
        <v>273</v>
      </c>
      <c r="AA183" s="133" t="str">
        <f>_xlfn.IFS(AND(COUNTIF(Y183,"SPIHB*")=1, 'PCH320'!D173&gt;=2), "See the Notice *1", AND(COUNTIF(Y183,"SDHC*")=1, 'PCH320'!D256&gt;=2), "See the Notice *1", TRUE, "")</f>
        <v/>
      </c>
      <c r="AB183" s="29"/>
      <c r="AC183" s="27" t="s">
        <v>1848</v>
      </c>
      <c r="AD183" s="27" t="s">
        <v>1933</v>
      </c>
      <c r="AE183" s="29"/>
      <c r="AF183" s="29"/>
    </row>
    <row r="184" spans="2:32" x14ac:dyDescent="0.2">
      <c r="B184" s="11" t="s">
        <v>1335</v>
      </c>
      <c r="C184" s="11" t="s">
        <v>1678</v>
      </c>
      <c r="D184" s="11" t="s">
        <v>1335</v>
      </c>
      <c r="E184" s="12" t="s">
        <v>273</v>
      </c>
      <c r="F184" s="12" t="s">
        <v>273</v>
      </c>
      <c r="G184" s="12" t="s">
        <v>273</v>
      </c>
      <c r="H184" s="12" t="s">
        <v>273</v>
      </c>
      <c r="I184" s="12" t="s">
        <v>273</v>
      </c>
      <c r="J184" s="12" t="s">
        <v>273</v>
      </c>
      <c r="K184" s="12" t="s">
        <v>273</v>
      </c>
      <c r="L184" s="12" t="s">
        <v>273</v>
      </c>
      <c r="M184" s="12" t="s">
        <v>273</v>
      </c>
      <c r="N184" s="12" t="s">
        <v>273</v>
      </c>
      <c r="O184" s="12" t="s">
        <v>273</v>
      </c>
      <c r="P184" s="11" t="s">
        <v>1359</v>
      </c>
      <c r="Q184" s="13" t="s">
        <v>273</v>
      </c>
      <c r="R184" s="11" t="s">
        <v>1336</v>
      </c>
      <c r="S184" s="13" t="s">
        <v>273</v>
      </c>
      <c r="T184" s="13" t="s">
        <v>273</v>
      </c>
      <c r="U184" s="13" t="s">
        <v>273</v>
      </c>
      <c r="V184" s="13" t="s">
        <v>273</v>
      </c>
      <c r="W184" s="13" t="s">
        <v>273</v>
      </c>
      <c r="X184" s="33" t="s">
        <v>273</v>
      </c>
      <c r="Y184" s="30"/>
      <c r="Z184" s="28" t="s">
        <v>273</v>
      </c>
      <c r="AA184" s="133" t="str">
        <f>_xlfn.IFS(AND(COUNTIF(Y184,"SPIHB*")=1, 'PCH320'!D173&gt;=2), "See the Notice *1", AND(COUNTIF(Y184,"SDHC*")=1, 'PCH320'!D256&gt;=2), "See the Notice *1", TRUE, "")</f>
        <v/>
      </c>
      <c r="AB184" s="29"/>
      <c r="AC184" s="27" t="s">
        <v>1848</v>
      </c>
      <c r="AD184" s="27" t="s">
        <v>1933</v>
      </c>
      <c r="AE184" s="29"/>
      <c r="AF184" s="29"/>
    </row>
    <row r="185" spans="2:32" x14ac:dyDescent="0.2">
      <c r="B185" s="11" t="s">
        <v>1337</v>
      </c>
      <c r="C185" s="11" t="s">
        <v>1680</v>
      </c>
      <c r="D185" s="11" t="s">
        <v>1337</v>
      </c>
      <c r="E185" s="12" t="s">
        <v>273</v>
      </c>
      <c r="F185" s="12" t="s">
        <v>273</v>
      </c>
      <c r="G185" s="12" t="s">
        <v>273</v>
      </c>
      <c r="H185" s="12" t="s">
        <v>273</v>
      </c>
      <c r="I185" s="12" t="s">
        <v>273</v>
      </c>
      <c r="J185" s="12" t="s">
        <v>273</v>
      </c>
      <c r="K185" s="12" t="s">
        <v>273</v>
      </c>
      <c r="L185" s="12" t="s">
        <v>273</v>
      </c>
      <c r="M185" s="12" t="s">
        <v>273</v>
      </c>
      <c r="N185" s="12" t="s">
        <v>273</v>
      </c>
      <c r="O185" s="12" t="s">
        <v>273</v>
      </c>
      <c r="P185" s="11" t="s">
        <v>1360</v>
      </c>
      <c r="Q185" s="13" t="s">
        <v>273</v>
      </c>
      <c r="R185" s="11" t="s">
        <v>1338</v>
      </c>
      <c r="S185" s="13" t="s">
        <v>273</v>
      </c>
      <c r="T185" s="13" t="s">
        <v>273</v>
      </c>
      <c r="U185" s="13" t="s">
        <v>273</v>
      </c>
      <c r="V185" s="13" t="s">
        <v>273</v>
      </c>
      <c r="W185" s="13" t="s">
        <v>273</v>
      </c>
      <c r="X185" s="33" t="s">
        <v>273</v>
      </c>
      <c r="Y185" s="30"/>
      <c r="Z185" s="28" t="s">
        <v>273</v>
      </c>
      <c r="AA185" s="133" t="str">
        <f>_xlfn.IFS(AND(COUNTIF(Y185,"SPIHB*")=1, 'PCH320'!D173&gt;=2), "See the Notice *1", AND(COUNTIF(Y185,"SDHC*")=1, 'PCH320'!D256&gt;=2), "See the Notice *1", TRUE, "")</f>
        <v/>
      </c>
      <c r="AB185" s="29"/>
      <c r="AC185" s="27" t="s">
        <v>1848</v>
      </c>
      <c r="AD185" s="27" t="s">
        <v>1933</v>
      </c>
      <c r="AE185" s="29"/>
      <c r="AF185" s="29"/>
    </row>
    <row r="186" spans="2:32" x14ac:dyDescent="0.2">
      <c r="B186" s="11" t="s">
        <v>1339</v>
      </c>
      <c r="C186" s="11" t="s">
        <v>1682</v>
      </c>
      <c r="D186" s="11" t="s">
        <v>1339</v>
      </c>
      <c r="E186" s="12" t="s">
        <v>273</v>
      </c>
      <c r="F186" s="12" t="s">
        <v>273</v>
      </c>
      <c r="G186" s="12" t="s">
        <v>273</v>
      </c>
      <c r="H186" s="12" t="s">
        <v>273</v>
      </c>
      <c r="I186" s="12" t="s">
        <v>273</v>
      </c>
      <c r="J186" s="12" t="s">
        <v>273</v>
      </c>
      <c r="K186" s="12" t="s">
        <v>273</v>
      </c>
      <c r="L186" s="12" t="s">
        <v>273</v>
      </c>
      <c r="M186" s="12" t="s">
        <v>273</v>
      </c>
      <c r="N186" s="12" t="s">
        <v>273</v>
      </c>
      <c r="O186" s="12" t="s">
        <v>273</v>
      </c>
      <c r="P186" s="11" t="s">
        <v>1361</v>
      </c>
      <c r="Q186" s="13" t="s">
        <v>273</v>
      </c>
      <c r="R186" s="11" t="s">
        <v>1340</v>
      </c>
      <c r="S186" s="13" t="s">
        <v>273</v>
      </c>
      <c r="T186" s="13" t="s">
        <v>273</v>
      </c>
      <c r="U186" s="13" t="s">
        <v>273</v>
      </c>
      <c r="V186" s="13" t="s">
        <v>273</v>
      </c>
      <c r="W186" s="13" t="s">
        <v>273</v>
      </c>
      <c r="X186" s="33" t="s">
        <v>273</v>
      </c>
      <c r="Y186" s="30"/>
      <c r="Z186" s="28" t="s">
        <v>273</v>
      </c>
      <c r="AA186" s="133" t="str">
        <f>_xlfn.IFS(AND(COUNTIF(Y186,"SPIHB*")=1, 'PCH320'!D173&gt;=2), "See the Notice *1", AND(COUNTIF(Y186,"SDHC*")=1, 'PCH320'!D256&gt;=2), "See the Notice *1", TRUE, "")</f>
        <v/>
      </c>
      <c r="AB186" s="29"/>
      <c r="AC186" s="27" t="s">
        <v>1848</v>
      </c>
      <c r="AD186" s="27" t="s">
        <v>1933</v>
      </c>
      <c r="AE186" s="29"/>
      <c r="AF186" s="29"/>
    </row>
    <row r="187" spans="2:32" x14ac:dyDescent="0.2">
      <c r="B187" s="11" t="s">
        <v>1341</v>
      </c>
      <c r="C187" s="11" t="s">
        <v>1866</v>
      </c>
      <c r="D187" s="11" t="s">
        <v>1341</v>
      </c>
      <c r="E187" s="12" t="s">
        <v>273</v>
      </c>
      <c r="F187" s="12" t="s">
        <v>273</v>
      </c>
      <c r="G187" s="12" t="s">
        <v>273</v>
      </c>
      <c r="H187" s="12" t="s">
        <v>273</v>
      </c>
      <c r="I187" s="12" t="s">
        <v>273</v>
      </c>
      <c r="J187" s="12" t="s">
        <v>273</v>
      </c>
      <c r="K187" s="12" t="s">
        <v>273</v>
      </c>
      <c r="L187" s="12" t="s">
        <v>273</v>
      </c>
      <c r="M187" s="12" t="s">
        <v>273</v>
      </c>
      <c r="N187" s="12" t="s">
        <v>273</v>
      </c>
      <c r="O187" s="12" t="s">
        <v>273</v>
      </c>
      <c r="P187" s="12" t="s">
        <v>273</v>
      </c>
      <c r="Q187" s="13" t="s">
        <v>273</v>
      </c>
      <c r="R187" s="13" t="s">
        <v>273</v>
      </c>
      <c r="S187" s="13" t="s">
        <v>273</v>
      </c>
      <c r="T187" s="11" t="s">
        <v>1363</v>
      </c>
      <c r="U187" s="13" t="s">
        <v>273</v>
      </c>
      <c r="V187" s="13" t="s">
        <v>273</v>
      </c>
      <c r="W187" s="13" t="s">
        <v>273</v>
      </c>
      <c r="X187" s="33" t="s">
        <v>273</v>
      </c>
      <c r="Y187" s="30"/>
      <c r="Z187" s="28" t="s">
        <v>273</v>
      </c>
      <c r="AA187" s="133"/>
      <c r="AB187" s="29"/>
      <c r="AC187" s="27" t="s">
        <v>1848</v>
      </c>
      <c r="AD187" s="27" t="s">
        <v>1932</v>
      </c>
      <c r="AE187" s="29"/>
      <c r="AF187" s="29"/>
    </row>
    <row r="188" spans="2:32" x14ac:dyDescent="0.2">
      <c r="B188" s="11" t="s">
        <v>1342</v>
      </c>
      <c r="C188" s="11" t="s">
        <v>1867</v>
      </c>
      <c r="D188" s="11" t="s">
        <v>1342</v>
      </c>
      <c r="E188" s="12" t="s">
        <v>273</v>
      </c>
      <c r="F188" s="12" t="s">
        <v>273</v>
      </c>
      <c r="G188" s="12" t="s">
        <v>273</v>
      </c>
      <c r="H188" s="12" t="s">
        <v>273</v>
      </c>
      <c r="I188" s="12" t="s">
        <v>273</v>
      </c>
      <c r="J188" s="12" t="s">
        <v>273</v>
      </c>
      <c r="K188" s="12" t="s">
        <v>273</v>
      </c>
      <c r="L188" s="12" t="s">
        <v>273</v>
      </c>
      <c r="M188" s="12" t="s">
        <v>273</v>
      </c>
      <c r="N188" s="12" t="s">
        <v>273</v>
      </c>
      <c r="O188" s="12" t="s">
        <v>273</v>
      </c>
      <c r="P188" s="12" t="s">
        <v>273</v>
      </c>
      <c r="Q188" s="13" t="s">
        <v>273</v>
      </c>
      <c r="R188" s="13" t="s">
        <v>273</v>
      </c>
      <c r="S188" s="13" t="s">
        <v>273</v>
      </c>
      <c r="T188" s="11" t="s">
        <v>1364</v>
      </c>
      <c r="U188" s="13" t="s">
        <v>273</v>
      </c>
      <c r="V188" s="13" t="s">
        <v>273</v>
      </c>
      <c r="W188" s="13" t="s">
        <v>273</v>
      </c>
      <c r="X188" s="33" t="s">
        <v>273</v>
      </c>
      <c r="Y188" s="30"/>
      <c r="Z188" s="28" t="s">
        <v>273</v>
      </c>
      <c r="AA188" s="133"/>
      <c r="AB188" s="29"/>
      <c r="AC188" s="27" t="s">
        <v>1848</v>
      </c>
      <c r="AD188" s="27" t="s">
        <v>1932</v>
      </c>
      <c r="AE188" s="29"/>
      <c r="AF188" s="29"/>
    </row>
    <row r="189" spans="2:32" x14ac:dyDescent="0.2">
      <c r="B189" s="11" t="s">
        <v>1343</v>
      </c>
      <c r="C189" s="11" t="s">
        <v>1725</v>
      </c>
      <c r="D189" s="11" t="s">
        <v>1343</v>
      </c>
      <c r="E189" s="12" t="s">
        <v>273</v>
      </c>
      <c r="F189" s="12" t="s">
        <v>273</v>
      </c>
      <c r="G189" s="12" t="s">
        <v>273</v>
      </c>
      <c r="H189" s="12" t="s">
        <v>273</v>
      </c>
      <c r="I189" s="12" t="s">
        <v>273</v>
      </c>
      <c r="J189" s="12" t="s">
        <v>273</v>
      </c>
      <c r="K189" s="12" t="s">
        <v>273</v>
      </c>
      <c r="L189" s="12" t="s">
        <v>273</v>
      </c>
      <c r="M189" s="12" t="s">
        <v>273</v>
      </c>
      <c r="N189" s="12" t="s">
        <v>273</v>
      </c>
      <c r="O189" s="12" t="s">
        <v>273</v>
      </c>
      <c r="P189" s="12" t="s">
        <v>273</v>
      </c>
      <c r="Q189" s="13" t="s">
        <v>273</v>
      </c>
      <c r="R189" s="13" t="s">
        <v>273</v>
      </c>
      <c r="S189" s="13" t="s">
        <v>273</v>
      </c>
      <c r="T189" s="11" t="s">
        <v>1365</v>
      </c>
      <c r="U189" s="13" t="s">
        <v>273</v>
      </c>
      <c r="V189" s="13" t="s">
        <v>273</v>
      </c>
      <c r="W189" s="13" t="s">
        <v>273</v>
      </c>
      <c r="X189" s="33" t="s">
        <v>273</v>
      </c>
      <c r="Y189" s="30"/>
      <c r="Z189" s="28" t="s">
        <v>273</v>
      </c>
      <c r="AA189" s="133"/>
      <c r="AB189" s="29"/>
      <c r="AC189" s="27" t="s">
        <v>1848</v>
      </c>
      <c r="AD189" s="27" t="s">
        <v>1932</v>
      </c>
      <c r="AE189" s="29"/>
      <c r="AF189" s="29"/>
    </row>
    <row r="190" spans="2:32" x14ac:dyDescent="0.2">
      <c r="B190" s="11" t="s">
        <v>1344</v>
      </c>
      <c r="C190" s="11" t="s">
        <v>1870</v>
      </c>
      <c r="D190" s="11" t="s">
        <v>1344</v>
      </c>
      <c r="E190" s="12" t="s">
        <v>273</v>
      </c>
      <c r="F190" s="12" t="s">
        <v>273</v>
      </c>
      <c r="G190" s="12" t="s">
        <v>273</v>
      </c>
      <c r="H190" s="12" t="s">
        <v>273</v>
      </c>
      <c r="I190" s="12" t="s">
        <v>273</v>
      </c>
      <c r="J190" s="12" t="s">
        <v>273</v>
      </c>
      <c r="K190" s="12" t="s">
        <v>273</v>
      </c>
      <c r="L190" s="12" t="s">
        <v>273</v>
      </c>
      <c r="M190" s="12" t="s">
        <v>273</v>
      </c>
      <c r="N190" s="12" t="s">
        <v>273</v>
      </c>
      <c r="O190" s="12" t="s">
        <v>273</v>
      </c>
      <c r="P190" s="12" t="s">
        <v>273</v>
      </c>
      <c r="Q190" s="13" t="s">
        <v>273</v>
      </c>
      <c r="R190" s="13" t="s">
        <v>273</v>
      </c>
      <c r="S190" s="13" t="s">
        <v>273</v>
      </c>
      <c r="T190" s="11" t="s">
        <v>1366</v>
      </c>
      <c r="U190" s="13" t="s">
        <v>273</v>
      </c>
      <c r="V190" s="13" t="s">
        <v>273</v>
      </c>
      <c r="W190" s="13" t="s">
        <v>273</v>
      </c>
      <c r="X190" s="33" t="s">
        <v>273</v>
      </c>
      <c r="Y190" s="30"/>
      <c r="Z190" s="28" t="s">
        <v>273</v>
      </c>
      <c r="AA190" s="133"/>
      <c r="AB190" s="29"/>
      <c r="AC190" s="27" t="s">
        <v>1848</v>
      </c>
      <c r="AD190" s="27" t="s">
        <v>1932</v>
      </c>
      <c r="AE190" s="29"/>
      <c r="AF190" s="29"/>
    </row>
    <row r="191" spans="2:32" x14ac:dyDescent="0.2">
      <c r="B191" s="11" t="s">
        <v>1345</v>
      </c>
      <c r="C191" s="11" t="s">
        <v>1872</v>
      </c>
      <c r="D191" s="11" t="s">
        <v>1345</v>
      </c>
      <c r="E191" s="12" t="s">
        <v>273</v>
      </c>
      <c r="F191" s="12" t="s">
        <v>273</v>
      </c>
      <c r="G191" s="12" t="s">
        <v>273</v>
      </c>
      <c r="H191" s="12" t="s">
        <v>273</v>
      </c>
      <c r="I191" s="12" t="s">
        <v>273</v>
      </c>
      <c r="J191" s="12" t="s">
        <v>273</v>
      </c>
      <c r="K191" s="12" t="s">
        <v>273</v>
      </c>
      <c r="L191" s="12" t="s">
        <v>273</v>
      </c>
      <c r="M191" s="12" t="s">
        <v>273</v>
      </c>
      <c r="N191" s="12" t="s">
        <v>273</v>
      </c>
      <c r="O191" s="12" t="s">
        <v>273</v>
      </c>
      <c r="P191" s="12" t="s">
        <v>273</v>
      </c>
      <c r="Q191" s="13" t="s">
        <v>273</v>
      </c>
      <c r="R191" s="13" t="s">
        <v>273</v>
      </c>
      <c r="S191" s="13" t="s">
        <v>273</v>
      </c>
      <c r="T191" s="11" t="s">
        <v>1367</v>
      </c>
      <c r="U191" s="13" t="s">
        <v>273</v>
      </c>
      <c r="V191" s="13" t="s">
        <v>273</v>
      </c>
      <c r="W191" s="13" t="s">
        <v>273</v>
      </c>
      <c r="X191" s="33" t="s">
        <v>273</v>
      </c>
      <c r="Y191" s="30"/>
      <c r="Z191" s="28" t="s">
        <v>273</v>
      </c>
      <c r="AA191" s="133"/>
      <c r="AB191" s="29"/>
      <c r="AC191" s="27" t="s">
        <v>1848</v>
      </c>
      <c r="AD191" s="27" t="s">
        <v>1932</v>
      </c>
      <c r="AE191" s="29"/>
      <c r="AF191" s="29"/>
    </row>
    <row r="192" spans="2:32" x14ac:dyDescent="0.2">
      <c r="B192" s="11" t="s">
        <v>1346</v>
      </c>
      <c r="C192" s="11" t="s">
        <v>1869</v>
      </c>
      <c r="D192" s="11" t="s">
        <v>1346</v>
      </c>
      <c r="E192" s="12" t="s">
        <v>273</v>
      </c>
      <c r="F192" s="12" t="s">
        <v>273</v>
      </c>
      <c r="G192" s="12" t="s">
        <v>273</v>
      </c>
      <c r="H192" s="12" t="s">
        <v>273</v>
      </c>
      <c r="I192" s="12" t="s">
        <v>273</v>
      </c>
      <c r="J192" s="12" t="s">
        <v>273</v>
      </c>
      <c r="K192" s="12" t="s">
        <v>273</v>
      </c>
      <c r="L192" s="12" t="s">
        <v>273</v>
      </c>
      <c r="M192" s="12" t="s">
        <v>273</v>
      </c>
      <c r="N192" s="12" t="s">
        <v>273</v>
      </c>
      <c r="O192" s="12" t="s">
        <v>273</v>
      </c>
      <c r="P192" s="12" t="s">
        <v>273</v>
      </c>
      <c r="Q192" s="13" t="s">
        <v>273</v>
      </c>
      <c r="R192" s="13" t="s">
        <v>273</v>
      </c>
      <c r="S192" s="13" t="s">
        <v>273</v>
      </c>
      <c r="T192" s="11" t="s">
        <v>1368</v>
      </c>
      <c r="U192" s="13" t="s">
        <v>273</v>
      </c>
      <c r="V192" s="13" t="s">
        <v>273</v>
      </c>
      <c r="W192" s="13" t="s">
        <v>273</v>
      </c>
      <c r="X192" s="33" t="s">
        <v>273</v>
      </c>
      <c r="Y192" s="30"/>
      <c r="Z192" s="28" t="s">
        <v>273</v>
      </c>
      <c r="AA192" s="133"/>
      <c r="AB192" s="29"/>
      <c r="AC192" s="27" t="s">
        <v>1848</v>
      </c>
      <c r="AD192" s="27" t="s">
        <v>1932</v>
      </c>
      <c r="AE192" s="29"/>
      <c r="AF192" s="29"/>
    </row>
    <row r="193" spans="2:32" x14ac:dyDescent="0.2">
      <c r="B193" s="11" t="s">
        <v>1347</v>
      </c>
      <c r="C193" s="11" t="s">
        <v>1874</v>
      </c>
      <c r="D193" s="11" t="s">
        <v>1347</v>
      </c>
      <c r="E193" s="12" t="s">
        <v>273</v>
      </c>
      <c r="F193" s="12" t="s">
        <v>273</v>
      </c>
      <c r="G193" s="12" t="s">
        <v>273</v>
      </c>
      <c r="H193" s="12" t="s">
        <v>273</v>
      </c>
      <c r="I193" s="12" t="s">
        <v>273</v>
      </c>
      <c r="J193" s="12" t="s">
        <v>273</v>
      </c>
      <c r="K193" s="12" t="s">
        <v>273</v>
      </c>
      <c r="L193" s="12" t="s">
        <v>273</v>
      </c>
      <c r="M193" s="12" t="s">
        <v>273</v>
      </c>
      <c r="N193" s="12" t="s">
        <v>273</v>
      </c>
      <c r="O193" s="12" t="s">
        <v>273</v>
      </c>
      <c r="P193" s="12" t="s">
        <v>273</v>
      </c>
      <c r="Q193" s="13" t="s">
        <v>273</v>
      </c>
      <c r="R193" s="13" t="s">
        <v>273</v>
      </c>
      <c r="S193" s="13" t="s">
        <v>273</v>
      </c>
      <c r="T193" s="11" t="s">
        <v>1369</v>
      </c>
      <c r="U193" s="13" t="s">
        <v>273</v>
      </c>
      <c r="V193" s="13" t="s">
        <v>273</v>
      </c>
      <c r="W193" s="13" t="s">
        <v>273</v>
      </c>
      <c r="X193" s="33" t="s">
        <v>273</v>
      </c>
      <c r="Y193" s="30"/>
      <c r="Z193" s="28" t="s">
        <v>273</v>
      </c>
      <c r="AA193" s="133"/>
      <c r="AB193" s="29"/>
      <c r="AC193" s="27" t="s">
        <v>1848</v>
      </c>
      <c r="AD193" s="27" t="s">
        <v>1932</v>
      </c>
      <c r="AE193" s="29"/>
      <c r="AF193" s="29"/>
    </row>
    <row r="194" spans="2:32" x14ac:dyDescent="0.2">
      <c r="B194" s="11" t="s">
        <v>1348</v>
      </c>
      <c r="C194" s="11" t="s">
        <v>1876</v>
      </c>
      <c r="D194" s="11" t="s">
        <v>1348</v>
      </c>
      <c r="E194" s="12" t="s">
        <v>273</v>
      </c>
      <c r="F194" s="12" t="s">
        <v>273</v>
      </c>
      <c r="G194" s="12" t="s">
        <v>273</v>
      </c>
      <c r="H194" s="12" t="s">
        <v>273</v>
      </c>
      <c r="I194" s="12" t="s">
        <v>273</v>
      </c>
      <c r="J194" s="12" t="s">
        <v>273</v>
      </c>
      <c r="K194" s="12" t="s">
        <v>273</v>
      </c>
      <c r="L194" s="12" t="s">
        <v>273</v>
      </c>
      <c r="M194" s="12" t="s">
        <v>273</v>
      </c>
      <c r="N194" s="12" t="s">
        <v>273</v>
      </c>
      <c r="O194" s="12" t="s">
        <v>273</v>
      </c>
      <c r="P194" s="12" t="s">
        <v>273</v>
      </c>
      <c r="Q194" s="13" t="s">
        <v>273</v>
      </c>
      <c r="R194" s="13" t="s">
        <v>273</v>
      </c>
      <c r="S194" s="13" t="s">
        <v>273</v>
      </c>
      <c r="T194" s="11" t="s">
        <v>1370</v>
      </c>
      <c r="U194" s="13" t="s">
        <v>273</v>
      </c>
      <c r="V194" s="13" t="s">
        <v>273</v>
      </c>
      <c r="W194" s="13" t="s">
        <v>273</v>
      </c>
      <c r="X194" s="33" t="s">
        <v>273</v>
      </c>
      <c r="Y194" s="30"/>
      <c r="Z194" s="28" t="s">
        <v>273</v>
      </c>
      <c r="AA194" s="133"/>
      <c r="AB194" s="29"/>
      <c r="AC194" s="27" t="s">
        <v>1848</v>
      </c>
      <c r="AD194" s="27" t="s">
        <v>1932</v>
      </c>
      <c r="AE194" s="29"/>
      <c r="AF194" s="29"/>
    </row>
    <row r="195" spans="2:32" x14ac:dyDescent="0.2">
      <c r="B195" s="11" t="s">
        <v>1349</v>
      </c>
      <c r="C195" s="11" t="s">
        <v>1875</v>
      </c>
      <c r="D195" s="11" t="s">
        <v>1349</v>
      </c>
      <c r="E195" s="12" t="s">
        <v>273</v>
      </c>
      <c r="F195" s="12" t="s">
        <v>273</v>
      </c>
      <c r="G195" s="12" t="s">
        <v>273</v>
      </c>
      <c r="H195" s="12" t="s">
        <v>273</v>
      </c>
      <c r="I195" s="12" t="s">
        <v>273</v>
      </c>
      <c r="J195" s="12" t="s">
        <v>273</v>
      </c>
      <c r="K195" s="12" t="s">
        <v>273</v>
      </c>
      <c r="L195" s="12" t="s">
        <v>273</v>
      </c>
      <c r="M195" s="12" t="s">
        <v>273</v>
      </c>
      <c r="N195" s="12" t="s">
        <v>273</v>
      </c>
      <c r="O195" s="12" t="s">
        <v>273</v>
      </c>
      <c r="P195" s="12" t="s">
        <v>273</v>
      </c>
      <c r="Q195" s="13" t="s">
        <v>273</v>
      </c>
      <c r="R195" s="13" t="s">
        <v>273</v>
      </c>
      <c r="S195" s="13" t="s">
        <v>273</v>
      </c>
      <c r="T195" s="11" t="s">
        <v>1371</v>
      </c>
      <c r="U195" s="13" t="s">
        <v>273</v>
      </c>
      <c r="V195" s="13" t="s">
        <v>273</v>
      </c>
      <c r="W195" s="13" t="s">
        <v>273</v>
      </c>
      <c r="X195" s="33" t="s">
        <v>273</v>
      </c>
      <c r="Y195" s="30"/>
      <c r="Z195" s="28" t="s">
        <v>273</v>
      </c>
      <c r="AA195" s="133"/>
      <c r="AB195" s="29"/>
      <c r="AC195" s="27" t="s">
        <v>1848</v>
      </c>
      <c r="AD195" s="27" t="s">
        <v>1932</v>
      </c>
      <c r="AE195" s="29"/>
      <c r="AF195" s="29"/>
    </row>
    <row r="196" spans="2:32" x14ac:dyDescent="0.2">
      <c r="B196" s="11" t="s">
        <v>1350</v>
      </c>
      <c r="C196" s="11" t="s">
        <v>1878</v>
      </c>
      <c r="D196" s="11" t="s">
        <v>1350</v>
      </c>
      <c r="E196" s="12" t="s">
        <v>273</v>
      </c>
      <c r="F196" s="12" t="s">
        <v>273</v>
      </c>
      <c r="G196" s="12" t="s">
        <v>273</v>
      </c>
      <c r="H196" s="12" t="s">
        <v>273</v>
      </c>
      <c r="I196" s="12" t="s">
        <v>273</v>
      </c>
      <c r="J196" s="12" t="s">
        <v>273</v>
      </c>
      <c r="K196" s="12" t="s">
        <v>273</v>
      </c>
      <c r="L196" s="12" t="s">
        <v>273</v>
      </c>
      <c r="M196" s="12" t="s">
        <v>273</v>
      </c>
      <c r="N196" s="12" t="s">
        <v>273</v>
      </c>
      <c r="O196" s="12" t="s">
        <v>273</v>
      </c>
      <c r="P196" s="12" t="s">
        <v>273</v>
      </c>
      <c r="Q196" s="13" t="s">
        <v>273</v>
      </c>
      <c r="R196" s="13" t="s">
        <v>273</v>
      </c>
      <c r="S196" s="13" t="s">
        <v>273</v>
      </c>
      <c r="T196" s="16" t="s">
        <v>1372</v>
      </c>
      <c r="U196" s="13" t="s">
        <v>273</v>
      </c>
      <c r="V196" s="13" t="s">
        <v>273</v>
      </c>
      <c r="W196" s="13" t="s">
        <v>273</v>
      </c>
      <c r="X196" s="33" t="s">
        <v>273</v>
      </c>
      <c r="Y196" s="30"/>
      <c r="Z196" s="28" t="s">
        <v>273</v>
      </c>
      <c r="AA196" s="133"/>
      <c r="AB196" s="29"/>
      <c r="AC196" s="27" t="s">
        <v>1848</v>
      </c>
      <c r="AD196" s="27" t="s">
        <v>1932</v>
      </c>
      <c r="AE196" s="29"/>
      <c r="AF196" s="29"/>
    </row>
    <row r="197" spans="2:32" x14ac:dyDescent="0.2">
      <c r="B197" s="11" t="s">
        <v>1373</v>
      </c>
      <c r="C197" s="11" t="s">
        <v>1880</v>
      </c>
      <c r="D197" s="11" t="s">
        <v>1373</v>
      </c>
      <c r="E197" s="12" t="s">
        <v>273</v>
      </c>
      <c r="F197" s="12" t="s">
        <v>273</v>
      </c>
      <c r="G197" s="12" t="s">
        <v>273</v>
      </c>
      <c r="H197" s="12" t="s">
        <v>273</v>
      </c>
      <c r="I197" s="12" t="s">
        <v>273</v>
      </c>
      <c r="J197" s="12" t="s">
        <v>273</v>
      </c>
      <c r="K197" s="12" t="s">
        <v>273</v>
      </c>
      <c r="L197" s="12" t="s">
        <v>273</v>
      </c>
      <c r="M197" s="12" t="s">
        <v>273</v>
      </c>
      <c r="N197" s="12" t="s">
        <v>273</v>
      </c>
      <c r="O197" s="12" t="s">
        <v>273</v>
      </c>
      <c r="P197" s="12" t="s">
        <v>273</v>
      </c>
      <c r="Q197" s="13" t="s">
        <v>273</v>
      </c>
      <c r="R197" s="13" t="s">
        <v>273</v>
      </c>
      <c r="S197" s="13" t="s">
        <v>273</v>
      </c>
      <c r="T197" s="11" t="s">
        <v>1480</v>
      </c>
      <c r="U197" s="13" t="s">
        <v>273</v>
      </c>
      <c r="V197" s="13" t="s">
        <v>273</v>
      </c>
      <c r="W197" s="13" t="s">
        <v>273</v>
      </c>
      <c r="X197" s="33" t="s">
        <v>273</v>
      </c>
      <c r="Y197" s="30"/>
      <c r="Z197" s="28" t="s">
        <v>273</v>
      </c>
      <c r="AA197" s="133"/>
      <c r="AB197" s="29"/>
      <c r="AC197" s="27" t="s">
        <v>1848</v>
      </c>
      <c r="AD197" s="27" t="s">
        <v>1932</v>
      </c>
      <c r="AE197" s="29"/>
      <c r="AF197" s="29"/>
    </row>
    <row r="198" spans="2:32" x14ac:dyDescent="0.2">
      <c r="B198" s="11" t="s">
        <v>1374</v>
      </c>
      <c r="C198" s="11" t="s">
        <v>1881</v>
      </c>
      <c r="D198" s="11" t="s">
        <v>1374</v>
      </c>
      <c r="E198" s="12" t="s">
        <v>273</v>
      </c>
      <c r="F198" s="12" t="s">
        <v>273</v>
      </c>
      <c r="G198" s="12" t="s">
        <v>273</v>
      </c>
      <c r="H198" s="12" t="s">
        <v>273</v>
      </c>
      <c r="I198" s="12" t="s">
        <v>273</v>
      </c>
      <c r="J198" s="12" t="s">
        <v>273</v>
      </c>
      <c r="K198" s="12" t="s">
        <v>273</v>
      </c>
      <c r="L198" s="12" t="s">
        <v>273</v>
      </c>
      <c r="M198" s="12" t="s">
        <v>273</v>
      </c>
      <c r="N198" s="12" t="s">
        <v>273</v>
      </c>
      <c r="O198" s="12" t="s">
        <v>273</v>
      </c>
      <c r="P198" s="12" t="s">
        <v>273</v>
      </c>
      <c r="Q198" s="13" t="s">
        <v>273</v>
      </c>
      <c r="R198" s="13" t="s">
        <v>273</v>
      </c>
      <c r="S198" s="13" t="s">
        <v>273</v>
      </c>
      <c r="T198" s="11" t="s">
        <v>1481</v>
      </c>
      <c r="U198" s="13" t="s">
        <v>273</v>
      </c>
      <c r="V198" s="13" t="s">
        <v>273</v>
      </c>
      <c r="W198" s="13" t="s">
        <v>273</v>
      </c>
      <c r="X198" s="33" t="s">
        <v>273</v>
      </c>
      <c r="Y198" s="30"/>
      <c r="Z198" s="28" t="s">
        <v>273</v>
      </c>
      <c r="AA198" s="133"/>
      <c r="AB198" s="29"/>
      <c r="AC198" s="27" t="s">
        <v>1848</v>
      </c>
      <c r="AD198" s="27" t="s">
        <v>1932</v>
      </c>
      <c r="AE198" s="29"/>
      <c r="AF198" s="29"/>
    </row>
    <row r="199" spans="2:32" x14ac:dyDescent="0.2">
      <c r="B199" s="11" t="s">
        <v>1375</v>
      </c>
      <c r="C199" s="11" t="s">
        <v>1883</v>
      </c>
      <c r="D199" s="11" t="s">
        <v>1375</v>
      </c>
      <c r="E199" s="12" t="s">
        <v>273</v>
      </c>
      <c r="F199" s="12" t="s">
        <v>273</v>
      </c>
      <c r="G199" s="12" t="s">
        <v>273</v>
      </c>
      <c r="H199" s="12" t="s">
        <v>273</v>
      </c>
      <c r="I199" s="12" t="s">
        <v>273</v>
      </c>
      <c r="J199" s="12" t="s">
        <v>273</v>
      </c>
      <c r="K199" s="12" t="s">
        <v>273</v>
      </c>
      <c r="L199" s="12" t="s">
        <v>273</v>
      </c>
      <c r="M199" s="12" t="s">
        <v>273</v>
      </c>
      <c r="N199" s="12" t="s">
        <v>273</v>
      </c>
      <c r="O199" s="12" t="s">
        <v>273</v>
      </c>
      <c r="P199" s="12" t="s">
        <v>273</v>
      </c>
      <c r="Q199" s="13" t="s">
        <v>273</v>
      </c>
      <c r="R199" s="13" t="s">
        <v>273</v>
      </c>
      <c r="S199" s="13" t="s">
        <v>273</v>
      </c>
      <c r="T199" s="11" t="s">
        <v>1482</v>
      </c>
      <c r="U199" s="13" t="s">
        <v>273</v>
      </c>
      <c r="V199" s="13" t="s">
        <v>273</v>
      </c>
      <c r="W199" s="13" t="s">
        <v>273</v>
      </c>
      <c r="X199" s="33" t="s">
        <v>273</v>
      </c>
      <c r="Y199" s="30"/>
      <c r="Z199" s="28" t="s">
        <v>273</v>
      </c>
      <c r="AA199" s="133"/>
      <c r="AB199" s="29"/>
      <c r="AC199" s="27" t="s">
        <v>1848</v>
      </c>
      <c r="AD199" s="27" t="s">
        <v>1932</v>
      </c>
      <c r="AE199" s="29"/>
      <c r="AF199" s="29"/>
    </row>
    <row r="200" spans="2:32" x14ac:dyDescent="0.2">
      <c r="B200" s="11" t="s">
        <v>1376</v>
      </c>
      <c r="C200" s="11" t="s">
        <v>1729</v>
      </c>
      <c r="D200" s="11" t="s">
        <v>1376</v>
      </c>
      <c r="E200" s="12" t="s">
        <v>273</v>
      </c>
      <c r="F200" s="12" t="s">
        <v>273</v>
      </c>
      <c r="G200" s="12" t="s">
        <v>273</v>
      </c>
      <c r="H200" s="12" t="s">
        <v>273</v>
      </c>
      <c r="I200" s="12" t="s">
        <v>273</v>
      </c>
      <c r="J200" s="12" t="s">
        <v>273</v>
      </c>
      <c r="K200" s="12" t="s">
        <v>273</v>
      </c>
      <c r="L200" s="12" t="s">
        <v>273</v>
      </c>
      <c r="M200" s="12" t="s">
        <v>273</v>
      </c>
      <c r="N200" s="12" t="s">
        <v>273</v>
      </c>
      <c r="O200" s="12" t="s">
        <v>273</v>
      </c>
      <c r="P200" s="12" t="s">
        <v>273</v>
      </c>
      <c r="Q200" s="13" t="s">
        <v>273</v>
      </c>
      <c r="R200" s="13" t="s">
        <v>273</v>
      </c>
      <c r="S200" s="13" t="s">
        <v>273</v>
      </c>
      <c r="T200" s="11" t="s">
        <v>1483</v>
      </c>
      <c r="U200" s="13" t="s">
        <v>273</v>
      </c>
      <c r="V200" s="13" t="s">
        <v>273</v>
      </c>
      <c r="W200" s="13" t="s">
        <v>273</v>
      </c>
      <c r="X200" s="33" t="s">
        <v>273</v>
      </c>
      <c r="Y200" s="30"/>
      <c r="Z200" s="28" t="s">
        <v>273</v>
      </c>
      <c r="AA200" s="133"/>
      <c r="AB200" s="29"/>
      <c r="AC200" s="27" t="s">
        <v>1848</v>
      </c>
      <c r="AD200" s="27" t="s">
        <v>1932</v>
      </c>
      <c r="AE200" s="29"/>
      <c r="AF200" s="29"/>
    </row>
    <row r="201" spans="2:32" x14ac:dyDescent="0.2">
      <c r="B201" s="11" t="s">
        <v>1377</v>
      </c>
      <c r="C201" s="11" t="s">
        <v>1885</v>
      </c>
      <c r="D201" s="11" t="s">
        <v>1377</v>
      </c>
      <c r="E201" s="12" t="s">
        <v>273</v>
      </c>
      <c r="F201" s="12" t="s">
        <v>273</v>
      </c>
      <c r="G201" s="12" t="s">
        <v>273</v>
      </c>
      <c r="H201" s="12" t="s">
        <v>273</v>
      </c>
      <c r="I201" s="12" t="s">
        <v>273</v>
      </c>
      <c r="J201" s="12" t="s">
        <v>273</v>
      </c>
      <c r="K201" s="12" t="s">
        <v>273</v>
      </c>
      <c r="L201" s="12" t="s">
        <v>273</v>
      </c>
      <c r="M201" s="12" t="s">
        <v>273</v>
      </c>
      <c r="N201" s="12" t="s">
        <v>273</v>
      </c>
      <c r="O201" s="12" t="s">
        <v>273</v>
      </c>
      <c r="P201" s="12" t="s">
        <v>273</v>
      </c>
      <c r="Q201" s="13" t="s">
        <v>273</v>
      </c>
      <c r="R201" s="13" t="s">
        <v>273</v>
      </c>
      <c r="S201" s="13" t="s">
        <v>273</v>
      </c>
      <c r="T201" s="11" t="s">
        <v>1484</v>
      </c>
      <c r="U201" s="13" t="s">
        <v>273</v>
      </c>
      <c r="V201" s="13" t="s">
        <v>273</v>
      </c>
      <c r="W201" s="13" t="s">
        <v>273</v>
      </c>
      <c r="X201" s="33" t="s">
        <v>273</v>
      </c>
      <c r="Y201" s="30"/>
      <c r="Z201" s="28" t="s">
        <v>273</v>
      </c>
      <c r="AA201" s="133"/>
      <c r="AB201" s="29"/>
      <c r="AC201" s="27" t="s">
        <v>1848</v>
      </c>
      <c r="AD201" s="27" t="s">
        <v>1932</v>
      </c>
      <c r="AE201" s="29"/>
      <c r="AF201" s="29"/>
    </row>
    <row r="202" spans="2:32" x14ac:dyDescent="0.2">
      <c r="B202" s="11" t="s">
        <v>1980</v>
      </c>
      <c r="C202" s="11" t="s">
        <v>1733</v>
      </c>
      <c r="D202" s="11" t="s">
        <v>1980</v>
      </c>
      <c r="E202" s="12" t="s">
        <v>273</v>
      </c>
      <c r="F202" s="12" t="s">
        <v>273</v>
      </c>
      <c r="G202" s="12" t="s">
        <v>273</v>
      </c>
      <c r="H202" s="12" t="s">
        <v>273</v>
      </c>
      <c r="I202" s="12" t="s">
        <v>273</v>
      </c>
      <c r="J202" s="12" t="s">
        <v>273</v>
      </c>
      <c r="K202" s="12" t="s">
        <v>273</v>
      </c>
      <c r="L202" s="12" t="s">
        <v>273</v>
      </c>
      <c r="M202" s="12" t="s">
        <v>273</v>
      </c>
      <c r="N202" s="12" t="s">
        <v>273</v>
      </c>
      <c r="O202" s="12" t="s">
        <v>273</v>
      </c>
      <c r="P202" s="12" t="s">
        <v>273</v>
      </c>
      <c r="Q202" s="13" t="s">
        <v>273</v>
      </c>
      <c r="R202" s="13" t="s">
        <v>273</v>
      </c>
      <c r="S202" s="13" t="s">
        <v>273</v>
      </c>
      <c r="T202" s="11" t="s">
        <v>1485</v>
      </c>
      <c r="U202" s="13" t="s">
        <v>273</v>
      </c>
      <c r="V202" s="13" t="s">
        <v>273</v>
      </c>
      <c r="W202" s="13" t="s">
        <v>273</v>
      </c>
      <c r="X202" s="33" t="s">
        <v>273</v>
      </c>
      <c r="Y202" s="30"/>
      <c r="Z202" s="28" t="s">
        <v>273</v>
      </c>
      <c r="AA202" s="133"/>
      <c r="AB202" s="29"/>
      <c r="AC202" s="27" t="s">
        <v>1848</v>
      </c>
      <c r="AD202" s="27" t="s">
        <v>1932</v>
      </c>
      <c r="AE202" s="29"/>
      <c r="AF202" s="29"/>
    </row>
    <row r="203" spans="2:32" x14ac:dyDescent="0.2">
      <c r="B203" s="11" t="s">
        <v>1378</v>
      </c>
      <c r="C203" s="11" t="s">
        <v>1887</v>
      </c>
      <c r="D203" s="11" t="s">
        <v>1378</v>
      </c>
      <c r="E203" s="17" t="s">
        <v>1379</v>
      </c>
      <c r="F203" s="11" t="s">
        <v>1380</v>
      </c>
      <c r="G203" s="11" t="s">
        <v>1381</v>
      </c>
      <c r="H203" s="11" t="s">
        <v>1382</v>
      </c>
      <c r="I203" s="11" t="s">
        <v>773</v>
      </c>
      <c r="J203" s="11" t="s">
        <v>1383</v>
      </c>
      <c r="K203" s="12" t="s">
        <v>273</v>
      </c>
      <c r="L203" s="11" t="s">
        <v>1384</v>
      </c>
      <c r="M203" s="12" t="s">
        <v>273</v>
      </c>
      <c r="N203" s="12" t="s">
        <v>273</v>
      </c>
      <c r="O203" s="12" t="s">
        <v>273</v>
      </c>
      <c r="P203" s="12" t="s">
        <v>273</v>
      </c>
      <c r="Q203" s="13" t="s">
        <v>273</v>
      </c>
      <c r="R203" s="13" t="s">
        <v>273</v>
      </c>
      <c r="S203" s="13" t="s">
        <v>273</v>
      </c>
      <c r="T203" s="13" t="s">
        <v>273</v>
      </c>
      <c r="U203" s="13" t="s">
        <v>273</v>
      </c>
      <c r="V203" s="13" t="s">
        <v>273</v>
      </c>
      <c r="W203" s="13" t="s">
        <v>273</v>
      </c>
      <c r="X203" s="33" t="s">
        <v>273</v>
      </c>
      <c r="Y203" s="30"/>
      <c r="Z203" s="28" t="s">
        <v>273</v>
      </c>
      <c r="AA203" s="133" t="str">
        <f>_xlfn.IFS(AND(COUNTIF(Y203,"SCB*")=1, 'PCH320'!N68&gt;=2), "See the Notice *1", TRUE, "")</f>
        <v/>
      </c>
      <c r="AB203" s="29"/>
      <c r="AC203" s="27" t="s">
        <v>272</v>
      </c>
      <c r="AD203" s="27" t="s">
        <v>254</v>
      </c>
      <c r="AE203" s="29"/>
      <c r="AF203" s="29"/>
    </row>
    <row r="204" spans="2:32" x14ac:dyDescent="0.2">
      <c r="B204" s="11" t="s">
        <v>1385</v>
      </c>
      <c r="C204" s="11" t="s">
        <v>1888</v>
      </c>
      <c r="D204" s="11" t="s">
        <v>1385</v>
      </c>
      <c r="E204" s="17" t="s">
        <v>1386</v>
      </c>
      <c r="F204" s="11" t="s">
        <v>1387</v>
      </c>
      <c r="G204" s="11" t="s">
        <v>1388</v>
      </c>
      <c r="H204" s="11" t="s">
        <v>1389</v>
      </c>
      <c r="I204" s="11" t="s">
        <v>777</v>
      </c>
      <c r="J204" s="11" t="s">
        <v>1390</v>
      </c>
      <c r="K204" s="11" t="s">
        <v>1486</v>
      </c>
      <c r="L204" s="11" t="s">
        <v>1391</v>
      </c>
      <c r="M204" s="11" t="s">
        <v>1392</v>
      </c>
      <c r="N204" s="12" t="s">
        <v>273</v>
      </c>
      <c r="O204" s="12" t="s">
        <v>273</v>
      </c>
      <c r="P204" s="12" t="s">
        <v>273</v>
      </c>
      <c r="Q204" s="13" t="s">
        <v>273</v>
      </c>
      <c r="R204" s="13" t="s">
        <v>273</v>
      </c>
      <c r="S204" s="13" t="s">
        <v>273</v>
      </c>
      <c r="T204" s="13" t="s">
        <v>273</v>
      </c>
      <c r="U204" s="13" t="s">
        <v>273</v>
      </c>
      <c r="V204" s="13" t="s">
        <v>273</v>
      </c>
      <c r="W204" s="13" t="s">
        <v>273</v>
      </c>
      <c r="X204" s="33" t="s">
        <v>273</v>
      </c>
      <c r="Y204" s="30"/>
      <c r="Z204" s="28" t="s">
        <v>273</v>
      </c>
      <c r="AA204" s="133" t="str">
        <f>_xlfn.IFS(AND(COUNTIF(Y204,"SCB*")=1, 'PCH320'!N68&gt;=2), "See the Notice *1", TRUE, "")</f>
        <v/>
      </c>
      <c r="AB204" s="29"/>
      <c r="AC204" s="27" t="s">
        <v>272</v>
      </c>
      <c r="AD204" s="27" t="s">
        <v>254</v>
      </c>
      <c r="AE204" s="29"/>
      <c r="AF204" s="29"/>
    </row>
    <row r="205" spans="2:32" x14ac:dyDescent="0.2">
      <c r="B205" s="11" t="s">
        <v>1393</v>
      </c>
      <c r="C205" s="11" t="s">
        <v>1889</v>
      </c>
      <c r="D205" s="11" t="s">
        <v>1393</v>
      </c>
      <c r="E205" s="17" t="s">
        <v>1192</v>
      </c>
      <c r="F205" s="11" t="s">
        <v>1394</v>
      </c>
      <c r="G205" s="11" t="s">
        <v>1194</v>
      </c>
      <c r="H205" s="11" t="s">
        <v>1395</v>
      </c>
      <c r="I205" s="11" t="s">
        <v>781</v>
      </c>
      <c r="J205" s="11" t="s">
        <v>1396</v>
      </c>
      <c r="K205" s="11" t="s">
        <v>1397</v>
      </c>
      <c r="L205" s="11" t="s">
        <v>1398</v>
      </c>
      <c r="M205" s="11" t="s">
        <v>1399</v>
      </c>
      <c r="N205" s="12" t="s">
        <v>273</v>
      </c>
      <c r="O205" s="12" t="s">
        <v>273</v>
      </c>
      <c r="P205" s="12" t="s">
        <v>273</v>
      </c>
      <c r="Q205" s="13" t="s">
        <v>273</v>
      </c>
      <c r="R205" s="13" t="s">
        <v>273</v>
      </c>
      <c r="S205" s="13" t="s">
        <v>273</v>
      </c>
      <c r="T205" s="13" t="s">
        <v>273</v>
      </c>
      <c r="U205" s="13" t="s">
        <v>273</v>
      </c>
      <c r="V205" s="13" t="s">
        <v>273</v>
      </c>
      <c r="W205" s="13" t="s">
        <v>273</v>
      </c>
      <c r="X205" s="33" t="s">
        <v>273</v>
      </c>
      <c r="Y205" s="30"/>
      <c r="Z205" s="28" t="s">
        <v>273</v>
      </c>
      <c r="AA205" s="133" t="str">
        <f>_xlfn.IFS(AND(COUNTIF(Y205,"SCB*")=1, 'PCH320'!N68&gt;=2), "See the Notice *1", TRUE, "")</f>
        <v/>
      </c>
      <c r="AB205" s="29"/>
      <c r="AC205" s="27" t="s">
        <v>272</v>
      </c>
      <c r="AD205" s="27" t="s">
        <v>254</v>
      </c>
      <c r="AE205" s="29"/>
      <c r="AF205" s="29"/>
    </row>
    <row r="206" spans="2:32" x14ac:dyDescent="0.2">
      <c r="B206" s="11" t="s">
        <v>1400</v>
      </c>
      <c r="C206" s="11" t="s">
        <v>1890</v>
      </c>
      <c r="D206" s="11" t="s">
        <v>1400</v>
      </c>
      <c r="E206" s="17" t="s">
        <v>1187</v>
      </c>
      <c r="F206" s="11" t="s">
        <v>1380</v>
      </c>
      <c r="G206" s="11" t="s">
        <v>1189</v>
      </c>
      <c r="H206" s="11" t="s">
        <v>1382</v>
      </c>
      <c r="I206" s="11" t="s">
        <v>785</v>
      </c>
      <c r="J206" s="11" t="s">
        <v>1401</v>
      </c>
      <c r="K206" s="13" t="s">
        <v>273</v>
      </c>
      <c r="L206" s="11" t="s">
        <v>1402</v>
      </c>
      <c r="M206" s="11" t="s">
        <v>1403</v>
      </c>
      <c r="N206" s="12" t="s">
        <v>273</v>
      </c>
      <c r="O206" s="12" t="s">
        <v>273</v>
      </c>
      <c r="P206" s="12" t="s">
        <v>273</v>
      </c>
      <c r="Q206" s="13" t="s">
        <v>273</v>
      </c>
      <c r="R206" s="13" t="s">
        <v>273</v>
      </c>
      <c r="S206" s="13" t="s">
        <v>273</v>
      </c>
      <c r="T206" s="13" t="s">
        <v>273</v>
      </c>
      <c r="U206" s="13" t="s">
        <v>273</v>
      </c>
      <c r="V206" s="13" t="s">
        <v>273</v>
      </c>
      <c r="W206" s="13" t="s">
        <v>273</v>
      </c>
      <c r="X206" s="33" t="s">
        <v>273</v>
      </c>
      <c r="Y206" s="30"/>
      <c r="Z206" s="28" t="s">
        <v>273</v>
      </c>
      <c r="AA206" s="133" t="str">
        <f>_xlfn.IFS(AND(COUNTIF(Y206,"SCB*")=1, 'PCH320'!N68&gt;=2), "See the Notice *1", TRUE, "")</f>
        <v/>
      </c>
      <c r="AB206" s="29"/>
      <c r="AC206" s="27" t="s">
        <v>272</v>
      </c>
      <c r="AD206" s="27" t="s">
        <v>254</v>
      </c>
      <c r="AE206" s="29"/>
      <c r="AF206" s="29"/>
    </row>
    <row r="207" spans="2:32" x14ac:dyDescent="0.2">
      <c r="B207" s="11" t="s">
        <v>1404</v>
      </c>
      <c r="C207" s="11" t="s">
        <v>1892</v>
      </c>
      <c r="D207" s="11" t="s">
        <v>1404</v>
      </c>
      <c r="E207" s="17" t="s">
        <v>1182</v>
      </c>
      <c r="F207" s="11" t="s">
        <v>1193</v>
      </c>
      <c r="G207" s="11" t="s">
        <v>1184</v>
      </c>
      <c r="H207" s="11" t="s">
        <v>1195</v>
      </c>
      <c r="I207" s="13" t="s">
        <v>273</v>
      </c>
      <c r="J207" s="13" t="s">
        <v>273</v>
      </c>
      <c r="K207" s="13" t="s">
        <v>273</v>
      </c>
      <c r="L207" s="11" t="s">
        <v>1405</v>
      </c>
      <c r="M207" s="11" t="s">
        <v>1406</v>
      </c>
      <c r="N207" s="12" t="s">
        <v>273</v>
      </c>
      <c r="O207" s="12" t="s">
        <v>273</v>
      </c>
      <c r="P207" s="12" t="s">
        <v>273</v>
      </c>
      <c r="Q207" s="13" t="s">
        <v>273</v>
      </c>
      <c r="R207" s="13" t="s">
        <v>273</v>
      </c>
      <c r="S207" s="13" t="s">
        <v>273</v>
      </c>
      <c r="T207" s="13" t="s">
        <v>273</v>
      </c>
      <c r="U207" s="13" t="s">
        <v>273</v>
      </c>
      <c r="V207" s="13" t="s">
        <v>273</v>
      </c>
      <c r="W207" s="13" t="s">
        <v>273</v>
      </c>
      <c r="X207" s="33" t="s">
        <v>273</v>
      </c>
      <c r="Y207" s="30"/>
      <c r="Z207" s="28" t="s">
        <v>273</v>
      </c>
      <c r="AA207" s="133" t="str">
        <f>_xlfn.IFS(AND(COUNTIF(Y207,"SCB*")=1, 'PCH320'!N68&gt;=2), "See the Notice *1", TRUE, "")</f>
        <v/>
      </c>
      <c r="AB207" s="29"/>
      <c r="AC207" s="27" t="s">
        <v>272</v>
      </c>
      <c r="AD207" s="27" t="s">
        <v>254</v>
      </c>
      <c r="AE207" s="29"/>
      <c r="AF207" s="29"/>
    </row>
    <row r="208" spans="2:32" x14ac:dyDescent="0.2">
      <c r="B208" s="11" t="s">
        <v>1407</v>
      </c>
      <c r="C208" s="11" t="s">
        <v>1894</v>
      </c>
      <c r="D208" s="11" t="s">
        <v>1407</v>
      </c>
      <c r="E208" s="17" t="s">
        <v>1177</v>
      </c>
      <c r="F208" s="11" t="s">
        <v>1188</v>
      </c>
      <c r="G208" s="11" t="s">
        <v>1179</v>
      </c>
      <c r="H208" s="11" t="s">
        <v>1190</v>
      </c>
      <c r="I208" s="13" t="s">
        <v>273</v>
      </c>
      <c r="J208" s="13" t="s">
        <v>273</v>
      </c>
      <c r="K208" s="13" t="s">
        <v>273</v>
      </c>
      <c r="L208" s="11" t="s">
        <v>1408</v>
      </c>
      <c r="M208" s="11" t="s">
        <v>1409</v>
      </c>
      <c r="N208" s="12" t="s">
        <v>273</v>
      </c>
      <c r="O208" s="12" t="s">
        <v>273</v>
      </c>
      <c r="P208" s="12" t="s">
        <v>273</v>
      </c>
      <c r="Q208" s="13" t="s">
        <v>273</v>
      </c>
      <c r="R208" s="13" t="s">
        <v>273</v>
      </c>
      <c r="S208" s="13" t="s">
        <v>273</v>
      </c>
      <c r="T208" s="13" t="s">
        <v>273</v>
      </c>
      <c r="U208" s="13" t="s">
        <v>273</v>
      </c>
      <c r="V208" s="13" t="s">
        <v>273</v>
      </c>
      <c r="W208" s="13" t="s">
        <v>273</v>
      </c>
      <c r="X208" s="33" t="s">
        <v>273</v>
      </c>
      <c r="Y208" s="30"/>
      <c r="Z208" s="28" t="s">
        <v>273</v>
      </c>
      <c r="AA208" s="133" t="str">
        <f>_xlfn.IFS(AND(COUNTIF(Y208,"SCB*")=1, 'PCH320'!N68&gt;=2), "See the Notice *1", TRUE, "")</f>
        <v/>
      </c>
      <c r="AB208" s="29"/>
      <c r="AC208" s="27" t="s">
        <v>272</v>
      </c>
      <c r="AD208" s="27" t="s">
        <v>254</v>
      </c>
      <c r="AE208" s="29"/>
      <c r="AF208" s="29"/>
    </row>
    <row r="209" spans="2:32" x14ac:dyDescent="0.2">
      <c r="B209" s="11" t="s">
        <v>1410</v>
      </c>
      <c r="C209" s="11" t="s">
        <v>1896</v>
      </c>
      <c r="D209" s="11" t="s">
        <v>1410</v>
      </c>
      <c r="E209" s="17" t="s">
        <v>1411</v>
      </c>
      <c r="F209" s="11" t="s">
        <v>1183</v>
      </c>
      <c r="G209" s="11" t="s">
        <v>1412</v>
      </c>
      <c r="H209" s="11" t="s">
        <v>1185</v>
      </c>
      <c r="I209" s="13" t="s">
        <v>273</v>
      </c>
      <c r="J209" s="13" t="s">
        <v>273</v>
      </c>
      <c r="K209" s="13" t="s">
        <v>273</v>
      </c>
      <c r="L209" s="11" t="s">
        <v>1413</v>
      </c>
      <c r="M209" s="11" t="s">
        <v>1414</v>
      </c>
      <c r="N209" s="12" t="s">
        <v>273</v>
      </c>
      <c r="O209" s="12" t="s">
        <v>273</v>
      </c>
      <c r="P209" s="12" t="s">
        <v>273</v>
      </c>
      <c r="Q209" s="13" t="s">
        <v>273</v>
      </c>
      <c r="R209" s="13" t="s">
        <v>273</v>
      </c>
      <c r="S209" s="13" t="s">
        <v>273</v>
      </c>
      <c r="T209" s="13" t="s">
        <v>273</v>
      </c>
      <c r="U209" s="13" t="s">
        <v>273</v>
      </c>
      <c r="V209" s="13" t="s">
        <v>273</v>
      </c>
      <c r="W209" s="13" t="s">
        <v>273</v>
      </c>
      <c r="X209" s="33" t="s">
        <v>273</v>
      </c>
      <c r="Y209" s="30"/>
      <c r="Z209" s="28" t="s">
        <v>273</v>
      </c>
      <c r="AA209" s="133" t="str">
        <f>_xlfn.IFS(AND(COUNTIF(Y209,"SCB*")=1, 'PCH320'!N68&gt;=2), "See the Notice *1", TRUE, "")</f>
        <v/>
      </c>
      <c r="AB209" s="29"/>
      <c r="AC209" s="27" t="s">
        <v>272</v>
      </c>
      <c r="AD209" s="27" t="s">
        <v>254</v>
      </c>
      <c r="AE209" s="29"/>
      <c r="AF209" s="29"/>
    </row>
    <row r="210" spans="2:32" x14ac:dyDescent="0.2">
      <c r="B210" s="11" t="s">
        <v>1415</v>
      </c>
      <c r="C210" s="11" t="s">
        <v>1897</v>
      </c>
      <c r="D210" s="11" t="s">
        <v>1415</v>
      </c>
      <c r="E210" s="17" t="s">
        <v>1416</v>
      </c>
      <c r="F210" s="11" t="s">
        <v>1178</v>
      </c>
      <c r="G210" s="11" t="s">
        <v>1417</v>
      </c>
      <c r="H210" s="11" t="s">
        <v>1180</v>
      </c>
      <c r="I210" s="13" t="s">
        <v>273</v>
      </c>
      <c r="J210" s="13" t="s">
        <v>273</v>
      </c>
      <c r="K210" s="13" t="s">
        <v>273</v>
      </c>
      <c r="L210" s="13" t="s">
        <v>273</v>
      </c>
      <c r="M210" s="11" t="s">
        <v>1418</v>
      </c>
      <c r="N210" s="12" t="s">
        <v>273</v>
      </c>
      <c r="O210" s="12" t="s">
        <v>273</v>
      </c>
      <c r="P210" s="12" t="s">
        <v>273</v>
      </c>
      <c r="Q210" s="13" t="s">
        <v>273</v>
      </c>
      <c r="R210" s="13" t="s">
        <v>273</v>
      </c>
      <c r="S210" s="13" t="s">
        <v>273</v>
      </c>
      <c r="T210" s="13" t="s">
        <v>273</v>
      </c>
      <c r="U210" s="13" t="s">
        <v>273</v>
      </c>
      <c r="V210" s="13" t="s">
        <v>273</v>
      </c>
      <c r="W210" s="13" t="s">
        <v>273</v>
      </c>
      <c r="X210" s="33" t="s">
        <v>273</v>
      </c>
      <c r="Y210" s="30"/>
      <c r="Z210" s="28" t="s">
        <v>273</v>
      </c>
      <c r="AA210" s="133"/>
      <c r="AB210" s="29"/>
      <c r="AC210" s="27" t="s">
        <v>272</v>
      </c>
      <c r="AD210" s="27" t="s">
        <v>254</v>
      </c>
      <c r="AE210" s="29"/>
      <c r="AF210" s="29"/>
    </row>
    <row r="211" spans="2:32" x14ac:dyDescent="0.2">
      <c r="B211" s="11" t="s">
        <v>1419</v>
      </c>
      <c r="C211" s="11" t="s">
        <v>1898</v>
      </c>
      <c r="D211" s="11" t="s">
        <v>1419</v>
      </c>
      <c r="E211" s="17" t="s">
        <v>1420</v>
      </c>
      <c r="F211" s="11" t="s">
        <v>1421</v>
      </c>
      <c r="G211" s="11" t="s">
        <v>1422</v>
      </c>
      <c r="H211" s="11" t="s">
        <v>1423</v>
      </c>
      <c r="I211" s="13" t="s">
        <v>273</v>
      </c>
      <c r="J211" s="13" t="s">
        <v>273</v>
      </c>
      <c r="K211" s="13" t="s">
        <v>273</v>
      </c>
      <c r="L211" s="13" t="s">
        <v>273</v>
      </c>
      <c r="M211" s="11" t="s">
        <v>1424</v>
      </c>
      <c r="N211" s="12" t="s">
        <v>273</v>
      </c>
      <c r="O211" s="12" t="s">
        <v>273</v>
      </c>
      <c r="P211" s="12" t="s">
        <v>273</v>
      </c>
      <c r="Q211" s="13" t="s">
        <v>273</v>
      </c>
      <c r="R211" s="13" t="s">
        <v>273</v>
      </c>
      <c r="S211" s="13" t="s">
        <v>273</v>
      </c>
      <c r="T211" s="13" t="s">
        <v>273</v>
      </c>
      <c r="U211" s="13" t="s">
        <v>273</v>
      </c>
      <c r="V211" s="13" t="s">
        <v>273</v>
      </c>
      <c r="W211" s="13" t="s">
        <v>273</v>
      </c>
      <c r="X211" s="33" t="s">
        <v>273</v>
      </c>
      <c r="Y211" s="30"/>
      <c r="Z211" s="28" t="s">
        <v>273</v>
      </c>
      <c r="AA211" s="133"/>
      <c r="AB211" s="29"/>
      <c r="AC211" s="27" t="s">
        <v>272</v>
      </c>
      <c r="AD211" s="27" t="s">
        <v>254</v>
      </c>
      <c r="AE211" s="29"/>
      <c r="AF211" s="29"/>
    </row>
    <row r="212" spans="2:32" x14ac:dyDescent="0.2">
      <c r="B212" s="11" t="s">
        <v>1425</v>
      </c>
      <c r="C212" s="11" t="s">
        <v>1604</v>
      </c>
      <c r="D212" s="11" t="s">
        <v>1425</v>
      </c>
      <c r="E212" s="17" t="s">
        <v>1426</v>
      </c>
      <c r="F212" s="11" t="s">
        <v>1427</v>
      </c>
      <c r="G212" s="11" t="s">
        <v>1428</v>
      </c>
      <c r="H212" s="11" t="s">
        <v>1429</v>
      </c>
      <c r="I212" s="13" t="s">
        <v>273</v>
      </c>
      <c r="J212" s="13" t="s">
        <v>273</v>
      </c>
      <c r="K212" s="13" t="s">
        <v>273</v>
      </c>
      <c r="L212" s="13" t="s">
        <v>273</v>
      </c>
      <c r="M212" s="11" t="s">
        <v>1430</v>
      </c>
      <c r="N212" s="12" t="s">
        <v>273</v>
      </c>
      <c r="O212" s="12" t="s">
        <v>273</v>
      </c>
      <c r="P212" s="12" t="s">
        <v>273</v>
      </c>
      <c r="Q212" s="13" t="s">
        <v>273</v>
      </c>
      <c r="R212" s="13" t="s">
        <v>273</v>
      </c>
      <c r="S212" s="13" t="s">
        <v>273</v>
      </c>
      <c r="T212" s="13" t="s">
        <v>273</v>
      </c>
      <c r="U212" s="13" t="s">
        <v>273</v>
      </c>
      <c r="V212" s="13" t="s">
        <v>273</v>
      </c>
      <c r="W212" s="13" t="s">
        <v>273</v>
      </c>
      <c r="X212" s="33" t="s">
        <v>273</v>
      </c>
      <c r="Y212" s="30"/>
      <c r="Z212" s="28" t="s">
        <v>273</v>
      </c>
      <c r="AA212" s="133"/>
      <c r="AB212" s="29"/>
      <c r="AC212" s="27" t="s">
        <v>272</v>
      </c>
      <c r="AD212" s="27" t="s">
        <v>254</v>
      </c>
      <c r="AE212" s="29"/>
      <c r="AF212" s="29"/>
    </row>
    <row r="213" spans="2:32" x14ac:dyDescent="0.2">
      <c r="B213" s="11" t="s">
        <v>1431</v>
      </c>
      <c r="C213" s="11" t="s">
        <v>1899</v>
      </c>
      <c r="D213" s="11" t="s">
        <v>1431</v>
      </c>
      <c r="E213" s="17" t="s">
        <v>1432</v>
      </c>
      <c r="F213" s="11" t="s">
        <v>1433</v>
      </c>
      <c r="G213" s="11" t="s">
        <v>1434</v>
      </c>
      <c r="H213" s="11" t="s">
        <v>1435</v>
      </c>
      <c r="I213" s="13" t="s">
        <v>273</v>
      </c>
      <c r="J213" s="13" t="s">
        <v>273</v>
      </c>
      <c r="K213" s="13" t="s">
        <v>273</v>
      </c>
      <c r="L213" s="13" t="s">
        <v>273</v>
      </c>
      <c r="M213" s="13" t="s">
        <v>273</v>
      </c>
      <c r="N213" s="12" t="s">
        <v>273</v>
      </c>
      <c r="O213" s="12" t="s">
        <v>273</v>
      </c>
      <c r="P213" s="12" t="s">
        <v>273</v>
      </c>
      <c r="Q213" s="13" t="s">
        <v>273</v>
      </c>
      <c r="R213" s="13" t="s">
        <v>273</v>
      </c>
      <c r="S213" s="13" t="s">
        <v>273</v>
      </c>
      <c r="T213" s="13" t="s">
        <v>273</v>
      </c>
      <c r="U213" s="13" t="s">
        <v>273</v>
      </c>
      <c r="V213" s="13" t="s">
        <v>273</v>
      </c>
      <c r="W213" s="13" t="s">
        <v>273</v>
      </c>
      <c r="X213" s="33" t="s">
        <v>273</v>
      </c>
      <c r="Y213" s="30"/>
      <c r="Z213" s="28" t="s">
        <v>273</v>
      </c>
      <c r="AA213" s="133"/>
      <c r="AB213" s="29"/>
      <c r="AC213" s="27" t="s">
        <v>272</v>
      </c>
      <c r="AD213" s="27" t="s">
        <v>254</v>
      </c>
      <c r="AE213" s="29"/>
      <c r="AF213" s="29"/>
    </row>
    <row r="214" spans="2:32" x14ac:dyDescent="0.2">
      <c r="B214" s="11" t="s">
        <v>1436</v>
      </c>
      <c r="C214" s="11" t="s">
        <v>1900</v>
      </c>
      <c r="D214" s="11" t="s">
        <v>1436</v>
      </c>
      <c r="E214" s="17" t="s">
        <v>1437</v>
      </c>
      <c r="F214" s="11" t="s">
        <v>1438</v>
      </c>
      <c r="G214" s="11" t="s">
        <v>1439</v>
      </c>
      <c r="H214" s="11" t="s">
        <v>1440</v>
      </c>
      <c r="I214" s="13" t="s">
        <v>273</v>
      </c>
      <c r="J214" s="13" t="s">
        <v>273</v>
      </c>
      <c r="K214" s="13" t="s">
        <v>273</v>
      </c>
      <c r="L214" s="13" t="s">
        <v>273</v>
      </c>
      <c r="M214" s="13" t="s">
        <v>273</v>
      </c>
      <c r="N214" s="12" t="s">
        <v>273</v>
      </c>
      <c r="O214" s="12" t="s">
        <v>273</v>
      </c>
      <c r="P214" s="12" t="s">
        <v>273</v>
      </c>
      <c r="Q214" s="13" t="s">
        <v>273</v>
      </c>
      <c r="R214" s="13" t="s">
        <v>273</v>
      </c>
      <c r="S214" s="13" t="s">
        <v>273</v>
      </c>
      <c r="T214" s="13" t="s">
        <v>273</v>
      </c>
      <c r="U214" s="13" t="s">
        <v>273</v>
      </c>
      <c r="V214" s="13" t="s">
        <v>273</v>
      </c>
      <c r="W214" s="13" t="s">
        <v>273</v>
      </c>
      <c r="X214" s="33" t="s">
        <v>273</v>
      </c>
      <c r="Y214" s="30"/>
      <c r="Z214" s="28" t="s">
        <v>273</v>
      </c>
      <c r="AA214" s="133"/>
      <c r="AB214" s="29"/>
      <c r="AC214" s="27" t="s">
        <v>272</v>
      </c>
      <c r="AD214" s="27" t="s">
        <v>254</v>
      </c>
      <c r="AE214" s="29"/>
      <c r="AF214" s="29"/>
    </row>
    <row r="215" spans="2:32" x14ac:dyDescent="0.2">
      <c r="B215" s="11" t="s">
        <v>1441</v>
      </c>
      <c r="C215" s="11" t="s">
        <v>1902</v>
      </c>
      <c r="D215" s="11" t="s">
        <v>1441</v>
      </c>
      <c r="E215" s="17" t="s">
        <v>1442</v>
      </c>
      <c r="F215" s="11" t="s">
        <v>1443</v>
      </c>
      <c r="G215" s="11" t="s">
        <v>1444</v>
      </c>
      <c r="H215" s="11" t="s">
        <v>1445</v>
      </c>
      <c r="I215" s="13" t="s">
        <v>273</v>
      </c>
      <c r="J215" s="13" t="s">
        <v>273</v>
      </c>
      <c r="K215" s="13" t="s">
        <v>273</v>
      </c>
      <c r="L215" s="13" t="s">
        <v>273</v>
      </c>
      <c r="M215" s="13" t="s">
        <v>273</v>
      </c>
      <c r="N215" s="12" t="s">
        <v>273</v>
      </c>
      <c r="O215" s="12" t="s">
        <v>273</v>
      </c>
      <c r="P215" s="12" t="s">
        <v>273</v>
      </c>
      <c r="Q215" s="13" t="s">
        <v>273</v>
      </c>
      <c r="R215" s="13" t="s">
        <v>273</v>
      </c>
      <c r="S215" s="13" t="s">
        <v>273</v>
      </c>
      <c r="T215" s="13" t="s">
        <v>273</v>
      </c>
      <c r="U215" s="13" t="s">
        <v>273</v>
      </c>
      <c r="V215" s="13" t="s">
        <v>273</v>
      </c>
      <c r="W215" s="13" t="s">
        <v>273</v>
      </c>
      <c r="X215" s="33" t="s">
        <v>273</v>
      </c>
      <c r="Y215" s="30"/>
      <c r="Z215" s="28" t="s">
        <v>273</v>
      </c>
      <c r="AA215" s="133"/>
      <c r="AB215" s="29"/>
      <c r="AC215" s="27" t="s">
        <v>272</v>
      </c>
      <c r="AD215" s="27" t="s">
        <v>254</v>
      </c>
      <c r="AE215" s="29"/>
      <c r="AF215" s="29"/>
    </row>
    <row r="216" spans="2:32" x14ac:dyDescent="0.2">
      <c r="B216" s="11" t="s">
        <v>1446</v>
      </c>
      <c r="C216" s="11" t="s">
        <v>1904</v>
      </c>
      <c r="D216" s="11" t="s">
        <v>1446</v>
      </c>
      <c r="E216" s="17" t="s">
        <v>1447</v>
      </c>
      <c r="F216" s="11" t="s">
        <v>1448</v>
      </c>
      <c r="G216" s="11" t="s">
        <v>1449</v>
      </c>
      <c r="H216" s="11" t="s">
        <v>1450</v>
      </c>
      <c r="I216" s="13" t="s">
        <v>273</v>
      </c>
      <c r="J216" s="13" t="s">
        <v>273</v>
      </c>
      <c r="K216" s="13" t="s">
        <v>273</v>
      </c>
      <c r="L216" s="13" t="s">
        <v>273</v>
      </c>
      <c r="M216" s="13" t="s">
        <v>273</v>
      </c>
      <c r="N216" s="12" t="s">
        <v>273</v>
      </c>
      <c r="O216" s="12" t="s">
        <v>273</v>
      </c>
      <c r="P216" s="12" t="s">
        <v>273</v>
      </c>
      <c r="Q216" s="13" t="s">
        <v>273</v>
      </c>
      <c r="R216" s="13" t="s">
        <v>273</v>
      </c>
      <c r="S216" s="13" t="s">
        <v>273</v>
      </c>
      <c r="T216" s="13" t="s">
        <v>273</v>
      </c>
      <c r="U216" s="13" t="s">
        <v>273</v>
      </c>
      <c r="V216" s="13" t="s">
        <v>273</v>
      </c>
      <c r="W216" s="13" t="s">
        <v>273</v>
      </c>
      <c r="X216" s="33" t="s">
        <v>273</v>
      </c>
      <c r="Y216" s="30"/>
      <c r="Z216" s="28" t="s">
        <v>273</v>
      </c>
      <c r="AA216" s="133"/>
      <c r="AB216" s="29"/>
      <c r="AC216" s="27" t="s">
        <v>272</v>
      </c>
      <c r="AD216" s="27" t="s">
        <v>254</v>
      </c>
      <c r="AE216" s="29"/>
      <c r="AF216" s="29"/>
    </row>
    <row r="217" spans="2:32" x14ac:dyDescent="0.2">
      <c r="B217" s="11" t="s">
        <v>1451</v>
      </c>
      <c r="C217" s="11" t="s">
        <v>1905</v>
      </c>
      <c r="D217" s="11" t="s">
        <v>1451</v>
      </c>
      <c r="E217" s="17" t="s">
        <v>1452</v>
      </c>
      <c r="F217" s="11" t="s">
        <v>1453</v>
      </c>
      <c r="G217" s="11" t="s">
        <v>1454</v>
      </c>
      <c r="H217" s="11" t="s">
        <v>1455</v>
      </c>
      <c r="I217" s="13" t="s">
        <v>273</v>
      </c>
      <c r="J217" s="13" t="s">
        <v>273</v>
      </c>
      <c r="K217" s="13" t="s">
        <v>273</v>
      </c>
      <c r="L217" s="13" t="s">
        <v>273</v>
      </c>
      <c r="M217" s="13" t="s">
        <v>273</v>
      </c>
      <c r="N217" s="12" t="s">
        <v>273</v>
      </c>
      <c r="O217" s="12" t="s">
        <v>273</v>
      </c>
      <c r="P217" s="12" t="s">
        <v>273</v>
      </c>
      <c r="Q217" s="13" t="s">
        <v>273</v>
      </c>
      <c r="R217" s="13" t="s">
        <v>273</v>
      </c>
      <c r="S217" s="13" t="s">
        <v>273</v>
      </c>
      <c r="T217" s="13" t="s">
        <v>273</v>
      </c>
      <c r="U217" s="13" t="s">
        <v>273</v>
      </c>
      <c r="V217" s="13" t="s">
        <v>273</v>
      </c>
      <c r="W217" s="13" t="s">
        <v>273</v>
      </c>
      <c r="X217" s="33" t="s">
        <v>273</v>
      </c>
      <c r="Y217" s="30"/>
      <c r="Z217" s="28" t="s">
        <v>273</v>
      </c>
      <c r="AA217" s="133"/>
      <c r="AB217" s="29"/>
      <c r="AC217" s="27" t="s">
        <v>272</v>
      </c>
      <c r="AD217" s="27" t="s">
        <v>254</v>
      </c>
      <c r="AE217" s="29"/>
      <c r="AF217" s="29"/>
    </row>
    <row r="218" spans="2:32" x14ac:dyDescent="0.2">
      <c r="B218" s="11" t="s">
        <v>1456</v>
      </c>
      <c r="C218" s="11" t="s">
        <v>1906</v>
      </c>
      <c r="D218" s="11" t="s">
        <v>1456</v>
      </c>
      <c r="E218" s="17" t="s">
        <v>1457</v>
      </c>
      <c r="F218" s="11" t="s">
        <v>1458</v>
      </c>
      <c r="G218" s="11" t="s">
        <v>1459</v>
      </c>
      <c r="H218" s="11" t="s">
        <v>1460</v>
      </c>
      <c r="I218" s="13" t="s">
        <v>273</v>
      </c>
      <c r="J218" s="13" t="s">
        <v>273</v>
      </c>
      <c r="K218" s="13" t="s">
        <v>273</v>
      </c>
      <c r="L218" s="13" t="s">
        <v>273</v>
      </c>
      <c r="M218" s="13" t="s">
        <v>273</v>
      </c>
      <c r="N218" s="12" t="s">
        <v>273</v>
      </c>
      <c r="O218" s="12" t="s">
        <v>273</v>
      </c>
      <c r="P218" s="12" t="s">
        <v>273</v>
      </c>
      <c r="Q218" s="13" t="s">
        <v>273</v>
      </c>
      <c r="R218" s="13" t="s">
        <v>273</v>
      </c>
      <c r="S218" s="13" t="s">
        <v>273</v>
      </c>
      <c r="T218" s="13" t="s">
        <v>273</v>
      </c>
      <c r="U218" s="13" t="s">
        <v>273</v>
      </c>
      <c r="V218" s="13" t="s">
        <v>273</v>
      </c>
      <c r="W218" s="13" t="s">
        <v>273</v>
      </c>
      <c r="X218" s="33" t="s">
        <v>273</v>
      </c>
      <c r="Y218" s="30"/>
      <c r="Z218" s="28" t="s">
        <v>273</v>
      </c>
      <c r="AA218" s="133"/>
      <c r="AB218" s="29"/>
      <c r="AC218" s="27" t="s">
        <v>272</v>
      </c>
      <c r="AD218" s="27" t="s">
        <v>254</v>
      </c>
      <c r="AE218" s="29"/>
      <c r="AF218" s="29"/>
    </row>
    <row r="219" spans="2:32" x14ac:dyDescent="0.2">
      <c r="B219" s="11" t="s">
        <v>1461</v>
      </c>
      <c r="C219" s="11" t="s">
        <v>1907</v>
      </c>
      <c r="D219" s="11" t="s">
        <v>1461</v>
      </c>
      <c r="E219" s="17" t="s">
        <v>1457</v>
      </c>
      <c r="F219" s="11" t="s">
        <v>1462</v>
      </c>
      <c r="G219" s="11" t="s">
        <v>1459</v>
      </c>
      <c r="H219" s="11" t="s">
        <v>1463</v>
      </c>
      <c r="I219" s="13" t="s">
        <v>273</v>
      </c>
      <c r="J219" s="11" t="s">
        <v>1464</v>
      </c>
      <c r="K219" s="11" t="s">
        <v>1465</v>
      </c>
      <c r="L219" s="11" t="s">
        <v>1466</v>
      </c>
      <c r="M219" s="13" t="s">
        <v>273</v>
      </c>
      <c r="N219" s="12" t="s">
        <v>273</v>
      </c>
      <c r="O219" s="12" t="s">
        <v>273</v>
      </c>
      <c r="P219" s="12" t="s">
        <v>273</v>
      </c>
      <c r="Q219" s="13" t="s">
        <v>273</v>
      </c>
      <c r="R219" s="13" t="s">
        <v>273</v>
      </c>
      <c r="S219" s="11" t="s">
        <v>1467</v>
      </c>
      <c r="T219" s="13" t="s">
        <v>273</v>
      </c>
      <c r="U219" s="13" t="s">
        <v>273</v>
      </c>
      <c r="V219" s="13" t="s">
        <v>273</v>
      </c>
      <c r="W219" s="13" t="s">
        <v>273</v>
      </c>
      <c r="X219" s="33" t="s">
        <v>273</v>
      </c>
      <c r="Y219" s="30"/>
      <c r="Z219" s="28" t="s">
        <v>273</v>
      </c>
      <c r="AA219" s="133" t="str">
        <f>_xlfn.IFS(AND(COUNTIF(Y219,"SCB*")=1, 'PCH320'!M68&gt;=2), "See the Notice *1", TRUE, "")</f>
        <v/>
      </c>
      <c r="AB219" s="29"/>
      <c r="AC219" s="27" t="s">
        <v>272</v>
      </c>
      <c r="AD219" s="27" t="s">
        <v>254</v>
      </c>
      <c r="AE219" s="29"/>
      <c r="AF219" s="29"/>
    </row>
    <row r="220" spans="2:32" x14ac:dyDescent="0.2">
      <c r="B220" s="11" t="s">
        <v>1468</v>
      </c>
      <c r="C220" s="11" t="s">
        <v>1617</v>
      </c>
      <c r="D220" s="11" t="s">
        <v>1468</v>
      </c>
      <c r="E220" s="17" t="s">
        <v>1452</v>
      </c>
      <c r="F220" s="11" t="s">
        <v>1462</v>
      </c>
      <c r="G220" s="11" t="s">
        <v>1454</v>
      </c>
      <c r="H220" s="11" t="s">
        <v>1463</v>
      </c>
      <c r="I220" s="13" t="s">
        <v>273</v>
      </c>
      <c r="J220" s="11" t="s">
        <v>1469</v>
      </c>
      <c r="K220" s="13" t="s">
        <v>273</v>
      </c>
      <c r="L220" s="11" t="s">
        <v>1470</v>
      </c>
      <c r="M220" s="11" t="s">
        <v>877</v>
      </c>
      <c r="N220" s="12" t="s">
        <v>273</v>
      </c>
      <c r="O220" s="12" t="s">
        <v>273</v>
      </c>
      <c r="P220" s="12" t="s">
        <v>273</v>
      </c>
      <c r="Q220" s="13" t="s">
        <v>273</v>
      </c>
      <c r="R220" s="13" t="s">
        <v>273</v>
      </c>
      <c r="S220" s="11" t="s">
        <v>1471</v>
      </c>
      <c r="T220" s="13" t="s">
        <v>273</v>
      </c>
      <c r="U220" s="13" t="s">
        <v>273</v>
      </c>
      <c r="V220" s="13" t="s">
        <v>273</v>
      </c>
      <c r="W220" s="13" t="s">
        <v>273</v>
      </c>
      <c r="X220" s="33" t="s">
        <v>273</v>
      </c>
      <c r="Y220" s="30"/>
      <c r="Z220" s="28" t="s">
        <v>273</v>
      </c>
      <c r="AA220" s="133" t="str">
        <f>_xlfn.IFS(AND(COUNTIF(Y220,"SCB*")=1, 'PCH320'!M68&gt;=2), "See the Notice *1", TRUE, "")</f>
        <v/>
      </c>
      <c r="AB220" s="29"/>
      <c r="AC220" s="27" t="s">
        <v>272</v>
      </c>
      <c r="AD220" s="27" t="s">
        <v>254</v>
      </c>
      <c r="AE220" s="29"/>
      <c r="AF220" s="29"/>
    </row>
    <row r="221" spans="2:32" x14ac:dyDescent="0.2">
      <c r="B221" s="11" t="s">
        <v>1472</v>
      </c>
      <c r="C221" s="11" t="s">
        <v>1619</v>
      </c>
      <c r="D221" s="11" t="s">
        <v>1472</v>
      </c>
      <c r="E221" s="17" t="s">
        <v>1447</v>
      </c>
      <c r="F221" s="11" t="s">
        <v>1458</v>
      </c>
      <c r="G221" s="11" t="s">
        <v>1449</v>
      </c>
      <c r="H221" s="11" t="s">
        <v>1460</v>
      </c>
      <c r="I221" s="13" t="s">
        <v>273</v>
      </c>
      <c r="J221" s="13" t="s">
        <v>273</v>
      </c>
      <c r="K221" s="13" t="s">
        <v>273</v>
      </c>
      <c r="L221" s="11" t="s">
        <v>1473</v>
      </c>
      <c r="M221" s="11" t="s">
        <v>880</v>
      </c>
      <c r="N221" s="11" t="s">
        <v>1134</v>
      </c>
      <c r="O221" s="12" t="s">
        <v>273</v>
      </c>
      <c r="P221" s="12" t="s">
        <v>273</v>
      </c>
      <c r="Q221" s="13" t="s">
        <v>273</v>
      </c>
      <c r="R221" s="13" t="s">
        <v>273</v>
      </c>
      <c r="S221" s="11" t="s">
        <v>1474</v>
      </c>
      <c r="T221" s="13" t="s">
        <v>273</v>
      </c>
      <c r="U221" s="13" t="s">
        <v>273</v>
      </c>
      <c r="V221" s="13" t="s">
        <v>273</v>
      </c>
      <c r="W221" s="13" t="s">
        <v>273</v>
      </c>
      <c r="X221" s="33" t="s">
        <v>273</v>
      </c>
      <c r="Y221" s="30"/>
      <c r="Z221" s="28" t="s">
        <v>273</v>
      </c>
      <c r="AA221" s="133" t="str">
        <f>_xlfn.IFS(AND(COUNTIF(Y221,"SCB*")=1, 'PCH320'!M68&gt;=2), "See the Notice *1", TRUE, "")</f>
        <v/>
      </c>
      <c r="AB221" s="29"/>
      <c r="AC221" s="27" t="s">
        <v>272</v>
      </c>
      <c r="AD221" s="27" t="s">
        <v>254</v>
      </c>
      <c r="AE221" s="29"/>
      <c r="AF221" s="29"/>
    </row>
    <row r="222" spans="2:32" x14ac:dyDescent="0.2">
      <c r="B222" s="11" t="s">
        <v>1475</v>
      </c>
      <c r="C222" s="11" t="s">
        <v>1621</v>
      </c>
      <c r="D222" s="11" t="s">
        <v>1475</v>
      </c>
      <c r="E222" s="17" t="s">
        <v>1442</v>
      </c>
      <c r="F222" s="11" t="s">
        <v>1453</v>
      </c>
      <c r="G222" s="11" t="s">
        <v>1444</v>
      </c>
      <c r="H222" s="11" t="s">
        <v>1455</v>
      </c>
      <c r="I222" s="13" t="s">
        <v>273</v>
      </c>
      <c r="J222" s="13" t="s">
        <v>273</v>
      </c>
      <c r="K222" s="13" t="s">
        <v>273</v>
      </c>
      <c r="L222" s="11" t="s">
        <v>1476</v>
      </c>
      <c r="M222" s="11" t="s">
        <v>886</v>
      </c>
      <c r="N222" s="11" t="s">
        <v>1143</v>
      </c>
      <c r="O222" s="12" t="s">
        <v>273</v>
      </c>
      <c r="P222" s="12" t="s">
        <v>273</v>
      </c>
      <c r="Q222" s="13" t="s">
        <v>273</v>
      </c>
      <c r="R222" s="13" t="s">
        <v>273</v>
      </c>
      <c r="S222" s="11" t="s">
        <v>1477</v>
      </c>
      <c r="T222" s="13" t="s">
        <v>273</v>
      </c>
      <c r="U222" s="13" t="s">
        <v>273</v>
      </c>
      <c r="V222" s="13" t="s">
        <v>273</v>
      </c>
      <c r="W222" s="13" t="s">
        <v>273</v>
      </c>
      <c r="X222" s="33" t="s">
        <v>273</v>
      </c>
      <c r="Y222" s="30"/>
      <c r="Z222" s="28" t="s">
        <v>273</v>
      </c>
      <c r="AA222" s="133" t="str">
        <f>_xlfn.IFS(AND(COUNTIF(Y222,"SCB*")=1, 'PCH320'!M68&gt;=2), "See the Notice *1", TRUE, "")</f>
        <v/>
      </c>
      <c r="AB222" s="29"/>
      <c r="AC222" s="27" t="s">
        <v>272</v>
      </c>
      <c r="AD222" s="27" t="s">
        <v>254</v>
      </c>
      <c r="AE222" s="29"/>
      <c r="AF222" s="29"/>
    </row>
    <row r="223" spans="2:32" x14ac:dyDescent="0.2">
      <c r="B223" s="11" t="s">
        <v>1478</v>
      </c>
      <c r="C223" s="11" t="s">
        <v>1910</v>
      </c>
      <c r="D223" s="11" t="s">
        <v>1478</v>
      </c>
      <c r="E223" s="17" t="s">
        <v>1437</v>
      </c>
      <c r="F223" s="11" t="s">
        <v>1448</v>
      </c>
      <c r="G223" s="11" t="s">
        <v>1439</v>
      </c>
      <c r="H223" s="11" t="s">
        <v>1450</v>
      </c>
      <c r="I223" s="13" t="s">
        <v>273</v>
      </c>
      <c r="J223" s="13" t="s">
        <v>273</v>
      </c>
      <c r="K223" s="13" t="s">
        <v>273</v>
      </c>
      <c r="L223" s="13" t="s">
        <v>273</v>
      </c>
      <c r="M223" s="11" t="s">
        <v>1392</v>
      </c>
      <c r="N223" s="12" t="s">
        <v>273</v>
      </c>
      <c r="O223" s="12" t="s">
        <v>273</v>
      </c>
      <c r="P223" s="12" t="s">
        <v>273</v>
      </c>
      <c r="Q223" s="13" t="s">
        <v>273</v>
      </c>
      <c r="R223" s="13" t="s">
        <v>273</v>
      </c>
      <c r="S223" s="13" t="s">
        <v>273</v>
      </c>
      <c r="T223" s="13" t="s">
        <v>273</v>
      </c>
      <c r="U223" s="13" t="s">
        <v>273</v>
      </c>
      <c r="V223" s="13" t="s">
        <v>273</v>
      </c>
      <c r="W223" s="13" t="s">
        <v>273</v>
      </c>
      <c r="X223" s="33" t="s">
        <v>273</v>
      </c>
      <c r="Y223" s="30"/>
      <c r="Z223" s="28" t="s">
        <v>273</v>
      </c>
      <c r="AA223" s="133"/>
      <c r="AB223" s="29"/>
      <c r="AC223" s="27" t="s">
        <v>272</v>
      </c>
      <c r="AD223" s="27" t="s">
        <v>254</v>
      </c>
      <c r="AE223" s="29"/>
      <c r="AF223" s="29"/>
    </row>
    <row r="224" spans="2:32" x14ac:dyDescent="0.2">
      <c r="B224" s="11" t="s">
        <v>1479</v>
      </c>
      <c r="C224" s="11" t="s">
        <v>1909</v>
      </c>
      <c r="D224" s="11" t="s">
        <v>1479</v>
      </c>
      <c r="E224" s="18" t="s">
        <v>1432</v>
      </c>
      <c r="F224" s="16" t="s">
        <v>1443</v>
      </c>
      <c r="G224" s="16" t="s">
        <v>1434</v>
      </c>
      <c r="H224" s="16" t="s">
        <v>1445</v>
      </c>
      <c r="I224" s="13" t="s">
        <v>273</v>
      </c>
      <c r="J224" s="13" t="s">
        <v>273</v>
      </c>
      <c r="K224" s="13" t="s">
        <v>273</v>
      </c>
      <c r="L224" s="13" t="s">
        <v>273</v>
      </c>
      <c r="M224" s="16" t="s">
        <v>1399</v>
      </c>
      <c r="N224" s="12" t="s">
        <v>273</v>
      </c>
      <c r="O224" s="12" t="s">
        <v>273</v>
      </c>
      <c r="P224" s="12" t="s">
        <v>273</v>
      </c>
      <c r="Q224" s="13" t="s">
        <v>273</v>
      </c>
      <c r="R224" s="13" t="s">
        <v>273</v>
      </c>
      <c r="S224" s="13" t="s">
        <v>273</v>
      </c>
      <c r="T224" s="13" t="s">
        <v>273</v>
      </c>
      <c r="U224" s="13" t="s">
        <v>273</v>
      </c>
      <c r="V224" s="13" t="s">
        <v>273</v>
      </c>
      <c r="W224" s="13" t="s">
        <v>273</v>
      </c>
      <c r="X224" s="33" t="s">
        <v>273</v>
      </c>
      <c r="Y224" s="30"/>
      <c r="Z224" s="28" t="s">
        <v>273</v>
      </c>
      <c r="AA224" s="133"/>
      <c r="AB224" s="29"/>
      <c r="AC224" s="27" t="s">
        <v>272</v>
      </c>
      <c r="AD224" s="27" t="s">
        <v>254</v>
      </c>
      <c r="AE224" s="29"/>
      <c r="AF224" s="29"/>
    </row>
    <row r="225" spans="2:32" x14ac:dyDescent="0.2">
      <c r="B225" s="11" t="s">
        <v>1487</v>
      </c>
      <c r="C225" s="11" t="s">
        <v>1911</v>
      </c>
      <c r="D225" s="11" t="s">
        <v>1487</v>
      </c>
      <c r="E225" s="17" t="s">
        <v>1426</v>
      </c>
      <c r="F225" s="11" t="s">
        <v>1438</v>
      </c>
      <c r="G225" s="11" t="s">
        <v>1428</v>
      </c>
      <c r="H225" s="11" t="s">
        <v>1440</v>
      </c>
      <c r="I225" s="13" t="s">
        <v>273</v>
      </c>
      <c r="J225" s="13" t="s">
        <v>273</v>
      </c>
      <c r="K225" s="13" t="s">
        <v>273</v>
      </c>
      <c r="L225" s="13" t="s">
        <v>273</v>
      </c>
      <c r="M225" s="11" t="s">
        <v>1403</v>
      </c>
      <c r="N225" s="12" t="s">
        <v>273</v>
      </c>
      <c r="O225" s="12" t="s">
        <v>273</v>
      </c>
      <c r="P225" s="12" t="s">
        <v>273</v>
      </c>
      <c r="Q225" s="13" t="s">
        <v>273</v>
      </c>
      <c r="R225" s="13" t="s">
        <v>273</v>
      </c>
      <c r="S225" s="13" t="s">
        <v>273</v>
      </c>
      <c r="T225" s="13" t="s">
        <v>273</v>
      </c>
      <c r="U225" s="13" t="s">
        <v>273</v>
      </c>
      <c r="V225" s="13" t="s">
        <v>273</v>
      </c>
      <c r="W225" s="13" t="s">
        <v>273</v>
      </c>
      <c r="X225" s="33" t="s">
        <v>273</v>
      </c>
      <c r="Y225" s="30"/>
      <c r="Z225" s="28" t="s">
        <v>273</v>
      </c>
      <c r="AA225" s="133"/>
      <c r="AB225" s="29"/>
      <c r="AC225" s="27" t="s">
        <v>272</v>
      </c>
      <c r="AD225" s="27" t="s">
        <v>254</v>
      </c>
      <c r="AE225" s="29"/>
      <c r="AF225" s="29"/>
    </row>
    <row r="226" spans="2:32" x14ac:dyDescent="0.2">
      <c r="B226" s="11" t="s">
        <v>1488</v>
      </c>
      <c r="C226" s="11" t="s">
        <v>1912</v>
      </c>
      <c r="D226" s="11" t="s">
        <v>1488</v>
      </c>
      <c r="E226" s="17" t="s">
        <v>1420</v>
      </c>
      <c r="F226" s="11" t="s">
        <v>1433</v>
      </c>
      <c r="G226" s="11" t="s">
        <v>1422</v>
      </c>
      <c r="H226" s="11" t="s">
        <v>1435</v>
      </c>
      <c r="I226" s="13" t="s">
        <v>273</v>
      </c>
      <c r="J226" s="11" t="s">
        <v>1489</v>
      </c>
      <c r="K226" s="13" t="s">
        <v>273</v>
      </c>
      <c r="L226" s="11" t="s">
        <v>1490</v>
      </c>
      <c r="M226" s="12" t="s">
        <v>273</v>
      </c>
      <c r="N226" s="12" t="s">
        <v>273</v>
      </c>
      <c r="O226" s="12" t="s">
        <v>273</v>
      </c>
      <c r="P226" s="12" t="s">
        <v>273</v>
      </c>
      <c r="Q226" s="13" t="s">
        <v>273</v>
      </c>
      <c r="R226" s="13" t="s">
        <v>273</v>
      </c>
      <c r="S226" s="11" t="s">
        <v>1491</v>
      </c>
      <c r="T226" s="13" t="s">
        <v>273</v>
      </c>
      <c r="U226" s="13" t="s">
        <v>273</v>
      </c>
      <c r="V226" s="13" t="s">
        <v>273</v>
      </c>
      <c r="W226" s="13" t="s">
        <v>273</v>
      </c>
      <c r="X226" s="31" t="s">
        <v>283</v>
      </c>
      <c r="Y226" s="30"/>
      <c r="Z226" s="28" t="s">
        <v>273</v>
      </c>
      <c r="AA226" s="133" t="str">
        <f>_xlfn.IFS(AND(COUNTIF(Y226,"SCB*")=1, 'PCH320'!N68&gt;=2), "See the Notice *1", TRUE, "")</f>
        <v/>
      </c>
      <c r="AB226" s="29"/>
      <c r="AC226" s="27" t="s">
        <v>272</v>
      </c>
      <c r="AD226" s="27" t="s">
        <v>255</v>
      </c>
      <c r="AE226" s="29"/>
      <c r="AF226" s="29"/>
    </row>
    <row r="227" spans="2:32" x14ac:dyDescent="0.2">
      <c r="B227" s="11" t="s">
        <v>1492</v>
      </c>
      <c r="C227" s="11" t="s">
        <v>1913</v>
      </c>
      <c r="D227" s="11" t="s">
        <v>1492</v>
      </c>
      <c r="E227" s="17" t="s">
        <v>716</v>
      </c>
      <c r="F227" s="11" t="s">
        <v>1427</v>
      </c>
      <c r="G227" s="11" t="s">
        <v>718</v>
      </c>
      <c r="H227" s="11" t="s">
        <v>1429</v>
      </c>
      <c r="I227" s="13" t="s">
        <v>273</v>
      </c>
      <c r="J227" s="11" t="s">
        <v>1493</v>
      </c>
      <c r="K227" s="11" t="s">
        <v>1494</v>
      </c>
      <c r="L227" s="11" t="s">
        <v>1495</v>
      </c>
      <c r="M227" s="12" t="s">
        <v>273</v>
      </c>
      <c r="N227" s="12" t="s">
        <v>273</v>
      </c>
      <c r="O227" s="12" t="s">
        <v>273</v>
      </c>
      <c r="P227" s="12" t="s">
        <v>273</v>
      </c>
      <c r="Q227" s="13" t="s">
        <v>273</v>
      </c>
      <c r="R227" s="13" t="s">
        <v>273</v>
      </c>
      <c r="S227" s="11" t="s">
        <v>1496</v>
      </c>
      <c r="T227" s="13" t="s">
        <v>273</v>
      </c>
      <c r="U227" s="13" t="s">
        <v>273</v>
      </c>
      <c r="V227" s="13" t="s">
        <v>273</v>
      </c>
      <c r="W227" s="13" t="s">
        <v>273</v>
      </c>
      <c r="X227" s="31" t="s">
        <v>284</v>
      </c>
      <c r="Y227" s="30"/>
      <c r="Z227" s="28" t="s">
        <v>273</v>
      </c>
      <c r="AA227" s="133" t="str">
        <f>_xlfn.IFS(AND(COUNTIF(Y227,"SCB*")=1, 'PCH320'!N68&gt;=2), "See the Notice *1", TRUE, "")</f>
        <v/>
      </c>
      <c r="AB227" s="29"/>
      <c r="AC227" s="27" t="s">
        <v>272</v>
      </c>
      <c r="AD227" s="27" t="s">
        <v>255</v>
      </c>
      <c r="AE227" s="29"/>
      <c r="AF227" s="29"/>
    </row>
    <row r="228" spans="2:32" x14ac:dyDescent="0.2">
      <c r="B228" s="11" t="s">
        <v>1497</v>
      </c>
      <c r="C228" s="11" t="s">
        <v>1914</v>
      </c>
      <c r="D228" s="11" t="s">
        <v>1497</v>
      </c>
      <c r="E228" s="17" t="s">
        <v>709</v>
      </c>
      <c r="F228" s="11" t="s">
        <v>1421</v>
      </c>
      <c r="G228" s="11" t="s">
        <v>711</v>
      </c>
      <c r="H228" s="11" t="s">
        <v>1423</v>
      </c>
      <c r="I228" s="13" t="s">
        <v>273</v>
      </c>
      <c r="J228" s="11" t="s">
        <v>1498</v>
      </c>
      <c r="K228" s="11" t="s">
        <v>1499</v>
      </c>
      <c r="L228" s="11" t="s">
        <v>1500</v>
      </c>
      <c r="M228" s="11" t="s">
        <v>1406</v>
      </c>
      <c r="N228" s="12" t="s">
        <v>273</v>
      </c>
      <c r="O228" s="13" t="s">
        <v>273</v>
      </c>
      <c r="P228" s="12" t="s">
        <v>273</v>
      </c>
      <c r="Q228" s="13" t="s">
        <v>273</v>
      </c>
      <c r="R228" s="13" t="s">
        <v>273</v>
      </c>
      <c r="S228" s="11" t="s">
        <v>1501</v>
      </c>
      <c r="T228" s="13" t="s">
        <v>273</v>
      </c>
      <c r="U228" s="13" t="s">
        <v>273</v>
      </c>
      <c r="V228" s="13" t="s">
        <v>273</v>
      </c>
      <c r="W228" s="13" t="s">
        <v>273</v>
      </c>
      <c r="X228" s="31" t="s">
        <v>285</v>
      </c>
      <c r="Y228" s="30"/>
      <c r="Z228" s="28" t="s">
        <v>273</v>
      </c>
      <c r="AA228" s="133" t="str">
        <f>_xlfn.IFS(AND(COUNTIF(Y228,"SCB*")=1, 'PCH320'!N68&gt;=2), "See the Notice *1", TRUE, "")</f>
        <v/>
      </c>
      <c r="AB228" s="29"/>
      <c r="AC228" s="27" t="s">
        <v>272</v>
      </c>
      <c r="AD228" s="27" t="s">
        <v>255</v>
      </c>
      <c r="AE228" s="29"/>
      <c r="AF228" s="29"/>
    </row>
    <row r="229" spans="2:32" x14ac:dyDescent="0.2">
      <c r="B229" s="11" t="s">
        <v>1502</v>
      </c>
      <c r="C229" s="11" t="s">
        <v>1637</v>
      </c>
      <c r="D229" s="11" t="s">
        <v>1502</v>
      </c>
      <c r="E229" s="17" t="s">
        <v>635</v>
      </c>
      <c r="F229" s="11" t="s">
        <v>717</v>
      </c>
      <c r="G229" s="11" t="s">
        <v>637</v>
      </c>
      <c r="H229" s="11" t="s">
        <v>719</v>
      </c>
      <c r="I229" s="13" t="s">
        <v>273</v>
      </c>
      <c r="J229" s="11" t="s">
        <v>1503</v>
      </c>
      <c r="K229" s="13" t="s">
        <v>273</v>
      </c>
      <c r="L229" s="11" t="s">
        <v>1504</v>
      </c>
      <c r="M229" s="11" t="s">
        <v>1409</v>
      </c>
      <c r="N229" s="12" t="s">
        <v>273</v>
      </c>
      <c r="O229" s="13" t="s">
        <v>273</v>
      </c>
      <c r="P229" s="12" t="s">
        <v>273</v>
      </c>
      <c r="Q229" s="13" t="s">
        <v>273</v>
      </c>
      <c r="R229" s="13" t="s">
        <v>273</v>
      </c>
      <c r="S229" s="11" t="s">
        <v>1505</v>
      </c>
      <c r="T229" s="13" t="s">
        <v>273</v>
      </c>
      <c r="U229" s="13" t="s">
        <v>273</v>
      </c>
      <c r="V229" s="13" t="s">
        <v>273</v>
      </c>
      <c r="W229" s="13" t="s">
        <v>273</v>
      </c>
      <c r="X229" s="31" t="s">
        <v>286</v>
      </c>
      <c r="Y229" s="30"/>
      <c r="Z229" s="28" t="s">
        <v>273</v>
      </c>
      <c r="AA229" s="133" t="str">
        <f>_xlfn.IFS(AND(COUNTIF(Y229,"SCB*")=1, 'PCH320'!N68&gt;=2), "See the Notice *1", TRUE, "")</f>
        <v/>
      </c>
      <c r="AB229" s="29"/>
      <c r="AC229" s="27" t="s">
        <v>272</v>
      </c>
      <c r="AD229" s="27" t="s">
        <v>255</v>
      </c>
      <c r="AE229" s="29"/>
      <c r="AF229" s="29"/>
    </row>
    <row r="230" spans="2:32" x14ac:dyDescent="0.2">
      <c r="B230" s="11" t="s">
        <v>1506</v>
      </c>
      <c r="C230" s="11" t="s">
        <v>1639</v>
      </c>
      <c r="D230" s="11" t="s">
        <v>1506</v>
      </c>
      <c r="E230" s="17" t="s">
        <v>628</v>
      </c>
      <c r="F230" s="11" t="s">
        <v>710</v>
      </c>
      <c r="G230" s="11" t="s">
        <v>630</v>
      </c>
      <c r="H230" s="11" t="s">
        <v>712</v>
      </c>
      <c r="I230" s="13" t="s">
        <v>273</v>
      </c>
      <c r="J230" s="13" t="s">
        <v>273</v>
      </c>
      <c r="K230" s="11" t="s">
        <v>757</v>
      </c>
      <c r="L230" s="11" t="s">
        <v>1507</v>
      </c>
      <c r="M230" s="11" t="s">
        <v>1414</v>
      </c>
      <c r="N230" s="12" t="s">
        <v>273</v>
      </c>
      <c r="O230" s="13" t="s">
        <v>273</v>
      </c>
      <c r="P230" s="12" t="s">
        <v>273</v>
      </c>
      <c r="Q230" s="13" t="s">
        <v>273</v>
      </c>
      <c r="R230" s="13" t="s">
        <v>273</v>
      </c>
      <c r="S230" s="11" t="s">
        <v>1508</v>
      </c>
      <c r="T230" s="13" t="s">
        <v>273</v>
      </c>
      <c r="U230" s="13" t="s">
        <v>273</v>
      </c>
      <c r="V230" s="13" t="s">
        <v>273</v>
      </c>
      <c r="W230" s="13" t="s">
        <v>273</v>
      </c>
      <c r="X230" s="31" t="s">
        <v>287</v>
      </c>
      <c r="Y230" s="30"/>
      <c r="Z230" s="28" t="s">
        <v>273</v>
      </c>
      <c r="AA230" s="133" t="str">
        <f>_xlfn.IFS(AND(COUNTIF(Y230,"SCB*")=1, 'PCH320'!N68&gt;=2), "See the Notice *1", TRUE, "")</f>
        <v/>
      </c>
      <c r="AB230" s="29"/>
      <c r="AC230" s="27" t="s">
        <v>272</v>
      </c>
      <c r="AD230" s="27" t="s">
        <v>255</v>
      </c>
      <c r="AE230" s="29"/>
      <c r="AF230" s="29"/>
    </row>
    <row r="231" spans="2:32" x14ac:dyDescent="0.2">
      <c r="B231" s="11" t="s">
        <v>1509</v>
      </c>
      <c r="C231" s="11" t="s">
        <v>1915</v>
      </c>
      <c r="D231" s="11" t="s">
        <v>1509</v>
      </c>
      <c r="E231" s="17" t="s">
        <v>569</v>
      </c>
      <c r="F231" s="11" t="s">
        <v>636</v>
      </c>
      <c r="G231" s="11" t="s">
        <v>571</v>
      </c>
      <c r="H231" s="11" t="s">
        <v>638</v>
      </c>
      <c r="I231" s="13" t="s">
        <v>273</v>
      </c>
      <c r="J231" s="13" t="s">
        <v>273</v>
      </c>
      <c r="K231" s="11" t="s">
        <v>759</v>
      </c>
      <c r="L231" s="11" t="s">
        <v>1510</v>
      </c>
      <c r="M231" s="11" t="s">
        <v>1418</v>
      </c>
      <c r="N231" s="12" t="s">
        <v>273</v>
      </c>
      <c r="O231" s="13" t="s">
        <v>273</v>
      </c>
      <c r="P231" s="12" t="s">
        <v>273</v>
      </c>
      <c r="Q231" s="13" t="s">
        <v>273</v>
      </c>
      <c r="R231" s="13" t="s">
        <v>273</v>
      </c>
      <c r="S231" s="11" t="s">
        <v>1511</v>
      </c>
      <c r="T231" s="13" t="s">
        <v>273</v>
      </c>
      <c r="U231" s="13" t="s">
        <v>273</v>
      </c>
      <c r="V231" s="13" t="s">
        <v>273</v>
      </c>
      <c r="W231" s="13" t="s">
        <v>273</v>
      </c>
      <c r="X231" s="31" t="s">
        <v>288</v>
      </c>
      <c r="Y231" s="30"/>
      <c r="Z231" s="28" t="s">
        <v>273</v>
      </c>
      <c r="AA231" s="133" t="str">
        <f>_xlfn.IFS(AND(COUNTIF(Y231,"SCB*")=1, 'PCH320'!N68&gt;=2), "See the Notice *1", TRUE, "")</f>
        <v/>
      </c>
      <c r="AB231" s="29"/>
      <c r="AC231" s="27" t="s">
        <v>272</v>
      </c>
      <c r="AD231" s="27" t="s">
        <v>255</v>
      </c>
      <c r="AE231" s="29"/>
      <c r="AF231" s="29"/>
    </row>
    <row r="232" spans="2:32" x14ac:dyDescent="0.2">
      <c r="B232" s="11" t="s">
        <v>1512</v>
      </c>
      <c r="C232" s="11" t="s">
        <v>1643</v>
      </c>
      <c r="D232" s="11" t="s">
        <v>1512</v>
      </c>
      <c r="E232" s="17" t="s">
        <v>1416</v>
      </c>
      <c r="F232" s="11" t="s">
        <v>629</v>
      </c>
      <c r="G232" s="11" t="s">
        <v>1417</v>
      </c>
      <c r="H232" s="11" t="s">
        <v>631</v>
      </c>
      <c r="I232" s="13" t="s">
        <v>273</v>
      </c>
      <c r="J232" s="13" t="s">
        <v>273</v>
      </c>
      <c r="K232" s="11" t="s">
        <v>852</v>
      </c>
      <c r="L232" s="11" t="s">
        <v>1513</v>
      </c>
      <c r="M232" s="11" t="s">
        <v>1424</v>
      </c>
      <c r="N232" s="11" t="s">
        <v>2295</v>
      </c>
      <c r="O232" s="13" t="s">
        <v>273</v>
      </c>
      <c r="P232" s="12" t="s">
        <v>273</v>
      </c>
      <c r="Q232" s="13" t="s">
        <v>273</v>
      </c>
      <c r="R232" s="13" t="s">
        <v>273</v>
      </c>
      <c r="S232" s="11" t="s">
        <v>1514</v>
      </c>
      <c r="T232" s="13" t="s">
        <v>273</v>
      </c>
      <c r="U232" s="13" t="s">
        <v>273</v>
      </c>
      <c r="V232" s="13" t="s">
        <v>273</v>
      </c>
      <c r="W232" s="13" t="s">
        <v>273</v>
      </c>
      <c r="X232" s="31" t="s">
        <v>289</v>
      </c>
      <c r="Y232" s="30"/>
      <c r="Z232" s="28" t="s">
        <v>273</v>
      </c>
      <c r="AA232" s="133" t="str">
        <f>_xlfn.IFS(AND(COUNTIF(Y232,"SCB*")=1, 'PCH320'!N68&gt;=2), "See the Notice *1", TRUE, "")</f>
        <v/>
      </c>
      <c r="AB232" s="29"/>
      <c r="AC232" s="27" t="s">
        <v>272</v>
      </c>
      <c r="AD232" s="27" t="s">
        <v>255</v>
      </c>
      <c r="AE232" s="29"/>
      <c r="AF232" s="29"/>
    </row>
    <row r="233" spans="2:32" x14ac:dyDescent="0.2">
      <c r="B233" s="11" t="s">
        <v>1515</v>
      </c>
      <c r="C233" s="11" t="s">
        <v>1917</v>
      </c>
      <c r="D233" s="11" t="s">
        <v>1515</v>
      </c>
      <c r="E233" s="17" t="s">
        <v>1411</v>
      </c>
      <c r="F233" s="11" t="s">
        <v>570</v>
      </c>
      <c r="G233" s="11" t="s">
        <v>1412</v>
      </c>
      <c r="H233" s="11" t="s">
        <v>572</v>
      </c>
      <c r="I233" s="13" t="s">
        <v>273</v>
      </c>
      <c r="J233" s="13" t="s">
        <v>273</v>
      </c>
      <c r="K233" s="13" t="s">
        <v>273</v>
      </c>
      <c r="L233" s="13" t="s">
        <v>273</v>
      </c>
      <c r="M233" s="11" t="s">
        <v>1430</v>
      </c>
      <c r="N233" s="11" t="s">
        <v>1280</v>
      </c>
      <c r="O233" s="13" t="s">
        <v>273</v>
      </c>
      <c r="P233" s="12" t="s">
        <v>273</v>
      </c>
      <c r="Q233" s="13" t="s">
        <v>273</v>
      </c>
      <c r="R233" s="13" t="s">
        <v>273</v>
      </c>
      <c r="S233" s="11" t="s">
        <v>1516</v>
      </c>
      <c r="T233" s="13" t="s">
        <v>273</v>
      </c>
      <c r="U233" s="13" t="s">
        <v>273</v>
      </c>
      <c r="V233" s="13" t="s">
        <v>273</v>
      </c>
      <c r="W233" s="13" t="s">
        <v>273</v>
      </c>
      <c r="X233" s="31" t="s">
        <v>290</v>
      </c>
      <c r="Y233" s="30"/>
      <c r="Z233" s="28" t="s">
        <v>273</v>
      </c>
      <c r="AA233" s="133"/>
      <c r="AB233" s="29"/>
      <c r="AC233" s="27" t="s">
        <v>272</v>
      </c>
      <c r="AD233" s="27" t="s">
        <v>255</v>
      </c>
      <c r="AE233" s="29"/>
      <c r="AF233" s="29"/>
    </row>
    <row r="234" spans="2:32" x14ac:dyDescent="0.2">
      <c r="B234" s="11" t="s">
        <v>1517</v>
      </c>
      <c r="C234" s="11" t="s">
        <v>1919</v>
      </c>
      <c r="D234" s="11" t="s">
        <v>1517</v>
      </c>
      <c r="E234" s="12" t="s">
        <v>273</v>
      </c>
      <c r="F234" s="13" t="s">
        <v>273</v>
      </c>
      <c r="G234" s="13" t="s">
        <v>273</v>
      </c>
      <c r="H234" s="13" t="s">
        <v>273</v>
      </c>
      <c r="I234" s="13" t="s">
        <v>273</v>
      </c>
      <c r="J234" s="13" t="s">
        <v>273</v>
      </c>
      <c r="K234" s="13" t="s">
        <v>273</v>
      </c>
      <c r="L234" s="13" t="s">
        <v>273</v>
      </c>
      <c r="M234" s="13" t="s">
        <v>273</v>
      </c>
      <c r="N234" s="13" t="s">
        <v>273</v>
      </c>
      <c r="O234" s="13" t="s">
        <v>273</v>
      </c>
      <c r="P234" s="12" t="s">
        <v>273</v>
      </c>
      <c r="Q234" s="11" t="s">
        <v>1558</v>
      </c>
      <c r="R234" s="13" t="s">
        <v>273</v>
      </c>
      <c r="S234" s="13" t="s">
        <v>273</v>
      </c>
      <c r="T234" s="13" t="s">
        <v>273</v>
      </c>
      <c r="U234" s="13" t="s">
        <v>273</v>
      </c>
      <c r="V234" s="13" t="s">
        <v>273</v>
      </c>
      <c r="W234" s="13" t="s">
        <v>273</v>
      </c>
      <c r="X234" s="33" t="s">
        <v>273</v>
      </c>
      <c r="Y234" s="30"/>
      <c r="Z234" s="28" t="s">
        <v>273</v>
      </c>
      <c r="AA234" s="133" t="str">
        <f>_xlfn.IFS(AND(COUNTIF(Y234,"ETH*")=1, 'PCH320'!D223&gt;=2), "See the Notice *1", TRUE, "")</f>
        <v/>
      </c>
      <c r="AB234" s="29"/>
      <c r="AC234" s="27" t="s">
        <v>1848</v>
      </c>
      <c r="AD234" s="27" t="s">
        <v>1932</v>
      </c>
      <c r="AE234" s="29"/>
      <c r="AF234" s="29"/>
    </row>
    <row r="235" spans="2:32" x14ac:dyDescent="0.2">
      <c r="B235" s="11" t="s">
        <v>1518</v>
      </c>
      <c r="C235" s="11" t="s">
        <v>1763</v>
      </c>
      <c r="D235" s="11" t="s">
        <v>1518</v>
      </c>
      <c r="E235" s="12" t="s">
        <v>273</v>
      </c>
      <c r="F235" s="13" t="s">
        <v>273</v>
      </c>
      <c r="G235" s="13" t="s">
        <v>273</v>
      </c>
      <c r="H235" s="13" t="s">
        <v>273</v>
      </c>
      <c r="I235" s="13" t="s">
        <v>273</v>
      </c>
      <c r="J235" s="13" t="s">
        <v>273</v>
      </c>
      <c r="K235" s="13" t="s">
        <v>273</v>
      </c>
      <c r="L235" s="13" t="s">
        <v>273</v>
      </c>
      <c r="M235" s="13" t="s">
        <v>273</v>
      </c>
      <c r="N235" s="13" t="s">
        <v>273</v>
      </c>
      <c r="O235" s="13" t="s">
        <v>273</v>
      </c>
      <c r="P235" s="12" t="s">
        <v>273</v>
      </c>
      <c r="Q235" s="11" t="s">
        <v>1519</v>
      </c>
      <c r="R235" s="13" t="s">
        <v>273</v>
      </c>
      <c r="S235" s="13" t="s">
        <v>273</v>
      </c>
      <c r="T235" s="11" t="s">
        <v>1557</v>
      </c>
      <c r="U235" s="13" t="s">
        <v>273</v>
      </c>
      <c r="V235" s="13" t="s">
        <v>273</v>
      </c>
      <c r="W235" s="13" t="s">
        <v>273</v>
      </c>
      <c r="X235" s="33" t="s">
        <v>273</v>
      </c>
      <c r="Y235" s="30"/>
      <c r="Z235" s="28" t="s">
        <v>273</v>
      </c>
      <c r="AA235" s="133" t="str">
        <f>_xlfn.IFS(AND(COUNTIF(Y235,"ETH*")=1, 'PCH320'!D223&gt;=2), "See the Notice *1", TRUE, "")</f>
        <v/>
      </c>
      <c r="AB235" s="29"/>
      <c r="AC235" s="27" t="s">
        <v>1848</v>
      </c>
      <c r="AD235" s="27" t="s">
        <v>1932</v>
      </c>
      <c r="AE235" s="29"/>
      <c r="AF235" s="29"/>
    </row>
    <row r="236" spans="2:32" x14ac:dyDescent="0.2">
      <c r="B236" s="11" t="s">
        <v>1520</v>
      </c>
      <c r="C236" s="11" t="s">
        <v>1920</v>
      </c>
      <c r="D236" s="11" t="s">
        <v>1520</v>
      </c>
      <c r="E236" s="12" t="s">
        <v>273</v>
      </c>
      <c r="F236" s="13" t="s">
        <v>273</v>
      </c>
      <c r="G236" s="13" t="s">
        <v>273</v>
      </c>
      <c r="H236" s="13" t="s">
        <v>273</v>
      </c>
      <c r="I236" s="13" t="s">
        <v>273</v>
      </c>
      <c r="J236" s="13" t="s">
        <v>273</v>
      </c>
      <c r="K236" s="13" t="s">
        <v>273</v>
      </c>
      <c r="L236" s="13" t="s">
        <v>273</v>
      </c>
      <c r="M236" s="13" t="s">
        <v>273</v>
      </c>
      <c r="N236" s="13" t="s">
        <v>273</v>
      </c>
      <c r="O236" s="13" t="s">
        <v>273</v>
      </c>
      <c r="P236" s="12" t="s">
        <v>273</v>
      </c>
      <c r="Q236" s="11" t="s">
        <v>1521</v>
      </c>
      <c r="R236" s="13" t="s">
        <v>273</v>
      </c>
      <c r="S236" s="13" t="s">
        <v>273</v>
      </c>
      <c r="T236" s="13" t="s">
        <v>273</v>
      </c>
      <c r="U236" s="13" t="s">
        <v>273</v>
      </c>
      <c r="V236" s="13" t="s">
        <v>273</v>
      </c>
      <c r="W236" s="13" t="s">
        <v>273</v>
      </c>
      <c r="X236" s="33" t="s">
        <v>273</v>
      </c>
      <c r="Y236" s="30"/>
      <c r="Z236" s="28" t="s">
        <v>273</v>
      </c>
      <c r="AA236" s="133" t="str">
        <f>_xlfn.IFS(AND(COUNTIF(Y236,"ETH*")=1, 'PCH320'!D223&gt;=2), "See the Notice *1", TRUE, "")</f>
        <v/>
      </c>
      <c r="AB236" s="29"/>
      <c r="AC236" s="27" t="s">
        <v>1848</v>
      </c>
      <c r="AD236" s="27" t="s">
        <v>1932</v>
      </c>
      <c r="AE236" s="29"/>
      <c r="AF236" s="29"/>
    </row>
    <row r="237" spans="2:32" x14ac:dyDescent="0.2">
      <c r="B237" s="11" t="s">
        <v>1522</v>
      </c>
      <c r="C237" s="11" t="s">
        <v>1921</v>
      </c>
      <c r="D237" s="11" t="s">
        <v>1522</v>
      </c>
      <c r="E237" s="12" t="s">
        <v>273</v>
      </c>
      <c r="F237" s="13" t="s">
        <v>273</v>
      </c>
      <c r="G237" s="13" t="s">
        <v>273</v>
      </c>
      <c r="H237" s="13" t="s">
        <v>273</v>
      </c>
      <c r="I237" s="13" t="s">
        <v>273</v>
      </c>
      <c r="J237" s="13" t="s">
        <v>273</v>
      </c>
      <c r="K237" s="13" t="s">
        <v>273</v>
      </c>
      <c r="L237" s="13" t="s">
        <v>273</v>
      </c>
      <c r="M237" s="13" t="s">
        <v>273</v>
      </c>
      <c r="N237" s="13" t="s">
        <v>273</v>
      </c>
      <c r="O237" s="13" t="s">
        <v>273</v>
      </c>
      <c r="P237" s="12" t="s">
        <v>273</v>
      </c>
      <c r="Q237" s="11" t="s">
        <v>1523</v>
      </c>
      <c r="R237" s="13" t="s">
        <v>273</v>
      </c>
      <c r="S237" s="13" t="s">
        <v>273</v>
      </c>
      <c r="T237" s="11" t="s">
        <v>1556</v>
      </c>
      <c r="U237" s="13" t="s">
        <v>273</v>
      </c>
      <c r="V237" s="13" t="s">
        <v>273</v>
      </c>
      <c r="W237" s="13" t="s">
        <v>273</v>
      </c>
      <c r="X237" s="33" t="s">
        <v>273</v>
      </c>
      <c r="Y237" s="30"/>
      <c r="Z237" s="28" t="s">
        <v>273</v>
      </c>
      <c r="AA237" s="133" t="str">
        <f>_xlfn.IFS(AND(COUNTIF(Y237,"ETH*")=1, 'PCH320'!D223&gt;=2), "See the Notice *1", TRUE, "")</f>
        <v/>
      </c>
      <c r="AB237" s="29"/>
      <c r="AC237" s="27" t="s">
        <v>1848</v>
      </c>
      <c r="AD237" s="27" t="s">
        <v>1932</v>
      </c>
      <c r="AE237" s="29"/>
      <c r="AF237" s="29"/>
    </row>
    <row r="238" spans="2:32" x14ac:dyDescent="0.2">
      <c r="B238" s="11" t="s">
        <v>1524</v>
      </c>
      <c r="C238" s="11" t="s">
        <v>1922</v>
      </c>
      <c r="D238" s="11" t="s">
        <v>1524</v>
      </c>
      <c r="E238" s="12" t="s">
        <v>273</v>
      </c>
      <c r="F238" s="13" t="s">
        <v>273</v>
      </c>
      <c r="G238" s="13" t="s">
        <v>273</v>
      </c>
      <c r="H238" s="13" t="s">
        <v>273</v>
      </c>
      <c r="I238" s="13" t="s">
        <v>273</v>
      </c>
      <c r="J238" s="13" t="s">
        <v>273</v>
      </c>
      <c r="K238" s="13" t="s">
        <v>273</v>
      </c>
      <c r="L238" s="13" t="s">
        <v>273</v>
      </c>
      <c r="M238" s="13" t="s">
        <v>273</v>
      </c>
      <c r="N238" s="13" t="s">
        <v>273</v>
      </c>
      <c r="O238" s="13" t="s">
        <v>273</v>
      </c>
      <c r="P238" s="12" t="s">
        <v>273</v>
      </c>
      <c r="Q238" s="11" t="s">
        <v>1525</v>
      </c>
      <c r="R238" s="13" t="s">
        <v>273</v>
      </c>
      <c r="S238" s="13" t="s">
        <v>273</v>
      </c>
      <c r="T238" s="11" t="s">
        <v>1555</v>
      </c>
      <c r="U238" s="13" t="s">
        <v>273</v>
      </c>
      <c r="V238" s="13" t="s">
        <v>273</v>
      </c>
      <c r="W238" s="13" t="s">
        <v>273</v>
      </c>
      <c r="X238" s="33" t="s">
        <v>273</v>
      </c>
      <c r="Y238" s="30"/>
      <c r="Z238" s="28" t="s">
        <v>273</v>
      </c>
      <c r="AA238" s="133" t="str">
        <f>_xlfn.IFS(AND(COUNTIF(Y238,"ETH*")=1, 'PCH320'!D223&gt;=2), "See the Notice *1", TRUE, "")</f>
        <v/>
      </c>
      <c r="AB238" s="29"/>
      <c r="AC238" s="27" t="s">
        <v>1848</v>
      </c>
      <c r="AD238" s="27" t="s">
        <v>1932</v>
      </c>
      <c r="AE238" s="29"/>
      <c r="AF238" s="29"/>
    </row>
    <row r="239" spans="2:32" x14ac:dyDescent="0.2">
      <c r="B239" s="11" t="s">
        <v>1526</v>
      </c>
      <c r="C239" s="11" t="s">
        <v>1923</v>
      </c>
      <c r="D239" s="11" t="s">
        <v>1526</v>
      </c>
      <c r="E239" s="12" t="s">
        <v>273</v>
      </c>
      <c r="F239" s="13" t="s">
        <v>273</v>
      </c>
      <c r="G239" s="13" t="s">
        <v>273</v>
      </c>
      <c r="H239" s="13" t="s">
        <v>273</v>
      </c>
      <c r="I239" s="13" t="s">
        <v>273</v>
      </c>
      <c r="J239" s="13" t="s">
        <v>273</v>
      </c>
      <c r="K239" s="13" t="s">
        <v>273</v>
      </c>
      <c r="L239" s="13" t="s">
        <v>273</v>
      </c>
      <c r="M239" s="13" t="s">
        <v>273</v>
      </c>
      <c r="N239" s="13" t="s">
        <v>273</v>
      </c>
      <c r="O239" s="13" t="s">
        <v>273</v>
      </c>
      <c r="P239" s="12" t="s">
        <v>273</v>
      </c>
      <c r="Q239" s="11" t="s">
        <v>1527</v>
      </c>
      <c r="R239" s="13" t="s">
        <v>273</v>
      </c>
      <c r="S239" s="13" t="s">
        <v>273</v>
      </c>
      <c r="T239" s="11" t="s">
        <v>1554</v>
      </c>
      <c r="U239" s="13" t="s">
        <v>273</v>
      </c>
      <c r="V239" s="13" t="s">
        <v>273</v>
      </c>
      <c r="W239" s="13" t="s">
        <v>273</v>
      </c>
      <c r="X239" s="33" t="s">
        <v>273</v>
      </c>
      <c r="Y239" s="30"/>
      <c r="Z239" s="28" t="s">
        <v>273</v>
      </c>
      <c r="AA239" s="133" t="str">
        <f>_xlfn.IFS(AND(COUNTIF(Y239,"ETH*")=1, 'PCH320'!D223&gt;=2), "See the Notice *1", TRUE, "")</f>
        <v/>
      </c>
      <c r="AB239" s="29"/>
      <c r="AC239" s="27" t="s">
        <v>1848</v>
      </c>
      <c r="AD239" s="27" t="s">
        <v>1932</v>
      </c>
      <c r="AE239" s="29"/>
      <c r="AF239" s="29"/>
    </row>
    <row r="240" spans="2:32" x14ac:dyDescent="0.2">
      <c r="B240" s="11" t="s">
        <v>1528</v>
      </c>
      <c r="C240" s="11" t="s">
        <v>1924</v>
      </c>
      <c r="D240" s="11" t="s">
        <v>1528</v>
      </c>
      <c r="E240" s="12" t="s">
        <v>273</v>
      </c>
      <c r="F240" s="13" t="s">
        <v>273</v>
      </c>
      <c r="G240" s="13" t="s">
        <v>273</v>
      </c>
      <c r="H240" s="13" t="s">
        <v>273</v>
      </c>
      <c r="I240" s="13" t="s">
        <v>273</v>
      </c>
      <c r="J240" s="13" t="s">
        <v>273</v>
      </c>
      <c r="K240" s="13" t="s">
        <v>273</v>
      </c>
      <c r="L240" s="13" t="s">
        <v>273</v>
      </c>
      <c r="M240" s="13" t="s">
        <v>273</v>
      </c>
      <c r="N240" s="13" t="s">
        <v>273</v>
      </c>
      <c r="O240" s="13" t="s">
        <v>273</v>
      </c>
      <c r="P240" s="12" t="s">
        <v>273</v>
      </c>
      <c r="Q240" s="11" t="s">
        <v>1529</v>
      </c>
      <c r="R240" s="13" t="s">
        <v>273</v>
      </c>
      <c r="S240" s="13" t="s">
        <v>273</v>
      </c>
      <c r="T240" s="11" t="s">
        <v>1553</v>
      </c>
      <c r="U240" s="13" t="s">
        <v>273</v>
      </c>
      <c r="V240" s="13" t="s">
        <v>273</v>
      </c>
      <c r="W240" s="13" t="s">
        <v>273</v>
      </c>
      <c r="X240" s="33" t="s">
        <v>273</v>
      </c>
      <c r="Y240" s="30"/>
      <c r="Z240" s="28" t="s">
        <v>273</v>
      </c>
      <c r="AA240" s="133" t="str">
        <f>_xlfn.IFS(AND(COUNTIF(Y240,"ETH*")=1, 'PCH320'!D223&gt;=2), "See the Notice *1", TRUE, "")</f>
        <v/>
      </c>
      <c r="AB240" s="29"/>
      <c r="AC240" s="27" t="s">
        <v>1848</v>
      </c>
      <c r="AD240" s="27" t="s">
        <v>1932</v>
      </c>
      <c r="AE240" s="29"/>
      <c r="AF240" s="29"/>
    </row>
    <row r="241" spans="2:32" x14ac:dyDescent="0.2">
      <c r="B241" s="11" t="s">
        <v>1530</v>
      </c>
      <c r="C241" s="11" t="s">
        <v>1925</v>
      </c>
      <c r="D241" s="11" t="s">
        <v>1530</v>
      </c>
      <c r="E241" s="12" t="s">
        <v>273</v>
      </c>
      <c r="F241" s="13" t="s">
        <v>273</v>
      </c>
      <c r="G241" s="13" t="s">
        <v>273</v>
      </c>
      <c r="H241" s="13" t="s">
        <v>273</v>
      </c>
      <c r="I241" s="13" t="s">
        <v>273</v>
      </c>
      <c r="J241" s="13" t="s">
        <v>273</v>
      </c>
      <c r="K241" s="13" t="s">
        <v>273</v>
      </c>
      <c r="L241" s="13" t="s">
        <v>273</v>
      </c>
      <c r="M241" s="13" t="s">
        <v>273</v>
      </c>
      <c r="N241" s="13" t="s">
        <v>273</v>
      </c>
      <c r="O241" s="13" t="s">
        <v>273</v>
      </c>
      <c r="P241" s="12" t="s">
        <v>273</v>
      </c>
      <c r="Q241" s="11" t="s">
        <v>1531</v>
      </c>
      <c r="R241" s="13" t="s">
        <v>273</v>
      </c>
      <c r="S241" s="13" t="s">
        <v>273</v>
      </c>
      <c r="T241" s="11" t="s">
        <v>1552</v>
      </c>
      <c r="U241" s="13" t="s">
        <v>273</v>
      </c>
      <c r="V241" s="13" t="s">
        <v>273</v>
      </c>
      <c r="W241" s="13" t="s">
        <v>273</v>
      </c>
      <c r="X241" s="33" t="s">
        <v>273</v>
      </c>
      <c r="Y241" s="30"/>
      <c r="Z241" s="28" t="s">
        <v>273</v>
      </c>
      <c r="AA241" s="133" t="str">
        <f>_xlfn.IFS(AND(COUNTIF(Y241,"ETH*")=1, 'PCH320'!D223&gt;=2), "See the Notice *1", TRUE, "")</f>
        <v/>
      </c>
      <c r="AB241" s="29"/>
      <c r="AC241" s="27" t="s">
        <v>1848</v>
      </c>
      <c r="AD241" s="27" t="s">
        <v>1932</v>
      </c>
      <c r="AE241" s="29"/>
      <c r="AF241" s="29"/>
    </row>
    <row r="242" spans="2:32" x14ac:dyDescent="0.2">
      <c r="B242" s="11" t="s">
        <v>1532</v>
      </c>
      <c r="C242" s="11" t="s">
        <v>1926</v>
      </c>
      <c r="D242" s="11" t="s">
        <v>1532</v>
      </c>
      <c r="E242" s="12" t="s">
        <v>273</v>
      </c>
      <c r="F242" s="13" t="s">
        <v>273</v>
      </c>
      <c r="G242" s="13" t="s">
        <v>273</v>
      </c>
      <c r="H242" s="13" t="s">
        <v>273</v>
      </c>
      <c r="I242" s="13" t="s">
        <v>273</v>
      </c>
      <c r="J242" s="13" t="s">
        <v>273</v>
      </c>
      <c r="K242" s="13" t="s">
        <v>273</v>
      </c>
      <c r="L242" s="13" t="s">
        <v>273</v>
      </c>
      <c r="M242" s="13" t="s">
        <v>273</v>
      </c>
      <c r="N242" s="13" t="s">
        <v>273</v>
      </c>
      <c r="O242" s="13" t="s">
        <v>273</v>
      </c>
      <c r="P242" s="12" t="s">
        <v>273</v>
      </c>
      <c r="Q242" s="11" t="s">
        <v>1533</v>
      </c>
      <c r="R242" s="13" t="s">
        <v>273</v>
      </c>
      <c r="S242" s="13" t="s">
        <v>273</v>
      </c>
      <c r="T242" s="11" t="s">
        <v>1551</v>
      </c>
      <c r="U242" s="13" t="s">
        <v>273</v>
      </c>
      <c r="V242" s="13" t="s">
        <v>273</v>
      </c>
      <c r="W242" s="13" t="s">
        <v>273</v>
      </c>
      <c r="X242" s="33" t="s">
        <v>273</v>
      </c>
      <c r="Y242" s="30"/>
      <c r="Z242" s="28" t="s">
        <v>273</v>
      </c>
      <c r="AA242" s="133" t="str">
        <f>_xlfn.IFS(AND(COUNTIF(Y242,"ETH*")=1, 'PCH320'!D223&gt;=2), "See the Notice *1", TRUE, "")</f>
        <v/>
      </c>
      <c r="AB242" s="29"/>
      <c r="AC242" s="27" t="s">
        <v>1848</v>
      </c>
      <c r="AD242" s="27" t="s">
        <v>1932</v>
      </c>
      <c r="AE242" s="29"/>
      <c r="AF242" s="29"/>
    </row>
    <row r="243" spans="2:32" x14ac:dyDescent="0.2">
      <c r="B243" s="11" t="s">
        <v>1534</v>
      </c>
      <c r="C243" s="11" t="s">
        <v>1765</v>
      </c>
      <c r="D243" s="11" t="s">
        <v>1534</v>
      </c>
      <c r="E243" s="12" t="s">
        <v>273</v>
      </c>
      <c r="F243" s="13" t="s">
        <v>273</v>
      </c>
      <c r="G243" s="13" t="s">
        <v>273</v>
      </c>
      <c r="H243" s="13" t="s">
        <v>273</v>
      </c>
      <c r="I243" s="13" t="s">
        <v>273</v>
      </c>
      <c r="J243" s="13" t="s">
        <v>273</v>
      </c>
      <c r="K243" s="13" t="s">
        <v>273</v>
      </c>
      <c r="L243" s="13" t="s">
        <v>273</v>
      </c>
      <c r="M243" s="13" t="s">
        <v>273</v>
      </c>
      <c r="N243" s="13" t="s">
        <v>273</v>
      </c>
      <c r="O243" s="13" t="s">
        <v>273</v>
      </c>
      <c r="P243" s="12" t="s">
        <v>273</v>
      </c>
      <c r="Q243" s="11" t="s">
        <v>1535</v>
      </c>
      <c r="R243" s="13" t="s">
        <v>273</v>
      </c>
      <c r="S243" s="13" t="s">
        <v>273</v>
      </c>
      <c r="T243" s="11" t="s">
        <v>1550</v>
      </c>
      <c r="U243" s="13" t="s">
        <v>273</v>
      </c>
      <c r="V243" s="13" t="s">
        <v>273</v>
      </c>
      <c r="W243" s="13" t="s">
        <v>273</v>
      </c>
      <c r="X243" s="33" t="s">
        <v>273</v>
      </c>
      <c r="Y243" s="30"/>
      <c r="Z243" s="28" t="s">
        <v>273</v>
      </c>
      <c r="AA243" s="133" t="str">
        <f>_xlfn.IFS(AND(COUNTIF(Y243,"ETH*")=1, 'PCH320'!D223&gt;=2), "See the Notice *1", TRUE, "")</f>
        <v/>
      </c>
      <c r="AB243" s="29"/>
      <c r="AC243" s="27" t="s">
        <v>1848</v>
      </c>
      <c r="AD243" s="27" t="s">
        <v>1932</v>
      </c>
      <c r="AE243" s="29"/>
      <c r="AF243" s="29"/>
    </row>
    <row r="244" spans="2:32" x14ac:dyDescent="0.2">
      <c r="B244" s="11" t="s">
        <v>1536</v>
      </c>
      <c r="C244" s="11" t="s">
        <v>1927</v>
      </c>
      <c r="D244" s="11" t="s">
        <v>1536</v>
      </c>
      <c r="E244" s="12" t="s">
        <v>273</v>
      </c>
      <c r="F244" s="13" t="s">
        <v>273</v>
      </c>
      <c r="G244" s="13" t="s">
        <v>273</v>
      </c>
      <c r="H244" s="13" t="s">
        <v>273</v>
      </c>
      <c r="I244" s="13" t="s">
        <v>273</v>
      </c>
      <c r="J244" s="13" t="s">
        <v>273</v>
      </c>
      <c r="K244" s="13" t="s">
        <v>273</v>
      </c>
      <c r="L244" s="13" t="s">
        <v>273</v>
      </c>
      <c r="M244" s="13" t="s">
        <v>273</v>
      </c>
      <c r="N244" s="13" t="s">
        <v>273</v>
      </c>
      <c r="O244" s="13" t="s">
        <v>273</v>
      </c>
      <c r="P244" s="12" t="s">
        <v>273</v>
      </c>
      <c r="Q244" s="11" t="s">
        <v>1537</v>
      </c>
      <c r="R244" s="13" t="s">
        <v>273</v>
      </c>
      <c r="S244" s="13" t="s">
        <v>273</v>
      </c>
      <c r="T244" s="11" t="s">
        <v>1549</v>
      </c>
      <c r="U244" s="13" t="s">
        <v>273</v>
      </c>
      <c r="V244" s="13" t="s">
        <v>273</v>
      </c>
      <c r="W244" s="13" t="s">
        <v>273</v>
      </c>
      <c r="X244" s="33" t="s">
        <v>273</v>
      </c>
      <c r="Y244" s="30"/>
      <c r="Z244" s="28" t="s">
        <v>273</v>
      </c>
      <c r="AA244" s="133" t="str">
        <f>_xlfn.IFS(AND(COUNTIF(Y244,"ETH*")=1, 'PCH320'!D223&gt;=2), "See the Notice *1", TRUE, "")</f>
        <v/>
      </c>
      <c r="AB244" s="29"/>
      <c r="AC244" s="27" t="s">
        <v>1848</v>
      </c>
      <c r="AD244" s="27" t="s">
        <v>1932</v>
      </c>
      <c r="AE244" s="29"/>
      <c r="AF244" s="29"/>
    </row>
    <row r="245" spans="2:32" x14ac:dyDescent="0.2">
      <c r="B245" s="11" t="s">
        <v>1538</v>
      </c>
      <c r="C245" s="11" t="s">
        <v>1928</v>
      </c>
      <c r="D245" s="11" t="s">
        <v>1538</v>
      </c>
      <c r="E245" s="12" t="s">
        <v>273</v>
      </c>
      <c r="F245" s="13" t="s">
        <v>273</v>
      </c>
      <c r="G245" s="13" t="s">
        <v>273</v>
      </c>
      <c r="H245" s="13" t="s">
        <v>273</v>
      </c>
      <c r="I245" s="13" t="s">
        <v>273</v>
      </c>
      <c r="J245" s="13" t="s">
        <v>273</v>
      </c>
      <c r="K245" s="13" t="s">
        <v>273</v>
      </c>
      <c r="L245" s="13" t="s">
        <v>273</v>
      </c>
      <c r="M245" s="13" t="s">
        <v>273</v>
      </c>
      <c r="N245" s="13" t="s">
        <v>273</v>
      </c>
      <c r="O245" s="13" t="s">
        <v>273</v>
      </c>
      <c r="P245" s="12" t="s">
        <v>273</v>
      </c>
      <c r="Q245" s="11" t="s">
        <v>1547</v>
      </c>
      <c r="R245" s="13" t="s">
        <v>273</v>
      </c>
      <c r="S245" s="13" t="s">
        <v>273</v>
      </c>
      <c r="T245" s="11" t="s">
        <v>1548</v>
      </c>
      <c r="U245" s="13" t="s">
        <v>273</v>
      </c>
      <c r="V245" s="13" t="s">
        <v>273</v>
      </c>
      <c r="W245" s="13" t="s">
        <v>273</v>
      </c>
      <c r="X245" s="33" t="s">
        <v>273</v>
      </c>
      <c r="Y245" s="30"/>
      <c r="Z245" s="28" t="s">
        <v>273</v>
      </c>
      <c r="AA245" s="133" t="str">
        <f>_xlfn.IFS(AND(COUNTIF(Y245,"ETH*")=1, 'PCH320'!D223&gt;=2), "See the Notice *1", TRUE, "")</f>
        <v/>
      </c>
      <c r="AB245" s="29"/>
      <c r="AC245" s="27" t="s">
        <v>1848</v>
      </c>
      <c r="AD245" s="27" t="s">
        <v>1932</v>
      </c>
      <c r="AE245" s="29"/>
      <c r="AF245" s="29"/>
    </row>
    <row r="246" spans="2:32" x14ac:dyDescent="0.2">
      <c r="B246" s="11" t="s">
        <v>1539</v>
      </c>
      <c r="C246" s="11" t="s">
        <v>1771</v>
      </c>
      <c r="D246" s="11" t="s">
        <v>1539</v>
      </c>
      <c r="E246" s="12" t="s">
        <v>273</v>
      </c>
      <c r="F246" s="13" t="s">
        <v>273</v>
      </c>
      <c r="G246" s="13" t="s">
        <v>273</v>
      </c>
      <c r="H246" s="13" t="s">
        <v>273</v>
      </c>
      <c r="I246" s="13" t="s">
        <v>273</v>
      </c>
      <c r="J246" s="13" t="s">
        <v>273</v>
      </c>
      <c r="K246" s="13" t="s">
        <v>273</v>
      </c>
      <c r="L246" s="13" t="s">
        <v>273</v>
      </c>
      <c r="M246" s="13" t="s">
        <v>273</v>
      </c>
      <c r="N246" s="13" t="s">
        <v>273</v>
      </c>
      <c r="O246" s="13" t="s">
        <v>273</v>
      </c>
      <c r="P246" s="12" t="s">
        <v>273</v>
      </c>
      <c r="Q246" s="11" t="s">
        <v>1540</v>
      </c>
      <c r="R246" s="13" t="s">
        <v>273</v>
      </c>
      <c r="S246" s="13" t="s">
        <v>273</v>
      </c>
      <c r="T246" s="13" t="s">
        <v>273</v>
      </c>
      <c r="U246" s="13" t="s">
        <v>273</v>
      </c>
      <c r="V246" s="13" t="s">
        <v>273</v>
      </c>
      <c r="W246" s="13" t="s">
        <v>273</v>
      </c>
      <c r="X246" s="33" t="s">
        <v>273</v>
      </c>
      <c r="Y246" s="30"/>
      <c r="Z246" s="28" t="s">
        <v>273</v>
      </c>
      <c r="AA246" s="133" t="str">
        <f>_xlfn.IFS(AND(COUNTIF(Y246,"ETH*")=1, 'PCH320'!D223&gt;=2), "See the Notice *1", TRUE, "")</f>
        <v/>
      </c>
      <c r="AB246" s="29"/>
      <c r="AC246" s="27" t="s">
        <v>1848</v>
      </c>
      <c r="AD246" s="27" t="s">
        <v>1932</v>
      </c>
      <c r="AE246" s="29"/>
      <c r="AF246" s="29"/>
    </row>
    <row r="247" spans="2:32" x14ac:dyDescent="0.2">
      <c r="B247" s="11" t="s">
        <v>1541</v>
      </c>
      <c r="C247" s="11" t="s">
        <v>1929</v>
      </c>
      <c r="D247" s="11" t="s">
        <v>1541</v>
      </c>
      <c r="E247" s="12" t="s">
        <v>273</v>
      </c>
      <c r="F247" s="13" t="s">
        <v>273</v>
      </c>
      <c r="G247" s="13" t="s">
        <v>273</v>
      </c>
      <c r="H247" s="13" t="s">
        <v>273</v>
      </c>
      <c r="I247" s="13" t="s">
        <v>273</v>
      </c>
      <c r="J247" s="13" t="s">
        <v>273</v>
      </c>
      <c r="K247" s="13" t="s">
        <v>273</v>
      </c>
      <c r="L247" s="13" t="s">
        <v>273</v>
      </c>
      <c r="M247" s="13" t="s">
        <v>273</v>
      </c>
      <c r="N247" s="13" t="s">
        <v>273</v>
      </c>
      <c r="O247" s="13" t="s">
        <v>273</v>
      </c>
      <c r="P247" s="12" t="s">
        <v>273</v>
      </c>
      <c r="Q247" s="11" t="s">
        <v>1542</v>
      </c>
      <c r="R247" s="13" t="s">
        <v>273</v>
      </c>
      <c r="S247" s="13" t="s">
        <v>273</v>
      </c>
      <c r="T247" s="13" t="s">
        <v>273</v>
      </c>
      <c r="U247" s="13" t="s">
        <v>273</v>
      </c>
      <c r="V247" s="13" t="s">
        <v>273</v>
      </c>
      <c r="W247" s="13" t="s">
        <v>273</v>
      </c>
      <c r="X247" s="33" t="s">
        <v>273</v>
      </c>
      <c r="Y247" s="30"/>
      <c r="Z247" s="28" t="s">
        <v>273</v>
      </c>
      <c r="AA247" s="133" t="str">
        <f>_xlfn.IFS(AND(COUNTIF(Y247,"ETH*")=1, 'PCH320'!D223&gt;=2), "See the Notice *1", TRUE, "")</f>
        <v/>
      </c>
      <c r="AB247" s="29"/>
      <c r="AC247" s="27" t="s">
        <v>1848</v>
      </c>
      <c r="AD247" s="27" t="s">
        <v>1932</v>
      </c>
      <c r="AE247" s="29"/>
      <c r="AF247" s="29"/>
    </row>
    <row r="248" spans="2:32" x14ac:dyDescent="0.2">
      <c r="B248" s="11" t="s">
        <v>1543</v>
      </c>
      <c r="C248" s="11" t="s">
        <v>1930</v>
      </c>
      <c r="D248" s="11" t="s">
        <v>1543</v>
      </c>
      <c r="E248" s="12" t="s">
        <v>273</v>
      </c>
      <c r="F248" s="13" t="s">
        <v>273</v>
      </c>
      <c r="G248" s="13" t="s">
        <v>273</v>
      </c>
      <c r="H248" s="13" t="s">
        <v>273</v>
      </c>
      <c r="I248" s="13" t="s">
        <v>273</v>
      </c>
      <c r="J248" s="13" t="s">
        <v>273</v>
      </c>
      <c r="K248" s="13" t="s">
        <v>273</v>
      </c>
      <c r="L248" s="13" t="s">
        <v>273</v>
      </c>
      <c r="M248" s="13" t="s">
        <v>273</v>
      </c>
      <c r="N248" s="13" t="s">
        <v>273</v>
      </c>
      <c r="O248" s="13" t="s">
        <v>273</v>
      </c>
      <c r="P248" s="12" t="s">
        <v>273</v>
      </c>
      <c r="Q248" s="11" t="s">
        <v>1544</v>
      </c>
      <c r="R248" s="13" t="s">
        <v>273</v>
      </c>
      <c r="S248" s="13" t="s">
        <v>273</v>
      </c>
      <c r="T248" s="13" t="s">
        <v>273</v>
      </c>
      <c r="U248" s="13" t="s">
        <v>273</v>
      </c>
      <c r="V248" s="13" t="s">
        <v>273</v>
      </c>
      <c r="W248" s="13" t="s">
        <v>273</v>
      </c>
      <c r="X248" s="33" t="s">
        <v>273</v>
      </c>
      <c r="Y248" s="30"/>
      <c r="Z248" s="28" t="s">
        <v>273</v>
      </c>
      <c r="AA248" s="133" t="str">
        <f>_xlfn.IFS(AND(COUNTIF(Y248,"ETH*")=1, 'PCH320'!D223&gt;=2), "See the Notice *1", TRUE, "")</f>
        <v/>
      </c>
      <c r="AB248" s="29"/>
      <c r="AC248" s="27" t="s">
        <v>1848</v>
      </c>
      <c r="AD248" s="27" t="s">
        <v>1932</v>
      </c>
      <c r="AE248" s="29"/>
      <c r="AF248" s="29"/>
    </row>
    <row r="249" spans="2:32" x14ac:dyDescent="0.2">
      <c r="B249" s="11" t="s">
        <v>1545</v>
      </c>
      <c r="C249" s="11" t="s">
        <v>1786</v>
      </c>
      <c r="D249" s="11" t="s">
        <v>1545</v>
      </c>
      <c r="E249" s="12" t="s">
        <v>273</v>
      </c>
      <c r="F249" s="13" t="s">
        <v>273</v>
      </c>
      <c r="G249" s="13" t="s">
        <v>273</v>
      </c>
      <c r="H249" s="13" t="s">
        <v>273</v>
      </c>
      <c r="I249" s="13" t="s">
        <v>273</v>
      </c>
      <c r="J249" s="13" t="s">
        <v>273</v>
      </c>
      <c r="K249" s="13" t="s">
        <v>273</v>
      </c>
      <c r="L249" s="13" t="s">
        <v>273</v>
      </c>
      <c r="M249" s="13" t="s">
        <v>273</v>
      </c>
      <c r="N249" s="13" t="s">
        <v>273</v>
      </c>
      <c r="O249" s="13" t="s">
        <v>273</v>
      </c>
      <c r="P249" s="12" t="s">
        <v>273</v>
      </c>
      <c r="Q249" s="16" t="s">
        <v>1546</v>
      </c>
      <c r="R249" s="13" t="s">
        <v>273</v>
      </c>
      <c r="S249" s="13" t="s">
        <v>273</v>
      </c>
      <c r="T249" s="13" t="s">
        <v>273</v>
      </c>
      <c r="U249" s="13" t="s">
        <v>273</v>
      </c>
      <c r="V249" s="13" t="s">
        <v>273</v>
      </c>
      <c r="W249" s="13" t="s">
        <v>273</v>
      </c>
      <c r="X249" s="33" t="s">
        <v>273</v>
      </c>
      <c r="Y249" s="30"/>
      <c r="Z249" s="28" t="s">
        <v>273</v>
      </c>
      <c r="AA249" s="133" t="str">
        <f>_xlfn.IFS(AND(COUNTIF(Y249,"ETH*")=1, 'PCH320'!D223&gt;=2), "See the Notice *1", TRUE, "")</f>
        <v/>
      </c>
      <c r="AB249" s="29"/>
      <c r="AC249" s="27" t="s">
        <v>1848</v>
      </c>
      <c r="AD249" s="27" t="s">
        <v>1932</v>
      </c>
      <c r="AE249" s="29"/>
      <c r="AF249" s="29"/>
    </row>
    <row r="250" spans="2:32" x14ac:dyDescent="0.2">
      <c r="B250" s="19" t="s">
        <v>253</v>
      </c>
      <c r="C250" s="20" t="s">
        <v>1982</v>
      </c>
      <c r="D250" s="12" t="s">
        <v>273</v>
      </c>
      <c r="E250" s="12" t="s">
        <v>273</v>
      </c>
      <c r="F250" s="13" t="s">
        <v>273</v>
      </c>
      <c r="G250" s="13" t="s">
        <v>273</v>
      </c>
      <c r="H250" s="13" t="s">
        <v>273</v>
      </c>
      <c r="I250" s="13" t="s">
        <v>273</v>
      </c>
      <c r="J250" s="13" t="s">
        <v>273</v>
      </c>
      <c r="K250" s="13" t="s">
        <v>273</v>
      </c>
      <c r="L250" s="13" t="s">
        <v>273</v>
      </c>
      <c r="M250" s="13" t="s">
        <v>273</v>
      </c>
      <c r="N250" s="13" t="s">
        <v>273</v>
      </c>
      <c r="O250" s="13" t="s">
        <v>273</v>
      </c>
      <c r="P250" s="13" t="s">
        <v>273</v>
      </c>
      <c r="Q250" s="13" t="s">
        <v>273</v>
      </c>
      <c r="R250" s="13" t="s">
        <v>273</v>
      </c>
      <c r="S250" s="13" t="s">
        <v>273</v>
      </c>
      <c r="T250" s="13" t="s">
        <v>273</v>
      </c>
      <c r="U250" s="13" t="s">
        <v>273</v>
      </c>
      <c r="V250" s="13" t="s">
        <v>273</v>
      </c>
      <c r="W250" s="13" t="s">
        <v>273</v>
      </c>
      <c r="X250" s="33" t="s">
        <v>273</v>
      </c>
      <c r="Y250" s="34" t="s">
        <v>253</v>
      </c>
      <c r="Z250" s="28" t="s">
        <v>273</v>
      </c>
      <c r="AA250" s="133"/>
      <c r="AB250" s="29" t="s">
        <v>501</v>
      </c>
      <c r="AC250" s="30" t="s">
        <v>510</v>
      </c>
      <c r="AD250" s="29" t="s">
        <v>510</v>
      </c>
      <c r="AE250" s="29"/>
      <c r="AF250" s="29"/>
    </row>
    <row r="251" spans="2:32" x14ac:dyDescent="0.2">
      <c r="B251" s="19" t="s">
        <v>253</v>
      </c>
      <c r="C251" s="20" t="s">
        <v>1983</v>
      </c>
      <c r="D251" s="12" t="s">
        <v>273</v>
      </c>
      <c r="E251" s="12" t="s">
        <v>273</v>
      </c>
      <c r="F251" s="13" t="s">
        <v>273</v>
      </c>
      <c r="G251" s="13" t="s">
        <v>273</v>
      </c>
      <c r="H251" s="13" t="s">
        <v>273</v>
      </c>
      <c r="I251" s="13" t="s">
        <v>273</v>
      </c>
      <c r="J251" s="13" t="s">
        <v>273</v>
      </c>
      <c r="K251" s="13" t="s">
        <v>273</v>
      </c>
      <c r="L251" s="13" t="s">
        <v>273</v>
      </c>
      <c r="M251" s="13" t="s">
        <v>273</v>
      </c>
      <c r="N251" s="13" t="s">
        <v>273</v>
      </c>
      <c r="O251" s="13" t="s">
        <v>273</v>
      </c>
      <c r="P251" s="13" t="s">
        <v>273</v>
      </c>
      <c r="Q251" s="13" t="s">
        <v>273</v>
      </c>
      <c r="R251" s="13" t="s">
        <v>273</v>
      </c>
      <c r="S251" s="13" t="s">
        <v>273</v>
      </c>
      <c r="T251" s="13" t="s">
        <v>273</v>
      </c>
      <c r="U251" s="13" t="s">
        <v>273</v>
      </c>
      <c r="V251" s="13" t="s">
        <v>273</v>
      </c>
      <c r="W251" s="13" t="s">
        <v>273</v>
      </c>
      <c r="X251" s="33" t="s">
        <v>273</v>
      </c>
      <c r="Y251" s="34" t="s">
        <v>253</v>
      </c>
      <c r="Z251" s="28" t="s">
        <v>273</v>
      </c>
      <c r="AA251" s="133"/>
      <c r="AB251" s="29" t="s">
        <v>501</v>
      </c>
      <c r="AC251" s="30" t="s">
        <v>510</v>
      </c>
      <c r="AD251" s="29" t="s">
        <v>510</v>
      </c>
      <c r="AE251" s="29"/>
      <c r="AF251" s="29"/>
    </row>
    <row r="252" spans="2:32" x14ac:dyDescent="0.2">
      <c r="B252" s="19" t="s">
        <v>253</v>
      </c>
      <c r="C252" s="20" t="s">
        <v>1984</v>
      </c>
      <c r="D252" s="12" t="s">
        <v>273</v>
      </c>
      <c r="E252" s="12" t="s">
        <v>273</v>
      </c>
      <c r="F252" s="13" t="s">
        <v>273</v>
      </c>
      <c r="G252" s="13" t="s">
        <v>273</v>
      </c>
      <c r="H252" s="13" t="s">
        <v>273</v>
      </c>
      <c r="I252" s="13" t="s">
        <v>273</v>
      </c>
      <c r="J252" s="13" t="s">
        <v>273</v>
      </c>
      <c r="K252" s="13" t="s">
        <v>273</v>
      </c>
      <c r="L252" s="13" t="s">
        <v>273</v>
      </c>
      <c r="M252" s="13" t="s">
        <v>273</v>
      </c>
      <c r="N252" s="13" t="s">
        <v>273</v>
      </c>
      <c r="O252" s="13" t="s">
        <v>273</v>
      </c>
      <c r="P252" s="13" t="s">
        <v>273</v>
      </c>
      <c r="Q252" s="13" t="s">
        <v>273</v>
      </c>
      <c r="R252" s="13" t="s">
        <v>273</v>
      </c>
      <c r="S252" s="13" t="s">
        <v>273</v>
      </c>
      <c r="T252" s="13" t="s">
        <v>273</v>
      </c>
      <c r="U252" s="13" t="s">
        <v>273</v>
      </c>
      <c r="V252" s="13" t="s">
        <v>273</v>
      </c>
      <c r="W252" s="13" t="s">
        <v>273</v>
      </c>
      <c r="X252" s="33" t="s">
        <v>273</v>
      </c>
      <c r="Y252" s="34" t="s">
        <v>253</v>
      </c>
      <c r="Z252" s="28" t="s">
        <v>273</v>
      </c>
      <c r="AA252" s="133"/>
      <c r="AB252" s="29" t="s">
        <v>501</v>
      </c>
      <c r="AC252" s="30" t="s">
        <v>510</v>
      </c>
      <c r="AD252" s="29" t="s">
        <v>510</v>
      </c>
      <c r="AE252" s="29"/>
      <c r="AF252" s="29"/>
    </row>
    <row r="253" spans="2:32" x14ac:dyDescent="0.2">
      <c r="B253" s="19" t="s">
        <v>253</v>
      </c>
      <c r="C253" s="20" t="s">
        <v>1985</v>
      </c>
      <c r="D253" s="12" t="s">
        <v>273</v>
      </c>
      <c r="E253" s="12" t="s">
        <v>273</v>
      </c>
      <c r="F253" s="13" t="s">
        <v>273</v>
      </c>
      <c r="G253" s="13" t="s">
        <v>273</v>
      </c>
      <c r="H253" s="13" t="s">
        <v>273</v>
      </c>
      <c r="I253" s="13" t="s">
        <v>273</v>
      </c>
      <c r="J253" s="13" t="s">
        <v>273</v>
      </c>
      <c r="K253" s="13" t="s">
        <v>273</v>
      </c>
      <c r="L253" s="13" t="s">
        <v>273</v>
      </c>
      <c r="M253" s="13" t="s">
        <v>273</v>
      </c>
      <c r="N253" s="13" t="s">
        <v>273</v>
      </c>
      <c r="O253" s="13" t="s">
        <v>273</v>
      </c>
      <c r="P253" s="13" t="s">
        <v>273</v>
      </c>
      <c r="Q253" s="13" t="s">
        <v>273</v>
      </c>
      <c r="R253" s="13" t="s">
        <v>273</v>
      </c>
      <c r="S253" s="13" t="s">
        <v>273</v>
      </c>
      <c r="T253" s="13" t="s">
        <v>273</v>
      </c>
      <c r="U253" s="13" t="s">
        <v>273</v>
      </c>
      <c r="V253" s="13" t="s">
        <v>273</v>
      </c>
      <c r="W253" s="13" t="s">
        <v>273</v>
      </c>
      <c r="X253" s="33" t="s">
        <v>273</v>
      </c>
      <c r="Y253" s="34" t="s">
        <v>253</v>
      </c>
      <c r="Z253" s="28" t="s">
        <v>273</v>
      </c>
      <c r="AA253" s="133"/>
      <c r="AB253" s="29" t="s">
        <v>501</v>
      </c>
      <c r="AC253" s="30" t="s">
        <v>510</v>
      </c>
      <c r="AD253" s="29" t="s">
        <v>510</v>
      </c>
      <c r="AE253" s="29"/>
      <c r="AF253" s="29"/>
    </row>
    <row r="254" spans="2:32" x14ac:dyDescent="0.2">
      <c r="B254" s="19" t="s">
        <v>253</v>
      </c>
      <c r="C254" s="20" t="s">
        <v>1986</v>
      </c>
      <c r="D254" s="12" t="s">
        <v>273</v>
      </c>
      <c r="E254" s="12" t="s">
        <v>273</v>
      </c>
      <c r="F254" s="13" t="s">
        <v>273</v>
      </c>
      <c r="G254" s="13" t="s">
        <v>273</v>
      </c>
      <c r="H254" s="13" t="s">
        <v>273</v>
      </c>
      <c r="I254" s="13" t="s">
        <v>273</v>
      </c>
      <c r="J254" s="13" t="s">
        <v>273</v>
      </c>
      <c r="K254" s="13" t="s">
        <v>273</v>
      </c>
      <c r="L254" s="13" t="s">
        <v>273</v>
      </c>
      <c r="M254" s="13" t="s">
        <v>273</v>
      </c>
      <c r="N254" s="13" t="s">
        <v>273</v>
      </c>
      <c r="O254" s="13" t="s">
        <v>273</v>
      </c>
      <c r="P254" s="13" t="s">
        <v>273</v>
      </c>
      <c r="Q254" s="13" t="s">
        <v>273</v>
      </c>
      <c r="R254" s="13" t="s">
        <v>273</v>
      </c>
      <c r="S254" s="13" t="s">
        <v>273</v>
      </c>
      <c r="T254" s="13" t="s">
        <v>273</v>
      </c>
      <c r="U254" s="13" t="s">
        <v>273</v>
      </c>
      <c r="V254" s="13" t="s">
        <v>273</v>
      </c>
      <c r="W254" s="13" t="s">
        <v>273</v>
      </c>
      <c r="X254" s="33" t="s">
        <v>273</v>
      </c>
      <c r="Y254" s="34" t="s">
        <v>253</v>
      </c>
      <c r="Z254" s="28" t="s">
        <v>273</v>
      </c>
      <c r="AA254" s="133"/>
      <c r="AB254" s="29" t="s">
        <v>501</v>
      </c>
      <c r="AC254" s="30" t="s">
        <v>510</v>
      </c>
      <c r="AD254" s="29" t="s">
        <v>510</v>
      </c>
      <c r="AE254" s="29"/>
      <c r="AF254" s="29"/>
    </row>
    <row r="255" spans="2:32" x14ac:dyDescent="0.2">
      <c r="B255" s="21" t="s">
        <v>256</v>
      </c>
      <c r="C255" s="20" t="s">
        <v>1987</v>
      </c>
      <c r="D255" s="12" t="s">
        <v>273</v>
      </c>
      <c r="E255" s="12" t="s">
        <v>273</v>
      </c>
      <c r="F255" s="13" t="s">
        <v>273</v>
      </c>
      <c r="G255" s="13" t="s">
        <v>273</v>
      </c>
      <c r="H255" s="13" t="s">
        <v>273</v>
      </c>
      <c r="I255" s="13" t="s">
        <v>273</v>
      </c>
      <c r="J255" s="13" t="s">
        <v>273</v>
      </c>
      <c r="K255" s="13" t="s">
        <v>273</v>
      </c>
      <c r="L255" s="13" t="s">
        <v>273</v>
      </c>
      <c r="M255" s="13" t="s">
        <v>273</v>
      </c>
      <c r="N255" s="13" t="s">
        <v>273</v>
      </c>
      <c r="O255" s="13" t="s">
        <v>273</v>
      </c>
      <c r="P255" s="13" t="s">
        <v>273</v>
      </c>
      <c r="Q255" s="13" t="s">
        <v>273</v>
      </c>
      <c r="R255" s="13" t="s">
        <v>273</v>
      </c>
      <c r="S255" s="13" t="s">
        <v>273</v>
      </c>
      <c r="T255" s="13" t="s">
        <v>273</v>
      </c>
      <c r="U255" s="13" t="s">
        <v>273</v>
      </c>
      <c r="V255" s="13" t="s">
        <v>273</v>
      </c>
      <c r="W255" s="13" t="s">
        <v>273</v>
      </c>
      <c r="X255" s="33" t="s">
        <v>273</v>
      </c>
      <c r="Y255" s="35" t="s">
        <v>256</v>
      </c>
      <c r="Z255" s="28" t="s">
        <v>273</v>
      </c>
      <c r="AA255" s="134"/>
      <c r="AB255" s="36" t="s">
        <v>2068</v>
      </c>
      <c r="AC255" s="30" t="s">
        <v>510</v>
      </c>
      <c r="AD255" s="29" t="s">
        <v>510</v>
      </c>
      <c r="AE255" s="29"/>
      <c r="AF255" s="29"/>
    </row>
    <row r="256" spans="2:32" x14ac:dyDescent="0.2">
      <c r="B256" s="21" t="s">
        <v>1933</v>
      </c>
      <c r="C256" s="20" t="s">
        <v>1988</v>
      </c>
      <c r="D256" s="13" t="s">
        <v>273</v>
      </c>
      <c r="E256" s="13" t="s">
        <v>273</v>
      </c>
      <c r="F256" s="13" t="s">
        <v>273</v>
      </c>
      <c r="G256" s="13" t="s">
        <v>273</v>
      </c>
      <c r="H256" s="13" t="s">
        <v>273</v>
      </c>
      <c r="I256" s="13" t="s">
        <v>273</v>
      </c>
      <c r="J256" s="13" t="s">
        <v>273</v>
      </c>
      <c r="K256" s="13" t="s">
        <v>273</v>
      </c>
      <c r="L256" s="13" t="s">
        <v>273</v>
      </c>
      <c r="M256" s="13" t="s">
        <v>273</v>
      </c>
      <c r="N256" s="13" t="s">
        <v>273</v>
      </c>
      <c r="O256" s="13" t="s">
        <v>273</v>
      </c>
      <c r="P256" s="13" t="s">
        <v>273</v>
      </c>
      <c r="Q256" s="13" t="s">
        <v>273</v>
      </c>
      <c r="R256" s="13" t="s">
        <v>273</v>
      </c>
      <c r="S256" s="13" t="s">
        <v>273</v>
      </c>
      <c r="T256" s="13" t="s">
        <v>273</v>
      </c>
      <c r="U256" s="13" t="s">
        <v>273</v>
      </c>
      <c r="V256" s="13" t="s">
        <v>273</v>
      </c>
      <c r="W256" s="13" t="s">
        <v>273</v>
      </c>
      <c r="X256" s="33" t="s">
        <v>273</v>
      </c>
      <c r="Y256" s="35" t="s">
        <v>1933</v>
      </c>
      <c r="Z256" s="28" t="s">
        <v>273</v>
      </c>
      <c r="AA256" s="134"/>
      <c r="AB256" s="36" t="s">
        <v>2487</v>
      </c>
      <c r="AC256" s="30" t="s">
        <v>510</v>
      </c>
      <c r="AD256" s="29" t="s">
        <v>510</v>
      </c>
      <c r="AE256" s="29"/>
      <c r="AF256" s="29"/>
    </row>
    <row r="257" spans="2:32" x14ac:dyDescent="0.2">
      <c r="B257" s="21" t="s">
        <v>1933</v>
      </c>
      <c r="C257" s="20" t="s">
        <v>1989</v>
      </c>
      <c r="D257" s="13" t="s">
        <v>273</v>
      </c>
      <c r="E257" s="13" t="s">
        <v>273</v>
      </c>
      <c r="F257" s="13" t="s">
        <v>273</v>
      </c>
      <c r="G257" s="13" t="s">
        <v>273</v>
      </c>
      <c r="H257" s="13" t="s">
        <v>273</v>
      </c>
      <c r="I257" s="13" t="s">
        <v>273</v>
      </c>
      <c r="J257" s="13" t="s">
        <v>273</v>
      </c>
      <c r="K257" s="13" t="s">
        <v>273</v>
      </c>
      <c r="L257" s="13" t="s">
        <v>273</v>
      </c>
      <c r="M257" s="13" t="s">
        <v>273</v>
      </c>
      <c r="N257" s="13" t="s">
        <v>273</v>
      </c>
      <c r="O257" s="13" t="s">
        <v>273</v>
      </c>
      <c r="P257" s="13" t="s">
        <v>273</v>
      </c>
      <c r="Q257" s="13" t="s">
        <v>273</v>
      </c>
      <c r="R257" s="13" t="s">
        <v>273</v>
      </c>
      <c r="S257" s="13" t="s">
        <v>273</v>
      </c>
      <c r="T257" s="13" t="s">
        <v>273</v>
      </c>
      <c r="U257" s="13" t="s">
        <v>273</v>
      </c>
      <c r="V257" s="13" t="s">
        <v>273</v>
      </c>
      <c r="W257" s="13" t="s">
        <v>273</v>
      </c>
      <c r="X257" s="33" t="s">
        <v>273</v>
      </c>
      <c r="Y257" s="35" t="s">
        <v>1933</v>
      </c>
      <c r="Z257" s="28" t="s">
        <v>273</v>
      </c>
      <c r="AA257" s="134"/>
      <c r="AB257" s="36" t="s">
        <v>2487</v>
      </c>
      <c r="AC257" s="30" t="s">
        <v>510</v>
      </c>
      <c r="AD257" s="29" t="s">
        <v>510</v>
      </c>
      <c r="AE257" s="29"/>
      <c r="AF257" s="29"/>
    </row>
    <row r="258" spans="2:32" x14ac:dyDescent="0.2">
      <c r="B258" s="21" t="s">
        <v>1933</v>
      </c>
      <c r="C258" s="20" t="s">
        <v>1990</v>
      </c>
      <c r="D258" s="13" t="s">
        <v>273</v>
      </c>
      <c r="E258" s="13" t="s">
        <v>273</v>
      </c>
      <c r="F258" s="13" t="s">
        <v>273</v>
      </c>
      <c r="G258" s="13" t="s">
        <v>273</v>
      </c>
      <c r="H258" s="13" t="s">
        <v>273</v>
      </c>
      <c r="I258" s="13" t="s">
        <v>273</v>
      </c>
      <c r="J258" s="13" t="s">
        <v>273</v>
      </c>
      <c r="K258" s="13" t="s">
        <v>273</v>
      </c>
      <c r="L258" s="13" t="s">
        <v>273</v>
      </c>
      <c r="M258" s="13" t="s">
        <v>273</v>
      </c>
      <c r="N258" s="13" t="s">
        <v>273</v>
      </c>
      <c r="O258" s="13" t="s">
        <v>273</v>
      </c>
      <c r="P258" s="13" t="s">
        <v>273</v>
      </c>
      <c r="Q258" s="13" t="s">
        <v>273</v>
      </c>
      <c r="R258" s="13" t="s">
        <v>273</v>
      </c>
      <c r="S258" s="13" t="s">
        <v>273</v>
      </c>
      <c r="T258" s="13" t="s">
        <v>273</v>
      </c>
      <c r="U258" s="13" t="s">
        <v>273</v>
      </c>
      <c r="V258" s="13" t="s">
        <v>273</v>
      </c>
      <c r="W258" s="13" t="s">
        <v>273</v>
      </c>
      <c r="X258" s="33" t="s">
        <v>273</v>
      </c>
      <c r="Y258" s="35" t="s">
        <v>1933</v>
      </c>
      <c r="Z258" s="28" t="s">
        <v>273</v>
      </c>
      <c r="AA258" s="134"/>
      <c r="AB258" s="36" t="s">
        <v>2487</v>
      </c>
      <c r="AC258" s="30" t="s">
        <v>510</v>
      </c>
      <c r="AD258" s="29" t="s">
        <v>510</v>
      </c>
      <c r="AE258" s="29"/>
      <c r="AF258" s="29"/>
    </row>
    <row r="259" spans="2:32" x14ac:dyDescent="0.2">
      <c r="B259" s="21" t="s">
        <v>1933</v>
      </c>
      <c r="C259" s="20" t="s">
        <v>1991</v>
      </c>
      <c r="D259" s="13" t="s">
        <v>273</v>
      </c>
      <c r="E259" s="13" t="s">
        <v>273</v>
      </c>
      <c r="F259" s="13" t="s">
        <v>273</v>
      </c>
      <c r="G259" s="13" t="s">
        <v>273</v>
      </c>
      <c r="H259" s="13" t="s">
        <v>273</v>
      </c>
      <c r="I259" s="13" t="s">
        <v>273</v>
      </c>
      <c r="J259" s="13" t="s">
        <v>273</v>
      </c>
      <c r="K259" s="13" t="s">
        <v>273</v>
      </c>
      <c r="L259" s="13" t="s">
        <v>273</v>
      </c>
      <c r="M259" s="13" t="s">
        <v>273</v>
      </c>
      <c r="N259" s="13" t="s">
        <v>273</v>
      </c>
      <c r="O259" s="13" t="s">
        <v>273</v>
      </c>
      <c r="P259" s="13" t="s">
        <v>273</v>
      </c>
      <c r="Q259" s="13" t="s">
        <v>273</v>
      </c>
      <c r="R259" s="13" t="s">
        <v>273</v>
      </c>
      <c r="S259" s="13" t="s">
        <v>273</v>
      </c>
      <c r="T259" s="13" t="s">
        <v>273</v>
      </c>
      <c r="U259" s="13" t="s">
        <v>273</v>
      </c>
      <c r="V259" s="13" t="s">
        <v>273</v>
      </c>
      <c r="W259" s="13" t="s">
        <v>273</v>
      </c>
      <c r="X259" s="33" t="s">
        <v>273</v>
      </c>
      <c r="Y259" s="35" t="s">
        <v>1933</v>
      </c>
      <c r="Z259" s="28" t="s">
        <v>273</v>
      </c>
      <c r="AA259" s="134"/>
      <c r="AB259" s="36" t="s">
        <v>2487</v>
      </c>
      <c r="AC259" s="30" t="s">
        <v>510</v>
      </c>
      <c r="AD259" s="29" t="s">
        <v>510</v>
      </c>
      <c r="AE259" s="29"/>
      <c r="AF259" s="29"/>
    </row>
    <row r="260" spans="2:32" x14ac:dyDescent="0.2">
      <c r="B260" s="22" t="s">
        <v>260</v>
      </c>
      <c r="C260" s="20" t="s">
        <v>1992</v>
      </c>
      <c r="D260" s="12" t="s">
        <v>273</v>
      </c>
      <c r="E260" s="12" t="s">
        <v>273</v>
      </c>
      <c r="F260" s="12" t="s">
        <v>273</v>
      </c>
      <c r="G260" s="12" t="s">
        <v>273</v>
      </c>
      <c r="H260" s="12" t="s">
        <v>273</v>
      </c>
      <c r="I260" s="12" t="s">
        <v>273</v>
      </c>
      <c r="J260" s="12" t="s">
        <v>273</v>
      </c>
      <c r="K260" s="12" t="s">
        <v>273</v>
      </c>
      <c r="L260" s="12" t="s">
        <v>273</v>
      </c>
      <c r="M260" s="12" t="s">
        <v>273</v>
      </c>
      <c r="N260" s="12" t="s">
        <v>273</v>
      </c>
      <c r="O260" s="12" t="s">
        <v>273</v>
      </c>
      <c r="P260" s="12" t="s">
        <v>273</v>
      </c>
      <c r="Q260" s="12" t="s">
        <v>273</v>
      </c>
      <c r="R260" s="12" t="s">
        <v>273</v>
      </c>
      <c r="S260" s="12" t="s">
        <v>273</v>
      </c>
      <c r="T260" s="12" t="s">
        <v>273</v>
      </c>
      <c r="U260" s="12" t="s">
        <v>273</v>
      </c>
      <c r="V260" s="12" t="s">
        <v>273</v>
      </c>
      <c r="W260" s="12" t="s">
        <v>273</v>
      </c>
      <c r="X260" s="26" t="s">
        <v>273</v>
      </c>
      <c r="Y260" s="37" t="s">
        <v>260</v>
      </c>
      <c r="Z260" s="28" t="s">
        <v>273</v>
      </c>
      <c r="AA260" s="134"/>
      <c r="AB260" s="36" t="s">
        <v>505</v>
      </c>
      <c r="AC260" s="30" t="s">
        <v>510</v>
      </c>
      <c r="AD260" s="29" t="s">
        <v>510</v>
      </c>
      <c r="AE260" s="29"/>
      <c r="AF260" s="29"/>
    </row>
    <row r="261" spans="2:32" x14ac:dyDescent="0.2">
      <c r="B261" s="21" t="s">
        <v>259</v>
      </c>
      <c r="C261" s="20" t="s">
        <v>1993</v>
      </c>
      <c r="D261" s="12" t="s">
        <v>273</v>
      </c>
      <c r="E261" s="12" t="s">
        <v>273</v>
      </c>
      <c r="F261" s="12" t="s">
        <v>273</v>
      </c>
      <c r="G261" s="12" t="s">
        <v>273</v>
      </c>
      <c r="H261" s="12" t="s">
        <v>273</v>
      </c>
      <c r="I261" s="12" t="s">
        <v>273</v>
      </c>
      <c r="J261" s="12" t="s">
        <v>273</v>
      </c>
      <c r="K261" s="12" t="s">
        <v>273</v>
      </c>
      <c r="L261" s="12" t="s">
        <v>273</v>
      </c>
      <c r="M261" s="12" t="s">
        <v>273</v>
      </c>
      <c r="N261" s="12" t="s">
        <v>273</v>
      </c>
      <c r="O261" s="12" t="s">
        <v>273</v>
      </c>
      <c r="P261" s="12" t="s">
        <v>273</v>
      </c>
      <c r="Q261" s="12" t="s">
        <v>273</v>
      </c>
      <c r="R261" s="12" t="s">
        <v>273</v>
      </c>
      <c r="S261" s="12" t="s">
        <v>273</v>
      </c>
      <c r="T261" s="12" t="s">
        <v>273</v>
      </c>
      <c r="U261" s="12" t="s">
        <v>273</v>
      </c>
      <c r="V261" s="12" t="s">
        <v>273</v>
      </c>
      <c r="W261" s="12" t="s">
        <v>273</v>
      </c>
      <c r="X261" s="26" t="s">
        <v>273</v>
      </c>
      <c r="Y261" s="35" t="s">
        <v>259</v>
      </c>
      <c r="Z261" s="28" t="s">
        <v>273</v>
      </c>
      <c r="AA261" s="134"/>
      <c r="AB261" s="36" t="s">
        <v>507</v>
      </c>
      <c r="AC261" s="30" t="s">
        <v>510</v>
      </c>
      <c r="AD261" s="29" t="s">
        <v>510</v>
      </c>
      <c r="AE261" s="29"/>
      <c r="AF261" s="29"/>
    </row>
    <row r="262" spans="2:32" x14ac:dyDescent="0.2">
      <c r="B262" s="21" t="s">
        <v>256</v>
      </c>
      <c r="C262" s="20" t="s">
        <v>1994</v>
      </c>
      <c r="D262" s="12" t="s">
        <v>273</v>
      </c>
      <c r="E262" s="12" t="s">
        <v>273</v>
      </c>
      <c r="F262" s="13" t="s">
        <v>273</v>
      </c>
      <c r="G262" s="13" t="s">
        <v>273</v>
      </c>
      <c r="H262" s="13" t="s">
        <v>273</v>
      </c>
      <c r="I262" s="13" t="s">
        <v>273</v>
      </c>
      <c r="J262" s="13" t="s">
        <v>273</v>
      </c>
      <c r="K262" s="13" t="s">
        <v>273</v>
      </c>
      <c r="L262" s="13" t="s">
        <v>273</v>
      </c>
      <c r="M262" s="13" t="s">
        <v>273</v>
      </c>
      <c r="N262" s="13" t="s">
        <v>273</v>
      </c>
      <c r="O262" s="13" t="s">
        <v>273</v>
      </c>
      <c r="P262" s="13" t="s">
        <v>273</v>
      </c>
      <c r="Q262" s="13" t="s">
        <v>273</v>
      </c>
      <c r="R262" s="13" t="s">
        <v>273</v>
      </c>
      <c r="S262" s="13" t="s">
        <v>273</v>
      </c>
      <c r="T262" s="13" t="s">
        <v>273</v>
      </c>
      <c r="U262" s="13" t="s">
        <v>273</v>
      </c>
      <c r="V262" s="13" t="s">
        <v>273</v>
      </c>
      <c r="W262" s="13" t="s">
        <v>273</v>
      </c>
      <c r="X262" s="33" t="s">
        <v>273</v>
      </c>
      <c r="Y262" s="35" t="s">
        <v>256</v>
      </c>
      <c r="Z262" s="28" t="s">
        <v>273</v>
      </c>
      <c r="AA262" s="134"/>
      <c r="AB262" s="36" t="s">
        <v>2068</v>
      </c>
      <c r="AC262" s="30" t="s">
        <v>510</v>
      </c>
      <c r="AD262" s="29" t="s">
        <v>510</v>
      </c>
      <c r="AE262" s="29"/>
      <c r="AF262" s="29"/>
    </row>
    <row r="263" spans="2:32" x14ac:dyDescent="0.2">
      <c r="B263" s="21" t="s">
        <v>254</v>
      </c>
      <c r="C263" s="20" t="s">
        <v>1995</v>
      </c>
      <c r="D263" s="13" t="s">
        <v>273</v>
      </c>
      <c r="E263" s="13" t="s">
        <v>273</v>
      </c>
      <c r="F263" s="13" t="s">
        <v>273</v>
      </c>
      <c r="G263" s="13" t="s">
        <v>273</v>
      </c>
      <c r="H263" s="13" t="s">
        <v>273</v>
      </c>
      <c r="I263" s="13" t="s">
        <v>273</v>
      </c>
      <c r="J263" s="13" t="s">
        <v>273</v>
      </c>
      <c r="K263" s="13" t="s">
        <v>273</v>
      </c>
      <c r="L263" s="13" t="s">
        <v>273</v>
      </c>
      <c r="M263" s="13" t="s">
        <v>273</v>
      </c>
      <c r="N263" s="13" t="s">
        <v>273</v>
      </c>
      <c r="O263" s="13" t="s">
        <v>273</v>
      </c>
      <c r="P263" s="13" t="s">
        <v>273</v>
      </c>
      <c r="Q263" s="13" t="s">
        <v>273</v>
      </c>
      <c r="R263" s="13" t="s">
        <v>273</v>
      </c>
      <c r="S263" s="13" t="s">
        <v>273</v>
      </c>
      <c r="T263" s="13" t="s">
        <v>273</v>
      </c>
      <c r="U263" s="13" t="s">
        <v>273</v>
      </c>
      <c r="V263" s="13" t="s">
        <v>273</v>
      </c>
      <c r="W263" s="13" t="s">
        <v>273</v>
      </c>
      <c r="X263" s="33" t="s">
        <v>273</v>
      </c>
      <c r="Y263" s="35" t="s">
        <v>254</v>
      </c>
      <c r="Z263" s="28" t="s">
        <v>273</v>
      </c>
      <c r="AA263" s="134"/>
      <c r="AB263" s="36" t="s">
        <v>500</v>
      </c>
      <c r="AC263" s="30" t="s">
        <v>510</v>
      </c>
      <c r="AD263" s="29" t="s">
        <v>510</v>
      </c>
      <c r="AE263" s="29"/>
      <c r="AF263" s="29"/>
    </row>
    <row r="264" spans="2:32" x14ac:dyDescent="0.2">
      <c r="B264" s="23" t="s">
        <v>1996</v>
      </c>
      <c r="C264" s="20" t="s">
        <v>1997</v>
      </c>
      <c r="D264" s="12" t="s">
        <v>273</v>
      </c>
      <c r="E264" s="12" t="s">
        <v>273</v>
      </c>
      <c r="F264" s="12" t="s">
        <v>273</v>
      </c>
      <c r="G264" s="12" t="s">
        <v>273</v>
      </c>
      <c r="H264" s="12" t="s">
        <v>273</v>
      </c>
      <c r="I264" s="12" t="s">
        <v>273</v>
      </c>
      <c r="J264" s="12" t="s">
        <v>273</v>
      </c>
      <c r="K264" s="12" t="s">
        <v>273</v>
      </c>
      <c r="L264" s="12" t="s">
        <v>273</v>
      </c>
      <c r="M264" s="12" t="s">
        <v>273</v>
      </c>
      <c r="N264" s="12" t="s">
        <v>273</v>
      </c>
      <c r="O264" s="12" t="s">
        <v>273</v>
      </c>
      <c r="P264" s="12" t="s">
        <v>273</v>
      </c>
      <c r="Q264" s="12" t="s">
        <v>273</v>
      </c>
      <c r="R264" s="12" t="s">
        <v>273</v>
      </c>
      <c r="S264" s="12" t="s">
        <v>273</v>
      </c>
      <c r="T264" s="12" t="s">
        <v>273</v>
      </c>
      <c r="U264" s="12" t="s">
        <v>273</v>
      </c>
      <c r="V264" s="12" t="s">
        <v>273</v>
      </c>
      <c r="W264" s="12" t="s">
        <v>273</v>
      </c>
      <c r="X264" s="26" t="s">
        <v>273</v>
      </c>
      <c r="Y264" s="38" t="s">
        <v>1996</v>
      </c>
      <c r="Z264" s="28" t="s">
        <v>273</v>
      </c>
      <c r="AA264" s="134"/>
      <c r="AB264" s="36" t="s">
        <v>2070</v>
      </c>
      <c r="AC264" s="30" t="s">
        <v>510</v>
      </c>
      <c r="AD264" s="29" t="s">
        <v>510</v>
      </c>
      <c r="AE264" s="29"/>
      <c r="AF264" s="29"/>
    </row>
    <row r="265" spans="2:32" x14ac:dyDescent="0.2">
      <c r="B265" s="23" t="s">
        <v>1996</v>
      </c>
      <c r="C265" s="20" t="s">
        <v>1998</v>
      </c>
      <c r="D265" s="12" t="s">
        <v>273</v>
      </c>
      <c r="E265" s="12" t="s">
        <v>273</v>
      </c>
      <c r="F265" s="12" t="s">
        <v>273</v>
      </c>
      <c r="G265" s="12" t="s">
        <v>273</v>
      </c>
      <c r="H265" s="12" t="s">
        <v>273</v>
      </c>
      <c r="I265" s="12" t="s">
        <v>273</v>
      </c>
      <c r="J265" s="12" t="s">
        <v>273</v>
      </c>
      <c r="K265" s="12" t="s">
        <v>273</v>
      </c>
      <c r="L265" s="12" t="s">
        <v>273</v>
      </c>
      <c r="M265" s="12" t="s">
        <v>273</v>
      </c>
      <c r="N265" s="12" t="s">
        <v>273</v>
      </c>
      <c r="O265" s="12" t="s">
        <v>273</v>
      </c>
      <c r="P265" s="12" t="s">
        <v>273</v>
      </c>
      <c r="Q265" s="12" t="s">
        <v>273</v>
      </c>
      <c r="R265" s="12" t="s">
        <v>273</v>
      </c>
      <c r="S265" s="12" t="s">
        <v>273</v>
      </c>
      <c r="T265" s="12" t="s">
        <v>273</v>
      </c>
      <c r="U265" s="12" t="s">
        <v>273</v>
      </c>
      <c r="V265" s="12" t="s">
        <v>273</v>
      </c>
      <c r="W265" s="12" t="s">
        <v>273</v>
      </c>
      <c r="X265" s="26" t="s">
        <v>273</v>
      </c>
      <c r="Y265" s="38" t="s">
        <v>1996</v>
      </c>
      <c r="Z265" s="28" t="s">
        <v>273</v>
      </c>
      <c r="AA265" s="134"/>
      <c r="AB265" s="36" t="s">
        <v>2070</v>
      </c>
      <c r="AC265" s="30" t="s">
        <v>510</v>
      </c>
      <c r="AD265" s="29" t="s">
        <v>510</v>
      </c>
      <c r="AE265" s="29"/>
      <c r="AF265" s="29"/>
    </row>
    <row r="266" spans="2:32" x14ac:dyDescent="0.2">
      <c r="B266" s="23" t="s">
        <v>1996</v>
      </c>
      <c r="C266" s="20" t="s">
        <v>1999</v>
      </c>
      <c r="D266" s="12" t="s">
        <v>273</v>
      </c>
      <c r="E266" s="12" t="s">
        <v>273</v>
      </c>
      <c r="F266" s="12" t="s">
        <v>273</v>
      </c>
      <c r="G266" s="12" t="s">
        <v>273</v>
      </c>
      <c r="H266" s="12" t="s">
        <v>273</v>
      </c>
      <c r="I266" s="12" t="s">
        <v>273</v>
      </c>
      <c r="J266" s="12" t="s">
        <v>273</v>
      </c>
      <c r="K266" s="12" t="s">
        <v>273</v>
      </c>
      <c r="L266" s="12" t="s">
        <v>273</v>
      </c>
      <c r="M266" s="12" t="s">
        <v>273</v>
      </c>
      <c r="N266" s="12" t="s">
        <v>273</v>
      </c>
      <c r="O266" s="12" t="s">
        <v>273</v>
      </c>
      <c r="P266" s="12" t="s">
        <v>273</v>
      </c>
      <c r="Q266" s="12" t="s">
        <v>273</v>
      </c>
      <c r="R266" s="12" t="s">
        <v>273</v>
      </c>
      <c r="S266" s="12" t="s">
        <v>273</v>
      </c>
      <c r="T266" s="12" t="s">
        <v>273</v>
      </c>
      <c r="U266" s="12" t="s">
        <v>273</v>
      </c>
      <c r="V266" s="12" t="s">
        <v>273</v>
      </c>
      <c r="W266" s="12" t="s">
        <v>273</v>
      </c>
      <c r="X266" s="26" t="s">
        <v>273</v>
      </c>
      <c r="Y266" s="38" t="s">
        <v>1996</v>
      </c>
      <c r="Z266" s="28" t="s">
        <v>273</v>
      </c>
      <c r="AA266" s="134"/>
      <c r="AB266" s="36" t="s">
        <v>2070</v>
      </c>
      <c r="AC266" s="30" t="s">
        <v>510</v>
      </c>
      <c r="AD266" s="29" t="s">
        <v>510</v>
      </c>
      <c r="AE266" s="29"/>
      <c r="AF266" s="29"/>
    </row>
    <row r="267" spans="2:32" x14ac:dyDescent="0.2">
      <c r="B267" s="23" t="s">
        <v>1996</v>
      </c>
      <c r="C267" s="20" t="s">
        <v>2000</v>
      </c>
      <c r="D267" s="12" t="s">
        <v>273</v>
      </c>
      <c r="E267" s="12" t="s">
        <v>273</v>
      </c>
      <c r="F267" s="12" t="s">
        <v>273</v>
      </c>
      <c r="G267" s="12" t="s">
        <v>273</v>
      </c>
      <c r="H267" s="12" t="s">
        <v>273</v>
      </c>
      <c r="I267" s="12" t="s">
        <v>273</v>
      </c>
      <c r="J267" s="12" t="s">
        <v>273</v>
      </c>
      <c r="K267" s="12" t="s">
        <v>273</v>
      </c>
      <c r="L267" s="12" t="s">
        <v>273</v>
      </c>
      <c r="M267" s="12" t="s">
        <v>273</v>
      </c>
      <c r="N267" s="12" t="s">
        <v>273</v>
      </c>
      <c r="O267" s="12" t="s">
        <v>273</v>
      </c>
      <c r="P267" s="12" t="s">
        <v>273</v>
      </c>
      <c r="Q267" s="12" t="s">
        <v>273</v>
      </c>
      <c r="R267" s="12" t="s">
        <v>273</v>
      </c>
      <c r="S267" s="12" t="s">
        <v>273</v>
      </c>
      <c r="T267" s="12" t="s">
        <v>273</v>
      </c>
      <c r="U267" s="12" t="s">
        <v>273</v>
      </c>
      <c r="V267" s="12" t="s">
        <v>273</v>
      </c>
      <c r="W267" s="12" t="s">
        <v>273</v>
      </c>
      <c r="X267" s="26" t="s">
        <v>273</v>
      </c>
      <c r="Y267" s="38" t="s">
        <v>1996</v>
      </c>
      <c r="Z267" s="28" t="s">
        <v>273</v>
      </c>
      <c r="AA267" s="134"/>
      <c r="AB267" s="36" t="s">
        <v>2070</v>
      </c>
      <c r="AC267" s="30" t="s">
        <v>510</v>
      </c>
      <c r="AD267" s="29" t="s">
        <v>510</v>
      </c>
      <c r="AE267" s="29"/>
      <c r="AF267" s="29"/>
    </row>
    <row r="268" spans="2:32" x14ac:dyDescent="0.2">
      <c r="B268" s="22" t="s">
        <v>257</v>
      </c>
      <c r="C268" s="20" t="s">
        <v>2001</v>
      </c>
      <c r="D268" s="13" t="s">
        <v>273</v>
      </c>
      <c r="E268" s="13" t="s">
        <v>273</v>
      </c>
      <c r="F268" s="13" t="s">
        <v>273</v>
      </c>
      <c r="G268" s="13" t="s">
        <v>273</v>
      </c>
      <c r="H268" s="13" t="s">
        <v>273</v>
      </c>
      <c r="I268" s="13" t="s">
        <v>273</v>
      </c>
      <c r="J268" s="13" t="s">
        <v>273</v>
      </c>
      <c r="K268" s="13" t="s">
        <v>273</v>
      </c>
      <c r="L268" s="13" t="s">
        <v>273</v>
      </c>
      <c r="M268" s="13" t="s">
        <v>273</v>
      </c>
      <c r="N268" s="13" t="s">
        <v>273</v>
      </c>
      <c r="O268" s="13" t="s">
        <v>273</v>
      </c>
      <c r="P268" s="13" t="s">
        <v>273</v>
      </c>
      <c r="Q268" s="13" t="s">
        <v>273</v>
      </c>
      <c r="R268" s="13" t="s">
        <v>273</v>
      </c>
      <c r="S268" s="13" t="s">
        <v>273</v>
      </c>
      <c r="T268" s="13" t="s">
        <v>273</v>
      </c>
      <c r="U268" s="13" t="s">
        <v>273</v>
      </c>
      <c r="V268" s="13" t="s">
        <v>273</v>
      </c>
      <c r="W268" s="13" t="s">
        <v>273</v>
      </c>
      <c r="X268" s="33" t="s">
        <v>273</v>
      </c>
      <c r="Y268" s="37" t="s">
        <v>257</v>
      </c>
      <c r="Z268" s="28" t="s">
        <v>273</v>
      </c>
      <c r="AA268" s="134"/>
      <c r="AB268" s="36" t="s">
        <v>504</v>
      </c>
      <c r="AC268" s="30" t="s">
        <v>510</v>
      </c>
      <c r="AD268" s="29" t="s">
        <v>510</v>
      </c>
      <c r="AE268" s="29"/>
      <c r="AF268" s="29"/>
    </row>
    <row r="269" spans="2:32" x14ac:dyDescent="0.2">
      <c r="B269" s="19" t="s">
        <v>258</v>
      </c>
      <c r="C269" s="20" t="s">
        <v>2002</v>
      </c>
      <c r="D269" s="12" t="s">
        <v>273</v>
      </c>
      <c r="E269" s="12" t="s">
        <v>273</v>
      </c>
      <c r="F269" s="12" t="s">
        <v>273</v>
      </c>
      <c r="G269" s="12" t="s">
        <v>273</v>
      </c>
      <c r="H269" s="12" t="s">
        <v>273</v>
      </c>
      <c r="I269" s="12" t="s">
        <v>273</v>
      </c>
      <c r="J269" s="12" t="s">
        <v>273</v>
      </c>
      <c r="K269" s="12" t="s">
        <v>273</v>
      </c>
      <c r="L269" s="12" t="s">
        <v>273</v>
      </c>
      <c r="M269" s="12" t="s">
        <v>273</v>
      </c>
      <c r="N269" s="12" t="s">
        <v>273</v>
      </c>
      <c r="O269" s="12" t="s">
        <v>273</v>
      </c>
      <c r="P269" s="12" t="s">
        <v>273</v>
      </c>
      <c r="Q269" s="12" t="s">
        <v>273</v>
      </c>
      <c r="R269" s="12" t="s">
        <v>273</v>
      </c>
      <c r="S269" s="12" t="s">
        <v>273</v>
      </c>
      <c r="T269" s="12" t="s">
        <v>273</v>
      </c>
      <c r="U269" s="12" t="s">
        <v>273</v>
      </c>
      <c r="V269" s="12" t="s">
        <v>273</v>
      </c>
      <c r="W269" s="12" t="s">
        <v>273</v>
      </c>
      <c r="X269" s="26" t="s">
        <v>273</v>
      </c>
      <c r="Y269" s="34" t="s">
        <v>258</v>
      </c>
      <c r="Z269" s="28" t="s">
        <v>273</v>
      </c>
      <c r="AA269" s="134"/>
      <c r="AB269" s="36" t="s">
        <v>506</v>
      </c>
      <c r="AC269" s="30" t="s">
        <v>510</v>
      </c>
      <c r="AD269" s="29" t="s">
        <v>510</v>
      </c>
      <c r="AE269" s="29"/>
      <c r="AF269" s="29"/>
    </row>
    <row r="270" spans="2:32" x14ac:dyDescent="0.2">
      <c r="B270" s="21" t="s">
        <v>351</v>
      </c>
      <c r="C270" s="20" t="s">
        <v>2003</v>
      </c>
      <c r="D270" s="12" t="s">
        <v>273</v>
      </c>
      <c r="E270" s="12" t="s">
        <v>273</v>
      </c>
      <c r="F270" s="12" t="s">
        <v>273</v>
      </c>
      <c r="G270" s="12" t="s">
        <v>273</v>
      </c>
      <c r="H270" s="12" t="s">
        <v>273</v>
      </c>
      <c r="I270" s="12" t="s">
        <v>273</v>
      </c>
      <c r="J270" s="12" t="s">
        <v>273</v>
      </c>
      <c r="K270" s="12" t="s">
        <v>273</v>
      </c>
      <c r="L270" s="12" t="s">
        <v>273</v>
      </c>
      <c r="M270" s="12" t="s">
        <v>273</v>
      </c>
      <c r="N270" s="12" t="s">
        <v>273</v>
      </c>
      <c r="O270" s="12" t="s">
        <v>273</v>
      </c>
      <c r="P270" s="12" t="s">
        <v>273</v>
      </c>
      <c r="Q270" s="12" t="s">
        <v>273</v>
      </c>
      <c r="R270" s="12" t="s">
        <v>273</v>
      </c>
      <c r="S270" s="12" t="s">
        <v>273</v>
      </c>
      <c r="T270" s="12" t="s">
        <v>273</v>
      </c>
      <c r="U270" s="12" t="s">
        <v>273</v>
      </c>
      <c r="V270" s="12" t="s">
        <v>273</v>
      </c>
      <c r="W270" s="12" t="s">
        <v>273</v>
      </c>
      <c r="X270" s="26" t="s">
        <v>273</v>
      </c>
      <c r="Y270" s="35" t="s">
        <v>351</v>
      </c>
      <c r="Z270" s="28" t="s">
        <v>273</v>
      </c>
      <c r="AA270" s="134"/>
      <c r="AB270" s="36" t="s">
        <v>2071</v>
      </c>
      <c r="AC270" s="30" t="s">
        <v>510</v>
      </c>
      <c r="AD270" s="29" t="s">
        <v>510</v>
      </c>
      <c r="AE270" s="29"/>
      <c r="AF270" s="29"/>
    </row>
    <row r="271" spans="2:32" x14ac:dyDescent="0.2">
      <c r="B271" s="21" t="s">
        <v>254</v>
      </c>
      <c r="C271" s="20" t="s">
        <v>2163</v>
      </c>
      <c r="D271" s="13" t="s">
        <v>273</v>
      </c>
      <c r="E271" s="13" t="s">
        <v>273</v>
      </c>
      <c r="F271" s="13" t="s">
        <v>273</v>
      </c>
      <c r="G271" s="13" t="s">
        <v>273</v>
      </c>
      <c r="H271" s="13" t="s">
        <v>273</v>
      </c>
      <c r="I271" s="13" t="s">
        <v>273</v>
      </c>
      <c r="J271" s="13" t="s">
        <v>273</v>
      </c>
      <c r="K271" s="13" t="s">
        <v>273</v>
      </c>
      <c r="L271" s="13" t="s">
        <v>273</v>
      </c>
      <c r="M271" s="13" t="s">
        <v>273</v>
      </c>
      <c r="N271" s="13" t="s">
        <v>273</v>
      </c>
      <c r="O271" s="13" t="s">
        <v>273</v>
      </c>
      <c r="P271" s="13" t="s">
        <v>273</v>
      </c>
      <c r="Q271" s="13" t="s">
        <v>273</v>
      </c>
      <c r="R271" s="13" t="s">
        <v>273</v>
      </c>
      <c r="S271" s="13" t="s">
        <v>273</v>
      </c>
      <c r="T271" s="13" t="s">
        <v>273</v>
      </c>
      <c r="U271" s="13" t="s">
        <v>273</v>
      </c>
      <c r="V271" s="13" t="s">
        <v>273</v>
      </c>
      <c r="W271" s="13" t="s">
        <v>273</v>
      </c>
      <c r="X271" s="33" t="s">
        <v>273</v>
      </c>
      <c r="Y271" s="35" t="s">
        <v>254</v>
      </c>
      <c r="Z271" s="28" t="s">
        <v>273</v>
      </c>
      <c r="AA271" s="134"/>
      <c r="AB271" s="36" t="s">
        <v>500</v>
      </c>
      <c r="AC271" s="30" t="s">
        <v>510</v>
      </c>
      <c r="AD271" s="29" t="s">
        <v>510</v>
      </c>
      <c r="AE271" s="29"/>
      <c r="AF271" s="29"/>
    </row>
    <row r="272" spans="2:32" x14ac:dyDescent="0.2">
      <c r="B272" s="19" t="s">
        <v>253</v>
      </c>
      <c r="C272" s="20" t="s">
        <v>2004</v>
      </c>
      <c r="D272" s="12" t="s">
        <v>273</v>
      </c>
      <c r="E272" s="12" t="s">
        <v>273</v>
      </c>
      <c r="F272" s="13" t="s">
        <v>273</v>
      </c>
      <c r="G272" s="13" t="s">
        <v>273</v>
      </c>
      <c r="H272" s="13" t="s">
        <v>273</v>
      </c>
      <c r="I272" s="13" t="s">
        <v>273</v>
      </c>
      <c r="J272" s="13" t="s">
        <v>273</v>
      </c>
      <c r="K272" s="13" t="s">
        <v>273</v>
      </c>
      <c r="L272" s="13" t="s">
        <v>273</v>
      </c>
      <c r="M272" s="13" t="s">
        <v>273</v>
      </c>
      <c r="N272" s="13" t="s">
        <v>273</v>
      </c>
      <c r="O272" s="13" t="s">
        <v>273</v>
      </c>
      <c r="P272" s="13" t="s">
        <v>273</v>
      </c>
      <c r="Q272" s="13" t="s">
        <v>273</v>
      </c>
      <c r="R272" s="13" t="s">
        <v>273</v>
      </c>
      <c r="S272" s="13" t="s">
        <v>273</v>
      </c>
      <c r="T272" s="13" t="s">
        <v>273</v>
      </c>
      <c r="U272" s="13" t="s">
        <v>273</v>
      </c>
      <c r="V272" s="13" t="s">
        <v>273</v>
      </c>
      <c r="W272" s="13" t="s">
        <v>273</v>
      </c>
      <c r="X272" s="33" t="s">
        <v>273</v>
      </c>
      <c r="Y272" s="34" t="s">
        <v>253</v>
      </c>
      <c r="Z272" s="28" t="s">
        <v>273</v>
      </c>
      <c r="AA272" s="133"/>
      <c r="AB272" s="29" t="s">
        <v>501</v>
      </c>
      <c r="AC272" s="30" t="s">
        <v>510</v>
      </c>
      <c r="AD272" s="29" t="s">
        <v>510</v>
      </c>
      <c r="AE272" s="29"/>
      <c r="AF272" s="29"/>
    </row>
    <row r="273" spans="2:32" x14ac:dyDescent="0.2">
      <c r="B273" s="19" t="s">
        <v>253</v>
      </c>
      <c r="C273" s="20" t="s">
        <v>2005</v>
      </c>
      <c r="D273" s="12" t="s">
        <v>273</v>
      </c>
      <c r="E273" s="12" t="s">
        <v>273</v>
      </c>
      <c r="F273" s="13" t="s">
        <v>273</v>
      </c>
      <c r="G273" s="13" t="s">
        <v>273</v>
      </c>
      <c r="H273" s="13" t="s">
        <v>273</v>
      </c>
      <c r="I273" s="13" t="s">
        <v>273</v>
      </c>
      <c r="J273" s="13" t="s">
        <v>273</v>
      </c>
      <c r="K273" s="13" t="s">
        <v>273</v>
      </c>
      <c r="L273" s="13" t="s">
        <v>273</v>
      </c>
      <c r="M273" s="13" t="s">
        <v>273</v>
      </c>
      <c r="N273" s="13" t="s">
        <v>273</v>
      </c>
      <c r="O273" s="13" t="s">
        <v>273</v>
      </c>
      <c r="P273" s="13" t="s">
        <v>273</v>
      </c>
      <c r="Q273" s="13" t="s">
        <v>273</v>
      </c>
      <c r="R273" s="13" t="s">
        <v>273</v>
      </c>
      <c r="S273" s="13" t="s">
        <v>273</v>
      </c>
      <c r="T273" s="13" t="s">
        <v>273</v>
      </c>
      <c r="U273" s="13" t="s">
        <v>273</v>
      </c>
      <c r="V273" s="13" t="s">
        <v>273</v>
      </c>
      <c r="W273" s="13" t="s">
        <v>273</v>
      </c>
      <c r="X273" s="33" t="s">
        <v>273</v>
      </c>
      <c r="Y273" s="34" t="s">
        <v>253</v>
      </c>
      <c r="Z273" s="28" t="s">
        <v>273</v>
      </c>
      <c r="AA273" s="133"/>
      <c r="AB273" s="29" t="s">
        <v>501</v>
      </c>
      <c r="AC273" s="30" t="s">
        <v>510</v>
      </c>
      <c r="AD273" s="29" t="s">
        <v>510</v>
      </c>
      <c r="AE273" s="29"/>
      <c r="AF273" s="29"/>
    </row>
    <row r="274" spans="2:32" x14ac:dyDescent="0.2">
      <c r="B274" s="19" t="s">
        <v>253</v>
      </c>
      <c r="C274" s="20" t="s">
        <v>2006</v>
      </c>
      <c r="D274" s="12" t="s">
        <v>273</v>
      </c>
      <c r="E274" s="12" t="s">
        <v>273</v>
      </c>
      <c r="F274" s="13" t="s">
        <v>273</v>
      </c>
      <c r="G274" s="13" t="s">
        <v>273</v>
      </c>
      <c r="H274" s="13" t="s">
        <v>273</v>
      </c>
      <c r="I274" s="13" t="s">
        <v>273</v>
      </c>
      <c r="J274" s="13" t="s">
        <v>273</v>
      </c>
      <c r="K274" s="13" t="s">
        <v>273</v>
      </c>
      <c r="L274" s="13" t="s">
        <v>273</v>
      </c>
      <c r="M274" s="13" t="s">
        <v>273</v>
      </c>
      <c r="N274" s="13" t="s">
        <v>273</v>
      </c>
      <c r="O274" s="13" t="s">
        <v>273</v>
      </c>
      <c r="P274" s="13" t="s">
        <v>273</v>
      </c>
      <c r="Q274" s="13" t="s">
        <v>273</v>
      </c>
      <c r="R274" s="13" t="s">
        <v>273</v>
      </c>
      <c r="S274" s="13" t="s">
        <v>273</v>
      </c>
      <c r="T274" s="13" t="s">
        <v>273</v>
      </c>
      <c r="U274" s="13" t="s">
        <v>273</v>
      </c>
      <c r="V274" s="13" t="s">
        <v>273</v>
      </c>
      <c r="W274" s="13" t="s">
        <v>273</v>
      </c>
      <c r="X274" s="33" t="s">
        <v>273</v>
      </c>
      <c r="Y274" s="34" t="s">
        <v>253</v>
      </c>
      <c r="Z274" s="28" t="s">
        <v>273</v>
      </c>
      <c r="AA274" s="133"/>
      <c r="AB274" s="29" t="s">
        <v>501</v>
      </c>
      <c r="AC274" s="30" t="s">
        <v>510</v>
      </c>
      <c r="AD274" s="29" t="s">
        <v>510</v>
      </c>
      <c r="AE274" s="29"/>
      <c r="AF274" s="29"/>
    </row>
    <row r="275" spans="2:32" x14ac:dyDescent="0.2">
      <c r="B275" s="19" t="s">
        <v>253</v>
      </c>
      <c r="C275" s="20" t="s">
        <v>2007</v>
      </c>
      <c r="D275" s="12" t="s">
        <v>273</v>
      </c>
      <c r="E275" s="12" t="s">
        <v>273</v>
      </c>
      <c r="F275" s="13" t="s">
        <v>273</v>
      </c>
      <c r="G275" s="13" t="s">
        <v>273</v>
      </c>
      <c r="H275" s="13" t="s">
        <v>273</v>
      </c>
      <c r="I275" s="13" t="s">
        <v>273</v>
      </c>
      <c r="J275" s="13" t="s">
        <v>273</v>
      </c>
      <c r="K275" s="13" t="s">
        <v>273</v>
      </c>
      <c r="L275" s="13" t="s">
        <v>273</v>
      </c>
      <c r="M275" s="13" t="s">
        <v>273</v>
      </c>
      <c r="N275" s="13" t="s">
        <v>273</v>
      </c>
      <c r="O275" s="13" t="s">
        <v>273</v>
      </c>
      <c r="P275" s="13" t="s">
        <v>273</v>
      </c>
      <c r="Q275" s="13" t="s">
        <v>273</v>
      </c>
      <c r="R275" s="13" t="s">
        <v>273</v>
      </c>
      <c r="S275" s="13" t="s">
        <v>273</v>
      </c>
      <c r="T275" s="13" t="s">
        <v>273</v>
      </c>
      <c r="U275" s="13" t="s">
        <v>273</v>
      </c>
      <c r="V275" s="13" t="s">
        <v>273</v>
      </c>
      <c r="W275" s="13" t="s">
        <v>273</v>
      </c>
      <c r="X275" s="33" t="s">
        <v>273</v>
      </c>
      <c r="Y275" s="34" t="s">
        <v>253</v>
      </c>
      <c r="Z275" s="28" t="s">
        <v>273</v>
      </c>
      <c r="AA275" s="133"/>
      <c r="AB275" s="29" t="s">
        <v>501</v>
      </c>
      <c r="AC275" s="30" t="s">
        <v>510</v>
      </c>
      <c r="AD275" s="29" t="s">
        <v>510</v>
      </c>
      <c r="AE275" s="29"/>
      <c r="AF275" s="29"/>
    </row>
    <row r="276" spans="2:32" x14ac:dyDescent="0.2">
      <c r="B276" s="19" t="s">
        <v>253</v>
      </c>
      <c r="C276" s="20" t="s">
        <v>2008</v>
      </c>
      <c r="D276" s="12" t="s">
        <v>273</v>
      </c>
      <c r="E276" s="12" t="s">
        <v>273</v>
      </c>
      <c r="F276" s="13" t="s">
        <v>273</v>
      </c>
      <c r="G276" s="13" t="s">
        <v>273</v>
      </c>
      <c r="H276" s="13" t="s">
        <v>273</v>
      </c>
      <c r="I276" s="13" t="s">
        <v>273</v>
      </c>
      <c r="J276" s="13" t="s">
        <v>273</v>
      </c>
      <c r="K276" s="13" t="s">
        <v>273</v>
      </c>
      <c r="L276" s="13" t="s">
        <v>273</v>
      </c>
      <c r="M276" s="13" t="s">
        <v>273</v>
      </c>
      <c r="N276" s="13" t="s">
        <v>273</v>
      </c>
      <c r="O276" s="13" t="s">
        <v>273</v>
      </c>
      <c r="P276" s="13" t="s">
        <v>273</v>
      </c>
      <c r="Q276" s="13" t="s">
        <v>273</v>
      </c>
      <c r="R276" s="13" t="s">
        <v>273</v>
      </c>
      <c r="S276" s="13" t="s">
        <v>273</v>
      </c>
      <c r="T276" s="13" t="s">
        <v>273</v>
      </c>
      <c r="U276" s="13" t="s">
        <v>273</v>
      </c>
      <c r="V276" s="13" t="s">
        <v>273</v>
      </c>
      <c r="W276" s="13" t="s">
        <v>273</v>
      </c>
      <c r="X276" s="33" t="s">
        <v>273</v>
      </c>
      <c r="Y276" s="34" t="s">
        <v>253</v>
      </c>
      <c r="Z276" s="28" t="s">
        <v>273</v>
      </c>
      <c r="AA276" s="133"/>
      <c r="AB276" s="29" t="s">
        <v>501</v>
      </c>
      <c r="AC276" s="30" t="s">
        <v>510</v>
      </c>
      <c r="AD276" s="29" t="s">
        <v>510</v>
      </c>
      <c r="AE276" s="29"/>
      <c r="AF276" s="29"/>
    </row>
    <row r="277" spans="2:32" x14ac:dyDescent="0.2">
      <c r="B277" s="23" t="s">
        <v>2009</v>
      </c>
      <c r="C277" s="20" t="s">
        <v>2010</v>
      </c>
      <c r="D277" s="12" t="s">
        <v>273</v>
      </c>
      <c r="E277" s="12" t="s">
        <v>273</v>
      </c>
      <c r="F277" s="12" t="s">
        <v>273</v>
      </c>
      <c r="G277" s="12" t="s">
        <v>273</v>
      </c>
      <c r="H277" s="12" t="s">
        <v>273</v>
      </c>
      <c r="I277" s="12" t="s">
        <v>273</v>
      </c>
      <c r="J277" s="12" t="s">
        <v>273</v>
      </c>
      <c r="K277" s="12" t="s">
        <v>273</v>
      </c>
      <c r="L277" s="12" t="s">
        <v>273</v>
      </c>
      <c r="M277" s="12" t="s">
        <v>273</v>
      </c>
      <c r="N277" s="12" t="s">
        <v>273</v>
      </c>
      <c r="O277" s="12" t="s">
        <v>273</v>
      </c>
      <c r="P277" s="12" t="s">
        <v>273</v>
      </c>
      <c r="Q277" s="12" t="s">
        <v>273</v>
      </c>
      <c r="R277" s="12" t="s">
        <v>273</v>
      </c>
      <c r="S277" s="12" t="s">
        <v>273</v>
      </c>
      <c r="T277" s="12" t="s">
        <v>273</v>
      </c>
      <c r="U277" s="12" t="s">
        <v>273</v>
      </c>
      <c r="V277" s="12" t="s">
        <v>273</v>
      </c>
      <c r="W277" s="12" t="s">
        <v>273</v>
      </c>
      <c r="X277" s="26" t="s">
        <v>273</v>
      </c>
      <c r="Y277" s="38" t="s">
        <v>2009</v>
      </c>
      <c r="Z277" s="28" t="s">
        <v>273</v>
      </c>
      <c r="AA277" s="134"/>
      <c r="AB277" s="36" t="s">
        <v>2070</v>
      </c>
      <c r="AC277" s="30" t="s">
        <v>510</v>
      </c>
      <c r="AD277" s="29" t="s">
        <v>510</v>
      </c>
      <c r="AE277" s="29"/>
      <c r="AF277" s="29"/>
    </row>
    <row r="278" spans="2:32" x14ac:dyDescent="0.2">
      <c r="B278" s="21" t="s">
        <v>1932</v>
      </c>
      <c r="C278" s="20" t="s">
        <v>2011</v>
      </c>
      <c r="D278" s="13" t="s">
        <v>273</v>
      </c>
      <c r="E278" s="13" t="s">
        <v>273</v>
      </c>
      <c r="F278" s="13" t="s">
        <v>273</v>
      </c>
      <c r="G278" s="13" t="s">
        <v>273</v>
      </c>
      <c r="H278" s="13" t="s">
        <v>273</v>
      </c>
      <c r="I278" s="13" t="s">
        <v>273</v>
      </c>
      <c r="J278" s="13" t="s">
        <v>273</v>
      </c>
      <c r="K278" s="13" t="s">
        <v>273</v>
      </c>
      <c r="L278" s="13" t="s">
        <v>273</v>
      </c>
      <c r="M278" s="13" t="s">
        <v>273</v>
      </c>
      <c r="N278" s="13" t="s">
        <v>273</v>
      </c>
      <c r="O278" s="13" t="s">
        <v>273</v>
      </c>
      <c r="P278" s="13" t="s">
        <v>273</v>
      </c>
      <c r="Q278" s="13" t="s">
        <v>273</v>
      </c>
      <c r="R278" s="13" t="s">
        <v>273</v>
      </c>
      <c r="S278" s="13" t="s">
        <v>273</v>
      </c>
      <c r="T278" s="13" t="s">
        <v>273</v>
      </c>
      <c r="U278" s="13" t="s">
        <v>273</v>
      </c>
      <c r="V278" s="13" t="s">
        <v>273</v>
      </c>
      <c r="W278" s="13" t="s">
        <v>273</v>
      </c>
      <c r="X278" s="33" t="s">
        <v>273</v>
      </c>
      <c r="Y278" s="35" t="s">
        <v>1932</v>
      </c>
      <c r="Z278" s="28" t="s">
        <v>273</v>
      </c>
      <c r="AA278" s="134"/>
      <c r="AB278" s="36" t="s">
        <v>2488</v>
      </c>
      <c r="AC278" s="30" t="s">
        <v>510</v>
      </c>
      <c r="AD278" s="29" t="s">
        <v>510</v>
      </c>
      <c r="AE278" s="29"/>
      <c r="AF278" s="29"/>
    </row>
    <row r="279" spans="2:32" x14ac:dyDescent="0.2">
      <c r="B279" s="19" t="s">
        <v>253</v>
      </c>
      <c r="C279" s="20" t="s">
        <v>2012</v>
      </c>
      <c r="D279" s="12" t="s">
        <v>273</v>
      </c>
      <c r="E279" s="12" t="s">
        <v>273</v>
      </c>
      <c r="F279" s="13" t="s">
        <v>273</v>
      </c>
      <c r="G279" s="13" t="s">
        <v>273</v>
      </c>
      <c r="H279" s="13" t="s">
        <v>273</v>
      </c>
      <c r="I279" s="13" t="s">
        <v>273</v>
      </c>
      <c r="J279" s="13" t="s">
        <v>273</v>
      </c>
      <c r="K279" s="13" t="s">
        <v>273</v>
      </c>
      <c r="L279" s="13" t="s">
        <v>273</v>
      </c>
      <c r="M279" s="13" t="s">
        <v>273</v>
      </c>
      <c r="N279" s="13" t="s">
        <v>273</v>
      </c>
      <c r="O279" s="13" t="s">
        <v>273</v>
      </c>
      <c r="P279" s="13" t="s">
        <v>273</v>
      </c>
      <c r="Q279" s="13" t="s">
        <v>273</v>
      </c>
      <c r="R279" s="13" t="s">
        <v>273</v>
      </c>
      <c r="S279" s="13" t="s">
        <v>273</v>
      </c>
      <c r="T279" s="13" t="s">
        <v>273</v>
      </c>
      <c r="U279" s="13" t="s">
        <v>273</v>
      </c>
      <c r="V279" s="13" t="s">
        <v>273</v>
      </c>
      <c r="W279" s="13" t="s">
        <v>273</v>
      </c>
      <c r="X279" s="33" t="s">
        <v>273</v>
      </c>
      <c r="Y279" s="34" t="s">
        <v>253</v>
      </c>
      <c r="Z279" s="28" t="s">
        <v>273</v>
      </c>
      <c r="AA279" s="133"/>
      <c r="AB279" s="29" t="s">
        <v>501</v>
      </c>
      <c r="AC279" s="30" t="s">
        <v>510</v>
      </c>
      <c r="AD279" s="29" t="s">
        <v>510</v>
      </c>
      <c r="AE279" s="29"/>
      <c r="AF279" s="29"/>
    </row>
    <row r="280" spans="2:32" x14ac:dyDescent="0.2">
      <c r="B280" s="21" t="s">
        <v>255</v>
      </c>
      <c r="C280" s="20" t="s">
        <v>2013</v>
      </c>
      <c r="D280" s="12" t="s">
        <v>273</v>
      </c>
      <c r="E280" s="12" t="s">
        <v>273</v>
      </c>
      <c r="F280" s="12" t="s">
        <v>273</v>
      </c>
      <c r="G280" s="12" t="s">
        <v>273</v>
      </c>
      <c r="H280" s="12" t="s">
        <v>273</v>
      </c>
      <c r="I280" s="12" t="s">
        <v>273</v>
      </c>
      <c r="J280" s="12" t="s">
        <v>273</v>
      </c>
      <c r="K280" s="12" t="s">
        <v>273</v>
      </c>
      <c r="L280" s="12" t="s">
        <v>273</v>
      </c>
      <c r="M280" s="12" t="s">
        <v>273</v>
      </c>
      <c r="N280" s="12" t="s">
        <v>273</v>
      </c>
      <c r="O280" s="12" t="s">
        <v>273</v>
      </c>
      <c r="P280" s="12" t="s">
        <v>273</v>
      </c>
      <c r="Q280" s="12" t="s">
        <v>273</v>
      </c>
      <c r="R280" s="12" t="s">
        <v>273</v>
      </c>
      <c r="S280" s="12" t="s">
        <v>273</v>
      </c>
      <c r="T280" s="12" t="s">
        <v>273</v>
      </c>
      <c r="U280" s="12" t="s">
        <v>273</v>
      </c>
      <c r="V280" s="12" t="s">
        <v>273</v>
      </c>
      <c r="W280" s="12" t="s">
        <v>273</v>
      </c>
      <c r="X280" s="26" t="s">
        <v>273</v>
      </c>
      <c r="Y280" s="35" t="s">
        <v>255</v>
      </c>
      <c r="Z280" s="28" t="s">
        <v>273</v>
      </c>
      <c r="AA280" s="134"/>
      <c r="AB280" s="36" t="s">
        <v>2071</v>
      </c>
      <c r="AC280" s="30" t="s">
        <v>510</v>
      </c>
      <c r="AD280" s="29" t="s">
        <v>510</v>
      </c>
      <c r="AE280" s="29"/>
      <c r="AF280" s="29"/>
    </row>
    <row r="281" spans="2:32" x14ac:dyDescent="0.2">
      <c r="B281" s="19" t="s">
        <v>253</v>
      </c>
      <c r="C281" s="20" t="s">
        <v>2014</v>
      </c>
      <c r="D281" s="12" t="s">
        <v>273</v>
      </c>
      <c r="E281" s="12" t="s">
        <v>273</v>
      </c>
      <c r="F281" s="13" t="s">
        <v>273</v>
      </c>
      <c r="G281" s="13" t="s">
        <v>273</v>
      </c>
      <c r="H281" s="13" t="s">
        <v>273</v>
      </c>
      <c r="I281" s="13" t="s">
        <v>273</v>
      </c>
      <c r="J281" s="13" t="s">
        <v>273</v>
      </c>
      <c r="K281" s="13" t="s">
        <v>273</v>
      </c>
      <c r="L281" s="13" t="s">
        <v>273</v>
      </c>
      <c r="M281" s="13" t="s">
        <v>273</v>
      </c>
      <c r="N281" s="13" t="s">
        <v>273</v>
      </c>
      <c r="O281" s="13" t="s">
        <v>273</v>
      </c>
      <c r="P281" s="13" t="s">
        <v>273</v>
      </c>
      <c r="Q281" s="13" t="s">
        <v>273</v>
      </c>
      <c r="R281" s="13" t="s">
        <v>273</v>
      </c>
      <c r="S281" s="13" t="s">
        <v>273</v>
      </c>
      <c r="T281" s="13" t="s">
        <v>273</v>
      </c>
      <c r="U281" s="13" t="s">
        <v>273</v>
      </c>
      <c r="V281" s="13" t="s">
        <v>273</v>
      </c>
      <c r="W281" s="13" t="s">
        <v>273</v>
      </c>
      <c r="X281" s="33" t="s">
        <v>273</v>
      </c>
      <c r="Y281" s="34" t="s">
        <v>253</v>
      </c>
      <c r="Z281" s="28" t="s">
        <v>273</v>
      </c>
      <c r="AA281" s="133"/>
      <c r="AB281" s="29" t="s">
        <v>501</v>
      </c>
      <c r="AC281" s="30" t="s">
        <v>510</v>
      </c>
      <c r="AD281" s="29" t="s">
        <v>510</v>
      </c>
      <c r="AE281" s="29"/>
      <c r="AF281" s="29"/>
    </row>
    <row r="282" spans="2:32" x14ac:dyDescent="0.2">
      <c r="B282" s="19" t="s">
        <v>253</v>
      </c>
      <c r="C282" s="20" t="s">
        <v>2015</v>
      </c>
      <c r="D282" s="12" t="s">
        <v>273</v>
      </c>
      <c r="E282" s="12" t="s">
        <v>273</v>
      </c>
      <c r="F282" s="13" t="s">
        <v>273</v>
      </c>
      <c r="G282" s="13" t="s">
        <v>273</v>
      </c>
      <c r="H282" s="13" t="s">
        <v>273</v>
      </c>
      <c r="I282" s="13" t="s">
        <v>273</v>
      </c>
      <c r="J282" s="13" t="s">
        <v>273</v>
      </c>
      <c r="K282" s="13" t="s">
        <v>273</v>
      </c>
      <c r="L282" s="13" t="s">
        <v>273</v>
      </c>
      <c r="M282" s="13" t="s">
        <v>273</v>
      </c>
      <c r="N282" s="13" t="s">
        <v>273</v>
      </c>
      <c r="O282" s="13" t="s">
        <v>273</v>
      </c>
      <c r="P282" s="13" t="s">
        <v>273</v>
      </c>
      <c r="Q282" s="13" t="s">
        <v>273</v>
      </c>
      <c r="R282" s="13" t="s">
        <v>273</v>
      </c>
      <c r="S282" s="13" t="s">
        <v>273</v>
      </c>
      <c r="T282" s="13" t="s">
        <v>273</v>
      </c>
      <c r="U282" s="13" t="s">
        <v>273</v>
      </c>
      <c r="V282" s="13" t="s">
        <v>273</v>
      </c>
      <c r="W282" s="13" t="s">
        <v>273</v>
      </c>
      <c r="X282" s="33" t="s">
        <v>273</v>
      </c>
      <c r="Y282" s="34" t="s">
        <v>253</v>
      </c>
      <c r="Z282" s="28" t="s">
        <v>273</v>
      </c>
      <c r="AA282" s="133"/>
      <c r="AB282" s="29" t="s">
        <v>501</v>
      </c>
      <c r="AC282" s="30" t="s">
        <v>510</v>
      </c>
      <c r="AD282" s="29" t="s">
        <v>510</v>
      </c>
      <c r="AE282" s="29"/>
      <c r="AF282" s="29"/>
    </row>
    <row r="283" spans="2:32" x14ac:dyDescent="0.2">
      <c r="B283" s="19" t="s">
        <v>253</v>
      </c>
      <c r="C283" s="20" t="s">
        <v>2016</v>
      </c>
      <c r="D283" s="12" t="s">
        <v>273</v>
      </c>
      <c r="E283" s="12" t="s">
        <v>273</v>
      </c>
      <c r="F283" s="13" t="s">
        <v>273</v>
      </c>
      <c r="G283" s="13" t="s">
        <v>273</v>
      </c>
      <c r="H283" s="13" t="s">
        <v>273</v>
      </c>
      <c r="I283" s="13" t="s">
        <v>273</v>
      </c>
      <c r="J283" s="13" t="s">
        <v>273</v>
      </c>
      <c r="K283" s="13" t="s">
        <v>273</v>
      </c>
      <c r="L283" s="13" t="s">
        <v>273</v>
      </c>
      <c r="M283" s="13" t="s">
        <v>273</v>
      </c>
      <c r="N283" s="13" t="s">
        <v>273</v>
      </c>
      <c r="O283" s="13" t="s">
        <v>273</v>
      </c>
      <c r="P283" s="13" t="s">
        <v>273</v>
      </c>
      <c r="Q283" s="13" t="s">
        <v>273</v>
      </c>
      <c r="R283" s="13" t="s">
        <v>273</v>
      </c>
      <c r="S283" s="13" t="s">
        <v>273</v>
      </c>
      <c r="T283" s="13" t="s">
        <v>273</v>
      </c>
      <c r="U283" s="13" t="s">
        <v>273</v>
      </c>
      <c r="V283" s="13" t="s">
        <v>273</v>
      </c>
      <c r="W283" s="13" t="s">
        <v>273</v>
      </c>
      <c r="X283" s="33" t="s">
        <v>273</v>
      </c>
      <c r="Y283" s="34" t="s">
        <v>253</v>
      </c>
      <c r="Z283" s="28" t="s">
        <v>273</v>
      </c>
      <c r="AA283" s="133"/>
      <c r="AB283" s="29" t="s">
        <v>501</v>
      </c>
      <c r="AC283" s="30" t="s">
        <v>510</v>
      </c>
      <c r="AD283" s="29" t="s">
        <v>510</v>
      </c>
      <c r="AE283" s="29"/>
      <c r="AF283" s="29"/>
    </row>
    <row r="284" spans="2:32" x14ac:dyDescent="0.2">
      <c r="B284" s="19" t="s">
        <v>253</v>
      </c>
      <c r="C284" s="20" t="s">
        <v>2017</v>
      </c>
      <c r="D284" s="12" t="s">
        <v>273</v>
      </c>
      <c r="E284" s="12" t="s">
        <v>273</v>
      </c>
      <c r="F284" s="13" t="s">
        <v>273</v>
      </c>
      <c r="G284" s="13" t="s">
        <v>273</v>
      </c>
      <c r="H284" s="13" t="s">
        <v>273</v>
      </c>
      <c r="I284" s="13" t="s">
        <v>273</v>
      </c>
      <c r="J284" s="13" t="s">
        <v>273</v>
      </c>
      <c r="K284" s="13" t="s">
        <v>273</v>
      </c>
      <c r="L284" s="13" t="s">
        <v>273</v>
      </c>
      <c r="M284" s="13" t="s">
        <v>273</v>
      </c>
      <c r="N284" s="13" t="s">
        <v>273</v>
      </c>
      <c r="O284" s="13" t="s">
        <v>273</v>
      </c>
      <c r="P284" s="13" t="s">
        <v>273</v>
      </c>
      <c r="Q284" s="13" t="s">
        <v>273</v>
      </c>
      <c r="R284" s="13" t="s">
        <v>273</v>
      </c>
      <c r="S284" s="13" t="s">
        <v>273</v>
      </c>
      <c r="T284" s="13" t="s">
        <v>273</v>
      </c>
      <c r="U284" s="13" t="s">
        <v>273</v>
      </c>
      <c r="V284" s="13" t="s">
        <v>273</v>
      </c>
      <c r="W284" s="13" t="s">
        <v>273</v>
      </c>
      <c r="X284" s="33" t="s">
        <v>273</v>
      </c>
      <c r="Y284" s="34" t="s">
        <v>253</v>
      </c>
      <c r="Z284" s="28" t="s">
        <v>273</v>
      </c>
      <c r="AA284" s="133"/>
      <c r="AB284" s="29" t="s">
        <v>501</v>
      </c>
      <c r="AC284" s="30" t="s">
        <v>510</v>
      </c>
      <c r="AD284" s="29" t="s">
        <v>510</v>
      </c>
      <c r="AE284" s="29"/>
      <c r="AF284" s="29"/>
    </row>
    <row r="285" spans="2:32" x14ac:dyDescent="0.2">
      <c r="B285" s="19" t="s">
        <v>253</v>
      </c>
      <c r="C285" s="20" t="s">
        <v>2018</v>
      </c>
      <c r="D285" s="12" t="s">
        <v>273</v>
      </c>
      <c r="E285" s="12" t="s">
        <v>273</v>
      </c>
      <c r="F285" s="13" t="s">
        <v>273</v>
      </c>
      <c r="G285" s="13" t="s">
        <v>273</v>
      </c>
      <c r="H285" s="13" t="s">
        <v>273</v>
      </c>
      <c r="I285" s="13" t="s">
        <v>273</v>
      </c>
      <c r="J285" s="13" t="s">
        <v>273</v>
      </c>
      <c r="K285" s="13" t="s">
        <v>273</v>
      </c>
      <c r="L285" s="13" t="s">
        <v>273</v>
      </c>
      <c r="M285" s="13" t="s">
        <v>273</v>
      </c>
      <c r="N285" s="13" t="s">
        <v>273</v>
      </c>
      <c r="O285" s="13" t="s">
        <v>273</v>
      </c>
      <c r="P285" s="13" t="s">
        <v>273</v>
      </c>
      <c r="Q285" s="13" t="s">
        <v>273</v>
      </c>
      <c r="R285" s="13" t="s">
        <v>273</v>
      </c>
      <c r="S285" s="13" t="s">
        <v>273</v>
      </c>
      <c r="T285" s="13" t="s">
        <v>273</v>
      </c>
      <c r="U285" s="13" t="s">
        <v>273</v>
      </c>
      <c r="V285" s="13" t="s">
        <v>273</v>
      </c>
      <c r="W285" s="13" t="s">
        <v>273</v>
      </c>
      <c r="X285" s="33" t="s">
        <v>273</v>
      </c>
      <c r="Y285" s="34" t="s">
        <v>253</v>
      </c>
      <c r="Z285" s="28" t="s">
        <v>273</v>
      </c>
      <c r="AA285" s="133"/>
      <c r="AB285" s="29" t="s">
        <v>501</v>
      </c>
      <c r="AC285" s="30" t="s">
        <v>510</v>
      </c>
      <c r="AD285" s="29" t="s">
        <v>510</v>
      </c>
      <c r="AE285" s="29"/>
      <c r="AF285" s="29"/>
    </row>
    <row r="286" spans="2:32" x14ac:dyDescent="0.2">
      <c r="B286" s="23" t="s">
        <v>2009</v>
      </c>
      <c r="C286" s="20" t="s">
        <v>2019</v>
      </c>
      <c r="D286" s="12" t="s">
        <v>273</v>
      </c>
      <c r="E286" s="12" t="s">
        <v>273</v>
      </c>
      <c r="F286" s="12" t="s">
        <v>273</v>
      </c>
      <c r="G286" s="12" t="s">
        <v>273</v>
      </c>
      <c r="H286" s="12" t="s">
        <v>273</v>
      </c>
      <c r="I286" s="12" t="s">
        <v>273</v>
      </c>
      <c r="J286" s="12" t="s">
        <v>273</v>
      </c>
      <c r="K286" s="12" t="s">
        <v>273</v>
      </c>
      <c r="L286" s="12" t="s">
        <v>273</v>
      </c>
      <c r="M286" s="12" t="s">
        <v>273</v>
      </c>
      <c r="N286" s="12" t="s">
        <v>273</v>
      </c>
      <c r="O286" s="12" t="s">
        <v>273</v>
      </c>
      <c r="P286" s="12" t="s">
        <v>273</v>
      </c>
      <c r="Q286" s="12" t="s">
        <v>273</v>
      </c>
      <c r="R286" s="12" t="s">
        <v>273</v>
      </c>
      <c r="S286" s="12" t="s">
        <v>273</v>
      </c>
      <c r="T286" s="12" t="s">
        <v>273</v>
      </c>
      <c r="U286" s="12" t="s">
        <v>273</v>
      </c>
      <c r="V286" s="12" t="s">
        <v>273</v>
      </c>
      <c r="W286" s="12" t="s">
        <v>273</v>
      </c>
      <c r="X286" s="26" t="s">
        <v>273</v>
      </c>
      <c r="Y286" s="38" t="s">
        <v>2009</v>
      </c>
      <c r="Z286" s="28" t="s">
        <v>273</v>
      </c>
      <c r="AA286" s="134"/>
      <c r="AB286" s="36" t="s">
        <v>2070</v>
      </c>
      <c r="AC286" s="30" t="s">
        <v>510</v>
      </c>
      <c r="AD286" s="29" t="s">
        <v>510</v>
      </c>
      <c r="AE286" s="29"/>
      <c r="AF286" s="29"/>
    </row>
    <row r="287" spans="2:32" x14ac:dyDescent="0.2">
      <c r="B287" s="21" t="s">
        <v>1932</v>
      </c>
      <c r="C287" s="20" t="s">
        <v>2020</v>
      </c>
      <c r="D287" s="13" t="s">
        <v>273</v>
      </c>
      <c r="E287" s="13" t="s">
        <v>273</v>
      </c>
      <c r="F287" s="13" t="s">
        <v>273</v>
      </c>
      <c r="G287" s="13" t="s">
        <v>273</v>
      </c>
      <c r="H287" s="13" t="s">
        <v>273</v>
      </c>
      <c r="I287" s="13" t="s">
        <v>273</v>
      </c>
      <c r="J287" s="13" t="s">
        <v>273</v>
      </c>
      <c r="K287" s="13" t="s">
        <v>273</v>
      </c>
      <c r="L287" s="13" t="s">
        <v>273</v>
      </c>
      <c r="M287" s="13" t="s">
        <v>273</v>
      </c>
      <c r="N287" s="13" t="s">
        <v>273</v>
      </c>
      <c r="O287" s="13" t="s">
        <v>273</v>
      </c>
      <c r="P287" s="13" t="s">
        <v>273</v>
      </c>
      <c r="Q287" s="13" t="s">
        <v>273</v>
      </c>
      <c r="R287" s="13" t="s">
        <v>273</v>
      </c>
      <c r="S287" s="13" t="s">
        <v>273</v>
      </c>
      <c r="T287" s="13" t="s">
        <v>273</v>
      </c>
      <c r="U287" s="13" t="s">
        <v>273</v>
      </c>
      <c r="V287" s="13" t="s">
        <v>273</v>
      </c>
      <c r="W287" s="13" t="s">
        <v>273</v>
      </c>
      <c r="X287" s="33" t="s">
        <v>273</v>
      </c>
      <c r="Y287" s="35" t="s">
        <v>1932</v>
      </c>
      <c r="Z287" s="28" t="s">
        <v>273</v>
      </c>
      <c r="AA287" s="134"/>
      <c r="AB287" s="36" t="s">
        <v>2072</v>
      </c>
      <c r="AC287" s="30" t="s">
        <v>510</v>
      </c>
      <c r="AD287" s="29" t="s">
        <v>510</v>
      </c>
      <c r="AE287" s="29"/>
      <c r="AF287" s="29"/>
    </row>
    <row r="288" spans="2:32" x14ac:dyDescent="0.2">
      <c r="B288" s="21" t="s">
        <v>255</v>
      </c>
      <c r="C288" s="20" t="s">
        <v>2021</v>
      </c>
      <c r="D288" s="12" t="s">
        <v>273</v>
      </c>
      <c r="E288" s="12" t="s">
        <v>273</v>
      </c>
      <c r="F288" s="12" t="s">
        <v>273</v>
      </c>
      <c r="G288" s="12" t="s">
        <v>273</v>
      </c>
      <c r="H288" s="12" t="s">
        <v>273</v>
      </c>
      <c r="I288" s="12" t="s">
        <v>273</v>
      </c>
      <c r="J288" s="12" t="s">
        <v>273</v>
      </c>
      <c r="K288" s="12" t="s">
        <v>273</v>
      </c>
      <c r="L288" s="12" t="s">
        <v>273</v>
      </c>
      <c r="M288" s="12" t="s">
        <v>273</v>
      </c>
      <c r="N288" s="12" t="s">
        <v>273</v>
      </c>
      <c r="O288" s="12" t="s">
        <v>273</v>
      </c>
      <c r="P288" s="12" t="s">
        <v>273</v>
      </c>
      <c r="Q288" s="12" t="s">
        <v>273</v>
      </c>
      <c r="R288" s="12" t="s">
        <v>273</v>
      </c>
      <c r="S288" s="12" t="s">
        <v>273</v>
      </c>
      <c r="T288" s="12" t="s">
        <v>273</v>
      </c>
      <c r="U288" s="12" t="s">
        <v>273</v>
      </c>
      <c r="V288" s="12" t="s">
        <v>273</v>
      </c>
      <c r="W288" s="12" t="s">
        <v>273</v>
      </c>
      <c r="X288" s="26" t="s">
        <v>273</v>
      </c>
      <c r="Y288" s="35" t="s">
        <v>255</v>
      </c>
      <c r="Z288" s="28" t="s">
        <v>273</v>
      </c>
      <c r="AA288" s="134"/>
      <c r="AB288" s="36" t="s">
        <v>2071</v>
      </c>
      <c r="AC288" s="30" t="s">
        <v>510</v>
      </c>
      <c r="AD288" s="29" t="s">
        <v>510</v>
      </c>
      <c r="AE288" s="29"/>
      <c r="AF288" s="29"/>
    </row>
    <row r="289" spans="2:32" x14ac:dyDescent="0.2">
      <c r="B289" s="19" t="s">
        <v>253</v>
      </c>
      <c r="C289" s="20" t="s">
        <v>2022</v>
      </c>
      <c r="D289" s="12" t="s">
        <v>273</v>
      </c>
      <c r="E289" s="12" t="s">
        <v>273</v>
      </c>
      <c r="F289" s="13" t="s">
        <v>273</v>
      </c>
      <c r="G289" s="13" t="s">
        <v>273</v>
      </c>
      <c r="H289" s="13" t="s">
        <v>273</v>
      </c>
      <c r="I289" s="13" t="s">
        <v>273</v>
      </c>
      <c r="J289" s="13" t="s">
        <v>273</v>
      </c>
      <c r="K289" s="13" t="s">
        <v>273</v>
      </c>
      <c r="L289" s="13" t="s">
        <v>273</v>
      </c>
      <c r="M289" s="13" t="s">
        <v>273</v>
      </c>
      <c r="N289" s="13" t="s">
        <v>273</v>
      </c>
      <c r="O289" s="13" t="s">
        <v>273</v>
      </c>
      <c r="P289" s="13" t="s">
        <v>273</v>
      </c>
      <c r="Q289" s="13" t="s">
        <v>273</v>
      </c>
      <c r="R289" s="13" t="s">
        <v>273</v>
      </c>
      <c r="S289" s="13" t="s">
        <v>273</v>
      </c>
      <c r="T289" s="13" t="s">
        <v>273</v>
      </c>
      <c r="U289" s="13" t="s">
        <v>273</v>
      </c>
      <c r="V289" s="13" t="s">
        <v>273</v>
      </c>
      <c r="W289" s="13" t="s">
        <v>273</v>
      </c>
      <c r="X289" s="33" t="s">
        <v>273</v>
      </c>
      <c r="Y289" s="34" t="s">
        <v>253</v>
      </c>
      <c r="Z289" s="28" t="s">
        <v>273</v>
      </c>
      <c r="AA289" s="133"/>
      <c r="AB289" s="29" t="s">
        <v>501</v>
      </c>
      <c r="AC289" s="30" t="s">
        <v>510</v>
      </c>
      <c r="AD289" s="29" t="s">
        <v>510</v>
      </c>
      <c r="AE289" s="29"/>
      <c r="AF289" s="29"/>
    </row>
    <row r="290" spans="2:32" x14ac:dyDescent="0.2">
      <c r="B290" s="19" t="s">
        <v>253</v>
      </c>
      <c r="C290" s="20" t="s">
        <v>2023</v>
      </c>
      <c r="D290" s="12" t="s">
        <v>273</v>
      </c>
      <c r="E290" s="12" t="s">
        <v>273</v>
      </c>
      <c r="F290" s="13" t="s">
        <v>273</v>
      </c>
      <c r="G290" s="13" t="s">
        <v>273</v>
      </c>
      <c r="H290" s="13" t="s">
        <v>273</v>
      </c>
      <c r="I290" s="13" t="s">
        <v>273</v>
      </c>
      <c r="J290" s="13" t="s">
        <v>273</v>
      </c>
      <c r="K290" s="13" t="s">
        <v>273</v>
      </c>
      <c r="L290" s="13" t="s">
        <v>273</v>
      </c>
      <c r="M290" s="13" t="s">
        <v>273</v>
      </c>
      <c r="N290" s="13" t="s">
        <v>273</v>
      </c>
      <c r="O290" s="13" t="s">
        <v>273</v>
      </c>
      <c r="P290" s="13" t="s">
        <v>273</v>
      </c>
      <c r="Q290" s="13" t="s">
        <v>273</v>
      </c>
      <c r="R290" s="13" t="s">
        <v>273</v>
      </c>
      <c r="S290" s="13" t="s">
        <v>273</v>
      </c>
      <c r="T290" s="13" t="s">
        <v>273</v>
      </c>
      <c r="U290" s="13" t="s">
        <v>273</v>
      </c>
      <c r="V290" s="13" t="s">
        <v>273</v>
      </c>
      <c r="W290" s="13" t="s">
        <v>273</v>
      </c>
      <c r="X290" s="33" t="s">
        <v>273</v>
      </c>
      <c r="Y290" s="34" t="s">
        <v>253</v>
      </c>
      <c r="Z290" s="28" t="s">
        <v>273</v>
      </c>
      <c r="AA290" s="133"/>
      <c r="AB290" s="29" t="s">
        <v>501</v>
      </c>
      <c r="AC290" s="30" t="s">
        <v>510</v>
      </c>
      <c r="AD290" s="29" t="s">
        <v>510</v>
      </c>
      <c r="AE290" s="29"/>
      <c r="AF290" s="29"/>
    </row>
    <row r="291" spans="2:32" x14ac:dyDescent="0.2">
      <c r="B291" s="19" t="s">
        <v>253</v>
      </c>
      <c r="C291" s="20" t="s">
        <v>2024</v>
      </c>
      <c r="D291" s="12" t="s">
        <v>273</v>
      </c>
      <c r="E291" s="12" t="s">
        <v>273</v>
      </c>
      <c r="F291" s="13" t="s">
        <v>273</v>
      </c>
      <c r="G291" s="13" t="s">
        <v>273</v>
      </c>
      <c r="H291" s="13" t="s">
        <v>273</v>
      </c>
      <c r="I291" s="13" t="s">
        <v>273</v>
      </c>
      <c r="J291" s="13" t="s">
        <v>273</v>
      </c>
      <c r="K291" s="13" t="s">
        <v>273</v>
      </c>
      <c r="L291" s="13" t="s">
        <v>273</v>
      </c>
      <c r="M291" s="13" t="s">
        <v>273</v>
      </c>
      <c r="N291" s="13" t="s">
        <v>273</v>
      </c>
      <c r="O291" s="13" t="s">
        <v>273</v>
      </c>
      <c r="P291" s="13" t="s">
        <v>273</v>
      </c>
      <c r="Q291" s="13" t="s">
        <v>273</v>
      </c>
      <c r="R291" s="13" t="s">
        <v>273</v>
      </c>
      <c r="S291" s="13" t="s">
        <v>273</v>
      </c>
      <c r="T291" s="13" t="s">
        <v>273</v>
      </c>
      <c r="U291" s="13" t="s">
        <v>273</v>
      </c>
      <c r="V291" s="13" t="s">
        <v>273</v>
      </c>
      <c r="W291" s="13" t="s">
        <v>273</v>
      </c>
      <c r="X291" s="33" t="s">
        <v>273</v>
      </c>
      <c r="Y291" s="34" t="s">
        <v>253</v>
      </c>
      <c r="Z291" s="28" t="s">
        <v>273</v>
      </c>
      <c r="AA291" s="133"/>
      <c r="AB291" s="29" t="s">
        <v>501</v>
      </c>
      <c r="AC291" s="30" t="s">
        <v>510</v>
      </c>
      <c r="AD291" s="29" t="s">
        <v>510</v>
      </c>
      <c r="AE291" s="29"/>
      <c r="AF291" s="29"/>
    </row>
    <row r="292" spans="2:32" x14ac:dyDescent="0.2">
      <c r="B292" s="19" t="s">
        <v>253</v>
      </c>
      <c r="C292" s="20" t="s">
        <v>2025</v>
      </c>
      <c r="D292" s="12" t="s">
        <v>273</v>
      </c>
      <c r="E292" s="12" t="s">
        <v>273</v>
      </c>
      <c r="F292" s="13" t="s">
        <v>273</v>
      </c>
      <c r="G292" s="13" t="s">
        <v>273</v>
      </c>
      <c r="H292" s="13" t="s">
        <v>273</v>
      </c>
      <c r="I292" s="13" t="s">
        <v>273</v>
      </c>
      <c r="J292" s="13" t="s">
        <v>273</v>
      </c>
      <c r="K292" s="13" t="s">
        <v>273</v>
      </c>
      <c r="L292" s="13" t="s">
        <v>273</v>
      </c>
      <c r="M292" s="13" t="s">
        <v>273</v>
      </c>
      <c r="N292" s="13" t="s">
        <v>273</v>
      </c>
      <c r="O292" s="13" t="s">
        <v>273</v>
      </c>
      <c r="P292" s="13" t="s">
        <v>273</v>
      </c>
      <c r="Q292" s="13" t="s">
        <v>273</v>
      </c>
      <c r="R292" s="13" t="s">
        <v>273</v>
      </c>
      <c r="S292" s="13" t="s">
        <v>273</v>
      </c>
      <c r="T292" s="13" t="s">
        <v>273</v>
      </c>
      <c r="U292" s="13" t="s">
        <v>273</v>
      </c>
      <c r="V292" s="13" t="s">
        <v>273</v>
      </c>
      <c r="W292" s="13" t="s">
        <v>273</v>
      </c>
      <c r="X292" s="33" t="s">
        <v>273</v>
      </c>
      <c r="Y292" s="34" t="s">
        <v>253</v>
      </c>
      <c r="Z292" s="28" t="s">
        <v>273</v>
      </c>
      <c r="AA292" s="133"/>
      <c r="AB292" s="29" t="s">
        <v>501</v>
      </c>
      <c r="AC292" s="30" t="s">
        <v>510</v>
      </c>
      <c r="AD292" s="29" t="s">
        <v>510</v>
      </c>
      <c r="AE292" s="29"/>
      <c r="AF292" s="29"/>
    </row>
    <row r="293" spans="2:32" x14ac:dyDescent="0.2">
      <c r="B293" s="19" t="s">
        <v>253</v>
      </c>
      <c r="C293" s="20" t="s">
        <v>2026</v>
      </c>
      <c r="D293" s="12" t="s">
        <v>273</v>
      </c>
      <c r="E293" s="12" t="s">
        <v>273</v>
      </c>
      <c r="F293" s="13" t="s">
        <v>273</v>
      </c>
      <c r="G293" s="13" t="s">
        <v>273</v>
      </c>
      <c r="H293" s="13" t="s">
        <v>273</v>
      </c>
      <c r="I293" s="13" t="s">
        <v>273</v>
      </c>
      <c r="J293" s="13" t="s">
        <v>273</v>
      </c>
      <c r="K293" s="13" t="s">
        <v>273</v>
      </c>
      <c r="L293" s="13" t="s">
        <v>273</v>
      </c>
      <c r="M293" s="13" t="s">
        <v>273</v>
      </c>
      <c r="N293" s="13" t="s">
        <v>273</v>
      </c>
      <c r="O293" s="13" t="s">
        <v>273</v>
      </c>
      <c r="P293" s="13" t="s">
        <v>273</v>
      </c>
      <c r="Q293" s="13" t="s">
        <v>273</v>
      </c>
      <c r="R293" s="13" t="s">
        <v>273</v>
      </c>
      <c r="S293" s="13" t="s">
        <v>273</v>
      </c>
      <c r="T293" s="13" t="s">
        <v>273</v>
      </c>
      <c r="U293" s="13" t="s">
        <v>273</v>
      </c>
      <c r="V293" s="13" t="s">
        <v>273</v>
      </c>
      <c r="W293" s="13" t="s">
        <v>273</v>
      </c>
      <c r="X293" s="33" t="s">
        <v>273</v>
      </c>
      <c r="Y293" s="34" t="s">
        <v>253</v>
      </c>
      <c r="Z293" s="28" t="s">
        <v>273</v>
      </c>
      <c r="AA293" s="133"/>
      <c r="AB293" s="29" t="s">
        <v>501</v>
      </c>
      <c r="AC293" s="30" t="s">
        <v>510</v>
      </c>
      <c r="AD293" s="29" t="s">
        <v>510</v>
      </c>
      <c r="AE293" s="29"/>
      <c r="AF293" s="29"/>
    </row>
    <row r="294" spans="2:32" x14ac:dyDescent="0.2">
      <c r="B294" s="23" t="s">
        <v>2009</v>
      </c>
      <c r="C294" s="20" t="s">
        <v>2027</v>
      </c>
      <c r="D294" s="12" t="s">
        <v>273</v>
      </c>
      <c r="E294" s="12" t="s">
        <v>273</v>
      </c>
      <c r="F294" s="12" t="s">
        <v>273</v>
      </c>
      <c r="G294" s="12" t="s">
        <v>273</v>
      </c>
      <c r="H294" s="12" t="s">
        <v>273</v>
      </c>
      <c r="I294" s="12" t="s">
        <v>273</v>
      </c>
      <c r="J294" s="12" t="s">
        <v>273</v>
      </c>
      <c r="K294" s="12" t="s">
        <v>273</v>
      </c>
      <c r="L294" s="12" t="s">
        <v>273</v>
      </c>
      <c r="M294" s="12" t="s">
        <v>273</v>
      </c>
      <c r="N294" s="12" t="s">
        <v>273</v>
      </c>
      <c r="O294" s="12" t="s">
        <v>273</v>
      </c>
      <c r="P294" s="12" t="s">
        <v>273</v>
      </c>
      <c r="Q294" s="12" t="s">
        <v>273</v>
      </c>
      <c r="R294" s="12" t="s">
        <v>273</v>
      </c>
      <c r="S294" s="12" t="s">
        <v>273</v>
      </c>
      <c r="T294" s="12" t="s">
        <v>273</v>
      </c>
      <c r="U294" s="12" t="s">
        <v>273</v>
      </c>
      <c r="V294" s="12" t="s">
        <v>273</v>
      </c>
      <c r="W294" s="12" t="s">
        <v>273</v>
      </c>
      <c r="X294" s="26" t="s">
        <v>273</v>
      </c>
      <c r="Y294" s="38" t="s">
        <v>2009</v>
      </c>
      <c r="Z294" s="28" t="s">
        <v>273</v>
      </c>
      <c r="AA294" s="134"/>
      <c r="AB294" s="36" t="s">
        <v>2070</v>
      </c>
      <c r="AC294" s="30" t="s">
        <v>510</v>
      </c>
      <c r="AD294" s="29" t="s">
        <v>510</v>
      </c>
      <c r="AE294" s="29"/>
      <c r="AF294" s="29"/>
    </row>
    <row r="295" spans="2:32" x14ac:dyDescent="0.2">
      <c r="B295" s="21" t="s">
        <v>1932</v>
      </c>
      <c r="C295" s="20" t="s">
        <v>2028</v>
      </c>
      <c r="D295" s="13" t="s">
        <v>273</v>
      </c>
      <c r="E295" s="13" t="s">
        <v>273</v>
      </c>
      <c r="F295" s="13" t="s">
        <v>273</v>
      </c>
      <c r="G295" s="13" t="s">
        <v>273</v>
      </c>
      <c r="H295" s="13" t="s">
        <v>273</v>
      </c>
      <c r="I295" s="13" t="s">
        <v>273</v>
      </c>
      <c r="J295" s="13" t="s">
        <v>273</v>
      </c>
      <c r="K295" s="13" t="s">
        <v>273</v>
      </c>
      <c r="L295" s="13" t="s">
        <v>273</v>
      </c>
      <c r="M295" s="13" t="s">
        <v>273</v>
      </c>
      <c r="N295" s="13" t="s">
        <v>273</v>
      </c>
      <c r="O295" s="13" t="s">
        <v>273</v>
      </c>
      <c r="P295" s="13" t="s">
        <v>273</v>
      </c>
      <c r="Q295" s="13" t="s">
        <v>273</v>
      </c>
      <c r="R295" s="13" t="s">
        <v>273</v>
      </c>
      <c r="S295" s="13" t="s">
        <v>273</v>
      </c>
      <c r="T295" s="13" t="s">
        <v>273</v>
      </c>
      <c r="U295" s="13" t="s">
        <v>273</v>
      </c>
      <c r="V295" s="13" t="s">
        <v>273</v>
      </c>
      <c r="W295" s="13" t="s">
        <v>273</v>
      </c>
      <c r="X295" s="33" t="s">
        <v>273</v>
      </c>
      <c r="Y295" s="35" t="s">
        <v>1932</v>
      </c>
      <c r="Z295" s="28" t="s">
        <v>273</v>
      </c>
      <c r="AA295" s="134"/>
      <c r="AB295" s="36" t="s">
        <v>2072</v>
      </c>
      <c r="AC295" s="30" t="s">
        <v>510</v>
      </c>
      <c r="AD295" s="29" t="s">
        <v>510</v>
      </c>
      <c r="AE295" s="29"/>
      <c r="AF295" s="29"/>
    </row>
    <row r="296" spans="2:32" x14ac:dyDescent="0.2">
      <c r="B296" s="21" t="s">
        <v>255</v>
      </c>
      <c r="C296" s="20" t="s">
        <v>2029</v>
      </c>
      <c r="D296" s="12" t="s">
        <v>273</v>
      </c>
      <c r="E296" s="12" t="s">
        <v>273</v>
      </c>
      <c r="F296" s="12" t="s">
        <v>273</v>
      </c>
      <c r="G296" s="12" t="s">
        <v>273</v>
      </c>
      <c r="H296" s="12" t="s">
        <v>273</v>
      </c>
      <c r="I296" s="12" t="s">
        <v>273</v>
      </c>
      <c r="J296" s="12" t="s">
        <v>273</v>
      </c>
      <c r="K296" s="12" t="s">
        <v>273</v>
      </c>
      <c r="L296" s="12" t="s">
        <v>273</v>
      </c>
      <c r="M296" s="12" t="s">
        <v>273</v>
      </c>
      <c r="N296" s="12" t="s">
        <v>273</v>
      </c>
      <c r="O296" s="12" t="s">
        <v>273</v>
      </c>
      <c r="P296" s="12" t="s">
        <v>273</v>
      </c>
      <c r="Q296" s="12" t="s">
        <v>273</v>
      </c>
      <c r="R296" s="12" t="s">
        <v>273</v>
      </c>
      <c r="S296" s="12" t="s">
        <v>273</v>
      </c>
      <c r="T296" s="12" t="s">
        <v>273</v>
      </c>
      <c r="U296" s="12" t="s">
        <v>273</v>
      </c>
      <c r="V296" s="12" t="s">
        <v>273</v>
      </c>
      <c r="W296" s="12" t="s">
        <v>273</v>
      </c>
      <c r="X296" s="26" t="s">
        <v>273</v>
      </c>
      <c r="Y296" s="35" t="s">
        <v>255</v>
      </c>
      <c r="Z296" s="28" t="s">
        <v>273</v>
      </c>
      <c r="AA296" s="134"/>
      <c r="AB296" s="36" t="s">
        <v>2071</v>
      </c>
      <c r="AC296" s="30" t="s">
        <v>510</v>
      </c>
      <c r="AD296" s="29" t="s">
        <v>510</v>
      </c>
      <c r="AE296" s="29"/>
      <c r="AF296" s="29"/>
    </row>
    <row r="297" spans="2:32" x14ac:dyDescent="0.2">
      <c r="B297" s="19" t="s">
        <v>253</v>
      </c>
      <c r="C297" s="20" t="s">
        <v>2030</v>
      </c>
      <c r="D297" s="12" t="s">
        <v>273</v>
      </c>
      <c r="E297" s="12" t="s">
        <v>273</v>
      </c>
      <c r="F297" s="13" t="s">
        <v>273</v>
      </c>
      <c r="G297" s="13" t="s">
        <v>273</v>
      </c>
      <c r="H297" s="13" t="s">
        <v>273</v>
      </c>
      <c r="I297" s="13" t="s">
        <v>273</v>
      </c>
      <c r="J297" s="13" t="s">
        <v>273</v>
      </c>
      <c r="K297" s="13" t="s">
        <v>273</v>
      </c>
      <c r="L297" s="13" t="s">
        <v>273</v>
      </c>
      <c r="M297" s="13" t="s">
        <v>273</v>
      </c>
      <c r="N297" s="13" t="s">
        <v>273</v>
      </c>
      <c r="O297" s="13" t="s">
        <v>273</v>
      </c>
      <c r="P297" s="13" t="s">
        <v>273</v>
      </c>
      <c r="Q297" s="13" t="s">
        <v>273</v>
      </c>
      <c r="R297" s="13" t="s">
        <v>273</v>
      </c>
      <c r="S297" s="13" t="s">
        <v>273</v>
      </c>
      <c r="T297" s="13" t="s">
        <v>273</v>
      </c>
      <c r="U297" s="13" t="s">
        <v>273</v>
      </c>
      <c r="V297" s="13" t="s">
        <v>273</v>
      </c>
      <c r="W297" s="13" t="s">
        <v>273</v>
      </c>
      <c r="X297" s="33" t="s">
        <v>273</v>
      </c>
      <c r="Y297" s="34" t="s">
        <v>253</v>
      </c>
      <c r="Z297" s="28" t="s">
        <v>273</v>
      </c>
      <c r="AA297" s="133"/>
      <c r="AB297" s="29" t="s">
        <v>501</v>
      </c>
      <c r="AC297" s="30" t="s">
        <v>510</v>
      </c>
      <c r="AD297" s="29" t="s">
        <v>510</v>
      </c>
      <c r="AE297" s="29"/>
      <c r="AF297" s="29"/>
    </row>
    <row r="298" spans="2:32" x14ac:dyDescent="0.2">
      <c r="B298" s="19" t="s">
        <v>253</v>
      </c>
      <c r="C298" s="20" t="s">
        <v>2031</v>
      </c>
      <c r="D298" s="12" t="s">
        <v>273</v>
      </c>
      <c r="E298" s="12" t="s">
        <v>273</v>
      </c>
      <c r="F298" s="13" t="s">
        <v>273</v>
      </c>
      <c r="G298" s="13" t="s">
        <v>273</v>
      </c>
      <c r="H298" s="13" t="s">
        <v>273</v>
      </c>
      <c r="I298" s="13" t="s">
        <v>273</v>
      </c>
      <c r="J298" s="13" t="s">
        <v>273</v>
      </c>
      <c r="K298" s="13" t="s">
        <v>273</v>
      </c>
      <c r="L298" s="13" t="s">
        <v>273</v>
      </c>
      <c r="M298" s="13" t="s">
        <v>273</v>
      </c>
      <c r="N298" s="13" t="s">
        <v>273</v>
      </c>
      <c r="O298" s="13" t="s">
        <v>273</v>
      </c>
      <c r="P298" s="13" t="s">
        <v>273</v>
      </c>
      <c r="Q298" s="13" t="s">
        <v>273</v>
      </c>
      <c r="R298" s="13" t="s">
        <v>273</v>
      </c>
      <c r="S298" s="13" t="s">
        <v>273</v>
      </c>
      <c r="T298" s="13" t="s">
        <v>273</v>
      </c>
      <c r="U298" s="13" t="s">
        <v>273</v>
      </c>
      <c r="V298" s="13" t="s">
        <v>273</v>
      </c>
      <c r="W298" s="13" t="s">
        <v>273</v>
      </c>
      <c r="X298" s="33" t="s">
        <v>273</v>
      </c>
      <c r="Y298" s="34" t="s">
        <v>253</v>
      </c>
      <c r="Z298" s="28" t="s">
        <v>273</v>
      </c>
      <c r="AA298" s="133"/>
      <c r="AB298" s="29" t="s">
        <v>501</v>
      </c>
      <c r="AC298" s="30" t="s">
        <v>510</v>
      </c>
      <c r="AD298" s="29" t="s">
        <v>510</v>
      </c>
      <c r="AE298" s="29"/>
      <c r="AF298" s="29"/>
    </row>
    <row r="299" spans="2:32" x14ac:dyDescent="0.2">
      <c r="B299" s="19" t="s">
        <v>253</v>
      </c>
      <c r="C299" s="20" t="s">
        <v>2032</v>
      </c>
      <c r="D299" s="12" t="s">
        <v>273</v>
      </c>
      <c r="E299" s="12" t="s">
        <v>273</v>
      </c>
      <c r="F299" s="13" t="s">
        <v>273</v>
      </c>
      <c r="G299" s="13" t="s">
        <v>273</v>
      </c>
      <c r="H299" s="13" t="s">
        <v>273</v>
      </c>
      <c r="I299" s="13" t="s">
        <v>273</v>
      </c>
      <c r="J299" s="13" t="s">
        <v>273</v>
      </c>
      <c r="K299" s="13" t="s">
        <v>273</v>
      </c>
      <c r="L299" s="13" t="s">
        <v>273</v>
      </c>
      <c r="M299" s="13" t="s">
        <v>273</v>
      </c>
      <c r="N299" s="13" t="s">
        <v>273</v>
      </c>
      <c r="O299" s="13" t="s">
        <v>273</v>
      </c>
      <c r="P299" s="13" t="s">
        <v>273</v>
      </c>
      <c r="Q299" s="13" t="s">
        <v>273</v>
      </c>
      <c r="R299" s="13" t="s">
        <v>273</v>
      </c>
      <c r="S299" s="13" t="s">
        <v>273</v>
      </c>
      <c r="T299" s="13" t="s">
        <v>273</v>
      </c>
      <c r="U299" s="13" t="s">
        <v>273</v>
      </c>
      <c r="V299" s="13" t="s">
        <v>273</v>
      </c>
      <c r="W299" s="13" t="s">
        <v>273</v>
      </c>
      <c r="X299" s="33" t="s">
        <v>273</v>
      </c>
      <c r="Y299" s="34" t="s">
        <v>253</v>
      </c>
      <c r="Z299" s="28" t="s">
        <v>273</v>
      </c>
      <c r="AA299" s="133"/>
      <c r="AB299" s="29" t="s">
        <v>501</v>
      </c>
      <c r="AC299" s="30" t="s">
        <v>510</v>
      </c>
      <c r="AD299" s="29" t="s">
        <v>510</v>
      </c>
      <c r="AE299" s="29"/>
      <c r="AF299" s="29"/>
    </row>
    <row r="300" spans="2:32" x14ac:dyDescent="0.2">
      <c r="B300" s="19" t="s">
        <v>253</v>
      </c>
      <c r="C300" s="20" t="s">
        <v>2033</v>
      </c>
      <c r="D300" s="12" t="s">
        <v>273</v>
      </c>
      <c r="E300" s="12" t="s">
        <v>273</v>
      </c>
      <c r="F300" s="13" t="s">
        <v>273</v>
      </c>
      <c r="G300" s="13" t="s">
        <v>273</v>
      </c>
      <c r="H300" s="13" t="s">
        <v>273</v>
      </c>
      <c r="I300" s="13" t="s">
        <v>273</v>
      </c>
      <c r="J300" s="13" t="s">
        <v>273</v>
      </c>
      <c r="K300" s="13" t="s">
        <v>273</v>
      </c>
      <c r="L300" s="13" t="s">
        <v>273</v>
      </c>
      <c r="M300" s="13" t="s">
        <v>273</v>
      </c>
      <c r="N300" s="13" t="s">
        <v>273</v>
      </c>
      <c r="O300" s="13" t="s">
        <v>273</v>
      </c>
      <c r="P300" s="13" t="s">
        <v>273</v>
      </c>
      <c r="Q300" s="13" t="s">
        <v>273</v>
      </c>
      <c r="R300" s="13" t="s">
        <v>273</v>
      </c>
      <c r="S300" s="13" t="s">
        <v>273</v>
      </c>
      <c r="T300" s="13" t="s">
        <v>273</v>
      </c>
      <c r="U300" s="13" t="s">
        <v>273</v>
      </c>
      <c r="V300" s="13" t="s">
        <v>273</v>
      </c>
      <c r="W300" s="13" t="s">
        <v>273</v>
      </c>
      <c r="X300" s="33" t="s">
        <v>273</v>
      </c>
      <c r="Y300" s="34" t="s">
        <v>253</v>
      </c>
      <c r="Z300" s="28" t="s">
        <v>273</v>
      </c>
      <c r="AA300" s="133"/>
      <c r="AB300" s="29" t="s">
        <v>501</v>
      </c>
      <c r="AC300" s="30" t="s">
        <v>510</v>
      </c>
      <c r="AD300" s="29" t="s">
        <v>510</v>
      </c>
      <c r="AE300" s="29"/>
      <c r="AF300" s="29"/>
    </row>
    <row r="301" spans="2:32" x14ac:dyDescent="0.2">
      <c r="B301" s="19" t="s">
        <v>253</v>
      </c>
      <c r="C301" s="20" t="s">
        <v>2034</v>
      </c>
      <c r="D301" s="12" t="s">
        <v>273</v>
      </c>
      <c r="E301" s="12" t="s">
        <v>273</v>
      </c>
      <c r="F301" s="13" t="s">
        <v>273</v>
      </c>
      <c r="G301" s="13" t="s">
        <v>273</v>
      </c>
      <c r="H301" s="13" t="s">
        <v>273</v>
      </c>
      <c r="I301" s="13" t="s">
        <v>273</v>
      </c>
      <c r="J301" s="13" t="s">
        <v>273</v>
      </c>
      <c r="K301" s="13" t="s">
        <v>273</v>
      </c>
      <c r="L301" s="13" t="s">
        <v>273</v>
      </c>
      <c r="M301" s="13" t="s">
        <v>273</v>
      </c>
      <c r="N301" s="13" t="s">
        <v>273</v>
      </c>
      <c r="O301" s="13" t="s">
        <v>273</v>
      </c>
      <c r="P301" s="13" t="s">
        <v>273</v>
      </c>
      <c r="Q301" s="13" t="s">
        <v>273</v>
      </c>
      <c r="R301" s="13" t="s">
        <v>273</v>
      </c>
      <c r="S301" s="13" t="s">
        <v>273</v>
      </c>
      <c r="T301" s="13" t="s">
        <v>273</v>
      </c>
      <c r="U301" s="13" t="s">
        <v>273</v>
      </c>
      <c r="V301" s="13" t="s">
        <v>273</v>
      </c>
      <c r="W301" s="13" t="s">
        <v>273</v>
      </c>
      <c r="X301" s="33" t="s">
        <v>273</v>
      </c>
      <c r="Y301" s="34" t="s">
        <v>253</v>
      </c>
      <c r="Z301" s="28" t="s">
        <v>273</v>
      </c>
      <c r="AA301" s="133"/>
      <c r="AB301" s="29" t="s">
        <v>501</v>
      </c>
      <c r="AC301" s="30" t="s">
        <v>510</v>
      </c>
      <c r="AD301" s="29" t="s">
        <v>510</v>
      </c>
      <c r="AE301" s="29"/>
      <c r="AF301" s="29"/>
    </row>
    <row r="302" spans="2:32" x14ac:dyDescent="0.2">
      <c r="B302" s="19" t="s">
        <v>253</v>
      </c>
      <c r="C302" s="20" t="s">
        <v>2035</v>
      </c>
      <c r="D302" s="12" t="s">
        <v>273</v>
      </c>
      <c r="E302" s="12" t="s">
        <v>273</v>
      </c>
      <c r="F302" s="13" t="s">
        <v>273</v>
      </c>
      <c r="G302" s="13" t="s">
        <v>273</v>
      </c>
      <c r="H302" s="13" t="s">
        <v>273</v>
      </c>
      <c r="I302" s="13" t="s">
        <v>273</v>
      </c>
      <c r="J302" s="13" t="s">
        <v>273</v>
      </c>
      <c r="K302" s="13" t="s">
        <v>273</v>
      </c>
      <c r="L302" s="13" t="s">
        <v>273</v>
      </c>
      <c r="M302" s="13" t="s">
        <v>273</v>
      </c>
      <c r="N302" s="13" t="s">
        <v>273</v>
      </c>
      <c r="O302" s="13" t="s">
        <v>273</v>
      </c>
      <c r="P302" s="13" t="s">
        <v>273</v>
      </c>
      <c r="Q302" s="13" t="s">
        <v>273</v>
      </c>
      <c r="R302" s="13" t="s">
        <v>273</v>
      </c>
      <c r="S302" s="13" t="s">
        <v>273</v>
      </c>
      <c r="T302" s="13" t="s">
        <v>273</v>
      </c>
      <c r="U302" s="13" t="s">
        <v>273</v>
      </c>
      <c r="V302" s="13" t="s">
        <v>273</v>
      </c>
      <c r="W302" s="13" t="s">
        <v>273</v>
      </c>
      <c r="X302" s="33" t="s">
        <v>273</v>
      </c>
      <c r="Y302" s="34" t="s">
        <v>253</v>
      </c>
      <c r="Z302" s="28" t="s">
        <v>273</v>
      </c>
      <c r="AA302" s="133"/>
      <c r="AB302" s="29" t="s">
        <v>501</v>
      </c>
      <c r="AC302" s="30" t="s">
        <v>510</v>
      </c>
      <c r="AD302" s="29" t="s">
        <v>510</v>
      </c>
      <c r="AE302" s="29"/>
      <c r="AF302" s="29"/>
    </row>
    <row r="303" spans="2:32" x14ac:dyDescent="0.2">
      <c r="B303" s="21" t="s">
        <v>254</v>
      </c>
      <c r="C303" s="20" t="s">
        <v>2036</v>
      </c>
      <c r="D303" s="13" t="s">
        <v>273</v>
      </c>
      <c r="E303" s="13" t="s">
        <v>273</v>
      </c>
      <c r="F303" s="13" t="s">
        <v>273</v>
      </c>
      <c r="G303" s="13" t="s">
        <v>273</v>
      </c>
      <c r="H303" s="13" t="s">
        <v>273</v>
      </c>
      <c r="I303" s="13" t="s">
        <v>273</v>
      </c>
      <c r="J303" s="13" t="s">
        <v>273</v>
      </c>
      <c r="K303" s="13" t="s">
        <v>273</v>
      </c>
      <c r="L303" s="13" t="s">
        <v>273</v>
      </c>
      <c r="M303" s="13" t="s">
        <v>273</v>
      </c>
      <c r="N303" s="13" t="s">
        <v>273</v>
      </c>
      <c r="O303" s="13" t="s">
        <v>273</v>
      </c>
      <c r="P303" s="13" t="s">
        <v>273</v>
      </c>
      <c r="Q303" s="13" t="s">
        <v>273</v>
      </c>
      <c r="R303" s="13" t="s">
        <v>273</v>
      </c>
      <c r="S303" s="13" t="s">
        <v>273</v>
      </c>
      <c r="T303" s="13" t="s">
        <v>273</v>
      </c>
      <c r="U303" s="13" t="s">
        <v>273</v>
      </c>
      <c r="V303" s="13" t="s">
        <v>273</v>
      </c>
      <c r="W303" s="13" t="s">
        <v>273</v>
      </c>
      <c r="X303" s="33" t="s">
        <v>273</v>
      </c>
      <c r="Y303" s="35" t="s">
        <v>254</v>
      </c>
      <c r="Z303" s="28" t="s">
        <v>273</v>
      </c>
      <c r="AA303" s="134"/>
      <c r="AB303" s="36" t="s">
        <v>500</v>
      </c>
      <c r="AC303" s="30" t="s">
        <v>510</v>
      </c>
      <c r="AD303" s="29" t="s">
        <v>510</v>
      </c>
      <c r="AE303" s="29"/>
      <c r="AF303" s="29"/>
    </row>
    <row r="304" spans="2:32" x14ac:dyDescent="0.2">
      <c r="B304" s="21" t="s">
        <v>255</v>
      </c>
      <c r="C304" s="20" t="s">
        <v>2037</v>
      </c>
      <c r="D304" s="12" t="s">
        <v>273</v>
      </c>
      <c r="E304" s="12" t="s">
        <v>273</v>
      </c>
      <c r="F304" s="12" t="s">
        <v>273</v>
      </c>
      <c r="G304" s="12" t="s">
        <v>273</v>
      </c>
      <c r="H304" s="12" t="s">
        <v>273</v>
      </c>
      <c r="I304" s="12" t="s">
        <v>273</v>
      </c>
      <c r="J304" s="12" t="s">
        <v>273</v>
      </c>
      <c r="K304" s="12" t="s">
        <v>273</v>
      </c>
      <c r="L304" s="12" t="s">
        <v>273</v>
      </c>
      <c r="M304" s="12" t="s">
        <v>273</v>
      </c>
      <c r="N304" s="12" t="s">
        <v>273</v>
      </c>
      <c r="O304" s="12" t="s">
        <v>273</v>
      </c>
      <c r="P304" s="12" t="s">
        <v>273</v>
      </c>
      <c r="Q304" s="12" t="s">
        <v>273</v>
      </c>
      <c r="R304" s="12" t="s">
        <v>273</v>
      </c>
      <c r="S304" s="12" t="s">
        <v>273</v>
      </c>
      <c r="T304" s="12" t="s">
        <v>273</v>
      </c>
      <c r="U304" s="12" t="s">
        <v>273</v>
      </c>
      <c r="V304" s="12" t="s">
        <v>273</v>
      </c>
      <c r="W304" s="12" t="s">
        <v>273</v>
      </c>
      <c r="X304" s="26" t="s">
        <v>273</v>
      </c>
      <c r="Y304" s="35" t="s">
        <v>255</v>
      </c>
      <c r="Z304" s="28" t="s">
        <v>273</v>
      </c>
      <c r="AA304" s="134"/>
      <c r="AB304" s="36" t="s">
        <v>2071</v>
      </c>
      <c r="AC304" s="30" t="s">
        <v>510</v>
      </c>
      <c r="AD304" s="29" t="s">
        <v>510</v>
      </c>
      <c r="AE304" s="29"/>
      <c r="AF304" s="29"/>
    </row>
    <row r="305" spans="2:32" x14ac:dyDescent="0.2">
      <c r="B305" s="19" t="s">
        <v>253</v>
      </c>
      <c r="C305" s="20" t="s">
        <v>2038</v>
      </c>
      <c r="D305" s="12" t="s">
        <v>273</v>
      </c>
      <c r="E305" s="12" t="s">
        <v>273</v>
      </c>
      <c r="F305" s="13" t="s">
        <v>273</v>
      </c>
      <c r="G305" s="13" t="s">
        <v>273</v>
      </c>
      <c r="H305" s="13" t="s">
        <v>273</v>
      </c>
      <c r="I305" s="13" t="s">
        <v>273</v>
      </c>
      <c r="J305" s="13" t="s">
        <v>273</v>
      </c>
      <c r="K305" s="13" t="s">
        <v>273</v>
      </c>
      <c r="L305" s="13" t="s">
        <v>273</v>
      </c>
      <c r="M305" s="13" t="s">
        <v>273</v>
      </c>
      <c r="N305" s="13" t="s">
        <v>273</v>
      </c>
      <c r="O305" s="13" t="s">
        <v>273</v>
      </c>
      <c r="P305" s="13" t="s">
        <v>273</v>
      </c>
      <c r="Q305" s="13" t="s">
        <v>273</v>
      </c>
      <c r="R305" s="13" t="s">
        <v>273</v>
      </c>
      <c r="S305" s="13" t="s">
        <v>273</v>
      </c>
      <c r="T305" s="13" t="s">
        <v>273</v>
      </c>
      <c r="U305" s="13" t="s">
        <v>273</v>
      </c>
      <c r="V305" s="13" t="s">
        <v>273</v>
      </c>
      <c r="W305" s="13" t="s">
        <v>273</v>
      </c>
      <c r="X305" s="33" t="s">
        <v>273</v>
      </c>
      <c r="Y305" s="34" t="s">
        <v>253</v>
      </c>
      <c r="Z305" s="28" t="s">
        <v>273</v>
      </c>
      <c r="AA305" s="133"/>
      <c r="AB305" s="29" t="s">
        <v>501</v>
      </c>
      <c r="AC305" s="30" t="s">
        <v>510</v>
      </c>
      <c r="AD305" s="29" t="s">
        <v>510</v>
      </c>
      <c r="AE305" s="29"/>
      <c r="AF305" s="29"/>
    </row>
    <row r="306" spans="2:32" x14ac:dyDescent="0.2">
      <c r="B306" s="19" t="s">
        <v>253</v>
      </c>
      <c r="C306" s="20" t="s">
        <v>2039</v>
      </c>
      <c r="D306" s="12" t="s">
        <v>273</v>
      </c>
      <c r="E306" s="12" t="s">
        <v>273</v>
      </c>
      <c r="F306" s="13" t="s">
        <v>273</v>
      </c>
      <c r="G306" s="13" t="s">
        <v>273</v>
      </c>
      <c r="H306" s="13" t="s">
        <v>273</v>
      </c>
      <c r="I306" s="13" t="s">
        <v>273</v>
      </c>
      <c r="J306" s="13" t="s">
        <v>273</v>
      </c>
      <c r="K306" s="13" t="s">
        <v>273</v>
      </c>
      <c r="L306" s="13" t="s">
        <v>273</v>
      </c>
      <c r="M306" s="13" t="s">
        <v>273</v>
      </c>
      <c r="N306" s="13" t="s">
        <v>273</v>
      </c>
      <c r="O306" s="13" t="s">
        <v>273</v>
      </c>
      <c r="P306" s="13" t="s">
        <v>273</v>
      </c>
      <c r="Q306" s="13" t="s">
        <v>273</v>
      </c>
      <c r="R306" s="13" t="s">
        <v>273</v>
      </c>
      <c r="S306" s="13" t="s">
        <v>273</v>
      </c>
      <c r="T306" s="13" t="s">
        <v>273</v>
      </c>
      <c r="U306" s="13" t="s">
        <v>273</v>
      </c>
      <c r="V306" s="13" t="s">
        <v>273</v>
      </c>
      <c r="W306" s="13" t="s">
        <v>273</v>
      </c>
      <c r="X306" s="33" t="s">
        <v>273</v>
      </c>
      <c r="Y306" s="34" t="s">
        <v>253</v>
      </c>
      <c r="Z306" s="28" t="s">
        <v>273</v>
      </c>
      <c r="AA306" s="133"/>
      <c r="AB306" s="29" t="s">
        <v>501</v>
      </c>
      <c r="AC306" s="30" t="s">
        <v>510</v>
      </c>
      <c r="AD306" s="29" t="s">
        <v>510</v>
      </c>
      <c r="AE306" s="29"/>
      <c r="AF306" s="29"/>
    </row>
    <row r="307" spans="2:32" x14ac:dyDescent="0.2">
      <c r="B307" s="19" t="s">
        <v>253</v>
      </c>
      <c r="C307" s="20" t="s">
        <v>2040</v>
      </c>
      <c r="D307" s="12" t="s">
        <v>273</v>
      </c>
      <c r="E307" s="12" t="s">
        <v>273</v>
      </c>
      <c r="F307" s="13" t="s">
        <v>273</v>
      </c>
      <c r="G307" s="13" t="s">
        <v>273</v>
      </c>
      <c r="H307" s="13" t="s">
        <v>273</v>
      </c>
      <c r="I307" s="13" t="s">
        <v>273</v>
      </c>
      <c r="J307" s="13" t="s">
        <v>273</v>
      </c>
      <c r="K307" s="13" t="s">
        <v>273</v>
      </c>
      <c r="L307" s="13" t="s">
        <v>273</v>
      </c>
      <c r="M307" s="13" t="s">
        <v>273</v>
      </c>
      <c r="N307" s="13" t="s">
        <v>273</v>
      </c>
      <c r="O307" s="13" t="s">
        <v>273</v>
      </c>
      <c r="P307" s="13" t="s">
        <v>273</v>
      </c>
      <c r="Q307" s="13" t="s">
        <v>273</v>
      </c>
      <c r="R307" s="13" t="s">
        <v>273</v>
      </c>
      <c r="S307" s="13" t="s">
        <v>273</v>
      </c>
      <c r="T307" s="13" t="s">
        <v>273</v>
      </c>
      <c r="U307" s="13" t="s">
        <v>273</v>
      </c>
      <c r="V307" s="13" t="s">
        <v>273</v>
      </c>
      <c r="W307" s="13" t="s">
        <v>273</v>
      </c>
      <c r="X307" s="33" t="s">
        <v>273</v>
      </c>
      <c r="Y307" s="34" t="s">
        <v>253</v>
      </c>
      <c r="Z307" s="28" t="s">
        <v>273</v>
      </c>
      <c r="AA307" s="133"/>
      <c r="AB307" s="29" t="s">
        <v>501</v>
      </c>
      <c r="AC307" s="30" t="s">
        <v>510</v>
      </c>
      <c r="AD307" s="29" t="s">
        <v>510</v>
      </c>
      <c r="AE307" s="29"/>
      <c r="AF307" s="29"/>
    </row>
    <row r="308" spans="2:32" x14ac:dyDescent="0.2">
      <c r="B308" s="19" t="s">
        <v>253</v>
      </c>
      <c r="C308" s="20" t="s">
        <v>2041</v>
      </c>
      <c r="D308" s="12" t="s">
        <v>273</v>
      </c>
      <c r="E308" s="12" t="s">
        <v>273</v>
      </c>
      <c r="F308" s="13" t="s">
        <v>273</v>
      </c>
      <c r="G308" s="13" t="s">
        <v>273</v>
      </c>
      <c r="H308" s="13" t="s">
        <v>273</v>
      </c>
      <c r="I308" s="13" t="s">
        <v>273</v>
      </c>
      <c r="J308" s="13" t="s">
        <v>273</v>
      </c>
      <c r="K308" s="13" t="s">
        <v>273</v>
      </c>
      <c r="L308" s="13" t="s">
        <v>273</v>
      </c>
      <c r="M308" s="13" t="s">
        <v>273</v>
      </c>
      <c r="N308" s="13" t="s">
        <v>273</v>
      </c>
      <c r="O308" s="13" t="s">
        <v>273</v>
      </c>
      <c r="P308" s="13" t="s">
        <v>273</v>
      </c>
      <c r="Q308" s="13" t="s">
        <v>273</v>
      </c>
      <c r="R308" s="13" t="s">
        <v>273</v>
      </c>
      <c r="S308" s="13" t="s">
        <v>273</v>
      </c>
      <c r="T308" s="13" t="s">
        <v>273</v>
      </c>
      <c r="U308" s="13" t="s">
        <v>273</v>
      </c>
      <c r="V308" s="13" t="s">
        <v>273</v>
      </c>
      <c r="W308" s="13" t="s">
        <v>273</v>
      </c>
      <c r="X308" s="33" t="s">
        <v>273</v>
      </c>
      <c r="Y308" s="34" t="s">
        <v>253</v>
      </c>
      <c r="Z308" s="28" t="s">
        <v>273</v>
      </c>
      <c r="AA308" s="133"/>
      <c r="AB308" s="29" t="s">
        <v>501</v>
      </c>
      <c r="AC308" s="30" t="s">
        <v>510</v>
      </c>
      <c r="AD308" s="29" t="s">
        <v>510</v>
      </c>
      <c r="AE308" s="29"/>
      <c r="AF308" s="29"/>
    </row>
    <row r="309" spans="2:32" x14ac:dyDescent="0.2">
      <c r="B309" s="19" t="s">
        <v>253</v>
      </c>
      <c r="C309" s="20" t="s">
        <v>2042</v>
      </c>
      <c r="D309" s="12" t="s">
        <v>273</v>
      </c>
      <c r="E309" s="12" t="s">
        <v>273</v>
      </c>
      <c r="F309" s="13" t="s">
        <v>273</v>
      </c>
      <c r="G309" s="13" t="s">
        <v>273</v>
      </c>
      <c r="H309" s="13" t="s">
        <v>273</v>
      </c>
      <c r="I309" s="13" t="s">
        <v>273</v>
      </c>
      <c r="J309" s="13" t="s">
        <v>273</v>
      </c>
      <c r="K309" s="13" t="s">
        <v>273</v>
      </c>
      <c r="L309" s="13" t="s">
        <v>273</v>
      </c>
      <c r="M309" s="13" t="s">
        <v>273</v>
      </c>
      <c r="N309" s="13" t="s">
        <v>273</v>
      </c>
      <c r="O309" s="13" t="s">
        <v>273</v>
      </c>
      <c r="P309" s="13" t="s">
        <v>273</v>
      </c>
      <c r="Q309" s="13" t="s">
        <v>273</v>
      </c>
      <c r="R309" s="13" t="s">
        <v>273</v>
      </c>
      <c r="S309" s="13" t="s">
        <v>273</v>
      </c>
      <c r="T309" s="13" t="s">
        <v>273</v>
      </c>
      <c r="U309" s="13" t="s">
        <v>273</v>
      </c>
      <c r="V309" s="13" t="s">
        <v>273</v>
      </c>
      <c r="W309" s="13" t="s">
        <v>273</v>
      </c>
      <c r="X309" s="33" t="s">
        <v>273</v>
      </c>
      <c r="Y309" s="34" t="s">
        <v>253</v>
      </c>
      <c r="Z309" s="28" t="s">
        <v>273</v>
      </c>
      <c r="AA309" s="133"/>
      <c r="AB309" s="29" t="s">
        <v>501</v>
      </c>
      <c r="AC309" s="30" t="s">
        <v>510</v>
      </c>
      <c r="AD309" s="29" t="s">
        <v>510</v>
      </c>
      <c r="AE309" s="29"/>
      <c r="AF309" s="29"/>
    </row>
    <row r="310" spans="2:32" x14ac:dyDescent="0.2">
      <c r="B310" s="19" t="s">
        <v>1977</v>
      </c>
      <c r="C310" s="20" t="s">
        <v>2044</v>
      </c>
      <c r="D310" s="12" t="s">
        <v>273</v>
      </c>
      <c r="E310" s="12" t="s">
        <v>273</v>
      </c>
      <c r="F310" s="13" t="s">
        <v>273</v>
      </c>
      <c r="G310" s="13" t="s">
        <v>273</v>
      </c>
      <c r="H310" s="13" t="s">
        <v>273</v>
      </c>
      <c r="I310" s="13" t="s">
        <v>273</v>
      </c>
      <c r="J310" s="13" t="s">
        <v>273</v>
      </c>
      <c r="K310" s="13" t="s">
        <v>273</v>
      </c>
      <c r="L310" s="13" t="s">
        <v>273</v>
      </c>
      <c r="M310" s="13" t="s">
        <v>273</v>
      </c>
      <c r="N310" s="13" t="s">
        <v>273</v>
      </c>
      <c r="O310" s="13" t="s">
        <v>273</v>
      </c>
      <c r="P310" s="13" t="s">
        <v>273</v>
      </c>
      <c r="Q310" s="13" t="s">
        <v>273</v>
      </c>
      <c r="R310" s="13" t="s">
        <v>273</v>
      </c>
      <c r="S310" s="13" t="s">
        <v>273</v>
      </c>
      <c r="T310" s="13" t="s">
        <v>273</v>
      </c>
      <c r="U310" s="13" t="s">
        <v>273</v>
      </c>
      <c r="V310" s="13" t="s">
        <v>273</v>
      </c>
      <c r="W310" s="13" t="s">
        <v>273</v>
      </c>
      <c r="X310" s="33" t="s">
        <v>273</v>
      </c>
      <c r="Y310" s="34" t="s">
        <v>1977</v>
      </c>
      <c r="Z310" s="28" t="s">
        <v>273</v>
      </c>
      <c r="AA310" s="134"/>
      <c r="AB310" s="36" t="s">
        <v>2066</v>
      </c>
      <c r="AC310" s="30" t="s">
        <v>510</v>
      </c>
      <c r="AD310" s="29" t="s">
        <v>510</v>
      </c>
      <c r="AE310" s="29"/>
      <c r="AF310" s="29"/>
    </row>
    <row r="311" spans="2:32" x14ac:dyDescent="0.2">
      <c r="B311" s="21" t="s">
        <v>254</v>
      </c>
      <c r="C311" s="20" t="s">
        <v>2043</v>
      </c>
      <c r="D311" s="13" t="s">
        <v>273</v>
      </c>
      <c r="E311" s="13" t="s">
        <v>273</v>
      </c>
      <c r="F311" s="13" t="s">
        <v>273</v>
      </c>
      <c r="G311" s="13" t="s">
        <v>273</v>
      </c>
      <c r="H311" s="13" t="s">
        <v>273</v>
      </c>
      <c r="I311" s="13" t="s">
        <v>273</v>
      </c>
      <c r="J311" s="13" t="s">
        <v>273</v>
      </c>
      <c r="K311" s="13" t="s">
        <v>273</v>
      </c>
      <c r="L311" s="13" t="s">
        <v>273</v>
      </c>
      <c r="M311" s="13" t="s">
        <v>273</v>
      </c>
      <c r="N311" s="13" t="s">
        <v>273</v>
      </c>
      <c r="O311" s="13" t="s">
        <v>273</v>
      </c>
      <c r="P311" s="13" t="s">
        <v>273</v>
      </c>
      <c r="Q311" s="13" t="s">
        <v>273</v>
      </c>
      <c r="R311" s="13" t="s">
        <v>273</v>
      </c>
      <c r="S311" s="13" t="s">
        <v>273</v>
      </c>
      <c r="T311" s="13" t="s">
        <v>273</v>
      </c>
      <c r="U311" s="13" t="s">
        <v>273</v>
      </c>
      <c r="V311" s="13" t="s">
        <v>273</v>
      </c>
      <c r="W311" s="13" t="s">
        <v>273</v>
      </c>
      <c r="X311" s="33" t="s">
        <v>273</v>
      </c>
      <c r="Y311" s="35" t="s">
        <v>254</v>
      </c>
      <c r="Z311" s="28" t="s">
        <v>273</v>
      </c>
      <c r="AA311" s="134"/>
      <c r="AB311" s="36" t="s">
        <v>500</v>
      </c>
      <c r="AC311" s="30" t="s">
        <v>510</v>
      </c>
      <c r="AD311" s="29" t="s">
        <v>510</v>
      </c>
      <c r="AE311" s="29"/>
      <c r="AF311" s="29"/>
    </row>
    <row r="312" spans="2:32" x14ac:dyDescent="0.2">
      <c r="B312" s="21" t="s">
        <v>256</v>
      </c>
      <c r="C312" s="20" t="s">
        <v>2045</v>
      </c>
      <c r="D312" s="12" t="s">
        <v>273</v>
      </c>
      <c r="E312" s="12" t="s">
        <v>273</v>
      </c>
      <c r="F312" s="13" t="s">
        <v>273</v>
      </c>
      <c r="G312" s="13" t="s">
        <v>273</v>
      </c>
      <c r="H312" s="13" t="s">
        <v>273</v>
      </c>
      <c r="I312" s="13" t="s">
        <v>273</v>
      </c>
      <c r="J312" s="13" t="s">
        <v>273</v>
      </c>
      <c r="K312" s="13" t="s">
        <v>273</v>
      </c>
      <c r="L312" s="13" t="s">
        <v>273</v>
      </c>
      <c r="M312" s="13" t="s">
        <v>273</v>
      </c>
      <c r="N312" s="13" t="s">
        <v>273</v>
      </c>
      <c r="O312" s="13" t="s">
        <v>273</v>
      </c>
      <c r="P312" s="13" t="s">
        <v>273</v>
      </c>
      <c r="Q312" s="13" t="s">
        <v>273</v>
      </c>
      <c r="R312" s="13" t="s">
        <v>273</v>
      </c>
      <c r="S312" s="13" t="s">
        <v>273</v>
      </c>
      <c r="T312" s="13" t="s">
        <v>273</v>
      </c>
      <c r="U312" s="13" t="s">
        <v>273</v>
      </c>
      <c r="V312" s="13" t="s">
        <v>273</v>
      </c>
      <c r="W312" s="13" t="s">
        <v>273</v>
      </c>
      <c r="X312" s="33" t="s">
        <v>273</v>
      </c>
      <c r="Y312" s="35" t="s">
        <v>256</v>
      </c>
      <c r="Z312" s="28" t="s">
        <v>273</v>
      </c>
      <c r="AA312" s="134"/>
      <c r="AB312" s="36" t="s">
        <v>2068</v>
      </c>
      <c r="AC312" s="30" t="s">
        <v>510</v>
      </c>
      <c r="AD312" s="29" t="s">
        <v>510</v>
      </c>
      <c r="AE312" s="29"/>
      <c r="AF312" s="29"/>
    </row>
    <row r="313" spans="2:32" x14ac:dyDescent="0.2">
      <c r="B313" s="21" t="s">
        <v>254</v>
      </c>
      <c r="C313" s="20" t="s">
        <v>2046</v>
      </c>
      <c r="D313" s="13" t="s">
        <v>273</v>
      </c>
      <c r="E313" s="13" t="s">
        <v>273</v>
      </c>
      <c r="F313" s="13" t="s">
        <v>273</v>
      </c>
      <c r="G313" s="13" t="s">
        <v>273</v>
      </c>
      <c r="H313" s="13" t="s">
        <v>273</v>
      </c>
      <c r="I313" s="13" t="s">
        <v>273</v>
      </c>
      <c r="J313" s="13" t="s">
        <v>273</v>
      </c>
      <c r="K313" s="13" t="s">
        <v>273</v>
      </c>
      <c r="L313" s="13" t="s">
        <v>273</v>
      </c>
      <c r="M313" s="13" t="s">
        <v>273</v>
      </c>
      <c r="N313" s="13" t="s">
        <v>273</v>
      </c>
      <c r="O313" s="13" t="s">
        <v>273</v>
      </c>
      <c r="P313" s="13" t="s">
        <v>273</v>
      </c>
      <c r="Q313" s="13" t="s">
        <v>273</v>
      </c>
      <c r="R313" s="13" t="s">
        <v>273</v>
      </c>
      <c r="S313" s="13" t="s">
        <v>273</v>
      </c>
      <c r="T313" s="13" t="s">
        <v>273</v>
      </c>
      <c r="U313" s="13" t="s">
        <v>273</v>
      </c>
      <c r="V313" s="13" t="s">
        <v>273</v>
      </c>
      <c r="W313" s="13" t="s">
        <v>273</v>
      </c>
      <c r="X313" s="33" t="s">
        <v>273</v>
      </c>
      <c r="Y313" s="35" t="s">
        <v>254</v>
      </c>
      <c r="Z313" s="28" t="s">
        <v>273</v>
      </c>
      <c r="AA313" s="134"/>
      <c r="AB313" s="36" t="s">
        <v>500</v>
      </c>
      <c r="AC313" s="30" t="s">
        <v>510</v>
      </c>
      <c r="AD313" s="29" t="s">
        <v>510</v>
      </c>
      <c r="AE313" s="29"/>
      <c r="AF313" s="29"/>
    </row>
    <row r="314" spans="2:32" x14ac:dyDescent="0.2">
      <c r="B314" s="21" t="s">
        <v>254</v>
      </c>
      <c r="C314" s="20" t="s">
        <v>2047</v>
      </c>
      <c r="D314" s="13" t="s">
        <v>273</v>
      </c>
      <c r="E314" s="13" t="s">
        <v>273</v>
      </c>
      <c r="F314" s="13" t="s">
        <v>273</v>
      </c>
      <c r="G314" s="13" t="s">
        <v>273</v>
      </c>
      <c r="H314" s="13" t="s">
        <v>273</v>
      </c>
      <c r="I314" s="13" t="s">
        <v>273</v>
      </c>
      <c r="J314" s="13" t="s">
        <v>273</v>
      </c>
      <c r="K314" s="13" t="s">
        <v>273</v>
      </c>
      <c r="L314" s="13" t="s">
        <v>273</v>
      </c>
      <c r="M314" s="13" t="s">
        <v>273</v>
      </c>
      <c r="N314" s="13" t="s">
        <v>273</v>
      </c>
      <c r="O314" s="13" t="s">
        <v>273</v>
      </c>
      <c r="P314" s="13" t="s">
        <v>273</v>
      </c>
      <c r="Q314" s="13" t="s">
        <v>273</v>
      </c>
      <c r="R314" s="13" t="s">
        <v>273</v>
      </c>
      <c r="S314" s="13" t="s">
        <v>273</v>
      </c>
      <c r="T314" s="13" t="s">
        <v>273</v>
      </c>
      <c r="U314" s="13" t="s">
        <v>273</v>
      </c>
      <c r="V314" s="13" t="s">
        <v>273</v>
      </c>
      <c r="W314" s="13" t="s">
        <v>273</v>
      </c>
      <c r="X314" s="33" t="s">
        <v>273</v>
      </c>
      <c r="Y314" s="35" t="s">
        <v>254</v>
      </c>
      <c r="Z314" s="28" t="s">
        <v>273</v>
      </c>
      <c r="AA314" s="134"/>
      <c r="AB314" s="36" t="s">
        <v>500</v>
      </c>
      <c r="AC314" s="30" t="s">
        <v>510</v>
      </c>
      <c r="AD314" s="29" t="s">
        <v>510</v>
      </c>
      <c r="AE314" s="29"/>
      <c r="AF314" s="29"/>
    </row>
    <row r="315" spans="2:32" x14ac:dyDescent="0.2">
      <c r="B315" s="21" t="s">
        <v>254</v>
      </c>
      <c r="C315" s="20" t="s">
        <v>2048</v>
      </c>
      <c r="D315" s="13" t="s">
        <v>273</v>
      </c>
      <c r="E315" s="13" t="s">
        <v>273</v>
      </c>
      <c r="F315" s="13" t="s">
        <v>273</v>
      </c>
      <c r="G315" s="13" t="s">
        <v>273</v>
      </c>
      <c r="H315" s="13" t="s">
        <v>273</v>
      </c>
      <c r="I315" s="13" t="s">
        <v>273</v>
      </c>
      <c r="J315" s="13" t="s">
        <v>273</v>
      </c>
      <c r="K315" s="13" t="s">
        <v>273</v>
      </c>
      <c r="L315" s="13" t="s">
        <v>273</v>
      </c>
      <c r="M315" s="13" t="s">
        <v>273</v>
      </c>
      <c r="N315" s="13" t="s">
        <v>273</v>
      </c>
      <c r="O315" s="13" t="s">
        <v>273</v>
      </c>
      <c r="P315" s="13" t="s">
        <v>273</v>
      </c>
      <c r="Q315" s="13" t="s">
        <v>273</v>
      </c>
      <c r="R315" s="13" t="s">
        <v>273</v>
      </c>
      <c r="S315" s="13" t="s">
        <v>273</v>
      </c>
      <c r="T315" s="13" t="s">
        <v>273</v>
      </c>
      <c r="U315" s="13" t="s">
        <v>273</v>
      </c>
      <c r="V315" s="13" t="s">
        <v>273</v>
      </c>
      <c r="W315" s="13" t="s">
        <v>273</v>
      </c>
      <c r="X315" s="33" t="s">
        <v>273</v>
      </c>
      <c r="Y315" s="35" t="s">
        <v>254</v>
      </c>
      <c r="Z315" s="28" t="s">
        <v>273</v>
      </c>
      <c r="AA315" s="134"/>
      <c r="AB315" s="36" t="s">
        <v>500</v>
      </c>
      <c r="AC315" s="30" t="s">
        <v>510</v>
      </c>
      <c r="AD315" s="29" t="s">
        <v>510</v>
      </c>
      <c r="AE315" s="29"/>
      <c r="AF315" s="29"/>
    </row>
    <row r="316" spans="2:32" x14ac:dyDescent="0.2">
      <c r="B316" s="21" t="s">
        <v>254</v>
      </c>
      <c r="C316" s="20" t="s">
        <v>2049</v>
      </c>
      <c r="D316" s="13" t="s">
        <v>273</v>
      </c>
      <c r="E316" s="13" t="s">
        <v>273</v>
      </c>
      <c r="F316" s="13" t="s">
        <v>273</v>
      </c>
      <c r="G316" s="13" t="s">
        <v>273</v>
      </c>
      <c r="H316" s="13" t="s">
        <v>273</v>
      </c>
      <c r="I316" s="13" t="s">
        <v>273</v>
      </c>
      <c r="J316" s="13" t="s">
        <v>273</v>
      </c>
      <c r="K316" s="13" t="s">
        <v>273</v>
      </c>
      <c r="L316" s="13" t="s">
        <v>273</v>
      </c>
      <c r="M316" s="13" t="s">
        <v>273</v>
      </c>
      <c r="N316" s="13" t="s">
        <v>273</v>
      </c>
      <c r="O316" s="13" t="s">
        <v>273</v>
      </c>
      <c r="P316" s="13" t="s">
        <v>273</v>
      </c>
      <c r="Q316" s="13" t="s">
        <v>273</v>
      </c>
      <c r="R316" s="13" t="s">
        <v>273</v>
      </c>
      <c r="S316" s="13" t="s">
        <v>273</v>
      </c>
      <c r="T316" s="13" t="s">
        <v>273</v>
      </c>
      <c r="U316" s="13" t="s">
        <v>273</v>
      </c>
      <c r="V316" s="13" t="s">
        <v>273</v>
      </c>
      <c r="W316" s="13" t="s">
        <v>273</v>
      </c>
      <c r="X316" s="33" t="s">
        <v>273</v>
      </c>
      <c r="Y316" s="35" t="s">
        <v>254</v>
      </c>
      <c r="Z316" s="28" t="s">
        <v>273</v>
      </c>
      <c r="AA316" s="134"/>
      <c r="AB316" s="36" t="s">
        <v>500</v>
      </c>
      <c r="AC316" s="30" t="s">
        <v>510</v>
      </c>
      <c r="AD316" s="29" t="s">
        <v>510</v>
      </c>
      <c r="AE316" s="29"/>
      <c r="AF316" s="29"/>
    </row>
    <row r="317" spans="2:32" x14ac:dyDescent="0.2">
      <c r="B317" s="21" t="s">
        <v>254</v>
      </c>
      <c r="C317" s="20" t="s">
        <v>2050</v>
      </c>
      <c r="D317" s="13" t="s">
        <v>273</v>
      </c>
      <c r="E317" s="13" t="s">
        <v>273</v>
      </c>
      <c r="F317" s="13" t="s">
        <v>273</v>
      </c>
      <c r="G317" s="13" t="s">
        <v>273</v>
      </c>
      <c r="H317" s="13" t="s">
        <v>273</v>
      </c>
      <c r="I317" s="13" t="s">
        <v>273</v>
      </c>
      <c r="J317" s="13" t="s">
        <v>273</v>
      </c>
      <c r="K317" s="13" t="s">
        <v>273</v>
      </c>
      <c r="L317" s="13" t="s">
        <v>273</v>
      </c>
      <c r="M317" s="13" t="s">
        <v>273</v>
      </c>
      <c r="N317" s="13" t="s">
        <v>273</v>
      </c>
      <c r="O317" s="13" t="s">
        <v>273</v>
      </c>
      <c r="P317" s="13" t="s">
        <v>273</v>
      </c>
      <c r="Q317" s="13" t="s">
        <v>273</v>
      </c>
      <c r="R317" s="13" t="s">
        <v>273</v>
      </c>
      <c r="S317" s="13" t="s">
        <v>273</v>
      </c>
      <c r="T317" s="13" t="s">
        <v>273</v>
      </c>
      <c r="U317" s="13" t="s">
        <v>273</v>
      </c>
      <c r="V317" s="13" t="s">
        <v>273</v>
      </c>
      <c r="W317" s="13" t="s">
        <v>273</v>
      </c>
      <c r="X317" s="33" t="s">
        <v>273</v>
      </c>
      <c r="Y317" s="35" t="s">
        <v>254</v>
      </c>
      <c r="Z317" s="28" t="s">
        <v>273</v>
      </c>
      <c r="AA317" s="134"/>
      <c r="AB317" s="36" t="s">
        <v>500</v>
      </c>
      <c r="AC317" s="30" t="s">
        <v>510</v>
      </c>
      <c r="AD317" s="29" t="s">
        <v>510</v>
      </c>
      <c r="AE317" s="29"/>
      <c r="AF317" s="29"/>
    </row>
    <row r="318" spans="2:32" x14ac:dyDescent="0.2">
      <c r="B318" s="21" t="s">
        <v>254</v>
      </c>
      <c r="C318" s="20" t="s">
        <v>2051</v>
      </c>
      <c r="D318" s="13" t="s">
        <v>273</v>
      </c>
      <c r="E318" s="13" t="s">
        <v>273</v>
      </c>
      <c r="F318" s="13" t="s">
        <v>273</v>
      </c>
      <c r="G318" s="13" t="s">
        <v>273</v>
      </c>
      <c r="H318" s="13" t="s">
        <v>273</v>
      </c>
      <c r="I318" s="13" t="s">
        <v>273</v>
      </c>
      <c r="J318" s="13" t="s">
        <v>273</v>
      </c>
      <c r="K318" s="13" t="s">
        <v>273</v>
      </c>
      <c r="L318" s="13" t="s">
        <v>273</v>
      </c>
      <c r="M318" s="13" t="s">
        <v>273</v>
      </c>
      <c r="N318" s="13" t="s">
        <v>273</v>
      </c>
      <c r="O318" s="13" t="s">
        <v>273</v>
      </c>
      <c r="P318" s="13" t="s">
        <v>273</v>
      </c>
      <c r="Q318" s="13" t="s">
        <v>273</v>
      </c>
      <c r="R318" s="13" t="s">
        <v>273</v>
      </c>
      <c r="S318" s="13" t="s">
        <v>273</v>
      </c>
      <c r="T318" s="13" t="s">
        <v>273</v>
      </c>
      <c r="U318" s="13" t="s">
        <v>273</v>
      </c>
      <c r="V318" s="13" t="s">
        <v>273</v>
      </c>
      <c r="W318" s="13" t="s">
        <v>273</v>
      </c>
      <c r="X318" s="33" t="s">
        <v>273</v>
      </c>
      <c r="Y318" s="35" t="s">
        <v>254</v>
      </c>
      <c r="Z318" s="28" t="s">
        <v>273</v>
      </c>
      <c r="AA318" s="134"/>
      <c r="AB318" s="36" t="s">
        <v>500</v>
      </c>
      <c r="AC318" s="30" t="s">
        <v>510</v>
      </c>
      <c r="AD318" s="29" t="s">
        <v>510</v>
      </c>
      <c r="AE318" s="29"/>
      <c r="AF318" s="29"/>
    </row>
    <row r="319" spans="2:32" x14ac:dyDescent="0.2">
      <c r="B319" s="21" t="s">
        <v>256</v>
      </c>
      <c r="C319" s="20" t="s">
        <v>2052</v>
      </c>
      <c r="D319" s="12" t="s">
        <v>273</v>
      </c>
      <c r="E319" s="12" t="s">
        <v>273</v>
      </c>
      <c r="F319" s="13" t="s">
        <v>273</v>
      </c>
      <c r="G319" s="13" t="s">
        <v>273</v>
      </c>
      <c r="H319" s="13" t="s">
        <v>273</v>
      </c>
      <c r="I319" s="13" t="s">
        <v>273</v>
      </c>
      <c r="J319" s="13" t="s">
        <v>273</v>
      </c>
      <c r="K319" s="13" t="s">
        <v>273</v>
      </c>
      <c r="L319" s="13" t="s">
        <v>273</v>
      </c>
      <c r="M319" s="13" t="s">
        <v>273</v>
      </c>
      <c r="N319" s="13" t="s">
        <v>273</v>
      </c>
      <c r="O319" s="13" t="s">
        <v>273</v>
      </c>
      <c r="P319" s="13" t="s">
        <v>273</v>
      </c>
      <c r="Q319" s="13" t="s">
        <v>273</v>
      </c>
      <c r="R319" s="13" t="s">
        <v>273</v>
      </c>
      <c r="S319" s="13" t="s">
        <v>273</v>
      </c>
      <c r="T319" s="13" t="s">
        <v>273</v>
      </c>
      <c r="U319" s="13" t="s">
        <v>273</v>
      </c>
      <c r="V319" s="13" t="s">
        <v>273</v>
      </c>
      <c r="W319" s="13" t="s">
        <v>273</v>
      </c>
      <c r="X319" s="33" t="s">
        <v>273</v>
      </c>
      <c r="Y319" s="35" t="s">
        <v>256</v>
      </c>
      <c r="Z319" s="28" t="s">
        <v>273</v>
      </c>
      <c r="AA319" s="134"/>
      <c r="AB319" s="36" t="s">
        <v>2068</v>
      </c>
      <c r="AC319" s="30" t="s">
        <v>510</v>
      </c>
      <c r="AD319" s="29" t="s">
        <v>510</v>
      </c>
      <c r="AE319" s="29"/>
      <c r="AF319" s="29"/>
    </row>
    <row r="320" spans="2:32" x14ac:dyDescent="0.2">
      <c r="B320" s="19" t="s">
        <v>253</v>
      </c>
      <c r="C320" s="20" t="s">
        <v>2053</v>
      </c>
      <c r="D320" s="12" t="s">
        <v>273</v>
      </c>
      <c r="E320" s="12" t="s">
        <v>273</v>
      </c>
      <c r="F320" s="13" t="s">
        <v>273</v>
      </c>
      <c r="G320" s="13" t="s">
        <v>273</v>
      </c>
      <c r="H320" s="13" t="s">
        <v>273</v>
      </c>
      <c r="I320" s="13" t="s">
        <v>273</v>
      </c>
      <c r="J320" s="13" t="s">
        <v>273</v>
      </c>
      <c r="K320" s="13" t="s">
        <v>273</v>
      </c>
      <c r="L320" s="13" t="s">
        <v>273</v>
      </c>
      <c r="M320" s="13" t="s">
        <v>273</v>
      </c>
      <c r="N320" s="13" t="s">
        <v>273</v>
      </c>
      <c r="O320" s="13" t="s">
        <v>273</v>
      </c>
      <c r="P320" s="13" t="s">
        <v>273</v>
      </c>
      <c r="Q320" s="13" t="s">
        <v>273</v>
      </c>
      <c r="R320" s="13" t="s">
        <v>273</v>
      </c>
      <c r="S320" s="13" t="s">
        <v>273</v>
      </c>
      <c r="T320" s="13" t="s">
        <v>273</v>
      </c>
      <c r="U320" s="13" t="s">
        <v>273</v>
      </c>
      <c r="V320" s="13" t="s">
        <v>273</v>
      </c>
      <c r="W320" s="13" t="s">
        <v>273</v>
      </c>
      <c r="X320" s="33" t="s">
        <v>273</v>
      </c>
      <c r="Y320" s="34" t="s">
        <v>253</v>
      </c>
      <c r="Z320" s="28" t="s">
        <v>273</v>
      </c>
      <c r="AA320" s="133"/>
      <c r="AB320" s="29" t="s">
        <v>501</v>
      </c>
      <c r="AC320" s="30" t="s">
        <v>510</v>
      </c>
      <c r="AD320" s="29" t="s">
        <v>510</v>
      </c>
      <c r="AE320" s="29"/>
      <c r="AF320" s="29"/>
    </row>
    <row r="321" spans="2:32" x14ac:dyDescent="0.2">
      <c r="B321" s="19" t="s">
        <v>253</v>
      </c>
      <c r="C321" s="20" t="s">
        <v>2054</v>
      </c>
      <c r="D321" s="12" t="s">
        <v>273</v>
      </c>
      <c r="E321" s="12" t="s">
        <v>273</v>
      </c>
      <c r="F321" s="13" t="s">
        <v>273</v>
      </c>
      <c r="G321" s="13" t="s">
        <v>273</v>
      </c>
      <c r="H321" s="13" t="s">
        <v>273</v>
      </c>
      <c r="I321" s="13" t="s">
        <v>273</v>
      </c>
      <c r="J321" s="13" t="s">
        <v>273</v>
      </c>
      <c r="K321" s="13" t="s">
        <v>273</v>
      </c>
      <c r="L321" s="13" t="s">
        <v>273</v>
      </c>
      <c r="M321" s="13" t="s">
        <v>273</v>
      </c>
      <c r="N321" s="13" t="s">
        <v>273</v>
      </c>
      <c r="O321" s="13" t="s">
        <v>273</v>
      </c>
      <c r="P321" s="13" t="s">
        <v>273</v>
      </c>
      <c r="Q321" s="13" t="s">
        <v>273</v>
      </c>
      <c r="R321" s="13" t="s">
        <v>273</v>
      </c>
      <c r="S321" s="13" t="s">
        <v>273</v>
      </c>
      <c r="T321" s="13" t="s">
        <v>273</v>
      </c>
      <c r="U321" s="13" t="s">
        <v>273</v>
      </c>
      <c r="V321" s="13" t="s">
        <v>273</v>
      </c>
      <c r="W321" s="13" t="s">
        <v>273</v>
      </c>
      <c r="X321" s="33" t="s">
        <v>273</v>
      </c>
      <c r="Y321" s="34" t="s">
        <v>253</v>
      </c>
      <c r="Z321" s="28" t="s">
        <v>273</v>
      </c>
      <c r="AA321" s="133"/>
      <c r="AB321" s="29" t="s">
        <v>501</v>
      </c>
      <c r="AC321" s="30" t="s">
        <v>510</v>
      </c>
      <c r="AD321" s="29" t="s">
        <v>510</v>
      </c>
      <c r="AE321" s="29"/>
      <c r="AF321" s="29"/>
    </row>
    <row r="322" spans="2:32" x14ac:dyDescent="0.2">
      <c r="B322" s="19" t="s">
        <v>253</v>
      </c>
      <c r="C322" s="20" t="s">
        <v>2055</v>
      </c>
      <c r="D322" s="12" t="s">
        <v>273</v>
      </c>
      <c r="E322" s="12" t="s">
        <v>273</v>
      </c>
      <c r="F322" s="13" t="s">
        <v>273</v>
      </c>
      <c r="G322" s="13" t="s">
        <v>273</v>
      </c>
      <c r="H322" s="13" t="s">
        <v>273</v>
      </c>
      <c r="I322" s="13" t="s">
        <v>273</v>
      </c>
      <c r="J322" s="13" t="s">
        <v>273</v>
      </c>
      <c r="K322" s="13" t="s">
        <v>273</v>
      </c>
      <c r="L322" s="13" t="s">
        <v>273</v>
      </c>
      <c r="M322" s="13" t="s">
        <v>273</v>
      </c>
      <c r="N322" s="13" t="s">
        <v>273</v>
      </c>
      <c r="O322" s="13" t="s">
        <v>273</v>
      </c>
      <c r="P322" s="13" t="s">
        <v>273</v>
      </c>
      <c r="Q322" s="13" t="s">
        <v>273</v>
      </c>
      <c r="R322" s="13" t="s">
        <v>273</v>
      </c>
      <c r="S322" s="13" t="s">
        <v>273</v>
      </c>
      <c r="T322" s="13" t="s">
        <v>273</v>
      </c>
      <c r="U322" s="13" t="s">
        <v>273</v>
      </c>
      <c r="V322" s="13" t="s">
        <v>273</v>
      </c>
      <c r="W322" s="13" t="s">
        <v>273</v>
      </c>
      <c r="X322" s="33" t="s">
        <v>273</v>
      </c>
      <c r="Y322" s="34" t="s">
        <v>253</v>
      </c>
      <c r="Z322" s="28" t="s">
        <v>273</v>
      </c>
      <c r="AA322" s="133"/>
      <c r="AB322" s="29" t="s">
        <v>501</v>
      </c>
      <c r="AC322" s="30" t="s">
        <v>510</v>
      </c>
      <c r="AD322" s="29" t="s">
        <v>510</v>
      </c>
      <c r="AE322" s="29"/>
      <c r="AF322" s="29"/>
    </row>
    <row r="323" spans="2:32" x14ac:dyDescent="0.2">
      <c r="B323" s="19" t="s">
        <v>253</v>
      </c>
      <c r="C323" s="20" t="s">
        <v>2056</v>
      </c>
      <c r="D323" s="12" t="s">
        <v>273</v>
      </c>
      <c r="E323" s="12" t="s">
        <v>273</v>
      </c>
      <c r="F323" s="13" t="s">
        <v>273</v>
      </c>
      <c r="G323" s="13" t="s">
        <v>273</v>
      </c>
      <c r="H323" s="13" t="s">
        <v>273</v>
      </c>
      <c r="I323" s="13" t="s">
        <v>273</v>
      </c>
      <c r="J323" s="13" t="s">
        <v>273</v>
      </c>
      <c r="K323" s="13" t="s">
        <v>273</v>
      </c>
      <c r="L323" s="13" t="s">
        <v>273</v>
      </c>
      <c r="M323" s="13" t="s">
        <v>273</v>
      </c>
      <c r="N323" s="13" t="s">
        <v>273</v>
      </c>
      <c r="O323" s="13" t="s">
        <v>273</v>
      </c>
      <c r="P323" s="13" t="s">
        <v>273</v>
      </c>
      <c r="Q323" s="13" t="s">
        <v>273</v>
      </c>
      <c r="R323" s="13" t="s">
        <v>273</v>
      </c>
      <c r="S323" s="13" t="s">
        <v>273</v>
      </c>
      <c r="T323" s="13" t="s">
        <v>273</v>
      </c>
      <c r="U323" s="13" t="s">
        <v>273</v>
      </c>
      <c r="V323" s="13" t="s">
        <v>273</v>
      </c>
      <c r="W323" s="13" t="s">
        <v>273</v>
      </c>
      <c r="X323" s="33" t="s">
        <v>273</v>
      </c>
      <c r="Y323" s="34" t="s">
        <v>253</v>
      </c>
      <c r="Z323" s="28" t="s">
        <v>273</v>
      </c>
      <c r="AA323" s="133"/>
      <c r="AB323" s="29" t="s">
        <v>501</v>
      </c>
      <c r="AC323" s="30" t="s">
        <v>510</v>
      </c>
      <c r="AD323" s="29" t="s">
        <v>510</v>
      </c>
      <c r="AE323" s="29"/>
      <c r="AF323" s="29"/>
    </row>
    <row r="324" spans="2:32" x14ac:dyDescent="0.2">
      <c r="B324" s="19" t="s">
        <v>253</v>
      </c>
      <c r="C324" s="20" t="s">
        <v>2057</v>
      </c>
      <c r="D324" s="12" t="s">
        <v>273</v>
      </c>
      <c r="E324" s="12" t="s">
        <v>273</v>
      </c>
      <c r="F324" s="13" t="s">
        <v>273</v>
      </c>
      <c r="G324" s="13" t="s">
        <v>273</v>
      </c>
      <c r="H324" s="13" t="s">
        <v>273</v>
      </c>
      <c r="I324" s="13" t="s">
        <v>273</v>
      </c>
      <c r="J324" s="13" t="s">
        <v>273</v>
      </c>
      <c r="K324" s="13" t="s">
        <v>273</v>
      </c>
      <c r="L324" s="13" t="s">
        <v>273</v>
      </c>
      <c r="M324" s="13" t="s">
        <v>273</v>
      </c>
      <c r="N324" s="13" t="s">
        <v>273</v>
      </c>
      <c r="O324" s="13" t="s">
        <v>273</v>
      </c>
      <c r="P324" s="13" t="s">
        <v>273</v>
      </c>
      <c r="Q324" s="13" t="s">
        <v>273</v>
      </c>
      <c r="R324" s="13" t="s">
        <v>273</v>
      </c>
      <c r="S324" s="13" t="s">
        <v>273</v>
      </c>
      <c r="T324" s="13" t="s">
        <v>273</v>
      </c>
      <c r="U324" s="13" t="s">
        <v>273</v>
      </c>
      <c r="V324" s="13" t="s">
        <v>273</v>
      </c>
      <c r="W324" s="13" t="s">
        <v>273</v>
      </c>
      <c r="X324" s="33" t="s">
        <v>273</v>
      </c>
      <c r="Y324" s="34" t="s">
        <v>253</v>
      </c>
      <c r="Z324" s="28" t="s">
        <v>273</v>
      </c>
      <c r="AA324" s="133"/>
      <c r="AB324" s="29" t="s">
        <v>501</v>
      </c>
      <c r="AC324" s="30" t="s">
        <v>510</v>
      </c>
      <c r="AD324" s="29" t="s">
        <v>510</v>
      </c>
      <c r="AE324" s="29"/>
      <c r="AF324" s="29"/>
    </row>
    <row r="325" spans="2:32" x14ac:dyDescent="0.2">
      <c r="B325" s="24" t="s">
        <v>2059</v>
      </c>
      <c r="C325" s="20" t="s">
        <v>2060</v>
      </c>
      <c r="D325" s="24" t="s">
        <v>2059</v>
      </c>
      <c r="E325" s="12" t="s">
        <v>273</v>
      </c>
      <c r="F325" s="12" t="s">
        <v>273</v>
      </c>
      <c r="G325" s="12" t="s">
        <v>273</v>
      </c>
      <c r="H325" s="12" t="s">
        <v>273</v>
      </c>
      <c r="I325" s="12" t="s">
        <v>273</v>
      </c>
      <c r="J325" s="12" t="s">
        <v>273</v>
      </c>
      <c r="K325" s="12" t="s">
        <v>273</v>
      </c>
      <c r="L325" s="12" t="s">
        <v>273</v>
      </c>
      <c r="M325" s="12" t="s">
        <v>273</v>
      </c>
      <c r="N325" s="12" t="s">
        <v>273</v>
      </c>
      <c r="O325" s="12" t="s">
        <v>273</v>
      </c>
      <c r="P325" s="12" t="s">
        <v>273</v>
      </c>
      <c r="Q325" s="12" t="s">
        <v>273</v>
      </c>
      <c r="R325" s="12" t="s">
        <v>273</v>
      </c>
      <c r="S325" s="12" t="s">
        <v>273</v>
      </c>
      <c r="T325" s="12" t="s">
        <v>273</v>
      </c>
      <c r="U325" s="12" t="s">
        <v>273</v>
      </c>
      <c r="V325" s="12" t="s">
        <v>273</v>
      </c>
      <c r="W325" s="12" t="s">
        <v>273</v>
      </c>
      <c r="X325" s="26" t="s">
        <v>273</v>
      </c>
      <c r="Y325" s="39" t="s">
        <v>2059</v>
      </c>
      <c r="Z325" s="28" t="s">
        <v>273</v>
      </c>
      <c r="AA325" s="134"/>
      <c r="AB325" s="36" t="s">
        <v>2069</v>
      </c>
      <c r="AC325" s="30" t="s">
        <v>510</v>
      </c>
      <c r="AD325" s="29" t="s">
        <v>510</v>
      </c>
      <c r="AE325" s="29"/>
      <c r="AF325" s="29"/>
    </row>
    <row r="326" spans="2:32" x14ac:dyDescent="0.2">
      <c r="B326" s="25" t="s">
        <v>261</v>
      </c>
      <c r="C326" s="20" t="s">
        <v>2058</v>
      </c>
      <c r="D326" s="25" t="s">
        <v>261</v>
      </c>
      <c r="E326" s="12" t="s">
        <v>273</v>
      </c>
      <c r="F326" s="12" t="s">
        <v>273</v>
      </c>
      <c r="G326" s="12" t="s">
        <v>273</v>
      </c>
      <c r="H326" s="12" t="s">
        <v>273</v>
      </c>
      <c r="I326" s="12" t="s">
        <v>273</v>
      </c>
      <c r="J326" s="12" t="s">
        <v>273</v>
      </c>
      <c r="K326" s="12" t="s">
        <v>273</v>
      </c>
      <c r="L326" s="12" t="s">
        <v>273</v>
      </c>
      <c r="M326" s="12" t="s">
        <v>273</v>
      </c>
      <c r="N326" s="12" t="s">
        <v>273</v>
      </c>
      <c r="O326" s="12" t="s">
        <v>273</v>
      </c>
      <c r="P326" s="12" t="s">
        <v>273</v>
      </c>
      <c r="Q326" s="12" t="s">
        <v>273</v>
      </c>
      <c r="R326" s="12" t="s">
        <v>273</v>
      </c>
      <c r="S326" s="12" t="s">
        <v>273</v>
      </c>
      <c r="T326" s="12" t="s">
        <v>273</v>
      </c>
      <c r="U326" s="12" t="s">
        <v>273</v>
      </c>
      <c r="V326" s="12" t="s">
        <v>273</v>
      </c>
      <c r="W326" s="12" t="s">
        <v>273</v>
      </c>
      <c r="X326" s="26" t="s">
        <v>273</v>
      </c>
      <c r="Y326" s="40" t="s">
        <v>261</v>
      </c>
      <c r="Z326" s="28" t="s">
        <v>273</v>
      </c>
      <c r="AA326" s="134"/>
      <c r="AB326" s="36" t="s">
        <v>508</v>
      </c>
      <c r="AC326" s="30" t="s">
        <v>510</v>
      </c>
      <c r="AD326" s="29" t="s">
        <v>510</v>
      </c>
      <c r="AE326" s="29"/>
      <c r="AF326" s="29"/>
    </row>
    <row r="327" spans="2:32" x14ac:dyDescent="0.2">
      <c r="B327" s="19" t="s">
        <v>2062</v>
      </c>
      <c r="C327" s="20" t="s">
        <v>2061</v>
      </c>
      <c r="D327" s="12" t="s">
        <v>273</v>
      </c>
      <c r="E327" s="12" t="s">
        <v>273</v>
      </c>
      <c r="F327" s="13" t="s">
        <v>273</v>
      </c>
      <c r="G327" s="13" t="s">
        <v>273</v>
      </c>
      <c r="H327" s="13" t="s">
        <v>273</v>
      </c>
      <c r="I327" s="13" t="s">
        <v>273</v>
      </c>
      <c r="J327" s="13" t="s">
        <v>273</v>
      </c>
      <c r="K327" s="13" t="s">
        <v>273</v>
      </c>
      <c r="L327" s="13" t="s">
        <v>273</v>
      </c>
      <c r="M327" s="13" t="s">
        <v>273</v>
      </c>
      <c r="N327" s="13" t="s">
        <v>273</v>
      </c>
      <c r="O327" s="13" t="s">
        <v>273</v>
      </c>
      <c r="P327" s="13" t="s">
        <v>273</v>
      </c>
      <c r="Q327" s="13" t="s">
        <v>273</v>
      </c>
      <c r="R327" s="13" t="s">
        <v>273</v>
      </c>
      <c r="S327" s="13" t="s">
        <v>273</v>
      </c>
      <c r="T327" s="13" t="s">
        <v>273</v>
      </c>
      <c r="U327" s="13" t="s">
        <v>273</v>
      </c>
      <c r="V327" s="13" t="s">
        <v>273</v>
      </c>
      <c r="W327" s="13" t="s">
        <v>273</v>
      </c>
      <c r="X327" s="33" t="s">
        <v>273</v>
      </c>
      <c r="Y327" s="34" t="s">
        <v>2062</v>
      </c>
      <c r="Z327" s="28" t="s">
        <v>273</v>
      </c>
      <c r="AA327" s="134"/>
      <c r="AB327" s="36" t="s">
        <v>2065</v>
      </c>
      <c r="AC327" s="30" t="s">
        <v>510</v>
      </c>
      <c r="AD327" s="29" t="s">
        <v>510</v>
      </c>
      <c r="AE327" s="29"/>
      <c r="AF327" s="29"/>
    </row>
    <row r="328" spans="2:32" x14ac:dyDescent="0.2">
      <c r="B328" s="19" t="s">
        <v>2062</v>
      </c>
      <c r="C328" s="20" t="s">
        <v>2063</v>
      </c>
      <c r="D328" s="12" t="s">
        <v>273</v>
      </c>
      <c r="E328" s="12" t="s">
        <v>273</v>
      </c>
      <c r="F328" s="13" t="s">
        <v>273</v>
      </c>
      <c r="G328" s="13" t="s">
        <v>273</v>
      </c>
      <c r="H328" s="13" t="s">
        <v>273</v>
      </c>
      <c r="I328" s="13" t="s">
        <v>273</v>
      </c>
      <c r="J328" s="13" t="s">
        <v>273</v>
      </c>
      <c r="K328" s="13" t="s">
        <v>273</v>
      </c>
      <c r="L328" s="13" t="s">
        <v>273</v>
      </c>
      <c r="M328" s="13" t="s">
        <v>273</v>
      </c>
      <c r="N328" s="13" t="s">
        <v>273</v>
      </c>
      <c r="O328" s="13" t="s">
        <v>273</v>
      </c>
      <c r="P328" s="13" t="s">
        <v>273</v>
      </c>
      <c r="Q328" s="13" t="s">
        <v>273</v>
      </c>
      <c r="R328" s="13" t="s">
        <v>273</v>
      </c>
      <c r="S328" s="13" t="s">
        <v>273</v>
      </c>
      <c r="T328" s="13" t="s">
        <v>273</v>
      </c>
      <c r="U328" s="13" t="s">
        <v>273</v>
      </c>
      <c r="V328" s="13" t="s">
        <v>273</v>
      </c>
      <c r="W328" s="13" t="s">
        <v>273</v>
      </c>
      <c r="X328" s="33" t="s">
        <v>273</v>
      </c>
      <c r="Y328" s="34" t="s">
        <v>2062</v>
      </c>
      <c r="Z328" s="28" t="s">
        <v>273</v>
      </c>
      <c r="AA328" s="134"/>
      <c r="AB328" s="36" t="s">
        <v>2065</v>
      </c>
      <c r="AC328" s="30" t="s">
        <v>510</v>
      </c>
      <c r="AD328" s="29" t="s">
        <v>510</v>
      </c>
      <c r="AE328" s="29"/>
      <c r="AF328" s="29"/>
    </row>
    <row r="329" spans="2:32" x14ac:dyDescent="0.2">
      <c r="B329" s="19" t="s">
        <v>253</v>
      </c>
      <c r="C329" s="20" t="s">
        <v>2064</v>
      </c>
      <c r="D329" s="12" t="s">
        <v>273</v>
      </c>
      <c r="E329" s="12" t="s">
        <v>273</v>
      </c>
      <c r="F329" s="13" t="s">
        <v>273</v>
      </c>
      <c r="G329" s="13" t="s">
        <v>273</v>
      </c>
      <c r="H329" s="13" t="s">
        <v>273</v>
      </c>
      <c r="I329" s="13" t="s">
        <v>273</v>
      </c>
      <c r="J329" s="13" t="s">
        <v>273</v>
      </c>
      <c r="K329" s="13" t="s">
        <v>273</v>
      </c>
      <c r="L329" s="13" t="s">
        <v>273</v>
      </c>
      <c r="M329" s="13" t="s">
        <v>273</v>
      </c>
      <c r="N329" s="13" t="s">
        <v>273</v>
      </c>
      <c r="O329" s="13" t="s">
        <v>273</v>
      </c>
      <c r="P329" s="13" t="s">
        <v>273</v>
      </c>
      <c r="Q329" s="13" t="s">
        <v>273</v>
      </c>
      <c r="R329" s="13" t="s">
        <v>273</v>
      </c>
      <c r="S329" s="13" t="s">
        <v>273</v>
      </c>
      <c r="T329" s="13" t="s">
        <v>273</v>
      </c>
      <c r="U329" s="13" t="s">
        <v>273</v>
      </c>
      <c r="V329" s="13" t="s">
        <v>273</v>
      </c>
      <c r="W329" s="13" t="s">
        <v>273</v>
      </c>
      <c r="X329" s="33" t="s">
        <v>273</v>
      </c>
      <c r="Y329" s="34" t="s">
        <v>253</v>
      </c>
      <c r="Z329" s="28" t="s">
        <v>273</v>
      </c>
      <c r="AA329" s="133"/>
      <c r="AB329" s="29" t="s">
        <v>501</v>
      </c>
      <c r="AC329" s="30" t="s">
        <v>510</v>
      </c>
      <c r="AD329" s="29" t="s">
        <v>510</v>
      </c>
      <c r="AE329" s="29"/>
      <c r="AF329" s="29"/>
    </row>
    <row r="332" spans="2:32" x14ac:dyDescent="0.2">
      <c r="B332" s="1" t="s">
        <v>2556</v>
      </c>
    </row>
    <row r="333" spans="2:32" x14ac:dyDescent="0.2">
      <c r="B333" s="1" t="s">
        <v>2559</v>
      </c>
    </row>
    <row r="334" spans="2:32" x14ac:dyDescent="0.2">
      <c r="B334" s="1" t="s">
        <v>2557</v>
      </c>
    </row>
    <row r="335" spans="2:32" x14ac:dyDescent="0.2">
      <c r="B335" s="1" t="s">
        <v>2558</v>
      </c>
    </row>
  </sheetData>
  <sheetProtection algorithmName="SHA-512" hashValue="hXMVRiczuY2TQFRnqqP6vD3AFAn3WrYUqPFsqoXNkBIrkS+BdRTV/HxEUJHxWoT/PL2rzKsw5X9gb7jld7ncoQ==" saltValue="HMY9W0BMuXfZfX2AGHfz3A==" spinCount="100000" sheet="1" objects="1" scenarios="1" formatCells="0" formatColumns="0" formatRows="0" insertColumns="0" insertRows="0" insertHyperlinks="0" deleteColumns="0" deleteRows="0" selectLockedCells="1" sort="0" autoFilter="0" pivotTables="0"/>
  <mergeCells count="17">
    <mergeCell ref="AD8:AD9"/>
    <mergeCell ref="Y7:AB7"/>
    <mergeCell ref="AB8:AB9"/>
    <mergeCell ref="AF8:AF9"/>
    <mergeCell ref="AE7:AF7"/>
    <mergeCell ref="Z8:Z9"/>
    <mergeCell ref="AE8:AE9"/>
    <mergeCell ref="Y8:Y9"/>
    <mergeCell ref="AC7:AD7"/>
    <mergeCell ref="AC8:AC9"/>
    <mergeCell ref="AA8:AA9"/>
    <mergeCell ref="B7:B9"/>
    <mergeCell ref="E7:T7"/>
    <mergeCell ref="U7:W7"/>
    <mergeCell ref="X7:X9"/>
    <mergeCell ref="C7:C9"/>
    <mergeCell ref="D7:D9"/>
  </mergeCells>
  <phoneticPr fontId="3"/>
  <conditionalFormatting sqref="Y10:Y249">
    <cfRule type="duplicateValues" dxfId="26" priority="16"/>
    <cfRule type="notContainsBlanks" dxfId="25" priority="18">
      <formula>LEN(TRIM(Y10))&gt;0</formula>
    </cfRule>
  </conditionalFormatting>
  <conditionalFormatting sqref="Z86:Z113 Z122:Z129">
    <cfRule type="notContainsBlanks" dxfId="24" priority="19">
      <formula>LEN(TRIM(Z86))&gt;0</formula>
    </cfRule>
  </conditionalFormatting>
  <dataValidations count="276">
    <dataValidation type="list" allowBlank="1" showInputMessage="1" showErrorMessage="1" sqref="Y10" xr:uid="{8A7C693E-8667-4E92-A9AC-5FC70BFF3E18}">
      <formula1>$D$10:$X$10</formula1>
    </dataValidation>
    <dataValidation type="list" allowBlank="1" showInputMessage="1" showErrorMessage="1" sqref="Y11" xr:uid="{6D21D4D4-9092-4FDF-A2CB-61118C684687}">
      <formula1>$D$11:$X$11</formula1>
    </dataValidation>
    <dataValidation type="list" allowBlank="1" showInputMessage="1" showErrorMessage="1" sqref="Y12" xr:uid="{0032CD5D-7E5D-417A-BEE3-EEA4ECEDC1EF}">
      <formula1>$D$12:$X$12</formula1>
    </dataValidation>
    <dataValidation type="list" allowBlank="1" showInputMessage="1" showErrorMessage="1" sqref="Y13" xr:uid="{13176D2F-A067-47EA-8C86-77B80DBE2349}">
      <formula1>$D$13:$X$13</formula1>
    </dataValidation>
    <dataValidation type="list" allowBlank="1" showInputMessage="1" showErrorMessage="1" sqref="Y14" xr:uid="{D34EACF7-4874-4B14-B254-494C4CA2A474}">
      <formula1>$D$14:$X$14</formula1>
    </dataValidation>
    <dataValidation type="list" allowBlank="1" showInputMessage="1" showErrorMessage="1" sqref="Y15" xr:uid="{6C42C1A9-BADC-421A-8C5B-2F6963CE4BF6}">
      <formula1>$D$15:$X$15</formula1>
    </dataValidation>
    <dataValidation type="list" allowBlank="1" showInputMessage="1" showErrorMessage="1" sqref="Y16" xr:uid="{20829DA0-334F-43BE-9B3C-D0ACCCE5287B}">
      <formula1>$D$16:$X$16</formula1>
    </dataValidation>
    <dataValidation type="list" allowBlank="1" showInputMessage="1" showErrorMessage="1" sqref="Y17" xr:uid="{FA6DE6B7-E13C-4458-BDE1-84C829AA1174}">
      <formula1>$D$17:$X$17</formula1>
    </dataValidation>
    <dataValidation type="list" allowBlank="1" showInputMessage="1" showErrorMessage="1" sqref="Y18" xr:uid="{F0968B8B-32F3-4F44-ABB4-EFF53DA778B4}">
      <formula1>$D$18:$X$18</formula1>
    </dataValidation>
    <dataValidation type="list" allowBlank="1" showInputMessage="1" showErrorMessage="1" sqref="Y19" xr:uid="{60090B22-DCB0-466E-AF13-0B0BFDD12BBC}">
      <formula1>$D$19:$X$19</formula1>
    </dataValidation>
    <dataValidation type="list" allowBlank="1" showInputMessage="1" showErrorMessage="1" sqref="Y20" xr:uid="{A3963DCF-09FB-48E0-AF2A-94F77C1AE769}">
      <formula1>$D$20:$X$20</formula1>
    </dataValidation>
    <dataValidation type="list" allowBlank="1" showInputMessage="1" showErrorMessage="1" sqref="Y21" xr:uid="{E46DC7FA-2E6F-45C2-AFB4-201D5A394A13}">
      <formula1>$D$21:$X$21</formula1>
    </dataValidation>
    <dataValidation type="list" allowBlank="1" showInputMessage="1" showErrorMessage="1" sqref="Y22" xr:uid="{3387B57E-A0E7-49AD-B3F9-F5A9EF617CA7}">
      <formula1>$D$22:$X$22</formula1>
    </dataValidation>
    <dataValidation type="list" allowBlank="1" showInputMessage="1" showErrorMessage="1" sqref="Y23" xr:uid="{34B761CA-BBCA-4916-AF25-DAE39389D544}">
      <formula1>$D$23:$X$23</formula1>
    </dataValidation>
    <dataValidation type="list" allowBlank="1" showInputMessage="1" showErrorMessage="1" sqref="Y24" xr:uid="{17E0CEAF-0A3D-427B-A25D-2C0D77D93A42}">
      <formula1>$D$24:$X$24</formula1>
    </dataValidation>
    <dataValidation type="list" allowBlank="1" showInputMessage="1" showErrorMessage="1" sqref="Y25" xr:uid="{CF08D3FE-4C43-4D70-9FA7-88A899EEB350}">
      <formula1>$D$25:$X$25</formula1>
    </dataValidation>
    <dataValidation type="list" allowBlank="1" showInputMessage="1" showErrorMessage="1" sqref="Y26" xr:uid="{252BA70C-2A85-447E-BFE8-0B79B052F4C5}">
      <formula1>$D$26:$X$26</formula1>
    </dataValidation>
    <dataValidation type="list" allowBlank="1" showInputMessage="1" showErrorMessage="1" sqref="Y27" xr:uid="{5BE16F69-4740-47C1-AAED-FA1B45519139}">
      <formula1>$D$27:$X$27</formula1>
    </dataValidation>
    <dataValidation type="list" allowBlank="1" showInputMessage="1" showErrorMessage="1" sqref="Y28" xr:uid="{B8FC4E51-01AA-47B9-B792-3D1B22AD37B9}">
      <formula1>$D$28:$X$28</formula1>
    </dataValidation>
    <dataValidation type="list" allowBlank="1" showInputMessage="1" showErrorMessage="1" sqref="Y29" xr:uid="{6AD839F3-3948-46BB-BA82-C7B33200B463}">
      <formula1>$D$29:$X$29</formula1>
    </dataValidation>
    <dataValidation type="list" allowBlank="1" showInputMessage="1" showErrorMessage="1" sqref="Y30" xr:uid="{08F1500B-48B5-45ED-B3AB-DF6532D3009F}">
      <formula1>$D$30:$X$30</formula1>
    </dataValidation>
    <dataValidation type="list" allowBlank="1" showInputMessage="1" showErrorMessage="1" sqref="Y31" xr:uid="{FD0BFE69-F782-436A-B499-0913F37E5AF9}">
      <formula1>$D$31:$X$31</formula1>
    </dataValidation>
    <dataValidation type="list" allowBlank="1" showInputMessage="1" showErrorMessage="1" sqref="Y32" xr:uid="{D887556C-23D8-438F-BDBB-26646A687989}">
      <formula1>$D$32:$X$32</formula1>
    </dataValidation>
    <dataValidation type="list" allowBlank="1" showInputMessage="1" showErrorMessage="1" sqref="Y33" xr:uid="{CADA796D-4870-4A5B-8BDA-C74BE4349F2D}">
      <formula1>$D$33:$X$33</formula1>
    </dataValidation>
    <dataValidation type="list" allowBlank="1" showInputMessage="1" showErrorMessage="1" sqref="Y34" xr:uid="{FA511308-F0C6-4372-AC3A-1B94285546D0}">
      <formula1>$D$34:$X$34</formula1>
    </dataValidation>
    <dataValidation type="list" allowBlank="1" showInputMessage="1" showErrorMessage="1" sqref="Y35" xr:uid="{FC4FE731-3AEB-4CF0-8821-731E06290C98}">
      <formula1>$D$35:$X$35</formula1>
    </dataValidation>
    <dataValidation type="list" allowBlank="1" showInputMessage="1" showErrorMessage="1" sqref="Y36" xr:uid="{CE62E0B7-76A2-46CC-AB64-F25038FA5BFD}">
      <formula1>$D$36:$X$36</formula1>
    </dataValidation>
    <dataValidation type="list" allowBlank="1" showInputMessage="1" showErrorMessage="1" sqref="Y37" xr:uid="{7E5CCDEC-3E1F-486D-B082-3004230707E0}">
      <formula1>$D$37:$X$37</formula1>
    </dataValidation>
    <dataValidation type="list" allowBlank="1" showInputMessage="1" showErrorMessage="1" sqref="Y38" xr:uid="{48DF0637-2863-486F-81B6-F90352D9C2EC}">
      <formula1>$D$38:$X$38</formula1>
    </dataValidation>
    <dataValidation type="list" allowBlank="1" showInputMessage="1" showErrorMessage="1" sqref="Y39" xr:uid="{A9F3788B-FB87-40F8-A5E0-7D6D97D90570}">
      <formula1>$D$39:$X$39</formula1>
    </dataValidation>
    <dataValidation type="list" allowBlank="1" showInputMessage="1" showErrorMessage="1" sqref="Y40" xr:uid="{6B3370E5-8635-4A25-BE7D-468A2188B920}">
      <formula1>$D$40:$X$40</formula1>
    </dataValidation>
    <dataValidation type="list" allowBlank="1" showInputMessage="1" showErrorMessage="1" sqref="Y41" xr:uid="{BEE24F7C-F35F-4DF7-BB93-EAD1AF967FDA}">
      <formula1>$D$41:$X$41</formula1>
    </dataValidation>
    <dataValidation type="list" allowBlank="1" showInputMessage="1" showErrorMessage="1" sqref="Y42" xr:uid="{29C0147D-B477-498E-BD39-3B05CD44B5B4}">
      <formula1>$D$42:$X$42</formula1>
    </dataValidation>
    <dataValidation type="list" allowBlank="1" showInputMessage="1" showErrorMessage="1" sqref="Y43" xr:uid="{077FF600-2A79-4600-9EBF-7D67D45FDFD1}">
      <formula1>$D$43:$X$43</formula1>
    </dataValidation>
    <dataValidation type="list" allowBlank="1" showInputMessage="1" showErrorMessage="1" sqref="Y44" xr:uid="{11E6E06A-2B20-4993-8E6C-907FFBAA67D9}">
      <formula1>$D$44:$X$44</formula1>
    </dataValidation>
    <dataValidation type="list" allowBlank="1" showInputMessage="1" showErrorMessage="1" sqref="Y45" xr:uid="{791E23BF-3FDE-4241-A63A-23E32CF3364D}">
      <formula1>$D$45:$X$45</formula1>
    </dataValidation>
    <dataValidation type="list" allowBlank="1" showInputMessage="1" showErrorMessage="1" sqref="Y46" xr:uid="{457CCF3A-3CD7-423C-B780-BC95D8250A7E}">
      <formula1>$D$46:$X$46</formula1>
    </dataValidation>
    <dataValidation type="list" allowBlank="1" showInputMessage="1" showErrorMessage="1" sqref="Y47" xr:uid="{DC444638-6F85-4B09-A1C1-CE2F384957DF}">
      <formula1>$D$47:$X$47</formula1>
    </dataValidation>
    <dataValidation type="list" allowBlank="1" showInputMessage="1" showErrorMessage="1" sqref="Y48" xr:uid="{00C9A208-FEC8-4441-B60A-C850F108029C}">
      <formula1>$D$48:$X$48</formula1>
    </dataValidation>
    <dataValidation type="list" allowBlank="1" showInputMessage="1" showErrorMessage="1" sqref="Y49" xr:uid="{1EDE9AC0-0A01-47E4-8F2B-AD176748DA34}">
      <formula1>$D$49:$X$49</formula1>
    </dataValidation>
    <dataValidation type="list" allowBlank="1" showInputMessage="1" showErrorMessage="1" sqref="Y50" xr:uid="{DB1CDAF6-6321-419F-A7F9-665B2196BBDE}">
      <formula1>$D$50:$X$50</formula1>
    </dataValidation>
    <dataValidation type="list" allowBlank="1" showInputMessage="1" showErrorMessage="1" sqref="Y51" xr:uid="{8FBD6AF9-E45E-46D8-ACA6-ADFADCDFD8BB}">
      <formula1>$D$51:$X$51</formula1>
    </dataValidation>
    <dataValidation type="list" allowBlank="1" showInputMessage="1" showErrorMessage="1" sqref="Y52" xr:uid="{C40BBA6D-E6D3-47A0-B4B7-3574B0EAA99F}">
      <formula1>$D$52:$X$52</formula1>
    </dataValidation>
    <dataValidation type="list" allowBlank="1" showInputMessage="1" showErrorMessage="1" sqref="Y53" xr:uid="{6D71A5A6-52FB-43F9-B4E4-56A969E48BBF}">
      <formula1>$D$53:$X$53</formula1>
    </dataValidation>
    <dataValidation type="list" allowBlank="1" showInputMessage="1" showErrorMessage="1" sqref="Y54" xr:uid="{B9540DEB-A60E-4068-ACDC-31136A870ABD}">
      <formula1>$D$54:$X$54</formula1>
    </dataValidation>
    <dataValidation type="list" allowBlank="1" showInputMessage="1" showErrorMessage="1" sqref="Y55" xr:uid="{99010A47-6A55-4D37-BDF0-E46909082446}">
      <formula1>$D$55:$X$55</formula1>
    </dataValidation>
    <dataValidation type="list" allowBlank="1" showInputMessage="1" showErrorMessage="1" sqref="Y56" xr:uid="{2ED36116-4FD3-4BA2-AD4C-00C43534EFDC}">
      <formula1>$D$56:$X$56</formula1>
    </dataValidation>
    <dataValidation type="list" allowBlank="1" showInputMessage="1" showErrorMessage="1" sqref="Y57" xr:uid="{BEDC7C3D-2D3E-45A6-A219-1DCBBE0993D0}">
      <formula1>$D$57:$X$57</formula1>
    </dataValidation>
    <dataValidation type="list" allowBlank="1" showInputMessage="1" showErrorMessage="1" sqref="Y58" xr:uid="{A3B775C6-521C-4442-B270-0A7DFF388EAC}">
      <formula1>$D$58:$X$58</formula1>
    </dataValidation>
    <dataValidation type="list" allowBlank="1" showInputMessage="1" showErrorMessage="1" sqref="Y59" xr:uid="{C0775F0C-A413-40F1-8C95-A8C9A76D5E83}">
      <formula1>$D$59:$X$59</formula1>
    </dataValidation>
    <dataValidation type="list" allowBlank="1" showInputMessage="1" showErrorMessage="1" sqref="Y60" xr:uid="{25D56126-B5A4-4FB2-8032-65F2E1366FE1}">
      <formula1>$D$60:$X$60</formula1>
    </dataValidation>
    <dataValidation type="list" allowBlank="1" showInputMessage="1" showErrorMessage="1" sqref="Y61" xr:uid="{67C878F4-986F-47A2-B265-36C142EF045D}">
      <formula1>$D$61:$X$61</formula1>
    </dataValidation>
    <dataValidation type="list" allowBlank="1" showInputMessage="1" showErrorMessage="1" sqref="Y62" xr:uid="{BA05FFD0-177E-4346-A05E-3749D0096F9C}">
      <formula1>$D$62:$X$62</formula1>
    </dataValidation>
    <dataValidation type="list" allowBlank="1" showInputMessage="1" showErrorMessage="1" sqref="Y63" xr:uid="{FA066D70-723F-4215-B8E8-7CF64118F96F}">
      <formula1>$D$63:$X$63</formula1>
    </dataValidation>
    <dataValidation type="list" allowBlank="1" showInputMessage="1" showErrorMessage="1" sqref="Y64" xr:uid="{F259660F-C74D-4EA1-8C48-60DA26CFE2F6}">
      <formula1>$D$64:$X$64</formula1>
    </dataValidation>
    <dataValidation type="list" allowBlank="1" showInputMessage="1" showErrorMessage="1" sqref="Y65" xr:uid="{E0021CE9-1E64-447A-97A7-18539FF5B351}">
      <formula1>$D$65:$X$65</formula1>
    </dataValidation>
    <dataValidation type="list" allowBlank="1" showInputMessage="1" showErrorMessage="1" sqref="Y66" xr:uid="{02389670-A38B-4C2E-A700-24B7FD73F3F0}">
      <formula1>$D$66:$X$66</formula1>
    </dataValidation>
    <dataValidation type="list" allowBlank="1" showInputMessage="1" showErrorMessage="1" sqref="Y67" xr:uid="{5DC04BDD-C32A-48FC-AF81-404D65070B43}">
      <formula1>$D$67:$X$67</formula1>
    </dataValidation>
    <dataValidation type="list" allowBlank="1" showInputMessage="1" showErrorMessage="1" sqref="Y68" xr:uid="{BC7A8786-F155-46BC-9BD1-4CE123FDC6D1}">
      <formula1>$D$68:$X$68</formula1>
    </dataValidation>
    <dataValidation type="list" allowBlank="1" showInputMessage="1" showErrorMessage="1" sqref="Y69" xr:uid="{0A845930-D8D9-4D26-BAAA-B6CF73CFDF67}">
      <formula1>$D$69:$X$69</formula1>
    </dataValidation>
    <dataValidation type="list" allowBlank="1" showInputMessage="1" showErrorMessage="1" sqref="Y70" xr:uid="{59CB5151-18CA-42DC-8ADA-FD5609A65765}">
      <formula1>$D$70:$X$70</formula1>
    </dataValidation>
    <dataValidation type="list" allowBlank="1" showInputMessage="1" showErrorMessage="1" sqref="Y71" xr:uid="{737BB670-E31D-42FB-9360-BE35D1A660E3}">
      <formula1>$D$71:$X$71</formula1>
    </dataValidation>
    <dataValidation type="list" allowBlank="1" showInputMessage="1" showErrorMessage="1" sqref="Y72" xr:uid="{BEC5D40B-D922-4F19-B135-B45446691C55}">
      <formula1>$D$72:$X$72</formula1>
    </dataValidation>
    <dataValidation type="list" allowBlank="1" showInputMessage="1" showErrorMessage="1" sqref="Y73" xr:uid="{DBEFF9C3-2888-453E-9E25-757D6E4E491F}">
      <formula1>$D$73:$X$73</formula1>
    </dataValidation>
    <dataValidation type="list" allowBlank="1" showInputMessage="1" showErrorMessage="1" sqref="Y74" xr:uid="{479262CA-170B-4B2F-9B2F-26F6708F59B5}">
      <formula1>$D$74:$X$74</formula1>
    </dataValidation>
    <dataValidation type="list" allowBlank="1" showInputMessage="1" showErrorMessage="1" sqref="Y249" xr:uid="{5BFB6F59-5E40-4609-ABFE-3FD30127AD3C}">
      <formula1>$D$249:$X$249</formula1>
    </dataValidation>
    <dataValidation type="list" allowBlank="1" showInputMessage="1" showErrorMessage="1" sqref="Y248" xr:uid="{0C270CF7-6948-4C1E-9F76-7ED44C628E04}">
      <formula1>$D$248:$X$248</formula1>
    </dataValidation>
    <dataValidation type="list" allowBlank="1" showInputMessage="1" showErrorMessage="1" sqref="Y247" xr:uid="{8569FB95-34B3-4597-B3BA-08C8AB40FAAB}">
      <formula1>$D$247:$X$247</formula1>
    </dataValidation>
    <dataValidation type="list" allowBlank="1" showInputMessage="1" showErrorMessage="1" sqref="Y246" xr:uid="{ECCD14FD-1960-460E-AE51-B46564E2C285}">
      <formula1>$D$246:$X$246</formula1>
    </dataValidation>
    <dataValidation type="list" allowBlank="1" showInputMessage="1" showErrorMessage="1" sqref="Y245" xr:uid="{6F3DF2DC-7DC3-4D49-B424-6EDF14B4436C}">
      <formula1>$D$245:$X$245</formula1>
    </dataValidation>
    <dataValidation type="list" allowBlank="1" showInputMessage="1" showErrorMessage="1" sqref="Y244" xr:uid="{96D81660-5FE2-4D66-9ACF-FB7E9775B370}">
      <formula1>$D$244:$X$244</formula1>
    </dataValidation>
    <dataValidation type="list" allowBlank="1" showInputMessage="1" showErrorMessage="1" sqref="Y243" xr:uid="{B6D7935C-B6A5-40C6-8791-DF4986642973}">
      <formula1>$D$243:$X$243</formula1>
    </dataValidation>
    <dataValidation type="list" allowBlank="1" showInputMessage="1" showErrorMessage="1" sqref="Y242" xr:uid="{D0524131-A721-4B64-9715-B3C535335EE2}">
      <formula1>$D$242:$X$242</formula1>
    </dataValidation>
    <dataValidation type="list" allowBlank="1" showInputMessage="1" showErrorMessage="1" sqref="Y75" xr:uid="{FE371BBE-BD6D-44FD-9398-586F5A60FB21}">
      <formula1>$D$75:$X$75</formula1>
    </dataValidation>
    <dataValidation type="list" allowBlank="1" showInputMessage="1" showErrorMessage="1" sqref="Y76" xr:uid="{C8C75FDF-E9E5-4E98-B84F-A9CDBCD50282}">
      <formula1>$D$76:$X$76</formula1>
    </dataValidation>
    <dataValidation type="list" allowBlank="1" showInputMessage="1" showErrorMessage="1" sqref="Y77" xr:uid="{DCA58F92-EF4A-46BD-A67D-F8302B58331C}">
      <formula1>$D$77:$X$77</formula1>
    </dataValidation>
    <dataValidation type="list" allowBlank="1" showInputMessage="1" showErrorMessage="1" sqref="Y78" xr:uid="{11159B2C-DB70-447E-9987-BF3432C228B4}">
      <formula1>$D$78:$X$78</formula1>
    </dataValidation>
    <dataValidation type="list" allowBlank="1" showInputMessage="1" showErrorMessage="1" sqref="Y79" xr:uid="{75C8C465-73C5-4307-A9C3-9E1A46D4B8B8}">
      <formula1>$D$79:$X$79</formula1>
    </dataValidation>
    <dataValidation type="list" allowBlank="1" showInputMessage="1" showErrorMessage="1" sqref="Y80" xr:uid="{A8447A8D-7B8A-4B5D-984B-2B6B6446AD34}">
      <formula1>$D$80:$X$80</formula1>
    </dataValidation>
    <dataValidation type="list" allowBlank="1" showInputMessage="1" showErrorMessage="1" sqref="Y81" xr:uid="{4A68E248-191F-4215-9932-C39085240BD3}">
      <formula1>$D$81:$X$81</formula1>
    </dataValidation>
    <dataValidation type="list" allowBlank="1" showInputMessage="1" showErrorMessage="1" sqref="Y82" xr:uid="{95B15E13-3A66-4B55-908B-DD46FA2279B4}">
      <formula1>$D$82:$X$82</formula1>
    </dataValidation>
    <dataValidation type="list" allowBlank="1" showInputMessage="1" showErrorMessage="1" sqref="Y83" xr:uid="{23C75CDB-5ABA-428D-B82A-04238764B600}">
      <formula1>$D$83:$X$83</formula1>
    </dataValidation>
    <dataValidation type="list" allowBlank="1" showInputMessage="1" showErrorMessage="1" sqref="Y84" xr:uid="{1DA50132-0ED6-4CA7-95D7-7097A005DC27}">
      <formula1>$D$84:$X$84</formula1>
    </dataValidation>
    <dataValidation type="list" allowBlank="1" showInputMessage="1" showErrorMessage="1" sqref="Y85" xr:uid="{C27B5295-A1C9-4FEE-8798-3BB1FBB1127B}">
      <formula1>$D$85:$X$85</formula1>
    </dataValidation>
    <dataValidation type="list" allowBlank="1" showInputMessage="1" showErrorMessage="1" sqref="Y86" xr:uid="{B06CFAA4-F58E-455C-89BD-55E99F0FF8FD}">
      <formula1>$D$86:$X$86</formula1>
    </dataValidation>
    <dataValidation type="list" allowBlank="1" showInputMessage="1" showErrorMessage="1" sqref="Y87" xr:uid="{D0220B2B-61E3-4C42-98EE-CFBC664F9187}">
      <formula1>$D$87:$X$87</formula1>
    </dataValidation>
    <dataValidation type="list" allowBlank="1" showInputMessage="1" showErrorMessage="1" sqref="Y88" xr:uid="{AD8F9544-7612-4B54-B97F-834CAEB1BF95}">
      <formula1>$D$88:$X$88</formula1>
    </dataValidation>
    <dataValidation type="list" allowBlank="1" showInputMessage="1" showErrorMessage="1" sqref="Y89" xr:uid="{5C696FD5-596D-4382-9965-7FACC4DAA631}">
      <formula1>$D$89:$X$89</formula1>
    </dataValidation>
    <dataValidation type="list" allowBlank="1" showInputMessage="1" showErrorMessage="1" sqref="Y90" xr:uid="{81EA4099-760F-4DA5-BBA2-0BCAC07DAE09}">
      <formula1>$D$90:$X$90</formula1>
    </dataValidation>
    <dataValidation type="list" allowBlank="1" showInputMessage="1" showErrorMessage="1" sqref="Y91" xr:uid="{E90CAB48-E27D-4636-9A21-3DB91AA8B684}">
      <formula1>$D$91:$X$91</formula1>
    </dataValidation>
    <dataValidation type="list" allowBlank="1" showInputMessage="1" showErrorMessage="1" sqref="Y92" xr:uid="{B65F7EDC-5565-4791-8028-4EE3754556B4}">
      <formula1>$D$92:$X$92</formula1>
    </dataValidation>
    <dataValidation type="list" allowBlank="1" showInputMessage="1" showErrorMessage="1" sqref="Y93" xr:uid="{D85666F1-22BA-4A45-92F8-DA6C8274EDB6}">
      <formula1>$D$93:$X$93</formula1>
    </dataValidation>
    <dataValidation type="list" allowBlank="1" showInputMessage="1" showErrorMessage="1" sqref="Y94" xr:uid="{E356691B-AECF-4233-AD61-9E5A9F09F25E}">
      <formula1>$D$94:$X$94</formula1>
    </dataValidation>
    <dataValidation type="list" allowBlank="1" showInputMessage="1" showErrorMessage="1" sqref="Y95" xr:uid="{E70FDFB5-1D87-4170-BEAD-DB29306E435A}">
      <formula1>$D$95:$X$95</formula1>
    </dataValidation>
    <dataValidation type="list" allowBlank="1" showInputMessage="1" showErrorMessage="1" sqref="Y96" xr:uid="{8D3F0092-EFF6-4DBB-92D5-CF1EBCB2211D}">
      <formula1>$D$96:$X$96</formula1>
    </dataValidation>
    <dataValidation type="list" allowBlank="1" showInputMessage="1" showErrorMessage="1" sqref="Y97" xr:uid="{7D6620EB-D656-4B03-BD1F-78B182337CD6}">
      <formula1>$D$97:$X$97</formula1>
    </dataValidation>
    <dataValidation type="list" allowBlank="1" showInputMessage="1" showErrorMessage="1" sqref="Y98" xr:uid="{359E425A-4993-4C8F-A0EC-0D4161AA1EFF}">
      <formula1>$D$98:$X$98</formula1>
    </dataValidation>
    <dataValidation type="list" allowBlank="1" showInputMessage="1" showErrorMessage="1" sqref="Y99" xr:uid="{DA8BDAB3-CD48-4F39-8220-6C0A1F860FCF}">
      <formula1>$D$99:$X$99</formula1>
    </dataValidation>
    <dataValidation type="list" allowBlank="1" showInputMessage="1" showErrorMessage="1" sqref="Y100" xr:uid="{9B3A5B95-EF16-482E-AC09-7C699A616819}">
      <formula1>$D$100:$X$100</formula1>
    </dataValidation>
    <dataValidation type="list" allowBlank="1" showInputMessage="1" showErrorMessage="1" sqref="Y101" xr:uid="{8D52F0B8-33DE-4F37-BFBD-22EF00FC8FBA}">
      <formula1>$D$101:$X$101</formula1>
    </dataValidation>
    <dataValidation type="list" allowBlank="1" showInputMessage="1" showErrorMessage="1" sqref="Y102" xr:uid="{8FC59666-AA9B-4B0A-BFA7-CBE7264D8EBD}">
      <formula1>$D$102:$X$102</formula1>
    </dataValidation>
    <dataValidation type="list" allowBlank="1" showInputMessage="1" showErrorMessage="1" sqref="Y103" xr:uid="{54E9AD2C-2FA8-4808-AAAF-0595455CBC0B}">
      <formula1>$D$103:$X$103</formula1>
    </dataValidation>
    <dataValidation type="list" allowBlank="1" showInputMessage="1" showErrorMessage="1" sqref="Y104" xr:uid="{E3E8DAEE-E4FE-45BD-83F7-5A73939FBCB4}">
      <formula1>$D$104:$X$104</formula1>
    </dataValidation>
    <dataValidation type="list" allowBlank="1" showInputMessage="1" showErrorMessage="1" sqref="Y105" xr:uid="{20C07AE4-2FBC-4937-AFE3-C3ADDEB4DDF0}">
      <formula1>$D$105:$X$105</formula1>
    </dataValidation>
    <dataValidation type="list" allowBlank="1" showInputMessage="1" showErrorMessage="1" sqref="Y106" xr:uid="{0DF33BAB-5164-4A98-979C-7CB10C2402AE}">
      <formula1>$D$106:$X$106</formula1>
    </dataValidation>
    <dataValidation type="list" allowBlank="1" showInputMessage="1" showErrorMessage="1" sqref="Y107" xr:uid="{D0860230-78C9-46CE-B1A1-3E4D703E8FF0}">
      <formula1>$D$107:$X$107</formula1>
    </dataValidation>
    <dataValidation type="list" allowBlank="1" showInputMessage="1" showErrorMessage="1" sqref="Y108" xr:uid="{F4258E3D-5AA6-40BB-A91F-566B3E629145}">
      <formula1>$D$108:$X$108</formula1>
    </dataValidation>
    <dataValidation type="list" allowBlank="1" showInputMessage="1" showErrorMessage="1" sqref="Y109" xr:uid="{C019F028-5544-4804-990E-2D398E78324B}">
      <formula1>$D$109:$X$109</formula1>
    </dataValidation>
    <dataValidation type="list" allowBlank="1" showInputMessage="1" showErrorMessage="1" sqref="Y110" xr:uid="{A737BFB8-8D15-4D23-8B90-4370BE11B26C}">
      <formula1>$D$110:$X$110</formula1>
    </dataValidation>
    <dataValidation type="list" allowBlank="1" showInputMessage="1" showErrorMessage="1" sqref="Y111" xr:uid="{4C37FF48-71B5-45FF-8D33-F8E36E6EFFC1}">
      <formula1>$D$111:$X$111</formula1>
    </dataValidation>
    <dataValidation type="list" allowBlank="1" showInputMessage="1" showErrorMessage="1" sqref="Y112" xr:uid="{A0E3D6A6-1F9D-441D-8E4E-ED6FB4043DE4}">
      <formula1>$D$112:$X$112</formula1>
    </dataValidation>
    <dataValidation type="list" allowBlank="1" showInputMessage="1" showErrorMessage="1" sqref="Y113" xr:uid="{D2854F14-7403-4737-B4EC-1C13CBE38DFC}">
      <formula1>$D$113:$X$113</formula1>
    </dataValidation>
    <dataValidation type="list" allowBlank="1" showInputMessage="1" showErrorMessage="1" sqref="Y114" xr:uid="{4E178E07-49D1-485E-B0A7-24E6AFFF21BD}">
      <formula1>$D$114:$X$114</formula1>
    </dataValidation>
    <dataValidation type="list" allowBlank="1" showInputMessage="1" showErrorMessage="1" sqref="Y115" xr:uid="{B90803D4-DC14-48E2-A255-87D4763B09BB}">
      <formula1>$D$115:$X$115</formula1>
    </dataValidation>
    <dataValidation type="list" allowBlank="1" showInputMessage="1" showErrorMessage="1" sqref="Y116" xr:uid="{5371F8A4-1CAA-4046-80A4-D5317092262A}">
      <formula1>$D$116:$X$116</formula1>
    </dataValidation>
    <dataValidation type="list" allowBlank="1" showInputMessage="1" showErrorMessage="1" sqref="Y117" xr:uid="{9033850B-3C2B-477B-92A1-E37940607537}">
      <formula1>$D$117:$X$117</formula1>
    </dataValidation>
    <dataValidation type="list" allowBlank="1" showInputMessage="1" showErrorMessage="1" sqref="Y118" xr:uid="{52D4D5D6-AE6D-4E53-A34E-AE80230D5DFA}">
      <formula1>$D$118:$X$118</formula1>
    </dataValidation>
    <dataValidation type="list" allowBlank="1" showInputMessage="1" showErrorMessage="1" sqref="Y119" xr:uid="{BB7C0021-CE20-497E-BA71-F322B92BBCB6}">
      <formula1>$D$119:$X$119</formula1>
    </dataValidation>
    <dataValidation type="list" allowBlank="1" showInputMessage="1" showErrorMessage="1" sqref="Y120" xr:uid="{C288B835-E4C7-4972-850D-1372954558E9}">
      <formula1>$D$120:$X$120</formula1>
    </dataValidation>
    <dataValidation type="list" allowBlank="1" showInputMessage="1" showErrorMessage="1" sqref="Y121" xr:uid="{7FDA538C-EA9C-49F0-981F-6C28333E2D9F}">
      <formula1>$D$121:$X$121</formula1>
    </dataValidation>
    <dataValidation type="list" allowBlank="1" showInputMessage="1" showErrorMessage="1" sqref="Y122" xr:uid="{2B4E19CA-4403-4F6C-A0D1-1A6B17059B62}">
      <formula1>$D$122:$X$122</formula1>
    </dataValidation>
    <dataValidation type="list" allowBlank="1" showInputMessage="1" showErrorMessage="1" sqref="Y123" xr:uid="{AD65B528-98AF-440D-82C8-71D983C0F7C1}">
      <formula1>$D$123:$X$123</formula1>
    </dataValidation>
    <dataValidation type="list" allowBlank="1" showInputMessage="1" showErrorMessage="1" sqref="Y124" xr:uid="{369B0A67-9359-4476-BE70-522092587825}">
      <formula1>$D$124:$X$124</formula1>
    </dataValidation>
    <dataValidation type="list" allowBlank="1" showInputMessage="1" showErrorMessage="1" sqref="Y125" xr:uid="{70E2487D-3F76-4F50-BFAC-EAB1A5CD0800}">
      <formula1>$D$125:$X$125</formula1>
    </dataValidation>
    <dataValidation type="list" allowBlank="1" showInputMessage="1" showErrorMessage="1" sqref="Y126" xr:uid="{3A46F534-FA10-4D97-8CE3-96B40797A1C6}">
      <formula1>$D$126:$X$126</formula1>
    </dataValidation>
    <dataValidation type="list" allowBlank="1" showInputMessage="1" showErrorMessage="1" sqref="Y127" xr:uid="{3071B9EF-25B7-4744-A408-6FE8330043CF}">
      <formula1>$D$127:$X$127</formula1>
    </dataValidation>
    <dataValidation type="list" allowBlank="1" showInputMessage="1" showErrorMessage="1" sqref="Y128" xr:uid="{9BDF2596-9E38-4515-B9F2-7933D4C8A93C}">
      <formula1>$D$128:$X$128</formula1>
    </dataValidation>
    <dataValidation type="list" allowBlank="1" showInputMessage="1" showErrorMessage="1" sqref="Y129" xr:uid="{6EF6BD0F-E29A-4E88-BAA5-846C5B8ECCFC}">
      <formula1>$D$129:$X$129</formula1>
    </dataValidation>
    <dataValidation type="list" allowBlank="1" showInputMessage="1" showErrorMessage="1" sqref="Y130" xr:uid="{26135C8C-CDDE-404E-8362-D136F72973EE}">
      <formula1>$D$130:$X$130</formula1>
    </dataValidation>
    <dataValidation type="list" allowBlank="1" showInputMessage="1" showErrorMessage="1" sqref="Y131" xr:uid="{4E52C2DE-764A-4418-9B87-181FE50D5B4C}">
      <formula1>$D$131:$X$131</formula1>
    </dataValidation>
    <dataValidation type="list" allowBlank="1" showInputMessage="1" showErrorMessage="1" sqref="Y132" xr:uid="{6E1E7BF8-BBC8-48F0-8F28-7CD396BFBDD0}">
      <formula1>$D$132:$X$132</formula1>
    </dataValidation>
    <dataValidation type="list" allowBlank="1" showInputMessage="1" showErrorMessage="1" sqref="Y133" xr:uid="{A1C411C0-80A6-4FF7-8089-A1C9E07612BC}">
      <formula1>$D$133:$X$133</formula1>
    </dataValidation>
    <dataValidation type="list" allowBlank="1" showInputMessage="1" showErrorMessage="1" sqref="Y134" xr:uid="{26ACD67B-EDF0-4A62-ADE2-CB6E0A4BB1ED}">
      <formula1>$D$134:$X$134</formula1>
    </dataValidation>
    <dataValidation type="list" allowBlank="1" showInputMessage="1" showErrorMessage="1" sqref="Y135" xr:uid="{772D5AC0-1057-4CD1-BA6B-AE1367BFD987}">
      <formula1>$D$135:$X$135</formula1>
    </dataValidation>
    <dataValidation type="list" allowBlank="1" showInputMessage="1" showErrorMessage="1" sqref="Y151" xr:uid="{666E18D6-ECAF-4A0B-B3F3-CDBA40871C98}">
      <formula1>$D$151:$X$151</formula1>
    </dataValidation>
    <dataValidation type="list" allowBlank="1" showInputMessage="1" showErrorMessage="1" sqref="Y152" xr:uid="{E4F762ED-55DC-4A52-A775-4F21CF96005C}">
      <formula1>$D$152:$X$152</formula1>
    </dataValidation>
    <dataValidation type="list" allowBlank="1" showInputMessage="1" showErrorMessage="1" sqref="Y153" xr:uid="{4778D0A0-99D3-4565-9AC7-D31144D3D2F4}">
      <formula1>$D$153:$X$153</formula1>
    </dataValidation>
    <dataValidation type="list" allowBlank="1" showInputMessage="1" showErrorMessage="1" sqref="Y154" xr:uid="{2AA7E46B-9A84-46DB-AF49-E13B95A5EF1D}">
      <formula1>$D$154:$X$154</formula1>
    </dataValidation>
    <dataValidation type="list" allowBlank="1" showInputMessage="1" showErrorMessage="1" sqref="Y155" xr:uid="{ED6F158E-D782-468A-A971-485B6D423E66}">
      <formula1>$D$155:$X$155</formula1>
    </dataValidation>
    <dataValidation type="list" allowBlank="1" showInputMessage="1" showErrorMessage="1" sqref="Y136" xr:uid="{07A86B83-EE6C-4CA1-8023-57B0A1087627}">
      <formula1>$D$136:$X$136</formula1>
    </dataValidation>
    <dataValidation type="list" allowBlank="1" showInputMessage="1" showErrorMessage="1" sqref="Y137" xr:uid="{F223750A-CF0E-41A5-96B7-741EB1A30362}">
      <formula1>$D$137:$X$137</formula1>
    </dataValidation>
    <dataValidation type="list" allowBlank="1" showInputMessage="1" showErrorMessage="1" sqref="Y138" xr:uid="{754A9DFE-24B2-4612-B754-B4EF8F06245D}">
      <formula1>$D$138:$X$138</formula1>
    </dataValidation>
    <dataValidation type="list" allowBlank="1" showInputMessage="1" showErrorMessage="1" sqref="Y139" xr:uid="{84F7C9C8-6C18-4F69-B85C-9EAF8B931FE2}">
      <formula1>$D$139:$X$139</formula1>
    </dataValidation>
    <dataValidation type="list" allowBlank="1" showInputMessage="1" showErrorMessage="1" sqref="Y140" xr:uid="{E0CB59F6-5D58-4660-9DC1-091DE5F422C1}">
      <formula1>$D$140:$X$140</formula1>
    </dataValidation>
    <dataValidation type="list" allowBlank="1" showInputMessage="1" showErrorMessage="1" sqref="Y141" xr:uid="{A01675FE-67E7-4E6F-B265-C90197D825C1}">
      <formula1>$D$141:$X$141</formula1>
    </dataValidation>
    <dataValidation type="list" allowBlank="1" showInputMessage="1" showErrorMessage="1" sqref="Y142" xr:uid="{6580479C-D1AA-4E69-9C65-8161A548C0AF}">
      <formula1>$D$142:$X$142</formula1>
    </dataValidation>
    <dataValidation type="list" allowBlank="1" showInputMessage="1" showErrorMessage="1" sqref="Y143" xr:uid="{06856017-2EF5-4819-B129-A9824D173F14}">
      <formula1>$D$143:$X$143</formula1>
    </dataValidation>
    <dataValidation type="list" allowBlank="1" showInputMessage="1" showErrorMessage="1" sqref="Y144" xr:uid="{D8D3D286-565A-4FE5-9831-8A726F463569}">
      <formula1>$D$144:$X$144</formula1>
    </dataValidation>
    <dataValidation type="list" allowBlank="1" showInputMessage="1" showErrorMessage="1" sqref="Y145" xr:uid="{5E2F8064-C0F8-4FA6-9572-20B61A34A9E2}">
      <formula1>$D$145:$X$145</formula1>
    </dataValidation>
    <dataValidation type="list" allowBlank="1" showInputMessage="1" showErrorMessage="1" sqref="Y146" xr:uid="{9F451EC4-C539-48F1-AA76-41BD3C35965B}">
      <formula1>$D$146:$X$146</formula1>
    </dataValidation>
    <dataValidation type="list" allowBlank="1" showInputMessage="1" showErrorMessage="1" sqref="Y147" xr:uid="{CD04F6A2-6833-48A9-95D7-DDABB9F86E0B}">
      <formula1>$D$147:$X$147</formula1>
    </dataValidation>
    <dataValidation type="list" allowBlank="1" showInputMessage="1" showErrorMessage="1" sqref="Y148" xr:uid="{D8A6103F-85E3-4C7B-80A4-A5B90AF9C33A}">
      <formula1>$D$148:$X$148</formula1>
    </dataValidation>
    <dataValidation type="list" allowBlank="1" showInputMessage="1" showErrorMessage="1" sqref="Y149" xr:uid="{8059981C-089C-4552-A878-C680D6E36C46}">
      <formula1>$D$149:$X$149</formula1>
    </dataValidation>
    <dataValidation type="list" allowBlank="1" showInputMessage="1" showErrorMessage="1" sqref="Y150" xr:uid="{0C4C8B67-5F1E-4D28-82A8-82677B16C358}">
      <formula1>$D$150:$X$150</formula1>
    </dataValidation>
    <dataValidation type="list" allowBlank="1" showInputMessage="1" showErrorMessage="1" sqref="Y156" xr:uid="{E9A4DE48-BBD3-4CDE-B5DA-9CAD4CE4CDF6}">
      <formula1>$D$156:$X$156</formula1>
    </dataValidation>
    <dataValidation type="list" allowBlank="1" showInputMessage="1" showErrorMessage="1" sqref="Y157" xr:uid="{F19B4ADC-8487-4033-B1ED-59ED447B956F}">
      <formula1>$D$157:$X$157</formula1>
    </dataValidation>
    <dataValidation type="list" allowBlank="1" showInputMessage="1" showErrorMessage="1" sqref="Y158" xr:uid="{D73EAB08-3E0D-4C01-A9EC-4C5DD9C7BD47}">
      <formula1>$D$158:$X$158</formula1>
    </dataValidation>
    <dataValidation type="list" allowBlank="1" showInputMessage="1" showErrorMessage="1" sqref="Y159" xr:uid="{97801460-563B-49EC-8F85-3FDA0CE72B45}">
      <formula1>$D$159:$X$159</formula1>
    </dataValidation>
    <dataValidation type="list" allowBlank="1" showInputMessage="1" showErrorMessage="1" sqref="Y160" xr:uid="{BDFE9C38-0261-49C8-B333-E52ED27994DA}">
      <formula1>$D$160:$X$160</formula1>
    </dataValidation>
    <dataValidation type="list" allowBlank="1" showInputMessage="1" showErrorMessage="1" sqref="Y161" xr:uid="{FB1A2B21-61C0-45DE-B512-5B00DE4686D6}">
      <formula1>$D$161:$X$161</formula1>
    </dataValidation>
    <dataValidation type="list" allowBlank="1" showInputMessage="1" showErrorMessage="1" sqref="Y162" xr:uid="{A494C8E8-2DEB-48E8-A46D-A883D2F366DC}">
      <formula1>$D$162:$X$162</formula1>
    </dataValidation>
    <dataValidation type="list" allowBlank="1" showInputMessage="1" showErrorMessage="1" sqref="Y163" xr:uid="{C8558CCD-0BF1-40AA-90D8-008563397162}">
      <formula1>$D$163:$X$163</formula1>
    </dataValidation>
    <dataValidation type="list" allowBlank="1" showInputMessage="1" showErrorMessage="1" sqref="Y164" xr:uid="{6A7C5D9B-AED2-4A23-9A98-E2E350C04DD4}">
      <formula1>$D$164:$X$164</formula1>
    </dataValidation>
    <dataValidation type="list" allowBlank="1" showInputMessage="1" showErrorMessage="1" sqref="Y165" xr:uid="{46129916-7677-4506-AE60-87BF5E66D3E1}">
      <formula1>$D$165:$X$165</formula1>
    </dataValidation>
    <dataValidation type="list" allowBlank="1" showInputMessage="1" showErrorMessage="1" sqref="Y166" xr:uid="{9FFAC685-381D-4A27-B286-81AAE231A593}">
      <formula1>$D$166:$X$166</formula1>
    </dataValidation>
    <dataValidation type="list" allowBlank="1" showInputMessage="1" showErrorMessage="1" sqref="Y167" xr:uid="{BD2E1B52-5847-4618-8E59-FEB83D9FC31E}">
      <formula1>$D$167:$X$167</formula1>
    </dataValidation>
    <dataValidation type="list" allowBlank="1" showInputMessage="1" showErrorMessage="1" sqref="Y168" xr:uid="{64B43D31-8664-42C4-8D0B-CBB3D2DBF97D}">
      <formula1>$D$168:$X$168</formula1>
    </dataValidation>
    <dataValidation type="list" allowBlank="1" showInputMessage="1" showErrorMessage="1" sqref="Y169" xr:uid="{B797552D-3848-4A30-A652-C23DB9AB040F}">
      <formula1>$D$169:$X$169</formula1>
    </dataValidation>
    <dataValidation type="list" allowBlank="1" showInputMessage="1" showErrorMessage="1" sqref="Y170" xr:uid="{2DAEAB89-843B-45EF-9C8B-7806CE4D38FF}">
      <formula1>$D$170:$X$170</formula1>
    </dataValidation>
    <dataValidation type="list" allowBlank="1" showInputMessage="1" showErrorMessage="1" sqref="Y171" xr:uid="{86C69A5A-C44B-4A27-A659-C603853842EC}">
      <formula1>$D$171:$X$171</formula1>
    </dataValidation>
    <dataValidation type="list" allowBlank="1" showInputMessage="1" showErrorMessage="1" sqref="Y172" xr:uid="{81465803-A1B4-43C6-974A-30BF6ECABF74}">
      <formula1>$D$172:$X$172</formula1>
    </dataValidation>
    <dataValidation type="list" allowBlank="1" showInputMessage="1" showErrorMessage="1" sqref="Y173" xr:uid="{3B0B63C2-E7FA-419E-80F7-48909FB76624}">
      <formula1>$D$173:$X$173</formula1>
    </dataValidation>
    <dataValidation type="list" allowBlank="1" showInputMessage="1" showErrorMessage="1" sqref="Y174" xr:uid="{5EBBA9AB-780B-45E1-8530-0B0105809FC5}">
      <formula1>$D$174:$X$174</formula1>
    </dataValidation>
    <dataValidation type="list" allowBlank="1" showInputMessage="1" showErrorMessage="1" sqref="Y175" xr:uid="{A293348E-0A08-40DC-A828-2AB07DDABCFB}">
      <formula1>$D$175:$X$175</formula1>
    </dataValidation>
    <dataValidation type="list" allowBlank="1" showInputMessage="1" showErrorMessage="1" sqref="Y176" xr:uid="{78934F1D-620B-46D8-A412-92B0A2493F67}">
      <formula1>$D$176:$X$176</formula1>
    </dataValidation>
    <dataValidation type="list" allowBlank="1" showInputMessage="1" showErrorMessage="1" sqref="Y177" xr:uid="{0725BE7C-328B-4C2E-A72D-57DE44D6C3EA}">
      <formula1>$D$177:$X$177</formula1>
    </dataValidation>
    <dataValidation type="list" allowBlank="1" showInputMessage="1" showErrorMessage="1" sqref="Y178" xr:uid="{C97766A1-444F-42DF-AA30-AD0622279F0B}">
      <formula1>$D$178:$X$178</formula1>
    </dataValidation>
    <dataValidation type="list" allowBlank="1" showInputMessage="1" showErrorMessage="1" sqref="Y179" xr:uid="{1C6A5680-BAB5-4AF2-A859-C1665361B2E3}">
      <formula1>$D$179:$X$179</formula1>
    </dataValidation>
    <dataValidation type="list" allowBlank="1" showInputMessage="1" showErrorMessage="1" sqref="Y180" xr:uid="{8B82BB37-D11E-4F8A-8540-EAC21CEA779F}">
      <formula1>$D$180:$X$180</formula1>
    </dataValidation>
    <dataValidation type="list" allowBlank="1" showInputMessage="1" showErrorMessage="1" sqref="Y181" xr:uid="{2533E22E-65C6-43CD-9CAC-C20E0B6AEB91}">
      <formula1>$D$181:$X$181</formula1>
    </dataValidation>
    <dataValidation type="list" allowBlank="1" showInputMessage="1" showErrorMessage="1" sqref="Y182" xr:uid="{22969F94-6764-4909-A500-0099E977CF2E}">
      <formula1>$D$182:$X$182</formula1>
    </dataValidation>
    <dataValidation type="list" allowBlank="1" showInputMessage="1" showErrorMessage="1" sqref="Y183" xr:uid="{D31D05C7-8065-4C3A-9378-2FCA81810459}">
      <formula1>$D$183:$X$183</formula1>
    </dataValidation>
    <dataValidation type="list" allowBlank="1" showInputMessage="1" showErrorMessage="1" sqref="Y184" xr:uid="{4C0B4B7E-CA8C-4AFA-A772-876A1B94AEFF}">
      <formula1>$D$184:$X$184</formula1>
    </dataValidation>
    <dataValidation type="list" allowBlank="1" showInputMessage="1" showErrorMessage="1" sqref="Y185" xr:uid="{F976C40C-0D76-4A74-B9F6-CFF967EC0684}">
      <formula1>$D$185:$X$185</formula1>
    </dataValidation>
    <dataValidation type="list" allowBlank="1" showInputMessage="1" showErrorMessage="1" sqref="Y186" xr:uid="{B23A160E-9702-4EC3-AE07-B9B3730BFC1B}">
      <formula1>$D$186:$X$186</formula1>
    </dataValidation>
    <dataValidation type="list" allowBlank="1" showInputMessage="1" showErrorMessage="1" sqref="Y187" xr:uid="{ACD6AAC5-EA91-4DE2-AD58-52024FE06093}">
      <formula1>$D$187:$X$187</formula1>
    </dataValidation>
    <dataValidation type="list" allowBlank="1" showInputMessage="1" showErrorMessage="1" sqref="Y188" xr:uid="{9C98533D-12F6-4401-934D-283A4F38832E}">
      <formula1>$D$188:$X$188</formula1>
    </dataValidation>
    <dataValidation type="list" allowBlank="1" showInputMessage="1" showErrorMessage="1" sqref="Y189" xr:uid="{FE37E6AD-4EE6-40B2-B4B5-71049E667256}">
      <formula1>$D$189:$X$189</formula1>
    </dataValidation>
    <dataValidation type="list" allowBlank="1" showInputMessage="1" showErrorMessage="1" sqref="Y190" xr:uid="{A7631205-4279-45A9-B677-5EDFB58E037B}">
      <formula1>$D$190:$X$190</formula1>
    </dataValidation>
    <dataValidation type="list" allowBlank="1" showInputMessage="1" showErrorMessage="1" sqref="Y191" xr:uid="{DD239BCE-17BF-4559-898F-093D201C8C21}">
      <formula1>$D$191:$X$191</formula1>
    </dataValidation>
    <dataValidation type="list" allowBlank="1" showInputMessage="1" showErrorMessage="1" sqref="Y192" xr:uid="{8308A264-FCF5-492D-AB08-FAB41533D5C4}">
      <formula1>$D$192:$X$192</formula1>
    </dataValidation>
    <dataValidation type="list" allowBlank="1" showInputMessage="1" showErrorMessage="1" sqref="Y193" xr:uid="{7356B8AB-CBCA-4DB9-9765-BEA18403D77A}">
      <formula1>$D$193:$X$193</formula1>
    </dataValidation>
    <dataValidation type="list" allowBlank="1" showInputMessage="1" showErrorMessage="1" sqref="Y194" xr:uid="{BAA2A914-11E4-4A8E-9B41-653F83D235ED}">
      <formula1>$D$194:$X$194</formula1>
    </dataValidation>
    <dataValidation type="list" allowBlank="1" showInputMessage="1" showErrorMessage="1" sqref="Y195" xr:uid="{BEFB5FDE-694F-4F7E-8B35-D6D1B92B95BC}">
      <formula1>$D$195:$X$195</formula1>
    </dataValidation>
    <dataValidation type="list" allowBlank="1" showInputMessage="1" showErrorMessage="1" sqref="Y196" xr:uid="{DDA91220-4991-4804-B06B-E74961C25420}">
      <formula1>$D$196:$X$196</formula1>
    </dataValidation>
    <dataValidation type="list" allowBlank="1" showInputMessage="1" showErrorMessage="1" sqref="Y197" xr:uid="{A8FB029B-169F-4536-97F9-45409004E8DD}">
      <formula1>$D$197:$X$197</formula1>
    </dataValidation>
    <dataValidation type="list" allowBlank="1" showInputMessage="1" showErrorMessage="1" sqref="Y198" xr:uid="{FE48A3DF-C8E4-43EB-947D-70BB4836F9F1}">
      <formula1>$D$198:$X$198</formula1>
    </dataValidation>
    <dataValidation type="list" allowBlank="1" showInputMessage="1" showErrorMessage="1" sqref="Y199" xr:uid="{7B42F1BE-1F33-434D-877F-D19E3A29C513}">
      <formula1>$D$199:$X$199</formula1>
    </dataValidation>
    <dataValidation type="list" allowBlank="1" showInputMessage="1" showErrorMessage="1" sqref="Y200" xr:uid="{1DC97B92-CB5D-4A32-8680-E44B9F2CA858}">
      <formula1>$D$200:$X$200</formula1>
    </dataValidation>
    <dataValidation type="list" allowBlank="1" showInputMessage="1" showErrorMessage="1" sqref="Y201" xr:uid="{F5CE3FA8-C36C-4AD9-9122-F7B51CE47A50}">
      <formula1>$D$201:$X$201</formula1>
    </dataValidation>
    <dataValidation type="list" allowBlank="1" showInputMessage="1" showErrorMessage="1" sqref="Y202" xr:uid="{F9C3EF92-8784-4F03-830E-D5386793523D}">
      <formula1>$D$202:$X$202</formula1>
    </dataValidation>
    <dataValidation type="list" allowBlank="1" showInputMessage="1" showErrorMessage="1" sqref="Y203" xr:uid="{6F04DDF2-B2D7-423C-8B34-1F8207A1D420}">
      <formula1>$D$203:$X$203</formula1>
    </dataValidation>
    <dataValidation type="list" allowBlank="1" showInputMessage="1" showErrorMessage="1" sqref="Y204" xr:uid="{BB90CB3A-4EE0-437F-AB0B-F513AF5FB57A}">
      <formula1>$D$204:$X$204</formula1>
    </dataValidation>
    <dataValidation type="list" allowBlank="1" showInputMessage="1" showErrorMessage="1" sqref="Y205" xr:uid="{4DFE16EC-F2D4-4F8E-A03E-268A64227C0B}">
      <formula1>$D$205:$X$205</formula1>
    </dataValidation>
    <dataValidation type="list" allowBlank="1" showInputMessage="1" showErrorMessage="1" sqref="Y206" xr:uid="{01088091-97B1-40DD-A8C5-31F92D8478A9}">
      <formula1>$D$206:$X$206</formula1>
    </dataValidation>
    <dataValidation type="list" allowBlank="1" showInputMessage="1" showErrorMessage="1" sqref="Y207" xr:uid="{0927880F-6162-4A43-967F-18CBDF02353F}">
      <formula1>$D$207:$X$207</formula1>
    </dataValidation>
    <dataValidation type="list" allowBlank="1" showInputMessage="1" showErrorMessage="1" sqref="Y208" xr:uid="{08CC1BB7-7B0B-4D21-A634-5BFE8AA4FF38}">
      <formula1>$D$208:$X$208</formula1>
    </dataValidation>
    <dataValidation type="list" allowBlank="1" showInputMessage="1" showErrorMessage="1" sqref="Y209" xr:uid="{33C6CBAE-E2B4-4FFA-AF87-4D95F2EB6B29}">
      <formula1>$D$209:$X$209</formula1>
    </dataValidation>
    <dataValidation type="list" allowBlank="1" showInputMessage="1" showErrorMessage="1" sqref="Y210" xr:uid="{27FF6199-F7D2-4EA3-B4F0-EE83374DA09B}">
      <formula1>$D$210:$X$210</formula1>
    </dataValidation>
    <dataValidation type="list" allowBlank="1" showInputMessage="1" showErrorMessage="1" sqref="Y211" xr:uid="{4436D701-A2EA-449A-98B4-81701F1828A1}">
      <formula1>$D$211:$X$211</formula1>
    </dataValidation>
    <dataValidation type="list" allowBlank="1" showInputMessage="1" showErrorMessage="1" sqref="Y212" xr:uid="{1B825AAF-83E5-4FD7-BDB7-99F753DC10B0}">
      <formula1>$D$212:$X$212</formula1>
    </dataValidation>
    <dataValidation type="list" allowBlank="1" showInputMessage="1" showErrorMessage="1" sqref="Y213" xr:uid="{0D88A5DC-8A5D-4BF7-BDA6-EB8EF22FEE33}">
      <formula1>$D$213:$X$213</formula1>
    </dataValidation>
    <dataValidation type="list" allowBlank="1" showInputMessage="1" showErrorMessage="1" sqref="Y214" xr:uid="{6DB80CBE-33B1-456F-9416-AB39B3D77AF7}">
      <formula1>$D$214:$X$214</formula1>
    </dataValidation>
    <dataValidation type="list" allowBlank="1" showInputMessage="1" showErrorMessage="1" sqref="Y215" xr:uid="{F5CF0643-95EF-4119-804E-C06EC81F1E10}">
      <formula1>$D$215:$X$215</formula1>
    </dataValidation>
    <dataValidation type="list" allowBlank="1" showInputMessage="1" showErrorMessage="1" sqref="Y216" xr:uid="{6F2833B7-2AF3-4722-A3CC-D4A924C461F5}">
      <formula1>$D$216:$X$216</formula1>
    </dataValidation>
    <dataValidation type="list" allowBlank="1" showInputMessage="1" showErrorMessage="1" sqref="Y217" xr:uid="{CA12FFCD-55CA-40A1-8253-739E30521149}">
      <formula1>$D$217:$X$217</formula1>
    </dataValidation>
    <dataValidation type="list" allowBlank="1" showInputMessage="1" showErrorMessage="1" sqref="Y218" xr:uid="{C6696CB5-C59C-44F5-AD2E-375CA245DA91}">
      <formula1>$D$218:$X$218</formula1>
    </dataValidation>
    <dataValidation type="list" allowBlank="1" showInputMessage="1" showErrorMessage="1" sqref="Y219" xr:uid="{64DA63A0-F655-4F8A-AF77-9B7CE2394CBC}">
      <formula1>$D$219:$X$219</formula1>
    </dataValidation>
    <dataValidation type="list" allowBlank="1" showInputMessage="1" showErrorMessage="1" sqref="Y220" xr:uid="{0958E1AA-9518-4165-93B4-46970B9267F0}">
      <formula1>$D$220:$X$220</formula1>
    </dataValidation>
    <dataValidation type="list" allowBlank="1" showInputMessage="1" showErrorMessage="1" sqref="Y221" xr:uid="{62A7C365-F6B7-4724-8192-8526B54256FC}">
      <formula1>$D$221:$X$221</formula1>
    </dataValidation>
    <dataValidation type="list" allowBlank="1" showInputMessage="1" showErrorMessage="1" sqref="Y222" xr:uid="{581C2331-0C25-4105-B2B8-FAB317E6AE84}">
      <formula1>$D$222:$X$222</formula1>
    </dataValidation>
    <dataValidation type="list" allowBlank="1" showInputMessage="1" showErrorMessage="1" sqref="Y223" xr:uid="{5CA7F004-E543-43C4-9018-3E14E80CBF95}">
      <formula1>$D$223:$X$223</formula1>
    </dataValidation>
    <dataValidation type="list" allowBlank="1" showInputMessage="1" showErrorMessage="1" sqref="Y224" xr:uid="{7951E90B-B7BB-468B-9DD6-3BA45C452775}">
      <formula1>$D$224:$X$224</formula1>
    </dataValidation>
    <dataValidation type="list" allowBlank="1" showInputMessage="1" showErrorMessage="1" sqref="Y225" xr:uid="{6B5DDC7C-FE27-42DB-97B6-2BFE427A86C1}">
      <formula1>$D$225:$X$225</formula1>
    </dataValidation>
    <dataValidation type="list" allowBlank="1" showInputMessage="1" showErrorMessage="1" sqref="Y226" xr:uid="{F1424380-DF6A-40C4-9662-DAEEF848141C}">
      <formula1>$D$226:$X$226</formula1>
    </dataValidation>
    <dataValidation type="list" allowBlank="1" showInputMessage="1" showErrorMessage="1" sqref="Y227" xr:uid="{B8B64740-372C-4A9B-BC9D-2BD7E64237E0}">
      <formula1>$D$227:$X$227</formula1>
    </dataValidation>
    <dataValidation type="list" allowBlank="1" showInputMessage="1" showErrorMessage="1" sqref="Y228" xr:uid="{41B85C2B-6D2D-4DEA-8173-09A015E5C81E}">
      <formula1>$D$228:$X$228</formula1>
    </dataValidation>
    <dataValidation type="list" allowBlank="1" showInputMessage="1" showErrorMessage="1" sqref="Y229" xr:uid="{ED5D57A7-D599-405A-8C9B-25737C8FFBA7}">
      <formula1>$D$229:$X$229</formula1>
    </dataValidation>
    <dataValidation type="list" allowBlank="1" showInputMessage="1" showErrorMessage="1" sqref="Y230" xr:uid="{697D7960-D505-4964-B279-EAABB1B01CDE}">
      <formula1>$D$230:$X$230</formula1>
    </dataValidation>
    <dataValidation type="list" allowBlank="1" showInputMessage="1" showErrorMessage="1" sqref="Y231" xr:uid="{53F0D502-77E8-40BB-AD5A-17AE8767AE63}">
      <formula1>$D$231:$X$231</formula1>
    </dataValidation>
    <dataValidation type="list" allowBlank="1" showInputMessage="1" showErrorMessage="1" sqref="Y232" xr:uid="{ECC30623-57C0-482C-8FAF-0F90C3779601}">
      <formula1>$D$232:$X$232</formula1>
    </dataValidation>
    <dataValidation type="list" allowBlank="1" showInputMessage="1" showErrorMessage="1" sqref="Y233" xr:uid="{26E6F742-C8E6-4DD7-B690-441D47E45144}">
      <formula1>$D$233:$X$233</formula1>
    </dataValidation>
    <dataValidation type="list" allowBlank="1" showInputMessage="1" showErrorMessage="1" sqref="Y234" xr:uid="{45EF3625-F164-4D80-A136-BB8FA6A8C855}">
      <formula1>$D$234:$X$234</formula1>
    </dataValidation>
    <dataValidation type="list" allowBlank="1" showInputMessage="1" showErrorMessage="1" sqref="Y235" xr:uid="{E9C56351-7898-43E3-9BD0-30EA2F59B50E}">
      <formula1>$D$235:$X$235</formula1>
    </dataValidation>
    <dataValidation type="list" allowBlank="1" showInputMessage="1" showErrorMessage="1" sqref="Y236" xr:uid="{DC11DFDD-4710-4761-B234-23461736E37F}">
      <formula1>$D$236:$X$236</formula1>
    </dataValidation>
    <dataValidation type="list" allowBlank="1" showInputMessage="1" showErrorMessage="1" sqref="Y237" xr:uid="{7B96EA4F-05DF-4034-9872-79F971FE2B80}">
      <formula1>$D$237:$X$237</formula1>
    </dataValidation>
    <dataValidation type="list" allowBlank="1" showInputMessage="1" showErrorMessage="1" sqref="Y238" xr:uid="{3576D143-D4ED-4A43-89A8-D488DF3F7B60}">
      <formula1>$D$238:$X$238</formula1>
    </dataValidation>
    <dataValidation type="list" allowBlank="1" showInputMessage="1" showErrorMessage="1" sqref="Y239" xr:uid="{E4986B65-0477-46A1-A04E-75D9C22B461C}">
      <formula1>$D$239:$X$239</formula1>
    </dataValidation>
    <dataValidation type="list" allowBlank="1" showInputMessage="1" showErrorMessage="1" sqref="Y240" xr:uid="{E6968196-1C06-4EEA-8DC0-30EA3BCE3093}">
      <formula1>$D$240:$X$240</formula1>
    </dataValidation>
    <dataValidation type="list" allowBlank="1" showInputMessage="1" showErrorMessage="1" sqref="Y241" xr:uid="{823C8390-8035-40B2-B674-530B01941AA1}">
      <formula1>$D$241:$X$241</formula1>
    </dataValidation>
    <dataValidation type="list" allowBlank="1" showInputMessage="1" showErrorMessage="1" sqref="Z86" xr:uid="{C0E9C06A-26B4-4DAD-8714-D569F652F6E4}">
      <formula1>"NA, SMARTIO12_0"</formula1>
    </dataValidation>
    <dataValidation type="list" allowBlank="1" showInputMessage="1" showErrorMessage="1" sqref="Z87" xr:uid="{7F87611C-ECA1-41C5-88C5-B691896D932A}">
      <formula1>"NA, SMARTIO12_1"</formula1>
    </dataValidation>
    <dataValidation type="list" allowBlank="1" showInputMessage="1" showErrorMessage="1" sqref="Z88" xr:uid="{A8CDB0EE-2FF4-4A37-8E24-C09408814C05}">
      <formula1>"NA, SMARTIO12_2"</formula1>
    </dataValidation>
    <dataValidation type="list" allowBlank="1" showInputMessage="1" showErrorMessage="1" sqref="Z89" xr:uid="{6E52524F-2A83-470B-9177-FA997392136F}">
      <formula1>"NA, SMARTIO12_3"</formula1>
    </dataValidation>
    <dataValidation type="list" allowBlank="1" showInputMessage="1" showErrorMessage="1" sqref="Z90" xr:uid="{AB571C49-1CE8-4B5B-AB54-34E09E395544}">
      <formula1>"NA, SMARTIO12_4"</formula1>
    </dataValidation>
    <dataValidation type="list" allowBlank="1" showInputMessage="1" showErrorMessage="1" sqref="Z91" xr:uid="{063493AF-D4CB-46AE-9C8F-A96BD2393C95}">
      <formula1>"NA, SMARTIO12_5"</formula1>
    </dataValidation>
    <dataValidation type="list" allowBlank="1" showInputMessage="1" showErrorMessage="1" sqref="Z92" xr:uid="{BEFEB74D-FE01-4943-B9DA-C766DEE6A9BE}">
      <formula1>"NA, SMARTIO12_6"</formula1>
    </dataValidation>
    <dataValidation type="list" allowBlank="1" showInputMessage="1" showErrorMessage="1" sqref="Z93" xr:uid="{30D1A44B-418E-4D58-90B8-96507D6E1A3A}">
      <formula1>"NA, SMARTIO12_7"</formula1>
    </dataValidation>
    <dataValidation type="list" allowBlank="1" showInputMessage="1" showErrorMessage="1" sqref="Z94" xr:uid="{8C612229-E608-4ABA-94C0-4D010DA7D26B}">
      <formula1>"NA, SMARTIO13_0"</formula1>
    </dataValidation>
    <dataValidation type="list" allowBlank="1" showInputMessage="1" showErrorMessage="1" sqref="Z95" xr:uid="{4BE286EA-2FD5-4636-8F87-C762C2CD7F6C}">
      <formula1>"NA, SMARTIO13_1"</formula1>
    </dataValidation>
    <dataValidation type="list" allowBlank="1" showInputMessage="1" showErrorMessage="1" sqref="Z96" xr:uid="{5578D5EE-B381-4A2B-831F-979951715934}">
      <formula1>"NA, SMARTIO13_2"</formula1>
    </dataValidation>
    <dataValidation type="list" allowBlank="1" showInputMessage="1" showErrorMessage="1" sqref="Z97" xr:uid="{8485CF18-41CE-413C-AB8B-392AA5403115}">
      <formula1>"NA, SMARTIO13_3"</formula1>
    </dataValidation>
    <dataValidation type="list" allowBlank="1" showInputMessage="1" showErrorMessage="1" sqref="Z98" xr:uid="{8BEF0810-FAAB-45C2-A4A4-90DED09247A5}">
      <formula1>"NA, SMARTIO13_4"</formula1>
    </dataValidation>
    <dataValidation type="list" allowBlank="1" showInputMessage="1" showErrorMessage="1" sqref="Z99" xr:uid="{DC982ED8-9B8A-4FCA-A5C6-C4EADEFC50B1}">
      <formula1>"NA, SMARTIO13_5"</formula1>
    </dataValidation>
    <dataValidation type="list" allowBlank="1" showInputMessage="1" showErrorMessage="1" sqref="Z100" xr:uid="{ACF6406A-ADCA-4BF4-BBFC-9B820E35320E}">
      <formula1>"NA, SMARTIO13_6"</formula1>
    </dataValidation>
    <dataValidation type="list" allowBlank="1" showInputMessage="1" showErrorMessage="1" sqref="Z101" xr:uid="{3E86BCF6-F24B-4631-9E56-5AE4BD4C72A3}">
      <formula1>"NA, SMARTIO13_7"</formula1>
    </dataValidation>
    <dataValidation type="list" allowBlank="1" showInputMessage="1" showErrorMessage="1" sqref="Z102" xr:uid="{88263961-275C-4516-87C6-2BC0ACE45873}">
      <formula1>"NA, SMARTIO14_0"</formula1>
    </dataValidation>
    <dataValidation type="list" allowBlank="1" showInputMessage="1" showErrorMessage="1" sqref="Z103" xr:uid="{EF39A40F-8B51-4E3D-81B5-0FFD91283329}">
      <formula1>"NA, SMARTIO14_1"</formula1>
    </dataValidation>
    <dataValidation type="list" allowBlank="1" showInputMessage="1" showErrorMessage="1" sqref="Z104" xr:uid="{83329A82-6D53-46E6-AB58-988C1CC3F8E2}">
      <formula1>"NA, SMARTIO14_2"</formula1>
    </dataValidation>
    <dataValidation type="list" allowBlank="1" showInputMessage="1" showErrorMessage="1" sqref="Z105" xr:uid="{A83EEC5D-DA75-4A89-B9B6-0C1CF8A6ADB1}">
      <formula1>"NA, SMARTIO14_3"</formula1>
    </dataValidation>
    <dataValidation type="list" allowBlank="1" showInputMessage="1" showErrorMessage="1" sqref="Z106" xr:uid="{CB4FCCFA-F0D3-44EF-9918-FC2A2761691E}">
      <formula1>"NA, SMARTIO14_4"</formula1>
    </dataValidation>
    <dataValidation type="list" allowBlank="1" showInputMessage="1" showErrorMessage="1" sqref="Z107" xr:uid="{9C2808B9-C4BD-467B-9F72-916D20B2D436}">
      <formula1>"NA, SMARTIO14_5"</formula1>
    </dataValidation>
    <dataValidation type="list" allowBlank="1" showInputMessage="1" showErrorMessage="1" sqref="Z108" xr:uid="{90B956CC-3BFD-43C9-948B-5007D6D42C2D}">
      <formula1>"NA, SMARTIO14_6"</formula1>
    </dataValidation>
    <dataValidation type="list" allowBlank="1" showInputMessage="1" showErrorMessage="1" sqref="Z109" xr:uid="{1432AB37-E26C-4DA6-9FA7-A12EE945884A}">
      <formula1>"NA, SMARTIO14_7"</formula1>
    </dataValidation>
    <dataValidation type="list" allowBlank="1" showInputMessage="1" showErrorMessage="1" sqref="Z110" xr:uid="{D6210A0E-F5DB-4D35-A670-07EBBB603B68}">
      <formula1>"NA, SMARTIO15_0"</formula1>
    </dataValidation>
    <dataValidation type="list" allowBlank="1" showInputMessage="1" showErrorMessage="1" sqref="Z111" xr:uid="{D9D75B61-EEBE-4C75-BC83-725B8C5F6F81}">
      <formula1>"NA, SMARTIO15_1"</formula1>
    </dataValidation>
    <dataValidation type="list" allowBlank="1" showInputMessage="1" showErrorMessage="1" sqref="Z112" xr:uid="{DA0B2C3F-B863-43C7-B599-815CCCC8E88D}">
      <formula1>"NA, SMARTIO15_2"</formula1>
    </dataValidation>
    <dataValidation type="list" allowBlank="1" showInputMessage="1" showErrorMessage="1" sqref="Z113" xr:uid="{34E3C778-DC63-4EA7-B539-EB364B54123C}">
      <formula1>"NA, SMARTIO15_3"</formula1>
    </dataValidation>
    <dataValidation type="list" allowBlank="1" showInputMessage="1" showErrorMessage="1" sqref="Z122" xr:uid="{412FC361-6593-4B68-BB65-F51BACE92565}">
      <formula1>"NA, SMARTIO17_0"</formula1>
    </dataValidation>
    <dataValidation type="list" allowBlank="1" showInputMessage="1" showErrorMessage="1" sqref="Z123" xr:uid="{F9D02763-4AD2-49CC-8EEF-323CECC15FC8}">
      <formula1>"NA, SMARTIO17_1"</formula1>
    </dataValidation>
    <dataValidation type="list" allowBlank="1" showInputMessage="1" showErrorMessage="1" sqref="Z124" xr:uid="{E87806BC-AD10-4CFB-98BC-F56DD395AD71}">
      <formula1>"NA, SMARTIO17_2"</formula1>
    </dataValidation>
    <dataValidation type="list" allowBlank="1" showInputMessage="1" showErrorMessage="1" sqref="Z125" xr:uid="{B27D9AC3-F921-451A-A263-5F523EE7C3C1}">
      <formula1>"NA, SMARTIO17_3"</formula1>
    </dataValidation>
    <dataValidation type="list" allowBlank="1" showInputMessage="1" showErrorMessage="1" sqref="Z126" xr:uid="{74183593-E4EC-4FEA-99F6-26FB14DF6227}">
      <formula1>"NA, SMARTIO17_4"</formula1>
    </dataValidation>
    <dataValidation type="list" allowBlank="1" showInputMessage="1" showErrorMessage="1" sqref="Z127" xr:uid="{D3284A47-CC25-4905-9169-A6689EA31453}">
      <formula1>"NA, SMARTIO17_5"</formula1>
    </dataValidation>
    <dataValidation type="list" allowBlank="1" showInputMessage="1" showErrorMessage="1" sqref="Z128" xr:uid="{D12EDCDB-7F01-4B74-9E19-129C27ED1F47}">
      <formula1>"NA, SMARTIO17_6"</formula1>
    </dataValidation>
    <dataValidation type="list" allowBlank="1" showInputMessage="1" showErrorMessage="1" sqref="Z129" xr:uid="{2740F679-7487-48E8-B810-96C5D826A323}">
      <formula1>"NA, SMARTIO17_7"</formula1>
    </dataValidation>
  </dataValidations>
  <pageMargins left="0.7" right="0.7" top="0.75" bottom="0.75" header="0.3" footer="0.3"/>
  <pageSetup paperSize="9" orientation="portrait" r:id="rId1"/>
  <ignoredErrors>
    <ignoredError sqref="AA46:AA329" formula="1"/>
    <ignoredError sqref="AA44:AA45" formula="1" unlockedFormula="1"/>
    <ignoredError sqref="AA10:AA23 AA25:AA43" unlockedFormula="1"/>
  </ignoredError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369B4-87BD-4675-A713-AB29F52B938F}">
  <dimension ref="A1:CL279"/>
  <sheetViews>
    <sheetView topLeftCell="A22" zoomScale="78" zoomScaleNormal="78" workbookViewId="0">
      <selection activeCell="CE7" sqref="CE7"/>
    </sheetView>
  </sheetViews>
  <sheetFormatPr defaultRowHeight="10" x14ac:dyDescent="0.55000000000000004"/>
  <cols>
    <col min="1" max="1" width="8.6640625" style="46"/>
    <col min="2" max="2" width="14.1640625" style="46" bestFit="1" customWidth="1"/>
    <col min="3" max="3" width="21.58203125" style="46" bestFit="1" customWidth="1"/>
    <col min="4" max="87" width="6.25" style="46" customWidth="1"/>
    <col min="88" max="90" width="8.58203125" style="46" customWidth="1"/>
    <col min="91" max="291" width="8.6640625" style="46"/>
    <col min="292" max="292" width="14.33203125" style="46" customWidth="1"/>
    <col min="293" max="294" width="3.33203125" style="46" customWidth="1"/>
    <col min="295" max="319" width="2.4140625" style="46" customWidth="1"/>
    <col min="320" max="321" width="3.33203125" style="46" customWidth="1"/>
    <col min="322" max="322" width="14.33203125" style="46" customWidth="1"/>
    <col min="323" max="547" width="8.6640625" style="46"/>
    <col min="548" max="548" width="14.33203125" style="46" customWidth="1"/>
    <col min="549" max="550" width="3.33203125" style="46" customWidth="1"/>
    <col min="551" max="575" width="2.4140625" style="46" customWidth="1"/>
    <col min="576" max="577" width="3.33203125" style="46" customWidth="1"/>
    <col min="578" max="578" width="14.33203125" style="46" customWidth="1"/>
    <col min="579" max="803" width="8.6640625" style="46"/>
    <col min="804" max="804" width="14.33203125" style="46" customWidth="1"/>
    <col min="805" max="806" width="3.33203125" style="46" customWidth="1"/>
    <col min="807" max="831" width="2.4140625" style="46" customWidth="1"/>
    <col min="832" max="833" width="3.33203125" style="46" customWidth="1"/>
    <col min="834" max="834" width="14.33203125" style="46" customWidth="1"/>
    <col min="835" max="1059" width="8.6640625" style="46"/>
    <col min="1060" max="1060" width="14.33203125" style="46" customWidth="1"/>
    <col min="1061" max="1062" width="3.33203125" style="46" customWidth="1"/>
    <col min="1063" max="1087" width="2.4140625" style="46" customWidth="1"/>
    <col min="1088" max="1089" width="3.33203125" style="46" customWidth="1"/>
    <col min="1090" max="1090" width="14.33203125" style="46" customWidth="1"/>
    <col min="1091" max="1315" width="8.6640625" style="46"/>
    <col min="1316" max="1316" width="14.33203125" style="46" customWidth="1"/>
    <col min="1317" max="1318" width="3.33203125" style="46" customWidth="1"/>
    <col min="1319" max="1343" width="2.4140625" style="46" customWidth="1"/>
    <col min="1344" max="1345" width="3.33203125" style="46" customWidth="1"/>
    <col min="1346" max="1346" width="14.33203125" style="46" customWidth="1"/>
    <col min="1347" max="1571" width="8.6640625" style="46"/>
    <col min="1572" max="1572" width="14.33203125" style="46" customWidth="1"/>
    <col min="1573" max="1574" width="3.33203125" style="46" customWidth="1"/>
    <col min="1575" max="1599" width="2.4140625" style="46" customWidth="1"/>
    <col min="1600" max="1601" width="3.33203125" style="46" customWidth="1"/>
    <col min="1602" max="1602" width="14.33203125" style="46" customWidth="1"/>
    <col min="1603" max="1827" width="8.6640625" style="46"/>
    <col min="1828" max="1828" width="14.33203125" style="46" customWidth="1"/>
    <col min="1829" max="1830" width="3.33203125" style="46" customWidth="1"/>
    <col min="1831" max="1855" width="2.4140625" style="46" customWidth="1"/>
    <col min="1856" max="1857" width="3.33203125" style="46" customWidth="1"/>
    <col min="1858" max="1858" width="14.33203125" style="46" customWidth="1"/>
    <col min="1859" max="2083" width="8.6640625" style="46"/>
    <col min="2084" max="2084" width="14.33203125" style="46" customWidth="1"/>
    <col min="2085" max="2086" width="3.33203125" style="46" customWidth="1"/>
    <col min="2087" max="2111" width="2.4140625" style="46" customWidth="1"/>
    <col min="2112" max="2113" width="3.33203125" style="46" customWidth="1"/>
    <col min="2114" max="2114" width="14.33203125" style="46" customWidth="1"/>
    <col min="2115" max="2339" width="8.6640625" style="46"/>
    <col min="2340" max="2340" width="14.33203125" style="46" customWidth="1"/>
    <col min="2341" max="2342" width="3.33203125" style="46" customWidth="1"/>
    <col min="2343" max="2367" width="2.4140625" style="46" customWidth="1"/>
    <col min="2368" max="2369" width="3.33203125" style="46" customWidth="1"/>
    <col min="2370" max="2370" width="14.33203125" style="46" customWidth="1"/>
    <col min="2371" max="2595" width="8.6640625" style="46"/>
    <col min="2596" max="2596" width="14.33203125" style="46" customWidth="1"/>
    <col min="2597" max="2598" width="3.33203125" style="46" customWidth="1"/>
    <col min="2599" max="2623" width="2.4140625" style="46" customWidth="1"/>
    <col min="2624" max="2625" width="3.33203125" style="46" customWidth="1"/>
    <col min="2626" max="2626" width="14.33203125" style="46" customWidth="1"/>
    <col min="2627" max="2851" width="8.6640625" style="46"/>
    <col min="2852" max="2852" width="14.33203125" style="46" customWidth="1"/>
    <col min="2853" max="2854" width="3.33203125" style="46" customWidth="1"/>
    <col min="2855" max="2879" width="2.4140625" style="46" customWidth="1"/>
    <col min="2880" max="2881" width="3.33203125" style="46" customWidth="1"/>
    <col min="2882" max="2882" width="14.33203125" style="46" customWidth="1"/>
    <col min="2883" max="3107" width="8.6640625" style="46"/>
    <col min="3108" max="3108" width="14.33203125" style="46" customWidth="1"/>
    <col min="3109" max="3110" width="3.33203125" style="46" customWidth="1"/>
    <col min="3111" max="3135" width="2.4140625" style="46" customWidth="1"/>
    <col min="3136" max="3137" width="3.33203125" style="46" customWidth="1"/>
    <col min="3138" max="3138" width="14.33203125" style="46" customWidth="1"/>
    <col min="3139" max="3363" width="8.6640625" style="46"/>
    <col min="3364" max="3364" width="14.33203125" style="46" customWidth="1"/>
    <col min="3365" max="3366" width="3.33203125" style="46" customWidth="1"/>
    <col min="3367" max="3391" width="2.4140625" style="46" customWidth="1"/>
    <col min="3392" max="3393" width="3.33203125" style="46" customWidth="1"/>
    <col min="3394" max="3394" width="14.33203125" style="46" customWidth="1"/>
    <col min="3395" max="3619" width="8.6640625" style="46"/>
    <col min="3620" max="3620" width="14.33203125" style="46" customWidth="1"/>
    <col min="3621" max="3622" width="3.33203125" style="46" customWidth="1"/>
    <col min="3623" max="3647" width="2.4140625" style="46" customWidth="1"/>
    <col min="3648" max="3649" width="3.33203125" style="46" customWidth="1"/>
    <col min="3650" max="3650" width="14.33203125" style="46" customWidth="1"/>
    <col min="3651" max="3875" width="8.6640625" style="46"/>
    <col min="3876" max="3876" width="14.33203125" style="46" customWidth="1"/>
    <col min="3877" max="3878" width="3.33203125" style="46" customWidth="1"/>
    <col min="3879" max="3903" width="2.4140625" style="46" customWidth="1"/>
    <col min="3904" max="3905" width="3.33203125" style="46" customWidth="1"/>
    <col min="3906" max="3906" width="14.33203125" style="46" customWidth="1"/>
    <col min="3907" max="4131" width="8.6640625" style="46"/>
    <col min="4132" max="4132" width="14.33203125" style="46" customWidth="1"/>
    <col min="4133" max="4134" width="3.33203125" style="46" customWidth="1"/>
    <col min="4135" max="4159" width="2.4140625" style="46" customWidth="1"/>
    <col min="4160" max="4161" width="3.33203125" style="46" customWidth="1"/>
    <col min="4162" max="4162" width="14.33203125" style="46" customWidth="1"/>
    <col min="4163" max="4387" width="8.6640625" style="46"/>
    <col min="4388" max="4388" width="14.33203125" style="46" customWidth="1"/>
    <col min="4389" max="4390" width="3.33203125" style="46" customWidth="1"/>
    <col min="4391" max="4415" width="2.4140625" style="46" customWidth="1"/>
    <col min="4416" max="4417" width="3.33203125" style="46" customWidth="1"/>
    <col min="4418" max="4418" width="14.33203125" style="46" customWidth="1"/>
    <col min="4419" max="4643" width="8.6640625" style="46"/>
    <col min="4644" max="4644" width="14.33203125" style="46" customWidth="1"/>
    <col min="4645" max="4646" width="3.33203125" style="46" customWidth="1"/>
    <col min="4647" max="4671" width="2.4140625" style="46" customWidth="1"/>
    <col min="4672" max="4673" width="3.33203125" style="46" customWidth="1"/>
    <col min="4674" max="4674" width="14.33203125" style="46" customWidth="1"/>
    <col min="4675" max="4899" width="8.6640625" style="46"/>
    <col min="4900" max="4900" width="14.33203125" style="46" customWidth="1"/>
    <col min="4901" max="4902" width="3.33203125" style="46" customWidth="1"/>
    <col min="4903" max="4927" width="2.4140625" style="46" customWidth="1"/>
    <col min="4928" max="4929" width="3.33203125" style="46" customWidth="1"/>
    <col min="4930" max="4930" width="14.33203125" style="46" customWidth="1"/>
    <col min="4931" max="5155" width="8.6640625" style="46"/>
    <col min="5156" max="5156" width="14.33203125" style="46" customWidth="1"/>
    <col min="5157" max="5158" width="3.33203125" style="46" customWidth="1"/>
    <col min="5159" max="5183" width="2.4140625" style="46" customWidth="1"/>
    <col min="5184" max="5185" width="3.33203125" style="46" customWidth="1"/>
    <col min="5186" max="5186" width="14.33203125" style="46" customWidth="1"/>
    <col min="5187" max="5411" width="8.6640625" style="46"/>
    <col min="5412" max="5412" width="14.33203125" style="46" customWidth="1"/>
    <col min="5413" max="5414" width="3.33203125" style="46" customWidth="1"/>
    <col min="5415" max="5439" width="2.4140625" style="46" customWidth="1"/>
    <col min="5440" max="5441" width="3.33203125" style="46" customWidth="1"/>
    <col min="5442" max="5442" width="14.33203125" style="46" customWidth="1"/>
    <col min="5443" max="5667" width="8.6640625" style="46"/>
    <col min="5668" max="5668" width="14.33203125" style="46" customWidth="1"/>
    <col min="5669" max="5670" width="3.33203125" style="46" customWidth="1"/>
    <col min="5671" max="5695" width="2.4140625" style="46" customWidth="1"/>
    <col min="5696" max="5697" width="3.33203125" style="46" customWidth="1"/>
    <col min="5698" max="5698" width="14.33203125" style="46" customWidth="1"/>
    <col min="5699" max="5923" width="8.6640625" style="46"/>
    <col min="5924" max="5924" width="14.33203125" style="46" customWidth="1"/>
    <col min="5925" max="5926" width="3.33203125" style="46" customWidth="1"/>
    <col min="5927" max="5951" width="2.4140625" style="46" customWidth="1"/>
    <col min="5952" max="5953" width="3.33203125" style="46" customWidth="1"/>
    <col min="5954" max="5954" width="14.33203125" style="46" customWidth="1"/>
    <col min="5955" max="6179" width="8.6640625" style="46"/>
    <col min="6180" max="6180" width="14.33203125" style="46" customWidth="1"/>
    <col min="6181" max="6182" width="3.33203125" style="46" customWidth="1"/>
    <col min="6183" max="6207" width="2.4140625" style="46" customWidth="1"/>
    <col min="6208" max="6209" width="3.33203125" style="46" customWidth="1"/>
    <col min="6210" max="6210" width="14.33203125" style="46" customWidth="1"/>
    <col min="6211" max="6435" width="8.6640625" style="46"/>
    <col min="6436" max="6436" width="14.33203125" style="46" customWidth="1"/>
    <col min="6437" max="6438" width="3.33203125" style="46" customWidth="1"/>
    <col min="6439" max="6463" width="2.4140625" style="46" customWidth="1"/>
    <col min="6464" max="6465" width="3.33203125" style="46" customWidth="1"/>
    <col min="6466" max="6466" width="14.33203125" style="46" customWidth="1"/>
    <col min="6467" max="6691" width="8.6640625" style="46"/>
    <col min="6692" max="6692" width="14.33203125" style="46" customWidth="1"/>
    <col min="6693" max="6694" width="3.33203125" style="46" customWidth="1"/>
    <col min="6695" max="6719" width="2.4140625" style="46" customWidth="1"/>
    <col min="6720" max="6721" width="3.33203125" style="46" customWidth="1"/>
    <col min="6722" max="6722" width="14.33203125" style="46" customWidth="1"/>
    <col min="6723" max="6947" width="8.6640625" style="46"/>
    <col min="6948" max="6948" width="14.33203125" style="46" customWidth="1"/>
    <col min="6949" max="6950" width="3.33203125" style="46" customWidth="1"/>
    <col min="6951" max="6975" width="2.4140625" style="46" customWidth="1"/>
    <col min="6976" max="6977" width="3.33203125" style="46" customWidth="1"/>
    <col min="6978" max="6978" width="14.33203125" style="46" customWidth="1"/>
    <col min="6979" max="7203" width="8.6640625" style="46"/>
    <col min="7204" max="7204" width="14.33203125" style="46" customWidth="1"/>
    <col min="7205" max="7206" width="3.33203125" style="46" customWidth="1"/>
    <col min="7207" max="7231" width="2.4140625" style="46" customWidth="1"/>
    <col min="7232" max="7233" width="3.33203125" style="46" customWidth="1"/>
    <col min="7234" max="7234" width="14.33203125" style="46" customWidth="1"/>
    <col min="7235" max="7459" width="8.6640625" style="46"/>
    <col min="7460" max="7460" width="14.33203125" style="46" customWidth="1"/>
    <col min="7461" max="7462" width="3.33203125" style="46" customWidth="1"/>
    <col min="7463" max="7487" width="2.4140625" style="46" customWidth="1"/>
    <col min="7488" max="7489" width="3.33203125" style="46" customWidth="1"/>
    <col min="7490" max="7490" width="14.33203125" style="46" customWidth="1"/>
    <col min="7491" max="7715" width="8.6640625" style="46"/>
    <col min="7716" max="7716" width="14.33203125" style="46" customWidth="1"/>
    <col min="7717" max="7718" width="3.33203125" style="46" customWidth="1"/>
    <col min="7719" max="7743" width="2.4140625" style="46" customWidth="1"/>
    <col min="7744" max="7745" width="3.33203125" style="46" customWidth="1"/>
    <col min="7746" max="7746" width="14.33203125" style="46" customWidth="1"/>
    <col min="7747" max="7971" width="8.6640625" style="46"/>
    <col min="7972" max="7972" width="14.33203125" style="46" customWidth="1"/>
    <col min="7973" max="7974" width="3.33203125" style="46" customWidth="1"/>
    <col min="7975" max="7999" width="2.4140625" style="46" customWidth="1"/>
    <col min="8000" max="8001" width="3.33203125" style="46" customWidth="1"/>
    <col min="8002" max="8002" width="14.33203125" style="46" customWidth="1"/>
    <col min="8003" max="8227" width="8.6640625" style="46"/>
    <col min="8228" max="8228" width="14.33203125" style="46" customWidth="1"/>
    <col min="8229" max="8230" width="3.33203125" style="46" customWidth="1"/>
    <col min="8231" max="8255" width="2.4140625" style="46" customWidth="1"/>
    <col min="8256" max="8257" width="3.33203125" style="46" customWidth="1"/>
    <col min="8258" max="8258" width="14.33203125" style="46" customWidth="1"/>
    <col min="8259" max="8483" width="8.6640625" style="46"/>
    <col min="8484" max="8484" width="14.33203125" style="46" customWidth="1"/>
    <col min="8485" max="8486" width="3.33203125" style="46" customWidth="1"/>
    <col min="8487" max="8511" width="2.4140625" style="46" customWidth="1"/>
    <col min="8512" max="8513" width="3.33203125" style="46" customWidth="1"/>
    <col min="8514" max="8514" width="14.33203125" style="46" customWidth="1"/>
    <col min="8515" max="8739" width="8.6640625" style="46"/>
    <col min="8740" max="8740" width="14.33203125" style="46" customWidth="1"/>
    <col min="8741" max="8742" width="3.33203125" style="46" customWidth="1"/>
    <col min="8743" max="8767" width="2.4140625" style="46" customWidth="1"/>
    <col min="8768" max="8769" width="3.33203125" style="46" customWidth="1"/>
    <col min="8770" max="8770" width="14.33203125" style="46" customWidth="1"/>
    <col min="8771" max="8995" width="8.6640625" style="46"/>
    <col min="8996" max="8996" width="14.33203125" style="46" customWidth="1"/>
    <col min="8997" max="8998" width="3.33203125" style="46" customWidth="1"/>
    <col min="8999" max="9023" width="2.4140625" style="46" customWidth="1"/>
    <col min="9024" max="9025" width="3.33203125" style="46" customWidth="1"/>
    <col min="9026" max="9026" width="14.33203125" style="46" customWidth="1"/>
    <col min="9027" max="9251" width="8.6640625" style="46"/>
    <col min="9252" max="9252" width="14.33203125" style="46" customWidth="1"/>
    <col min="9253" max="9254" width="3.33203125" style="46" customWidth="1"/>
    <col min="9255" max="9279" width="2.4140625" style="46" customWidth="1"/>
    <col min="9280" max="9281" width="3.33203125" style="46" customWidth="1"/>
    <col min="9282" max="9282" width="14.33203125" style="46" customWidth="1"/>
    <col min="9283" max="9507" width="8.6640625" style="46"/>
    <col min="9508" max="9508" width="14.33203125" style="46" customWidth="1"/>
    <col min="9509" max="9510" width="3.33203125" style="46" customWidth="1"/>
    <col min="9511" max="9535" width="2.4140625" style="46" customWidth="1"/>
    <col min="9536" max="9537" width="3.33203125" style="46" customWidth="1"/>
    <col min="9538" max="9538" width="14.33203125" style="46" customWidth="1"/>
    <col min="9539" max="9763" width="8.6640625" style="46"/>
    <col min="9764" max="9764" width="14.33203125" style="46" customWidth="1"/>
    <col min="9765" max="9766" width="3.33203125" style="46" customWidth="1"/>
    <col min="9767" max="9791" width="2.4140625" style="46" customWidth="1"/>
    <col min="9792" max="9793" width="3.33203125" style="46" customWidth="1"/>
    <col min="9794" max="9794" width="14.33203125" style="46" customWidth="1"/>
    <col min="9795" max="10019" width="8.6640625" style="46"/>
    <col min="10020" max="10020" width="14.33203125" style="46" customWidth="1"/>
    <col min="10021" max="10022" width="3.33203125" style="46" customWidth="1"/>
    <col min="10023" max="10047" width="2.4140625" style="46" customWidth="1"/>
    <col min="10048" max="10049" width="3.33203125" style="46" customWidth="1"/>
    <col min="10050" max="10050" width="14.33203125" style="46" customWidth="1"/>
    <col min="10051" max="10275" width="8.6640625" style="46"/>
    <col min="10276" max="10276" width="14.33203125" style="46" customWidth="1"/>
    <col min="10277" max="10278" width="3.33203125" style="46" customWidth="1"/>
    <col min="10279" max="10303" width="2.4140625" style="46" customWidth="1"/>
    <col min="10304" max="10305" width="3.33203125" style="46" customWidth="1"/>
    <col min="10306" max="10306" width="14.33203125" style="46" customWidth="1"/>
    <col min="10307" max="10531" width="8.6640625" style="46"/>
    <col min="10532" max="10532" width="14.33203125" style="46" customWidth="1"/>
    <col min="10533" max="10534" width="3.33203125" style="46" customWidth="1"/>
    <col min="10535" max="10559" width="2.4140625" style="46" customWidth="1"/>
    <col min="10560" max="10561" width="3.33203125" style="46" customWidth="1"/>
    <col min="10562" max="10562" width="14.33203125" style="46" customWidth="1"/>
    <col min="10563" max="10787" width="8.6640625" style="46"/>
    <col min="10788" max="10788" width="14.33203125" style="46" customWidth="1"/>
    <col min="10789" max="10790" width="3.33203125" style="46" customWidth="1"/>
    <col min="10791" max="10815" width="2.4140625" style="46" customWidth="1"/>
    <col min="10816" max="10817" width="3.33203125" style="46" customWidth="1"/>
    <col min="10818" max="10818" width="14.33203125" style="46" customWidth="1"/>
    <col min="10819" max="11043" width="8.6640625" style="46"/>
    <col min="11044" max="11044" width="14.33203125" style="46" customWidth="1"/>
    <col min="11045" max="11046" width="3.33203125" style="46" customWidth="1"/>
    <col min="11047" max="11071" width="2.4140625" style="46" customWidth="1"/>
    <col min="11072" max="11073" width="3.33203125" style="46" customWidth="1"/>
    <col min="11074" max="11074" width="14.33203125" style="46" customWidth="1"/>
    <col min="11075" max="11299" width="8.6640625" style="46"/>
    <col min="11300" max="11300" width="14.33203125" style="46" customWidth="1"/>
    <col min="11301" max="11302" width="3.33203125" style="46" customWidth="1"/>
    <col min="11303" max="11327" width="2.4140625" style="46" customWidth="1"/>
    <col min="11328" max="11329" width="3.33203125" style="46" customWidth="1"/>
    <col min="11330" max="11330" width="14.33203125" style="46" customWidth="1"/>
    <col min="11331" max="11555" width="8.6640625" style="46"/>
    <col min="11556" max="11556" width="14.33203125" style="46" customWidth="1"/>
    <col min="11557" max="11558" width="3.33203125" style="46" customWidth="1"/>
    <col min="11559" max="11583" width="2.4140625" style="46" customWidth="1"/>
    <col min="11584" max="11585" width="3.33203125" style="46" customWidth="1"/>
    <col min="11586" max="11586" width="14.33203125" style="46" customWidth="1"/>
    <col min="11587" max="11811" width="8.6640625" style="46"/>
    <col min="11812" max="11812" width="14.33203125" style="46" customWidth="1"/>
    <col min="11813" max="11814" width="3.33203125" style="46" customWidth="1"/>
    <col min="11815" max="11839" width="2.4140625" style="46" customWidth="1"/>
    <col min="11840" max="11841" width="3.33203125" style="46" customWidth="1"/>
    <col min="11842" max="11842" width="14.33203125" style="46" customWidth="1"/>
    <col min="11843" max="12067" width="8.6640625" style="46"/>
    <col min="12068" max="12068" width="14.33203125" style="46" customWidth="1"/>
    <col min="12069" max="12070" width="3.33203125" style="46" customWidth="1"/>
    <col min="12071" max="12095" width="2.4140625" style="46" customWidth="1"/>
    <col min="12096" max="12097" width="3.33203125" style="46" customWidth="1"/>
    <col min="12098" max="12098" width="14.33203125" style="46" customWidth="1"/>
    <col min="12099" max="12323" width="8.6640625" style="46"/>
    <col min="12324" max="12324" width="14.33203125" style="46" customWidth="1"/>
    <col min="12325" max="12326" width="3.33203125" style="46" customWidth="1"/>
    <col min="12327" max="12351" width="2.4140625" style="46" customWidth="1"/>
    <col min="12352" max="12353" width="3.33203125" style="46" customWidth="1"/>
    <col min="12354" max="12354" width="14.33203125" style="46" customWidth="1"/>
    <col min="12355" max="12579" width="8.6640625" style="46"/>
    <col min="12580" max="12580" width="14.33203125" style="46" customWidth="1"/>
    <col min="12581" max="12582" width="3.33203125" style="46" customWidth="1"/>
    <col min="12583" max="12607" width="2.4140625" style="46" customWidth="1"/>
    <col min="12608" max="12609" width="3.33203125" style="46" customWidth="1"/>
    <col min="12610" max="12610" width="14.33203125" style="46" customWidth="1"/>
    <col min="12611" max="12835" width="8.6640625" style="46"/>
    <col min="12836" max="12836" width="14.33203125" style="46" customWidth="1"/>
    <col min="12837" max="12838" width="3.33203125" style="46" customWidth="1"/>
    <col min="12839" max="12863" width="2.4140625" style="46" customWidth="1"/>
    <col min="12864" max="12865" width="3.33203125" style="46" customWidth="1"/>
    <col min="12866" max="12866" width="14.33203125" style="46" customWidth="1"/>
    <col min="12867" max="13091" width="8.6640625" style="46"/>
    <col min="13092" max="13092" width="14.33203125" style="46" customWidth="1"/>
    <col min="13093" max="13094" width="3.33203125" style="46" customWidth="1"/>
    <col min="13095" max="13119" width="2.4140625" style="46" customWidth="1"/>
    <col min="13120" max="13121" width="3.33203125" style="46" customWidth="1"/>
    <col min="13122" max="13122" width="14.33203125" style="46" customWidth="1"/>
    <col min="13123" max="13347" width="8.6640625" style="46"/>
    <col min="13348" max="13348" width="14.33203125" style="46" customWidth="1"/>
    <col min="13349" max="13350" width="3.33203125" style="46" customWidth="1"/>
    <col min="13351" max="13375" width="2.4140625" style="46" customWidth="1"/>
    <col min="13376" max="13377" width="3.33203125" style="46" customWidth="1"/>
    <col min="13378" max="13378" width="14.33203125" style="46" customWidth="1"/>
    <col min="13379" max="13603" width="8.6640625" style="46"/>
    <col min="13604" max="13604" width="14.33203125" style="46" customWidth="1"/>
    <col min="13605" max="13606" width="3.33203125" style="46" customWidth="1"/>
    <col min="13607" max="13631" width="2.4140625" style="46" customWidth="1"/>
    <col min="13632" max="13633" width="3.33203125" style="46" customWidth="1"/>
    <col min="13634" max="13634" width="14.33203125" style="46" customWidth="1"/>
    <col min="13635" max="13859" width="8.6640625" style="46"/>
    <col min="13860" max="13860" width="14.33203125" style="46" customWidth="1"/>
    <col min="13861" max="13862" width="3.33203125" style="46" customWidth="1"/>
    <col min="13863" max="13887" width="2.4140625" style="46" customWidth="1"/>
    <col min="13888" max="13889" width="3.33203125" style="46" customWidth="1"/>
    <col min="13890" max="13890" width="14.33203125" style="46" customWidth="1"/>
    <col min="13891" max="14115" width="8.6640625" style="46"/>
    <col min="14116" max="14116" width="14.33203125" style="46" customWidth="1"/>
    <col min="14117" max="14118" width="3.33203125" style="46" customWidth="1"/>
    <col min="14119" max="14143" width="2.4140625" style="46" customWidth="1"/>
    <col min="14144" max="14145" width="3.33203125" style="46" customWidth="1"/>
    <col min="14146" max="14146" width="14.33203125" style="46" customWidth="1"/>
    <col min="14147" max="14371" width="8.6640625" style="46"/>
    <col min="14372" max="14372" width="14.33203125" style="46" customWidth="1"/>
    <col min="14373" max="14374" width="3.33203125" style="46" customWidth="1"/>
    <col min="14375" max="14399" width="2.4140625" style="46" customWidth="1"/>
    <col min="14400" max="14401" width="3.33203125" style="46" customWidth="1"/>
    <col min="14402" max="14402" width="14.33203125" style="46" customWidth="1"/>
    <col min="14403" max="14627" width="8.6640625" style="46"/>
    <col min="14628" max="14628" width="14.33203125" style="46" customWidth="1"/>
    <col min="14629" max="14630" width="3.33203125" style="46" customWidth="1"/>
    <col min="14631" max="14655" width="2.4140625" style="46" customWidth="1"/>
    <col min="14656" max="14657" width="3.33203125" style="46" customWidth="1"/>
    <col min="14658" max="14658" width="14.33203125" style="46" customWidth="1"/>
    <col min="14659" max="14883" width="8.6640625" style="46"/>
    <col min="14884" max="14884" width="14.33203125" style="46" customWidth="1"/>
    <col min="14885" max="14886" width="3.33203125" style="46" customWidth="1"/>
    <col min="14887" max="14911" width="2.4140625" style="46" customWidth="1"/>
    <col min="14912" max="14913" width="3.33203125" style="46" customWidth="1"/>
    <col min="14914" max="14914" width="14.33203125" style="46" customWidth="1"/>
    <col min="14915" max="15139" width="8.6640625" style="46"/>
    <col min="15140" max="15140" width="14.33203125" style="46" customWidth="1"/>
    <col min="15141" max="15142" width="3.33203125" style="46" customWidth="1"/>
    <col min="15143" max="15167" width="2.4140625" style="46" customWidth="1"/>
    <col min="15168" max="15169" width="3.33203125" style="46" customWidth="1"/>
    <col min="15170" max="15170" width="14.33203125" style="46" customWidth="1"/>
    <col min="15171" max="15395" width="8.6640625" style="46"/>
    <col min="15396" max="15396" width="14.33203125" style="46" customWidth="1"/>
    <col min="15397" max="15398" width="3.33203125" style="46" customWidth="1"/>
    <col min="15399" max="15423" width="2.4140625" style="46" customWidth="1"/>
    <col min="15424" max="15425" width="3.33203125" style="46" customWidth="1"/>
    <col min="15426" max="15426" width="14.33203125" style="46" customWidth="1"/>
    <col min="15427" max="15651" width="8.6640625" style="46"/>
    <col min="15652" max="15652" width="14.33203125" style="46" customWidth="1"/>
    <col min="15653" max="15654" width="3.33203125" style="46" customWidth="1"/>
    <col min="15655" max="15679" width="2.4140625" style="46" customWidth="1"/>
    <col min="15680" max="15681" width="3.33203125" style="46" customWidth="1"/>
    <col min="15682" max="15682" width="14.33203125" style="46" customWidth="1"/>
    <col min="15683" max="15907" width="8.6640625" style="46"/>
    <col min="15908" max="15908" width="14.33203125" style="46" customWidth="1"/>
    <col min="15909" max="15910" width="3.33203125" style="46" customWidth="1"/>
    <col min="15911" max="15935" width="2.4140625" style="46" customWidth="1"/>
    <col min="15936" max="15937" width="3.33203125" style="46" customWidth="1"/>
    <col min="15938" max="15938" width="14.33203125" style="46" customWidth="1"/>
    <col min="15939" max="16163" width="8.6640625" style="46"/>
    <col min="16164" max="16164" width="14.33203125" style="46" customWidth="1"/>
    <col min="16165" max="16166" width="3.33203125" style="46" customWidth="1"/>
    <col min="16167" max="16191" width="2.4140625" style="46" customWidth="1"/>
    <col min="16192" max="16193" width="3.33203125" style="46" customWidth="1"/>
    <col min="16194" max="16194" width="14.33203125" style="46" customWidth="1"/>
    <col min="16195" max="16384" width="8.6640625" style="46"/>
  </cols>
  <sheetData>
    <row r="1" spans="1:90" ht="25" customHeight="1" x14ac:dyDescent="0.55000000000000004">
      <c r="A1" s="45" t="s">
        <v>2336</v>
      </c>
      <c r="CJ1" s="3"/>
      <c r="CK1" s="3"/>
      <c r="CL1" s="3"/>
    </row>
    <row r="2" spans="1:90" ht="25" customHeight="1" x14ac:dyDescent="0.55000000000000004">
      <c r="A2" s="45"/>
      <c r="CJ2" s="3"/>
      <c r="CK2" s="3"/>
      <c r="CL2" s="3"/>
    </row>
    <row r="3" spans="1:90" ht="25" customHeight="1" x14ac:dyDescent="0.55000000000000004">
      <c r="A3" s="45"/>
      <c r="CJ3" s="3"/>
      <c r="CK3" s="3"/>
      <c r="CL3" s="3"/>
    </row>
    <row r="4" spans="1:90" ht="25" customHeight="1" x14ac:dyDescent="0.55000000000000004">
      <c r="A4" s="45"/>
      <c r="CJ4" s="3"/>
      <c r="CK4" s="3"/>
      <c r="CL4" s="3"/>
    </row>
    <row r="5" spans="1:90" ht="25" customHeight="1" x14ac:dyDescent="0.55000000000000004">
      <c r="A5" s="45"/>
      <c r="BN5" s="47"/>
      <c r="CJ5" s="3"/>
      <c r="CK5" s="3"/>
      <c r="CL5" s="4" t="s">
        <v>2552</v>
      </c>
    </row>
    <row r="7" spans="1:90" x14ac:dyDescent="0.55000000000000004">
      <c r="B7" s="184" t="s">
        <v>359</v>
      </c>
      <c r="C7" s="185"/>
      <c r="D7" s="48" t="s">
        <v>382</v>
      </c>
      <c r="E7" s="48" t="s">
        <v>381</v>
      </c>
      <c r="F7" s="48" t="s">
        <v>383</v>
      </c>
      <c r="G7" s="48" t="s">
        <v>2291</v>
      </c>
      <c r="H7" s="48" t="s">
        <v>2292</v>
      </c>
    </row>
    <row r="8" spans="1:90" x14ac:dyDescent="0.55000000000000004">
      <c r="B8" s="191" t="s">
        <v>380</v>
      </c>
      <c r="C8" s="49" t="s">
        <v>370</v>
      </c>
      <c r="D8" s="50">
        <f>COUNTIF('PF320'!Y10:Y329,"CAN0_0_RX")</f>
        <v>0</v>
      </c>
      <c r="E8" s="50">
        <f>COUNTIF('PF320'!Y10:Y329,"CAN0_1_RX")</f>
        <v>0</v>
      </c>
      <c r="F8" s="50">
        <f>COUNTIF('PF320'!Y10:Y329,"CAN0_2_RX")</f>
        <v>0</v>
      </c>
      <c r="G8" s="50">
        <f>COUNTIF('PF320'!Y10:Y329,"CAN0_3_RX")</f>
        <v>0</v>
      </c>
      <c r="H8" s="50">
        <f>COUNTIF('PF320'!Y10:Y329,"CAN0_4_RX")</f>
        <v>0</v>
      </c>
    </row>
    <row r="9" spans="1:90" x14ac:dyDescent="0.55000000000000004">
      <c r="B9" s="193"/>
      <c r="C9" s="49" t="s">
        <v>369</v>
      </c>
      <c r="D9" s="50">
        <f>COUNTIF('PF320'!Y10:Y329,"CAN0_0_TX")</f>
        <v>0</v>
      </c>
      <c r="E9" s="50">
        <f>COUNTIF('PF320'!Y10:Y329,"CAN0_1_TX")</f>
        <v>0</v>
      </c>
      <c r="F9" s="50">
        <f>COUNTIF('PF320'!Y10:Y329,"CAN0_2_TX")</f>
        <v>0</v>
      </c>
      <c r="G9" s="50">
        <f>COUNTIF('PF320'!Y10:Y329,"CAN0_3_RX")</f>
        <v>0</v>
      </c>
      <c r="H9" s="50">
        <f>COUNTIF('PF320'!Y10:Y329,"CAN0_4_RX")</f>
        <v>0</v>
      </c>
    </row>
    <row r="11" spans="1:90" x14ac:dyDescent="0.55000000000000004">
      <c r="B11" s="184" t="s">
        <v>355</v>
      </c>
      <c r="C11" s="185"/>
      <c r="D11" s="48" t="s">
        <v>384</v>
      </c>
      <c r="E11" s="48" t="s">
        <v>386</v>
      </c>
      <c r="F11" s="48" t="s">
        <v>385</v>
      </c>
      <c r="G11" s="48" t="s">
        <v>2293</v>
      </c>
      <c r="H11" s="48" t="s">
        <v>2294</v>
      </c>
    </row>
    <row r="12" spans="1:90" x14ac:dyDescent="0.55000000000000004">
      <c r="B12" s="195" t="s">
        <v>380</v>
      </c>
      <c r="C12" s="49" t="s">
        <v>370</v>
      </c>
      <c r="D12" s="50">
        <f>COUNTIF('PF320'!Y10:Y329,"CAN1_0_RX")</f>
        <v>0</v>
      </c>
      <c r="E12" s="50">
        <f>COUNTIF('PF320'!Y10:Y329,"CAN1_1_RX")</f>
        <v>0</v>
      </c>
      <c r="F12" s="50">
        <f>COUNTIF('PF320'!Y10:Y329,"CAN1_2_RX")</f>
        <v>0</v>
      </c>
      <c r="G12" s="50">
        <f>COUNTIF('PF320'!Y10:Y329,"CAN1_3_RX")</f>
        <v>0</v>
      </c>
      <c r="H12" s="50">
        <f>COUNTIF('PF320'!Y10:Y329,"CAN1_4_RX")</f>
        <v>0</v>
      </c>
    </row>
    <row r="13" spans="1:90" x14ac:dyDescent="0.55000000000000004">
      <c r="B13" s="195"/>
      <c r="C13" s="49" t="s">
        <v>369</v>
      </c>
      <c r="D13" s="50">
        <f>COUNTIF('PF320'!Y10:Y329,"CAN1_0_TX")</f>
        <v>0</v>
      </c>
      <c r="E13" s="50">
        <f>COUNTIF('PF320'!Y10:Y329,"CAN1_1_TX")</f>
        <v>0</v>
      </c>
      <c r="F13" s="50">
        <f>COUNTIF('PF320'!Y10:Y329,"CAN1_2_TX")</f>
        <v>0</v>
      </c>
      <c r="G13" s="50">
        <f>COUNTIF('PF320'!Y10:Y329,"CAN1_3_TX")</f>
        <v>0</v>
      </c>
      <c r="H13" s="50">
        <f>COUNTIF('PF320'!Y10:Y329,"CAN1_4_TX")</f>
        <v>0</v>
      </c>
    </row>
    <row r="14" spans="1:90" x14ac:dyDescent="0.55000000000000004">
      <c r="B14" s="51"/>
      <c r="C14" s="52"/>
    </row>
    <row r="15" spans="1:90" x14ac:dyDescent="0.55000000000000004">
      <c r="B15" s="51"/>
    </row>
    <row r="16" spans="1:90" x14ac:dyDescent="0.55000000000000004">
      <c r="B16" s="184" t="s">
        <v>358</v>
      </c>
      <c r="C16" s="185"/>
      <c r="D16" s="48" t="s">
        <v>371</v>
      </c>
      <c r="E16" s="48" t="s">
        <v>372</v>
      </c>
      <c r="F16" s="48" t="s">
        <v>373</v>
      </c>
      <c r="G16" s="48" t="s">
        <v>374</v>
      </c>
      <c r="H16" s="48" t="s">
        <v>375</v>
      </c>
      <c r="I16" s="48" t="s">
        <v>376</v>
      </c>
      <c r="J16" s="48" t="s">
        <v>377</v>
      </c>
      <c r="K16" s="48" t="s">
        <v>378</v>
      </c>
      <c r="L16" s="48" t="s">
        <v>2297</v>
      </c>
      <c r="M16" s="48" t="s">
        <v>2298</v>
      </c>
      <c r="N16" s="48" t="s">
        <v>2299</v>
      </c>
      <c r="O16" s="48" t="s">
        <v>2300</v>
      </c>
      <c r="P16" s="48" t="s">
        <v>2301</v>
      </c>
      <c r="Q16" s="48" t="s">
        <v>2302</v>
      </c>
      <c r="R16" s="48" t="s">
        <v>2303</v>
      </c>
      <c r="S16" s="48" t="s">
        <v>2304</v>
      </c>
      <c r="T16" s="48" t="s">
        <v>2305</v>
      </c>
      <c r="U16" s="48" t="s">
        <v>2306</v>
      </c>
      <c r="V16" s="48" t="s">
        <v>2307</v>
      </c>
      <c r="W16" s="48" t="s">
        <v>2308</v>
      </c>
    </row>
    <row r="17" spans="2:59" x14ac:dyDescent="0.55000000000000004">
      <c r="B17" s="191" t="s">
        <v>380</v>
      </c>
      <c r="C17" s="49" t="s">
        <v>370</v>
      </c>
      <c r="D17" s="50">
        <f>COUNTIF('PF320'!Y10:Y329,"LIN0_RX")</f>
        <v>0</v>
      </c>
      <c r="E17" s="50">
        <f>COUNTIF('PF320'!Y10:Y329,"LIN1_RX")</f>
        <v>0</v>
      </c>
      <c r="F17" s="50">
        <f>COUNTIF('PF320'!Y10:Y329,"LIN2_RX")</f>
        <v>0</v>
      </c>
      <c r="G17" s="50">
        <f>COUNTIF('PF320'!Y10:Y329,"LIN3_RX")</f>
        <v>0</v>
      </c>
      <c r="H17" s="50">
        <f>COUNTIF('PF320'!Y10:Y329,"LIN4_RX")</f>
        <v>0</v>
      </c>
      <c r="I17" s="50">
        <f>COUNTIF('PF320'!Y10:Y329,"LIN5_RX")</f>
        <v>0</v>
      </c>
      <c r="J17" s="50">
        <f>COUNTIF('PF320'!Y10:Y329,"LIN6_RX")</f>
        <v>0</v>
      </c>
      <c r="K17" s="50">
        <f>COUNTIF('PF320'!Y10:Y329,"LIN7_RX")</f>
        <v>0</v>
      </c>
      <c r="L17" s="50">
        <f>COUNTIF('PF320'!Y10:Y329,"LIN8_RX")</f>
        <v>0</v>
      </c>
      <c r="M17" s="50">
        <f>COUNTIF('PF320'!Y10:Y329,"LIN9_RX")</f>
        <v>0</v>
      </c>
      <c r="N17" s="50">
        <f>COUNTIF('PF320'!Y10:Y329,"LIN10_RX")</f>
        <v>0</v>
      </c>
      <c r="O17" s="50">
        <f>COUNTIF('PF320'!Y10:Y329,"LIN11_RX")</f>
        <v>0</v>
      </c>
      <c r="P17" s="50">
        <f>COUNTIF('PF320'!Y10:Y329,"LIN12_RX")</f>
        <v>0</v>
      </c>
      <c r="Q17" s="50">
        <f>COUNTIF('PF320'!Y10:Y329,"LIN13_RX")</f>
        <v>0</v>
      </c>
      <c r="R17" s="50">
        <f>COUNTIF('PF320'!Y10:Y329,"LIN14_RX")</f>
        <v>0</v>
      </c>
      <c r="S17" s="50">
        <f>COUNTIF('PF320'!Y10:Y329,"LIN15_RX")</f>
        <v>0</v>
      </c>
      <c r="T17" s="50">
        <f>COUNTIF('PF320'!Y10:Y329,"LIN16_RX")</f>
        <v>0</v>
      </c>
      <c r="U17" s="50">
        <f>COUNTIF('PF320'!Y10:Y329,"LIN17_RX")</f>
        <v>0</v>
      </c>
      <c r="V17" s="50">
        <f>COUNTIF('PF320'!Y10:Y329,"LIN18_RX")</f>
        <v>0</v>
      </c>
      <c r="W17" s="50">
        <f>COUNTIF('PF320'!Y10:Y329,"LIN19_RX")</f>
        <v>0</v>
      </c>
    </row>
    <row r="18" spans="2:59" x14ac:dyDescent="0.55000000000000004">
      <c r="B18" s="192"/>
      <c r="C18" s="49" t="s">
        <v>369</v>
      </c>
      <c r="D18" s="50">
        <f>COUNTIF('PF320'!Y10:Y329,"LIN0_TX")</f>
        <v>0</v>
      </c>
      <c r="E18" s="50">
        <f>COUNTIF('PF320'!Y10:Y329,"LIN1_TX")</f>
        <v>0</v>
      </c>
      <c r="F18" s="50">
        <f>COUNTIF('PF320'!Y10:Y329,"LIN2_TX")</f>
        <v>0</v>
      </c>
      <c r="G18" s="50">
        <f>COUNTIF('PF320'!Y10:Y329,"LIN3_TX")</f>
        <v>0</v>
      </c>
      <c r="H18" s="50">
        <f>COUNTIF('PF320'!Y10:Y329,"LIN4_TX")</f>
        <v>0</v>
      </c>
      <c r="I18" s="50">
        <f>COUNTIF('PF320'!Y10:Y329,"LIN5_TX")</f>
        <v>0</v>
      </c>
      <c r="J18" s="50">
        <f>COUNTIF('PF320'!Y10:Y329,"LIN6_TX")</f>
        <v>0</v>
      </c>
      <c r="K18" s="50">
        <f>COUNTIF('PF320'!Y10:Y329,"LIN7_TX")</f>
        <v>0</v>
      </c>
      <c r="L18" s="50">
        <f>COUNTIF('PF320'!Y10:Y329,"LIN8_TX")</f>
        <v>0</v>
      </c>
      <c r="M18" s="50">
        <f>COUNTIF('PF320'!Y10:Y329,"LIN9_TX")</f>
        <v>0</v>
      </c>
      <c r="N18" s="50">
        <f>COUNTIF('PF320'!Y10:Y329,"LIN10_TX")</f>
        <v>0</v>
      </c>
      <c r="O18" s="50">
        <f>COUNTIF('PF320'!Y10:Y329,"LIN11_TX")</f>
        <v>0</v>
      </c>
      <c r="P18" s="50">
        <f>COUNTIF('PF320'!Y10:Y329,"LIN12_TX")</f>
        <v>0</v>
      </c>
      <c r="Q18" s="50">
        <f>COUNTIF('PF320'!Y10:Y329,"LIN13_TX")</f>
        <v>0</v>
      </c>
      <c r="R18" s="50">
        <f>COUNTIF('PF320'!Y10:Y329,"LIN14_TX")</f>
        <v>0</v>
      </c>
      <c r="S18" s="50">
        <f>COUNTIF('PF320'!Y10:Y329,"LIN15_TX")</f>
        <v>0</v>
      </c>
      <c r="T18" s="50">
        <f>COUNTIF('PF320'!Y10:Y329,"LIN16_TX")</f>
        <v>0</v>
      </c>
      <c r="U18" s="50">
        <f>COUNTIF('PF320'!Y10:Y329,"LIN17_TX")</f>
        <v>0</v>
      </c>
      <c r="V18" s="50">
        <f>COUNTIF('PF320'!Y10:Y329,"LIN18_TX")</f>
        <v>0</v>
      </c>
      <c r="W18" s="50">
        <f>COUNTIF('PF320'!Y10:Y329,"LIN19_TX")</f>
        <v>0</v>
      </c>
    </row>
    <row r="19" spans="2:59" x14ac:dyDescent="0.55000000000000004">
      <c r="B19" s="193"/>
      <c r="C19" s="49" t="s">
        <v>379</v>
      </c>
      <c r="D19" s="50">
        <f>COUNTIF('PF320'!Y10:Y329,"LIN0_EN")</f>
        <v>0</v>
      </c>
      <c r="E19" s="50">
        <f>COUNTIF('PF320'!Y10:Y329,"LIN1_EN")</f>
        <v>0</v>
      </c>
      <c r="F19" s="50">
        <f>COUNTIF('PF320'!Y10:Y329,"LIN2_EN")</f>
        <v>0</v>
      </c>
      <c r="G19" s="50">
        <f>COUNTIF('PF320'!Y10:Y329,"LIN3_EN")</f>
        <v>0</v>
      </c>
      <c r="H19" s="50">
        <f>COUNTIF('PF320'!Y10:Y329,"LIN4_EN")</f>
        <v>0</v>
      </c>
      <c r="I19" s="50">
        <f>COUNTIF('PF320'!Y10:Y329,"LIN5_EN")</f>
        <v>0</v>
      </c>
      <c r="J19" s="50">
        <f>COUNTIF('PF320'!Y10:Y329,"LIN6_EN")</f>
        <v>0</v>
      </c>
      <c r="K19" s="50">
        <f>COUNTIF('PF320'!Y10:Y329,"LIN7_EN")</f>
        <v>0</v>
      </c>
      <c r="L19" s="50">
        <f>COUNTIF('PF320'!Y10:Y329,"LIN8_EN")</f>
        <v>0</v>
      </c>
      <c r="M19" s="50">
        <f>COUNTIF('PF320'!Y10:Y329,"LIN9_EN")</f>
        <v>0</v>
      </c>
      <c r="N19" s="50">
        <f>COUNTIF('PF320'!Y10:Y329,"LIN10_EN")</f>
        <v>0</v>
      </c>
      <c r="O19" s="50">
        <f>COUNTIF('PF320'!Y10:Y329,"LIN11_EN")</f>
        <v>0</v>
      </c>
      <c r="P19" s="50">
        <f>COUNTIF('PF320'!Y10:Y329,"LIN12_EN")</f>
        <v>0</v>
      </c>
      <c r="Q19" s="50">
        <f>COUNTIF('PF320'!Y10:Y329,"LIN13_EN")</f>
        <v>0</v>
      </c>
      <c r="R19" s="50">
        <f>COUNTIF('PF320'!Y10:Y329,"LIN14_EN")</f>
        <v>0</v>
      </c>
      <c r="S19" s="50">
        <f>COUNTIF('PF320'!Y10:Y329,"LIN15_EN")</f>
        <v>0</v>
      </c>
      <c r="T19" s="50">
        <f>COUNTIF('PF320'!Y10:Y329,"LIN16_EN")</f>
        <v>0</v>
      </c>
      <c r="U19" s="50">
        <f>COUNTIF('PF320'!Y10:Y329,"LIN17_EN")</f>
        <v>0</v>
      </c>
      <c r="V19" s="50">
        <f>COUNTIF('PF320'!Y10:Y329,"LIN18_EN")</f>
        <v>0</v>
      </c>
      <c r="W19" s="50">
        <f>COUNTIF('PF320'!Y10:Y329,"LIN19_EN")</f>
        <v>0</v>
      </c>
    </row>
    <row r="20" spans="2:59" x14ac:dyDescent="0.55000000000000004">
      <c r="B20" s="51"/>
      <c r="C20" s="52"/>
    </row>
    <row r="21" spans="2:59" x14ac:dyDescent="0.55000000000000004">
      <c r="B21" s="51"/>
    </row>
    <row r="22" spans="2:59" x14ac:dyDescent="0.55000000000000004">
      <c r="B22" s="184" t="s">
        <v>360</v>
      </c>
      <c r="C22" s="185"/>
      <c r="D22" s="48" t="s">
        <v>361</v>
      </c>
      <c r="E22" s="48" t="s">
        <v>362</v>
      </c>
      <c r="F22" s="48" t="s">
        <v>363</v>
      </c>
      <c r="G22" s="48" t="s">
        <v>364</v>
      </c>
      <c r="H22" s="48" t="s">
        <v>368</v>
      </c>
      <c r="I22" s="48" t="s">
        <v>367</v>
      </c>
      <c r="J22" s="48" t="s">
        <v>366</v>
      </c>
      <c r="K22" s="48" t="s">
        <v>365</v>
      </c>
      <c r="L22" s="48" t="s">
        <v>2309</v>
      </c>
      <c r="M22" s="48" t="s">
        <v>2310</v>
      </c>
      <c r="N22" s="48" t="s">
        <v>2311</v>
      </c>
    </row>
    <row r="23" spans="2:59" ht="10" customHeight="1" x14ac:dyDescent="0.55000000000000004">
      <c r="B23" s="196" t="s">
        <v>396</v>
      </c>
      <c r="C23" s="53" t="s">
        <v>2337</v>
      </c>
      <c r="D23" s="54">
        <f>COUNTIF('PF320'!Y10:Y329,"SCB0_CLK (0)")</f>
        <v>0</v>
      </c>
      <c r="E23" s="49">
        <f>COUNTIF('PF320'!Y10:Y329,"SCB1_CLK (0)")</f>
        <v>0</v>
      </c>
      <c r="F23" s="49">
        <f>COUNTIF('PF320'!Y10:Y329,"SCB2_CLK (0)")</f>
        <v>0</v>
      </c>
      <c r="G23" s="49">
        <f>COUNTIF('PF320'!Y10:Y329,"SCB3_CLK (0)")</f>
        <v>0</v>
      </c>
      <c r="H23" s="49">
        <f>COUNTIF('PF320'!Y10:Y329,"SCB4_CLK (0)")</f>
        <v>0</v>
      </c>
      <c r="I23" s="49">
        <f>COUNTIF('PF320'!Y10:Y329,"SCB5_CLK (0)")</f>
        <v>0</v>
      </c>
      <c r="J23" s="49">
        <f>COUNTIF('PF320'!Y10:Y329,"SCB6_CLK (0)")</f>
        <v>0</v>
      </c>
      <c r="K23" s="49">
        <f>COUNTIF('PF320'!Y10:Y329,"SCB7_CLK (0)")</f>
        <v>0</v>
      </c>
      <c r="L23" s="49">
        <f>COUNTIF('PF320'!Y10:Y329,"SCB8_CLK (0)")</f>
        <v>0</v>
      </c>
      <c r="M23" s="49">
        <f>COUNTIF('PF320'!Y10:Y329,"SCB9_CLK (0)")</f>
        <v>0</v>
      </c>
      <c r="N23" s="49">
        <f>COUNTIF('PF320'!Y10:Y329,"SCB10_CLK (0)")</f>
        <v>0</v>
      </c>
      <c r="BG23" s="55"/>
    </row>
    <row r="24" spans="2:59" ht="10" customHeight="1" x14ac:dyDescent="0.55000000000000004">
      <c r="B24" s="197"/>
      <c r="C24" s="53" t="s">
        <v>2338</v>
      </c>
      <c r="D24" s="54">
        <f>COUNTIF('PF320'!Y10:Y329,"SCB0_CLK (1)")</f>
        <v>0</v>
      </c>
      <c r="E24" s="49">
        <f>COUNTIF('PF320'!Y10:Y329,"SCB1_CLK (1)")</f>
        <v>0</v>
      </c>
      <c r="F24" s="49">
        <f>COUNTIF('PF320'!Y10:Y329,"SCB2_CLK (1)")</f>
        <v>0</v>
      </c>
      <c r="G24" s="49">
        <f>COUNTIF('PF320'!Y10:Y329,"SCB3_CLK (1)")</f>
        <v>0</v>
      </c>
      <c r="H24" s="49">
        <f>COUNTIF('PF320'!Y10:Y329,"SCB4_CLK (1)")</f>
        <v>0</v>
      </c>
      <c r="I24" s="49">
        <f>COUNTIF('PF320'!Y10:Y329,"SCB5_CLK (1)")</f>
        <v>0</v>
      </c>
      <c r="J24" s="49">
        <f>COUNTIF('PF320'!Y10:Y329,"SCB6_CLK (1)")</f>
        <v>0</v>
      </c>
      <c r="K24" s="49">
        <f>COUNTIF('PF320'!Y10:Y329,"SCB7_CLK (1)")</f>
        <v>0</v>
      </c>
      <c r="L24" s="49">
        <f>COUNTIF('PF320'!Y10:Y329,"SCB8_CLK (1)")</f>
        <v>0</v>
      </c>
      <c r="M24" s="49">
        <f>COUNTIF('PF320'!Y10:Y329,"SCB9_CLK (1)")</f>
        <v>0</v>
      </c>
      <c r="N24" s="49">
        <f>COUNTIF('PF320'!Y10:Y329,"SCB10_CLK (1)")</f>
        <v>0</v>
      </c>
      <c r="BG24" s="55"/>
    </row>
    <row r="25" spans="2:59" ht="10" customHeight="1" x14ac:dyDescent="0.55000000000000004">
      <c r="B25" s="197"/>
      <c r="C25" s="53" t="s">
        <v>2339</v>
      </c>
      <c r="D25" s="54">
        <f>COUNTIF('PF320'!Y10:Y329,"SCB0_CLK (2)")</f>
        <v>0</v>
      </c>
      <c r="E25" s="49">
        <f>COUNTIF('PF320'!Y10:Y329,"SCB1_CLK (2)")</f>
        <v>0</v>
      </c>
      <c r="F25" s="49">
        <f>COUNTIF('PF320'!Y10:Y329,"SCB2_CLK (2)")</f>
        <v>0</v>
      </c>
      <c r="G25" s="49">
        <f>COUNTIF('PF320'!Y10:Y329,"SCB3_CLK (2)")</f>
        <v>0</v>
      </c>
      <c r="H25" s="49">
        <f>COUNTIF('PF320'!Y10:Y329,"SCB4_CLK (2)")</f>
        <v>0</v>
      </c>
      <c r="I25" s="49">
        <f>COUNTIF('PF320'!Y10:Y329,"SCB5_CLK (2)")</f>
        <v>0</v>
      </c>
      <c r="J25" s="49">
        <f>COUNTIF('PF320'!Y10:Y329,"SCB6_CLK (2)")</f>
        <v>0</v>
      </c>
      <c r="K25" s="49">
        <f>COUNTIF('PF320'!Y10:Y329,"SCB7_CLK (2)")</f>
        <v>0</v>
      </c>
      <c r="L25" s="49">
        <f>COUNTIF('PF320'!Y10:Y329,"SCB8_CLK (2)")</f>
        <v>0</v>
      </c>
      <c r="M25" s="49">
        <f>COUNTIF('PF320'!Y10:Y329,"SCB9_CLK (2)")</f>
        <v>0</v>
      </c>
      <c r="N25" s="49">
        <f>COUNTIF('PF320'!Y10:Y329,"SCB10_CLK (2)")</f>
        <v>0</v>
      </c>
      <c r="BG25" s="55"/>
    </row>
    <row r="26" spans="2:59" x14ac:dyDescent="0.55000000000000004">
      <c r="B26" s="197"/>
      <c r="C26" s="53" t="s">
        <v>2340</v>
      </c>
      <c r="D26" s="54">
        <f>COUNTIF('PF320'!Y10:Y329,"SCB0_MOSI (0)")</f>
        <v>0</v>
      </c>
      <c r="E26" s="49">
        <f>COUNTIF('PF320'!Y10:Y329,"SCB1_MOSI (0)")</f>
        <v>0</v>
      </c>
      <c r="F26" s="49">
        <f>COUNTIF('PF320'!Y10:Y329,"SCB2_MOSI (0)")</f>
        <v>0</v>
      </c>
      <c r="G26" s="49">
        <f>COUNTIF('PF320'!Y10:Y329,"SCB3_MOSI (0)")</f>
        <v>0</v>
      </c>
      <c r="H26" s="49">
        <f>COUNTIF('PF320'!Y10:Y329,"SCB4_MOSI (0)")</f>
        <v>0</v>
      </c>
      <c r="I26" s="49">
        <f>COUNTIF('PF320'!Y10:Y329,"SCB5_MOSI (0)")</f>
        <v>0</v>
      </c>
      <c r="J26" s="49">
        <f>COUNTIF('PF320'!Y10:Y329,"SCB6_MOSI (0)")</f>
        <v>0</v>
      </c>
      <c r="K26" s="49">
        <f>COUNTIF('PF320'!Y10:Y329,"SCB7_MOSI (0)")</f>
        <v>0</v>
      </c>
      <c r="L26" s="49">
        <f>COUNTIF('PF320'!Y10:Y329,"SCB8_MOSI (0)")</f>
        <v>0</v>
      </c>
      <c r="M26" s="49">
        <f>COUNTIF('PF320'!Y10:Y329,"SCB9_MOSI (0)")</f>
        <v>0</v>
      </c>
      <c r="N26" s="49">
        <f>COUNTIF('PF320'!Y10:Y329,"SCB10_MOSI (0)")</f>
        <v>0</v>
      </c>
    </row>
    <row r="27" spans="2:59" x14ac:dyDescent="0.55000000000000004">
      <c r="B27" s="197"/>
      <c r="C27" s="53" t="s">
        <v>2341</v>
      </c>
      <c r="D27" s="54">
        <f>COUNTIF('PF320'!Y10:Y329,"SCB0_MOSI (1)")</f>
        <v>0</v>
      </c>
      <c r="E27" s="49">
        <f>COUNTIF('PF320'!Y10:Y329,"SCB1_MOSI (1)")</f>
        <v>0</v>
      </c>
      <c r="F27" s="49">
        <f>COUNTIF('PF320'!Y10:Y329,"SCB2_MOSI (1)")</f>
        <v>0</v>
      </c>
      <c r="G27" s="49">
        <f>COUNTIF('PF320'!Y10:Y329,"SCB3_MOSI (1)")</f>
        <v>0</v>
      </c>
      <c r="H27" s="49">
        <f>COUNTIF('PF320'!Y10:Y329,"SCB4_MOSI (1)")</f>
        <v>0</v>
      </c>
      <c r="I27" s="49">
        <f>COUNTIF('PF320'!Y10:Y329,"SCB5_MOSI (1)")</f>
        <v>0</v>
      </c>
      <c r="J27" s="49">
        <f>COUNTIF('PF320'!Y10:Y329,"SCB6_MOSI (1)")</f>
        <v>0</v>
      </c>
      <c r="K27" s="49">
        <f>COUNTIF('PF320'!Y10:Y329,"SCB7_MOSI (1)")</f>
        <v>0</v>
      </c>
      <c r="L27" s="49">
        <f>COUNTIF('PF320'!Y10:Y329,"SCB8_MOSI (1)")</f>
        <v>0</v>
      </c>
      <c r="M27" s="49">
        <f>COUNTIF('PF320'!Y10:Y329,"SCB9_MOSI (1)")</f>
        <v>0</v>
      </c>
      <c r="N27" s="49">
        <f>COUNTIF('PF320'!Y10:Y329,"SCB10_MOSI (1)")</f>
        <v>0</v>
      </c>
    </row>
    <row r="28" spans="2:59" x14ac:dyDescent="0.55000000000000004">
      <c r="B28" s="197"/>
      <c r="C28" s="53" t="s">
        <v>2342</v>
      </c>
      <c r="D28" s="54">
        <f>COUNTIF('PF320'!Y10:Y329,"SCB0_MOSI (2)")</f>
        <v>0</v>
      </c>
      <c r="E28" s="49">
        <f>COUNTIF('PF320'!Y10:Y329,"SCB1_MOSI (2)")</f>
        <v>0</v>
      </c>
      <c r="F28" s="49">
        <f>COUNTIF('PF320'!Y10:Y329,"SCB2_MOSI (2)")</f>
        <v>0</v>
      </c>
      <c r="G28" s="49">
        <f>COUNTIF('PF320'!Y10:Y329,"SCB3_MOSI (2)")</f>
        <v>0</v>
      </c>
      <c r="H28" s="49">
        <f>COUNTIF('PF320'!Y10:Y329,"SCB4_MOSI (2)")</f>
        <v>0</v>
      </c>
      <c r="I28" s="49">
        <f>COUNTIF('PF320'!Y10:Y329,"SCB5_MOSI (2)")</f>
        <v>0</v>
      </c>
      <c r="J28" s="49">
        <f>COUNTIF('PF320'!Y10:Y329,"SCB6_MOSI (2)")</f>
        <v>0</v>
      </c>
      <c r="K28" s="49">
        <f>COUNTIF('PF320'!Y10:Y329,"SCB7_MOSI (2)")</f>
        <v>0</v>
      </c>
      <c r="L28" s="49">
        <f>COUNTIF('PF320'!Y10:Y329,"SCB8_MOSI (2)")</f>
        <v>0</v>
      </c>
      <c r="M28" s="49">
        <f>COUNTIF('PF320'!Y10:Y329,"SCB9_MOSI (2)")</f>
        <v>0</v>
      </c>
      <c r="N28" s="49">
        <f>COUNTIF('PF320'!Y10:Y329,"SCB10_MOSI (2)")</f>
        <v>0</v>
      </c>
    </row>
    <row r="29" spans="2:59" x14ac:dyDescent="0.55000000000000004">
      <c r="B29" s="197"/>
      <c r="C29" s="53" t="s">
        <v>2343</v>
      </c>
      <c r="D29" s="54">
        <f>COUNTIF('PF320'!Y10:Y329,"SCB0_MISO (0)")</f>
        <v>0</v>
      </c>
      <c r="E29" s="49">
        <f>COUNTIF('PF320'!Y10:Y329,"SCB1_MISO (0)")</f>
        <v>0</v>
      </c>
      <c r="F29" s="49">
        <f>COUNTIF('PF320'!Y10:Y329,"SCB2_MISO (0)")</f>
        <v>0</v>
      </c>
      <c r="G29" s="49">
        <f>COUNTIF('PF320'!Y10:Y329,"SCB3_MISO (0)")</f>
        <v>0</v>
      </c>
      <c r="H29" s="49">
        <f>COUNTIF('PF320'!Y10:Y329,"SCB4_MISO (0)")</f>
        <v>0</v>
      </c>
      <c r="I29" s="49">
        <f>COUNTIF('PF320'!Y10:Y329,"SCB5_MISO (0)")</f>
        <v>0</v>
      </c>
      <c r="J29" s="49">
        <f>COUNTIF('PF320'!Y10:Y329,"SCB6_MISO (0)")</f>
        <v>0</v>
      </c>
      <c r="K29" s="49">
        <f>COUNTIF('PF320'!Y10:Y329,"SCB7_MISO (0)")</f>
        <v>0</v>
      </c>
      <c r="L29" s="49">
        <f>COUNTIF('PF320'!Y10:Y329,"SCB8_MISO (0)")</f>
        <v>0</v>
      </c>
      <c r="M29" s="49">
        <f>COUNTIF('PF320'!Y10:Y329,"SCB9_MISO (0)")</f>
        <v>0</v>
      </c>
      <c r="N29" s="49">
        <f>COUNTIF('PF320'!Y10:Y329,"SCB10_MISO (0)")</f>
        <v>0</v>
      </c>
    </row>
    <row r="30" spans="2:59" x14ac:dyDescent="0.55000000000000004">
      <c r="B30" s="197"/>
      <c r="C30" s="53" t="s">
        <v>2344</v>
      </c>
      <c r="D30" s="54">
        <f>COUNTIF('PF320'!Y10:Y329,"SCB0_MISO (1)")</f>
        <v>0</v>
      </c>
      <c r="E30" s="49">
        <f>COUNTIF('PF320'!Y10:Y329,"SCB1_MISO (1)")</f>
        <v>0</v>
      </c>
      <c r="F30" s="49">
        <f>COUNTIF('PF320'!Y10:Y329,"SCB2_MISO (1)")</f>
        <v>0</v>
      </c>
      <c r="G30" s="49">
        <f>COUNTIF('PF320'!Y10:Y329,"SCB3_MISO (1)")</f>
        <v>0</v>
      </c>
      <c r="H30" s="49">
        <f>COUNTIF('PF320'!Y10:Y329,"SCB4_MISO (1)")</f>
        <v>0</v>
      </c>
      <c r="I30" s="49">
        <f>COUNTIF('PF320'!Y10:Y329,"SCB5_MISO (1)")</f>
        <v>0</v>
      </c>
      <c r="J30" s="49">
        <f>COUNTIF('PF320'!Y10:Y329,"SCB6_MISO (1)")</f>
        <v>0</v>
      </c>
      <c r="K30" s="49">
        <f>COUNTIF('PF320'!Y10:Y329,"SCB7_MISO (1)")</f>
        <v>0</v>
      </c>
      <c r="L30" s="49">
        <f>COUNTIF('PF320'!Y10:Y329,"SCB8_MISO (1)")</f>
        <v>0</v>
      </c>
      <c r="M30" s="49">
        <f>COUNTIF('PF320'!Y10:Y329,"SCB9_MISO (1)")</f>
        <v>0</v>
      </c>
      <c r="N30" s="49">
        <f>COUNTIF('PF320'!Y10:Y329,"SCB10_MISO (1)")</f>
        <v>0</v>
      </c>
    </row>
    <row r="31" spans="2:59" x14ac:dyDescent="0.55000000000000004">
      <c r="B31" s="197"/>
      <c r="C31" s="53" t="s">
        <v>2345</v>
      </c>
      <c r="D31" s="54">
        <f>COUNTIF('PF320'!Y10:Y329,"SCB0_MISO (2)")</f>
        <v>0</v>
      </c>
      <c r="E31" s="49">
        <f>COUNTIF('PF320'!Y10:Y329,"SCB1_MISO (2)")</f>
        <v>0</v>
      </c>
      <c r="F31" s="49">
        <f>COUNTIF('PF320'!Y10:Y329,"SCB2_MISO (2)")</f>
        <v>0</v>
      </c>
      <c r="G31" s="49">
        <f>COUNTIF('PF320'!Y10:Y329,"SCB3_MISO (2)")</f>
        <v>0</v>
      </c>
      <c r="H31" s="49">
        <f>COUNTIF('PF320'!Y10:Y329,"SCB4_MISO (2)")</f>
        <v>0</v>
      </c>
      <c r="I31" s="49">
        <f>COUNTIF('PF320'!Y10:Y329,"SCB5_MISO (2)")</f>
        <v>0</v>
      </c>
      <c r="J31" s="49">
        <f>COUNTIF('PF320'!Y10:Y329,"SCB6_MISO (2)")</f>
        <v>0</v>
      </c>
      <c r="K31" s="49">
        <f>COUNTIF('PF320'!Y10:Y329,"SCB7_MISO (2)")</f>
        <v>0</v>
      </c>
      <c r="L31" s="49">
        <f>COUNTIF('PF320'!Y10:Y329,"SCB8_MISO (2)")</f>
        <v>0</v>
      </c>
      <c r="M31" s="49">
        <f>COUNTIF('PF320'!Y10:Y329,"SCB9_MISO (2)")</f>
        <v>0</v>
      </c>
      <c r="N31" s="49">
        <f>COUNTIF('PF320'!Y10:Y329,"SCB10_MISO (2)")</f>
        <v>0</v>
      </c>
    </row>
    <row r="32" spans="2:59" x14ac:dyDescent="0.55000000000000004">
      <c r="B32" s="197"/>
      <c r="C32" s="53" t="s">
        <v>2346</v>
      </c>
      <c r="D32" s="54">
        <f>COUNTIF('PF320'!Y10:Y329,"SCB0_SEL0 (0)")</f>
        <v>0</v>
      </c>
      <c r="E32" s="49">
        <f>COUNTIF('PF320'!Y10:Y329,"SCB1_SEL0 (0)")</f>
        <v>0</v>
      </c>
      <c r="F32" s="49">
        <f>COUNTIF('PF320'!Y10:Y329,"SCB2_SEL0 (0)")</f>
        <v>0</v>
      </c>
      <c r="G32" s="49">
        <f>COUNTIF('PF320'!Y10:Y329,"SCB3_SEL0 (0)")</f>
        <v>0</v>
      </c>
      <c r="H32" s="49">
        <f>COUNTIF('PF320'!Y10:Y329,"SCB4_SEL0 (0)")</f>
        <v>0</v>
      </c>
      <c r="I32" s="54">
        <f>COUNTIF('PF320'!Y10:Y329,"SCB5_SEL0 (0)")</f>
        <v>0</v>
      </c>
      <c r="J32" s="54">
        <f>COUNTIF('PF320'!Y10:Y329,"SCB6_SEL0 (0)")</f>
        <v>0</v>
      </c>
      <c r="K32" s="49">
        <f>COUNTIF('PF320'!Y10:Y329,"SCB7_SEL0 (0)")</f>
        <v>0</v>
      </c>
      <c r="L32" s="49">
        <f>COUNTIF('PF320'!Y10:Y329,"SCB8_SEL0 (0)")</f>
        <v>0</v>
      </c>
      <c r="M32" s="49">
        <f>COUNTIF('PF320'!Y10:Y329,"SCB9_SEL0 (0)")</f>
        <v>0</v>
      </c>
      <c r="N32" s="49">
        <f>COUNTIF('PF320'!Y10:Y329,"SCB10_SEL0 (0)")</f>
        <v>0</v>
      </c>
    </row>
    <row r="33" spans="2:14" x14ac:dyDescent="0.55000000000000004">
      <c r="B33" s="197"/>
      <c r="C33" s="53" t="s">
        <v>2347</v>
      </c>
      <c r="D33" s="54">
        <f>COUNTIF('PF320'!Y10:Y329,"SCB0_SEL0 (1)")</f>
        <v>0</v>
      </c>
      <c r="E33" s="49">
        <f>COUNTIF('PF320'!Y10:Y329,"SCB1_SEL0 (1)")</f>
        <v>0</v>
      </c>
      <c r="F33" s="49">
        <f>COUNTIF('PF320'!Y10:Y329,"SCB2_SEL0 (1)")</f>
        <v>0</v>
      </c>
      <c r="G33" s="49">
        <f>COUNTIF('PF320'!Y10:Y329,"SCB3_SEL0 (1)")</f>
        <v>0</v>
      </c>
      <c r="H33" s="49">
        <f>COUNTIF('PF320'!Y10:Y329,"SCB4_SEL0 (1)")</f>
        <v>0</v>
      </c>
      <c r="I33" s="54">
        <f>COUNTIF('PF320'!Y10:Y329,"SCB5_SEL0 (1)")</f>
        <v>0</v>
      </c>
      <c r="J33" s="54">
        <f>COUNTIF('PF320'!Y10:Y329,"SCB6_SEL0 (1)")</f>
        <v>0</v>
      </c>
      <c r="K33" s="49">
        <f>COUNTIF('PF320'!Y10:Y329,"SCB7_SEL0 (1)")</f>
        <v>0</v>
      </c>
      <c r="L33" s="49">
        <f>COUNTIF('PF320'!Y10:Y329,"SCB8_SEL0 (1)")</f>
        <v>0</v>
      </c>
      <c r="M33" s="49">
        <f>COUNTIF('PF320'!Y10:Y329,"SCB9_SEL0 (1)")</f>
        <v>0</v>
      </c>
      <c r="N33" s="49">
        <f>COUNTIF('PF320'!Y10:Y329,"SCB10_SEL0 (1)")</f>
        <v>0</v>
      </c>
    </row>
    <row r="34" spans="2:14" x14ac:dyDescent="0.55000000000000004">
      <c r="B34" s="197"/>
      <c r="C34" s="53" t="s">
        <v>2348</v>
      </c>
      <c r="D34" s="54">
        <f>COUNTIF('PF320'!Y10:Y329,"SCB0_SEL0 (2)")</f>
        <v>0</v>
      </c>
      <c r="E34" s="49">
        <f>COUNTIF('PF320'!Y10:Y329,"SCB1_SEL0 (2)")</f>
        <v>0</v>
      </c>
      <c r="F34" s="49">
        <f>COUNTIF('PF320'!Y10:Y329,"SCB2_SEL0 (2)")</f>
        <v>0</v>
      </c>
      <c r="G34" s="49">
        <f>COUNTIF('PF320'!Y10:Y329,"SCB3_SEL0 (2)")</f>
        <v>0</v>
      </c>
      <c r="H34" s="49">
        <f>COUNTIF('PF320'!Y10:Y329,"SCB4_SEL0 (2)")</f>
        <v>0</v>
      </c>
      <c r="I34" s="54">
        <f>COUNTIF('PF320'!Y10:Y329,"SCB5_SEL0 (2)")</f>
        <v>0</v>
      </c>
      <c r="J34" s="54">
        <f>COUNTIF('PF320'!Y10:Y329,"SCB6_SEL0 (2)")</f>
        <v>0</v>
      </c>
      <c r="K34" s="49">
        <f>COUNTIF('PF320'!Y10:Y329,"SCB7_SEL0 (2)")</f>
        <v>0</v>
      </c>
      <c r="L34" s="49">
        <f>COUNTIF('PF320'!Y10:Y329,"SCB8_SEL0 (2)")</f>
        <v>0</v>
      </c>
      <c r="M34" s="49">
        <f>COUNTIF('PF320'!Y10:Y329,"SCB9_SEL0 (2)")</f>
        <v>0</v>
      </c>
      <c r="N34" s="49">
        <f>COUNTIF('PF320'!Y10:Y329,"SCB10_SEL0 (2)")</f>
        <v>0</v>
      </c>
    </row>
    <row r="35" spans="2:14" x14ac:dyDescent="0.55000000000000004">
      <c r="B35" s="197"/>
      <c r="C35" s="53" t="s">
        <v>2349</v>
      </c>
      <c r="D35" s="54">
        <f>COUNTIF('PF320'!Y10:Y329,"SCB0_SEL1 (0)")</f>
        <v>0</v>
      </c>
      <c r="E35" s="49">
        <f>COUNTIF('PF320'!Y10:Y329,"SCB1_SEL1 (0)")</f>
        <v>0</v>
      </c>
      <c r="F35" s="49">
        <f>COUNTIF('PF320'!Y10:Y329,"SCB2_SEL1 (0)")</f>
        <v>0</v>
      </c>
      <c r="G35" s="49">
        <f>COUNTIF('PF320'!Y10:Y329,"SCB3_SEL1 (0)")</f>
        <v>0</v>
      </c>
      <c r="H35" s="49">
        <f>COUNTIF('PF320'!Y10:Y329,"SCB4_SEL1 (0)")</f>
        <v>0</v>
      </c>
      <c r="I35" s="54">
        <f>COUNTIF('PF320'!Y10:Y329,"SCB5_SEL1 (0)")</f>
        <v>0</v>
      </c>
      <c r="J35" s="54">
        <f>COUNTIF('PF320'!Y10:Y329,"SCB6_SEL1 (0)")</f>
        <v>0</v>
      </c>
      <c r="K35" s="49">
        <f>COUNTIF('PF320'!Y10:Y329,"SCB7_SEL1 (0)")</f>
        <v>0</v>
      </c>
      <c r="L35" s="49">
        <f>COUNTIF('PF320'!Y10:Y329,"SCB8_SEL1 (0)")</f>
        <v>0</v>
      </c>
      <c r="M35" s="49">
        <f>COUNTIF('PF320'!Y10:Y329,"SCB9_SEL1 (0)")</f>
        <v>0</v>
      </c>
      <c r="N35" s="49">
        <f>COUNTIF('PF320'!Y10:Y329,"SCB10_SEL1 (0)")</f>
        <v>0</v>
      </c>
    </row>
    <row r="36" spans="2:14" x14ac:dyDescent="0.55000000000000004">
      <c r="B36" s="197"/>
      <c r="C36" s="53" t="s">
        <v>2350</v>
      </c>
      <c r="D36" s="54">
        <f>COUNTIF('PF320'!Y10:Y329,"SCB0_SEL1 (1)")</f>
        <v>0</v>
      </c>
      <c r="E36" s="49">
        <f>COUNTIF('PF320'!Y10:Y329,"SCB1_SEL1 (1)")</f>
        <v>0</v>
      </c>
      <c r="F36" s="49">
        <f>COUNTIF('PF320'!Y10:Y329,"SCB2_SEL1 (1)")</f>
        <v>0</v>
      </c>
      <c r="G36" s="49">
        <f>COUNTIF('PF320'!Y10:Y329,"SCB3_SEL1 (1)")</f>
        <v>0</v>
      </c>
      <c r="H36" s="49">
        <f>COUNTIF('PF320'!Y10:Y329,"SCB4_SEL1 (1)")</f>
        <v>0</v>
      </c>
      <c r="I36" s="54">
        <f>COUNTIF('PF320'!Y10:Y329,"SCB5_SEL1 (1)")</f>
        <v>0</v>
      </c>
      <c r="J36" s="54">
        <f>COUNTIF('PF320'!Y10:Y329,"SCB6_SEL1 (1)")</f>
        <v>0</v>
      </c>
      <c r="K36" s="49">
        <f>COUNTIF('PF320'!Y10:Y329,"SCB7_SEL1 (1)")</f>
        <v>0</v>
      </c>
      <c r="L36" s="49">
        <f>COUNTIF('PF320'!Y10:Y329,"SCB8_SEL1 (1)")</f>
        <v>0</v>
      </c>
      <c r="M36" s="49">
        <f>COUNTIF('PF320'!Y10:Y329,"SCB9_SEL1 (1)")</f>
        <v>0</v>
      </c>
      <c r="N36" s="49">
        <f>COUNTIF('PF320'!Y10:Y329,"SCB10_SEL1 (1)")</f>
        <v>0</v>
      </c>
    </row>
    <row r="37" spans="2:14" x14ac:dyDescent="0.55000000000000004">
      <c r="B37" s="197"/>
      <c r="C37" s="53" t="s">
        <v>2351</v>
      </c>
      <c r="D37" s="54">
        <f>COUNTIF('PF320'!Y10:Y329,"SCB0_SEL1 (2)")</f>
        <v>0</v>
      </c>
      <c r="E37" s="49">
        <f>COUNTIF('PF320'!Y10:Y329,"SCB1_SEL1 (2)")</f>
        <v>0</v>
      </c>
      <c r="F37" s="49">
        <f>COUNTIF('PF320'!Y10:Y329,"SCB2_SEL1 (2)")</f>
        <v>0</v>
      </c>
      <c r="G37" s="49">
        <f>COUNTIF('PF320'!Y10:Y329,"SCB3_SEL1 (2)")</f>
        <v>0</v>
      </c>
      <c r="H37" s="49">
        <f>COUNTIF('PF320'!Y10:Y329,"SCB4_SEL1 (2)")</f>
        <v>0</v>
      </c>
      <c r="I37" s="54">
        <f>COUNTIF('PF320'!Y10:Y329,"SCB5_SEL1 (2)")</f>
        <v>0</v>
      </c>
      <c r="J37" s="54">
        <f>COUNTIF('PF320'!Y10:Y329,"SCB6_SEL1 (2)")</f>
        <v>0</v>
      </c>
      <c r="K37" s="49">
        <f>COUNTIF('PF320'!Y10:Y329,"SCB7_SEL1 (2)")</f>
        <v>0</v>
      </c>
      <c r="L37" s="49">
        <f>COUNTIF('PF320'!Y10:Y329,"SCB8_SEL1 (2)")</f>
        <v>0</v>
      </c>
      <c r="M37" s="49">
        <f>COUNTIF('PF320'!Y10:Y329,"SCB9_SEL1 (2)")</f>
        <v>0</v>
      </c>
      <c r="N37" s="49">
        <f>COUNTIF('PF320'!Y10:Y329,"SCB10_SEL1 (2)")</f>
        <v>0</v>
      </c>
    </row>
    <row r="38" spans="2:14" x14ac:dyDescent="0.55000000000000004">
      <c r="B38" s="197"/>
      <c r="C38" s="53" t="s">
        <v>2352</v>
      </c>
      <c r="D38" s="54">
        <f>COUNTIF('PF320'!Y10:Y329,"SCB0_SEL2 (0)")</f>
        <v>0</v>
      </c>
      <c r="E38" s="49">
        <f>COUNTIF('PF320'!Y10:Y329,"SCB1_SEL2 (0)")</f>
        <v>0</v>
      </c>
      <c r="F38" s="49">
        <f>COUNTIF('PF320'!Y10:Y329,"SCB2_SEL2 (0)")</f>
        <v>0</v>
      </c>
      <c r="G38" s="49">
        <f>COUNTIF('PF320'!Y10:Y329,"SCB3_SEL2 (0)")</f>
        <v>0</v>
      </c>
      <c r="H38" s="49">
        <f>COUNTIF('PF320'!Y10:Y329,"SCB4_SEL2 (0)")</f>
        <v>0</v>
      </c>
      <c r="I38" s="54">
        <f>COUNTIF('PF320'!Y10:Y329,"SCB5_SEL2 (0)")</f>
        <v>0</v>
      </c>
      <c r="J38" s="54">
        <f>COUNTIF('PF320'!Y10:Y329,"SCB6_SEL2 (0)")</f>
        <v>0</v>
      </c>
      <c r="K38" s="49">
        <f>COUNTIF('PF320'!Y10:Y329,"SCB7_SEL2 (0)")</f>
        <v>0</v>
      </c>
      <c r="L38" s="49">
        <f>COUNTIF('PF320'!Y10:Y329,"SCB8_SEL2 (0)")</f>
        <v>0</v>
      </c>
      <c r="M38" s="49">
        <f>COUNTIF('PF320'!Y10:Y329,"SCB9_SEL2 (0)")</f>
        <v>0</v>
      </c>
      <c r="N38" s="49">
        <f>COUNTIF('PF320'!Y10:Y329,"SCB10_SEL2 (0)")</f>
        <v>0</v>
      </c>
    </row>
    <row r="39" spans="2:14" x14ac:dyDescent="0.55000000000000004">
      <c r="B39" s="197"/>
      <c r="C39" s="53" t="s">
        <v>2353</v>
      </c>
      <c r="D39" s="54">
        <f>COUNTIF('PF320'!Y10:Y329,"SCB0_SEL2 (1)")</f>
        <v>0</v>
      </c>
      <c r="E39" s="49">
        <f>COUNTIF('PF320'!Y10:Y329,"SCB1_SEL2 (1)")</f>
        <v>0</v>
      </c>
      <c r="F39" s="49">
        <f>COUNTIF('PF320'!Y10:Y329,"SCB2_SEL2 (1)")</f>
        <v>0</v>
      </c>
      <c r="G39" s="49">
        <f>COUNTIF('PF320'!Y10:Y329,"SCB3_SEL2 (1)")</f>
        <v>0</v>
      </c>
      <c r="H39" s="49">
        <f>COUNTIF('PF320'!Y10:Y329,"SCB4_SEL2 (1)")</f>
        <v>0</v>
      </c>
      <c r="I39" s="54">
        <f>COUNTIF('PF320'!Y10:Y329,"SCB5_SEL2 (1)")</f>
        <v>0</v>
      </c>
      <c r="J39" s="54">
        <f>COUNTIF('PF320'!Y10:Y329,"SCB6_SEL2 (1)")</f>
        <v>0</v>
      </c>
      <c r="K39" s="49">
        <f>COUNTIF('PF320'!Y10:Y329,"SCB7_SEL2 (1)")</f>
        <v>0</v>
      </c>
      <c r="L39" s="49">
        <f>COUNTIF('PF320'!Y10:Y329,"SCB8_SEL2 (1)")</f>
        <v>0</v>
      </c>
      <c r="M39" s="49">
        <f>COUNTIF('PF320'!Y10:Y329,"SCB9_SEL2 (1)")</f>
        <v>0</v>
      </c>
      <c r="N39" s="49">
        <f>COUNTIF('PF320'!Y10:Y329,"SCB10_SEL2 (1)")</f>
        <v>0</v>
      </c>
    </row>
    <row r="40" spans="2:14" x14ac:dyDescent="0.55000000000000004">
      <c r="B40" s="197"/>
      <c r="C40" s="53" t="s">
        <v>2354</v>
      </c>
      <c r="D40" s="54">
        <f>COUNTIF('PF320'!Y10:Y329,"SCB0_SEL2 (2)")</f>
        <v>0</v>
      </c>
      <c r="E40" s="49">
        <f>COUNTIF('PF320'!Y10:Y329,"SCB1_SEL2 (2)")</f>
        <v>0</v>
      </c>
      <c r="F40" s="49">
        <f>COUNTIF('PF320'!Y10:Y329,"SCB2_SEL2 (2)")</f>
        <v>0</v>
      </c>
      <c r="G40" s="49">
        <f>COUNTIF('PF320'!Y10:Y329,"SCB3_SEL2 (2)")</f>
        <v>0</v>
      </c>
      <c r="H40" s="49">
        <f>COUNTIF('PF320'!Y10:Y329,"SCB4_SEL2 (2)")</f>
        <v>0</v>
      </c>
      <c r="I40" s="54">
        <f>COUNTIF('PF320'!Y10:Y329,"SCB5_SEL2 (2)")</f>
        <v>0</v>
      </c>
      <c r="J40" s="54">
        <f>COUNTIF('PF320'!Y10:Y329,"SCB6_SEL2 (2)")</f>
        <v>0</v>
      </c>
      <c r="K40" s="49">
        <f>COUNTIF('PF320'!Y10:Y329,"SCB7_SEL2 (2)")</f>
        <v>0</v>
      </c>
      <c r="L40" s="49">
        <f>COUNTIF('PF320'!Y10:Y329,"SCB8_SEL2 (2)")</f>
        <v>0</v>
      </c>
      <c r="M40" s="49">
        <f>COUNTIF('PF320'!Y10:Y329,"SCB9_SEL2 (2)")</f>
        <v>0</v>
      </c>
      <c r="N40" s="49">
        <f>COUNTIF('PF320'!Y10:Y329,"SCB10_SEL2 (2)")</f>
        <v>0</v>
      </c>
    </row>
    <row r="41" spans="2:14" x14ac:dyDescent="0.55000000000000004">
      <c r="B41" s="197"/>
      <c r="C41" s="53" t="s">
        <v>2355</v>
      </c>
      <c r="D41" s="54">
        <f>COUNTIF('PF320'!Y10:Y329,"SCB0_SEL3 (0)")</f>
        <v>0</v>
      </c>
      <c r="E41" s="49">
        <f>COUNTIF('PF320'!Y10:Y329,"SCB1_SEL3 (0)")</f>
        <v>0</v>
      </c>
      <c r="F41" s="49">
        <f>COUNTIF('PF320'!Y10:Y329,"SCB2_SEL3 (0)")</f>
        <v>0</v>
      </c>
      <c r="G41" s="49">
        <f>COUNTIF('PF320'!Y10:Y329,"SCB3_SEL3 (0)")</f>
        <v>0</v>
      </c>
      <c r="H41" s="49">
        <f>COUNTIF('PF320'!Y10:Y329,"SCB4_SEL3 (0)")</f>
        <v>0</v>
      </c>
      <c r="I41" s="54">
        <f>COUNTIF('PF320'!Y10:Y329,"SCB5_SEL3 (0)")</f>
        <v>0</v>
      </c>
      <c r="J41" s="54">
        <f>COUNTIF('PF320'!Y10:Y329,"SCB6_SEL3 (0)")</f>
        <v>0</v>
      </c>
      <c r="K41" s="49">
        <f>COUNTIF('PF320'!Y10:Y329,"SCB7_SEL3 (0)")</f>
        <v>0</v>
      </c>
      <c r="L41" s="49">
        <f>COUNTIF('PF320'!Y10:Y329,"SCB8_SEL3 (0)")</f>
        <v>0</v>
      </c>
      <c r="M41" s="49">
        <f>COUNTIF('PF320'!Y10:Y329,"SCB9_SEL3 (0)")</f>
        <v>0</v>
      </c>
      <c r="N41" s="49">
        <f>COUNTIF('PF320'!Y10:Y329,"SCB10_SEL3 (0)")</f>
        <v>0</v>
      </c>
    </row>
    <row r="42" spans="2:14" x14ac:dyDescent="0.55000000000000004">
      <c r="B42" s="197"/>
      <c r="C42" s="53" t="s">
        <v>2356</v>
      </c>
      <c r="D42" s="54">
        <f>COUNTIF('PF320'!Y10:Y329,"SCB0_SEL3 (1)")</f>
        <v>0</v>
      </c>
      <c r="E42" s="49">
        <f>COUNTIF('PF320'!Y10:Y329,"SCB1_SEL3 (1)")</f>
        <v>0</v>
      </c>
      <c r="F42" s="49">
        <f>COUNTIF('PF320'!Y10:Y329,"SCB2_SEL3 (1)")</f>
        <v>0</v>
      </c>
      <c r="G42" s="49">
        <f>COUNTIF('PF320'!Y10:Y329,"SCB3_SEL3 (1)")</f>
        <v>0</v>
      </c>
      <c r="H42" s="49">
        <f>COUNTIF('PF320'!Y10:Y329,"SCB4_SEL3 (1)")</f>
        <v>0</v>
      </c>
      <c r="I42" s="54">
        <f>COUNTIF('PF320'!Y10:Y329,"SCB5_SEL3 (1)")</f>
        <v>0</v>
      </c>
      <c r="J42" s="54">
        <f>COUNTIF('PF320'!Y10:Y329,"SCB6_SEL3 (1)")</f>
        <v>0</v>
      </c>
      <c r="K42" s="49">
        <f>COUNTIF('PF320'!Y10:Y329,"SCB7_SEL3 (1)")</f>
        <v>0</v>
      </c>
      <c r="L42" s="49">
        <f>COUNTIF('PF320'!Y10:Y329,"SCB8_SEL3 (1)")</f>
        <v>0</v>
      </c>
      <c r="M42" s="49">
        <f>COUNTIF('PF320'!Y10:Y329,"SCB9_SEL3 (1)")</f>
        <v>0</v>
      </c>
      <c r="N42" s="49">
        <f>COUNTIF('PF320'!Y10:Y329,"SCB10_SEL3 (1)")</f>
        <v>0</v>
      </c>
    </row>
    <row r="43" spans="2:14" x14ac:dyDescent="0.55000000000000004">
      <c r="B43" s="198"/>
      <c r="C43" s="53" t="s">
        <v>2357</v>
      </c>
      <c r="D43" s="54">
        <f>COUNTIF('PF320'!Y10:Y329,"SCB0_SEL3 (2)")</f>
        <v>0</v>
      </c>
      <c r="E43" s="49">
        <f>COUNTIF('PF320'!Y10:Y329,"SCB1_SEL3 (2)")</f>
        <v>0</v>
      </c>
      <c r="F43" s="49">
        <f>COUNTIF('PF320'!Y10:Y329,"SCB2_SEL3 (2)")</f>
        <v>0</v>
      </c>
      <c r="G43" s="49">
        <f>COUNTIF('PF320'!Y10:Y329,"SCB3_SEL3 (2)")</f>
        <v>0</v>
      </c>
      <c r="H43" s="49">
        <f>COUNTIF('PF320'!Y10:Y329,"SCB4_SEL3 (2)")</f>
        <v>0</v>
      </c>
      <c r="I43" s="54">
        <f>COUNTIF('PF320'!Y10:Y329,"SCB5_SEL3 (2)")</f>
        <v>0</v>
      </c>
      <c r="J43" s="54">
        <f>COUNTIF('PF320'!Y10:Y329,"SCB6_SEL3 (2)")</f>
        <v>0</v>
      </c>
      <c r="K43" s="49">
        <f>COUNTIF('PF320'!Y10:Y329,"SCB7_SEL3 (2)")</f>
        <v>0</v>
      </c>
      <c r="L43" s="49">
        <f>COUNTIF('PF320'!Y10:Y329,"SCB8_SEL3 (2)")</f>
        <v>0</v>
      </c>
      <c r="M43" s="49">
        <f>COUNTIF('PF320'!Y10:Y329,"SCB9_SEL3 (2)")</f>
        <v>0</v>
      </c>
      <c r="N43" s="49">
        <f>COUNTIF('PF320'!Y10:Y329,"SCB10_SEL3 (2)")</f>
        <v>0</v>
      </c>
    </row>
    <row r="44" spans="2:14" ht="10" customHeight="1" x14ac:dyDescent="0.55000000000000004">
      <c r="B44" s="196" t="s">
        <v>395</v>
      </c>
      <c r="C44" s="53" t="s">
        <v>2358</v>
      </c>
      <c r="D44" s="54">
        <f>COUNTIF('PF320'!Y10:Y329,"SCB0_TX (0)")</f>
        <v>0</v>
      </c>
      <c r="E44" s="49">
        <f>COUNTIF('PF320'!Y10:Y329,"SCB1_TX (0)")</f>
        <v>0</v>
      </c>
      <c r="F44" s="49">
        <f>COUNTIF('PF320'!Y10:Y329,"SCB2_TX (0)")</f>
        <v>0</v>
      </c>
      <c r="G44" s="49">
        <f>COUNTIF('PF320'!Y10:Y329,"SCB3_TX (0)")</f>
        <v>0</v>
      </c>
      <c r="H44" s="49">
        <f>COUNTIF('PF320'!Y10:Y329,"SCB4_TX (0)")</f>
        <v>0</v>
      </c>
      <c r="I44" s="49">
        <f>COUNTIF('PF320'!Y10:Y329,"SCB5_TX (0)")</f>
        <v>0</v>
      </c>
      <c r="J44" s="49">
        <f>COUNTIF('PF320'!Y10:Y329,"SCB6_TX (0)")</f>
        <v>0</v>
      </c>
      <c r="K44" s="49">
        <f>COUNTIF('PF320'!Y10:Y329,"SCB7_TX (0)")</f>
        <v>0</v>
      </c>
      <c r="L44" s="49">
        <f>COUNTIF('PF320'!Y10:Y329,"SCB8_TX (0)")</f>
        <v>0</v>
      </c>
      <c r="M44" s="49">
        <f>COUNTIF('PF320'!Y10:Y329,"SCB9_TX (0)")</f>
        <v>0</v>
      </c>
      <c r="N44" s="49">
        <f>COUNTIF('PF320'!Y10:Y329,"SCB10_TX (0)")</f>
        <v>0</v>
      </c>
    </row>
    <row r="45" spans="2:14" x14ac:dyDescent="0.55000000000000004">
      <c r="B45" s="197"/>
      <c r="C45" s="53" t="s">
        <v>2359</v>
      </c>
      <c r="D45" s="54">
        <f>COUNTIF('PF320'!Y10:Y329,"SCB0_TX (1)")</f>
        <v>0</v>
      </c>
      <c r="E45" s="49">
        <f>COUNTIF('PF320'!Y10:Y329,"SCB1_TX (1)")</f>
        <v>0</v>
      </c>
      <c r="F45" s="49">
        <f>COUNTIF('PF320'!Y10:Y329,"SCB2_TX (1)")</f>
        <v>0</v>
      </c>
      <c r="G45" s="49">
        <f>COUNTIF('PF320'!Y10:Y329,"SCB3_TX (1)")</f>
        <v>0</v>
      </c>
      <c r="H45" s="49">
        <f>COUNTIF('PF320'!Y10:Y329,"SCB4_TX (1)")</f>
        <v>0</v>
      </c>
      <c r="I45" s="49">
        <f>COUNTIF('PF320'!Y10:Y329,"SCB5_TX (1)")</f>
        <v>0</v>
      </c>
      <c r="J45" s="49">
        <f>COUNTIF('PF320'!Y10:Y329,"SCB6_TX (1)")</f>
        <v>0</v>
      </c>
      <c r="K45" s="49">
        <f>COUNTIF('PF320'!Y10:Y329,"SCB7_TX (1)")</f>
        <v>0</v>
      </c>
      <c r="L45" s="49">
        <f>COUNTIF('PF320'!Y10:Y329,"SCB8_TX (1)")</f>
        <v>0</v>
      </c>
      <c r="M45" s="49">
        <f>COUNTIF('PF320'!Y10:Y329,"SCB9_TX (1)")</f>
        <v>0</v>
      </c>
      <c r="N45" s="49">
        <f>COUNTIF('PF320'!Y10:Y329,"SCB10_TX (1)")</f>
        <v>0</v>
      </c>
    </row>
    <row r="46" spans="2:14" x14ac:dyDescent="0.55000000000000004">
      <c r="B46" s="197"/>
      <c r="C46" s="53" t="s">
        <v>2360</v>
      </c>
      <c r="D46" s="54">
        <f>COUNTIF('PF320'!Y10:Y329,"SCB0_RX (0)")</f>
        <v>0</v>
      </c>
      <c r="E46" s="49">
        <f>COUNTIF('PF320'!Y10:Y329,"SCB1_RX (0)")</f>
        <v>0</v>
      </c>
      <c r="F46" s="49">
        <f>COUNTIF('PF320'!Y10:Y329,"SCB2_RX (0)")</f>
        <v>0</v>
      </c>
      <c r="G46" s="49">
        <f>COUNTIF('PF320'!Y10:Y329,"SCB3_RX (0)")</f>
        <v>0</v>
      </c>
      <c r="H46" s="49">
        <f>COUNTIF('PF320'!Y10:Y329,"SCB4_RX (0)")</f>
        <v>0</v>
      </c>
      <c r="I46" s="49">
        <f>COUNTIF('PF320'!Y10:Y329,"SCB5_RX (0)")</f>
        <v>0</v>
      </c>
      <c r="J46" s="49">
        <f>COUNTIF('PF320'!Y10:Y329,"SCB6_RX (0)")</f>
        <v>0</v>
      </c>
      <c r="K46" s="49">
        <f>COUNTIF('PF320'!Y10:Y329,"SCB7_RX (0)")</f>
        <v>0</v>
      </c>
      <c r="L46" s="49">
        <f>COUNTIF('PF320'!Y10:Y329,"SCB8_RX (0)")</f>
        <v>0</v>
      </c>
      <c r="M46" s="49">
        <f>COUNTIF('PF320'!Y10:Y329,"SCB9_RX (0)")</f>
        <v>0</v>
      </c>
      <c r="N46" s="49">
        <f>COUNTIF('PF320'!Y10:Y329,"SCB10_RX (0)")</f>
        <v>0</v>
      </c>
    </row>
    <row r="47" spans="2:14" x14ac:dyDescent="0.55000000000000004">
      <c r="B47" s="197"/>
      <c r="C47" s="53" t="s">
        <v>2361</v>
      </c>
      <c r="D47" s="54">
        <f>COUNTIF('PF320'!Y10:Y329,"SCB0_RX (1)")</f>
        <v>0</v>
      </c>
      <c r="E47" s="49">
        <f>COUNTIF('PF320'!Y10:Y329,"SCB1_RX (1)")</f>
        <v>0</v>
      </c>
      <c r="F47" s="49">
        <f>COUNTIF('PF320'!Y10:Y329,"SCB2_RX (1)")</f>
        <v>0</v>
      </c>
      <c r="G47" s="49">
        <f>COUNTIF('PF320'!Y10:Y329,"SCB3_RX (1)")</f>
        <v>0</v>
      </c>
      <c r="H47" s="49">
        <f>COUNTIF('PF320'!Y10:Y329,"SCB4_RX (1)")</f>
        <v>0</v>
      </c>
      <c r="I47" s="49">
        <f>COUNTIF('PF320'!Y10:Y329,"SCB5_RX (1)")</f>
        <v>0</v>
      </c>
      <c r="J47" s="49">
        <f>COUNTIF('PF320'!Y10:Y329,"SCB6_RX (1)")</f>
        <v>0</v>
      </c>
      <c r="K47" s="49">
        <f>COUNTIF('PF320'!Y10:Y329,"SCB7_RX (1)")</f>
        <v>0</v>
      </c>
      <c r="L47" s="49">
        <f>COUNTIF('PF320'!Y10:Y329,"SCB8_RX (1)")</f>
        <v>0</v>
      </c>
      <c r="M47" s="49">
        <f>COUNTIF('PF320'!Y10:Y329,"SCB9_RX (1)")</f>
        <v>0</v>
      </c>
      <c r="N47" s="49">
        <f>COUNTIF('PF320'!Y10:Y329,"SCB10_RX (1)")</f>
        <v>0</v>
      </c>
    </row>
    <row r="48" spans="2:14" x14ac:dyDescent="0.55000000000000004">
      <c r="B48" s="197"/>
      <c r="C48" s="53" t="s">
        <v>2362</v>
      </c>
      <c r="D48" s="54">
        <f>COUNTIF('PF320'!Y10:Y329,"SCB0_CTS (0)")</f>
        <v>0</v>
      </c>
      <c r="E48" s="49">
        <f>COUNTIF('PF320'!Y10:Y329,"SCB1_CTS (0)")</f>
        <v>0</v>
      </c>
      <c r="F48" s="49">
        <f>COUNTIF('PF320'!Y10:Y329,"SCB2_CTS (0)")</f>
        <v>0</v>
      </c>
      <c r="G48" s="49">
        <f>COUNTIF('PF320'!Y10:Y329,"SCB3_CTS (0)")</f>
        <v>0</v>
      </c>
      <c r="H48" s="49">
        <f>COUNTIF('PF320'!Y10:Y329,"SCB4_CTS (0)")</f>
        <v>0</v>
      </c>
      <c r="I48" s="49">
        <f>COUNTIF('PF320'!Y10:Y329,"SCB5_CTS (0)")</f>
        <v>0</v>
      </c>
      <c r="J48" s="49">
        <f>COUNTIF('PF320'!Y10:Y329,"SCB6_CTS (0)")</f>
        <v>0</v>
      </c>
      <c r="K48" s="49">
        <f>COUNTIF('PF320'!Y10:Y329,"SCB7_CTS (0)")</f>
        <v>0</v>
      </c>
      <c r="L48" s="49">
        <f>COUNTIF('PF320'!Y10:Y329,"SCB8_CTS (0)")</f>
        <v>0</v>
      </c>
      <c r="M48" s="49">
        <f>COUNTIF('PF320'!Y10:Y329,"SCB9_CTS (0)")</f>
        <v>0</v>
      </c>
      <c r="N48" s="49">
        <f>COUNTIF('PF320'!Y10:Y329,"SCB10_CTS (0)")</f>
        <v>0</v>
      </c>
    </row>
    <row r="49" spans="2:14" x14ac:dyDescent="0.55000000000000004">
      <c r="B49" s="197"/>
      <c r="C49" s="53" t="s">
        <v>2363</v>
      </c>
      <c r="D49" s="54">
        <f>COUNTIF('PF320'!Y10:Y329,"SCB0_CTS (1)")</f>
        <v>0</v>
      </c>
      <c r="E49" s="49">
        <f>COUNTIF('PF320'!Y10:Y329,"SCB1_CTS (1)")</f>
        <v>0</v>
      </c>
      <c r="F49" s="49">
        <f>COUNTIF('PF320'!Y10:Y329,"SCB2_CTS (1)")</f>
        <v>0</v>
      </c>
      <c r="G49" s="49">
        <f>COUNTIF('PF320'!Y10:Y329,"SCB3_CTS (1)")</f>
        <v>0</v>
      </c>
      <c r="H49" s="49">
        <f>COUNTIF('PF320'!Y10:Y329,"SCB4_CTS (1)")</f>
        <v>0</v>
      </c>
      <c r="I49" s="49">
        <f>COUNTIF('PF320'!Y10:Y329,"SCB5_CTS (1)")</f>
        <v>0</v>
      </c>
      <c r="J49" s="49">
        <f>COUNTIF('PF320'!Y10:Y329,"SCB6_CTS (1)")</f>
        <v>0</v>
      </c>
      <c r="K49" s="49">
        <f>COUNTIF('PF320'!Y10:Y329,"SCB7_CTS (1)")</f>
        <v>0</v>
      </c>
      <c r="L49" s="49">
        <f>COUNTIF('PF320'!Y10:Y329,"SCB8_CTS (1)")</f>
        <v>0</v>
      </c>
      <c r="M49" s="49">
        <f>COUNTIF('PF320'!Y10:Y329,"SCB9_CTS (1)")</f>
        <v>0</v>
      </c>
      <c r="N49" s="49">
        <f>COUNTIF('PF320'!Y10:Y329,"SCB10_CTS (1)")</f>
        <v>0</v>
      </c>
    </row>
    <row r="50" spans="2:14" x14ac:dyDescent="0.55000000000000004">
      <c r="B50" s="197"/>
      <c r="C50" s="53" t="s">
        <v>2364</v>
      </c>
      <c r="D50" s="54">
        <f>COUNTIF('PF320'!Y10:Y329,"SCB0_RTS (0)")</f>
        <v>0</v>
      </c>
      <c r="E50" s="49">
        <f>COUNTIF('PF320'!Y10:Y329,"SCB1_RTS (0)")</f>
        <v>0</v>
      </c>
      <c r="F50" s="49">
        <f>COUNTIF('PF320'!Y10:Y329,"SCB2_RTS (0)")</f>
        <v>0</v>
      </c>
      <c r="G50" s="49">
        <f>COUNTIF('PF320'!Y10:Y329,"SCB3_RTS (0)")</f>
        <v>0</v>
      </c>
      <c r="H50" s="49">
        <f>COUNTIF('PF320'!Y10:Y329,"SCB4_RTS (0)")</f>
        <v>0</v>
      </c>
      <c r="I50" s="49">
        <f>COUNTIF('PF320'!Y10:Y329,"SCB5_RTS (0)")</f>
        <v>0</v>
      </c>
      <c r="J50" s="49">
        <f>COUNTIF('PF320'!Y10:Y329,"SCB6_RTS (0)")</f>
        <v>0</v>
      </c>
      <c r="K50" s="49">
        <f>COUNTIF('PF320'!Y10:Y329,"SCB7_RTS (0)")</f>
        <v>0</v>
      </c>
      <c r="L50" s="49">
        <f>COUNTIF('PF320'!Y10:Y329,"SCB8_RTS (0)")</f>
        <v>0</v>
      </c>
      <c r="M50" s="49">
        <f>COUNTIF('PF320'!Y10:Y329,"SCB9_RTS (0)")</f>
        <v>0</v>
      </c>
      <c r="N50" s="49">
        <f>COUNTIF('PF320'!Y10:Y329,"SCB10_RTS (0)")</f>
        <v>0</v>
      </c>
    </row>
    <row r="51" spans="2:14" x14ac:dyDescent="0.55000000000000004">
      <c r="B51" s="198"/>
      <c r="C51" s="53" t="s">
        <v>2365</v>
      </c>
      <c r="D51" s="54">
        <f>COUNTIF('PF320'!Y10:Y329,"SCB0_RTS (1)")</f>
        <v>0</v>
      </c>
      <c r="E51" s="49">
        <f>COUNTIF('PF320'!Y10:Y329,"SCB1_RTS (1)")</f>
        <v>0</v>
      </c>
      <c r="F51" s="49">
        <f>COUNTIF('PF320'!Y10:Y329,"SCB2_RTS (1)")</f>
        <v>0</v>
      </c>
      <c r="G51" s="49">
        <f>COUNTIF('PF320'!Y10:Y329,"SCB3_RTS (1)")</f>
        <v>0</v>
      </c>
      <c r="H51" s="49">
        <f>COUNTIF('PF320'!Y10:Y329,"SCB4_RTS (1)")</f>
        <v>0</v>
      </c>
      <c r="I51" s="49">
        <f>COUNTIF('PF320'!Y10:Y329,"SCB5_RTS (1)")</f>
        <v>0</v>
      </c>
      <c r="J51" s="49">
        <f>COUNTIF('PF320'!Y10:Y329,"SCB6_RTS (1)")</f>
        <v>0</v>
      </c>
      <c r="K51" s="49">
        <f>COUNTIF('PF320'!Y10:Y329,"SCB7_RTS (1)")</f>
        <v>0</v>
      </c>
      <c r="L51" s="49">
        <f>COUNTIF('PF320'!Y10:Y329,"SCB8_RTS (1)")</f>
        <v>0</v>
      </c>
      <c r="M51" s="49">
        <f>COUNTIF('PF320'!Y10:Y329,"SCB9_RTS (1)")</f>
        <v>0</v>
      </c>
      <c r="N51" s="49">
        <f>COUNTIF('PF320'!Y10:Y329,"SCB10_RTS (1)")</f>
        <v>0</v>
      </c>
    </row>
    <row r="52" spans="2:14" ht="10" customHeight="1" x14ac:dyDescent="0.55000000000000004">
      <c r="B52" s="196" t="s">
        <v>397</v>
      </c>
      <c r="C52" s="53" t="s">
        <v>2366</v>
      </c>
      <c r="D52" s="54">
        <f>COUNTIF('PF320'!Y10:Y329,"SCB0_SDA (0)")</f>
        <v>0</v>
      </c>
      <c r="E52" s="49">
        <f>COUNTIF('PF320'!Y10:Y329,"SCB1_SDA (0)")</f>
        <v>0</v>
      </c>
      <c r="F52" s="49">
        <f>COUNTIF('PF320'!Y10:Y329,"SCB2_SDA (0)")</f>
        <v>0</v>
      </c>
      <c r="G52" s="49">
        <f>COUNTIF('PF320'!Y10:Y329,"SCB3_SDA (0)")</f>
        <v>0</v>
      </c>
      <c r="H52" s="49">
        <f>COUNTIF('PF320'!Y10:Y329,"SCB4_SDA (0)")</f>
        <v>0</v>
      </c>
      <c r="I52" s="49">
        <f>COUNTIF('PF320'!Y10:Y329,"SCB5_SDA (0)")</f>
        <v>0</v>
      </c>
      <c r="J52" s="49">
        <f>COUNTIF('PF320'!Y10:Y329,"SCB6_SDA (0)")</f>
        <v>0</v>
      </c>
      <c r="K52" s="49">
        <f>COUNTIF('PF320'!Y10:Y329,"SCB7_SDA (0)")</f>
        <v>0</v>
      </c>
      <c r="L52" s="49">
        <f>COUNTIF('PF320'!Y10:Y329,"SCB8_SDA (0)")</f>
        <v>0</v>
      </c>
      <c r="M52" s="49">
        <f>COUNTIF('PF320'!Y10:Y329,"SCB9_SDA (0)")</f>
        <v>0</v>
      </c>
      <c r="N52" s="49">
        <f>COUNTIF('PF320'!Y10:Y329,"SCB10_SDA (0)")</f>
        <v>0</v>
      </c>
    </row>
    <row r="53" spans="2:14" ht="10" customHeight="1" x14ac:dyDescent="0.55000000000000004">
      <c r="B53" s="197"/>
      <c r="C53" s="53" t="s">
        <v>2367</v>
      </c>
      <c r="D53" s="54">
        <f>COUNTIF('PF320'!Y10:Y329,"SCB0_SDA (1)")</f>
        <v>0</v>
      </c>
      <c r="E53" s="49">
        <f>COUNTIF('PF320'!Y10:Y329,"SCB1_SDA (1)")</f>
        <v>0</v>
      </c>
      <c r="F53" s="49">
        <f>COUNTIF('PF320'!Y10:Y329,"SCB2_SDA (1)")</f>
        <v>0</v>
      </c>
      <c r="G53" s="49">
        <f>COUNTIF('PF320'!Y10:Y329,"SCB3_SDA (1)")</f>
        <v>0</v>
      </c>
      <c r="H53" s="49">
        <f>COUNTIF('PF320'!Y10:Y329,"SCB4_SDA (1)")</f>
        <v>0</v>
      </c>
      <c r="I53" s="49">
        <f>COUNTIF('PF320'!Y10:Y329,"SCB5_SDA (1)")</f>
        <v>0</v>
      </c>
      <c r="J53" s="49">
        <f>COUNTIF('PF320'!Y10:Y329,"SCB6_SDA (1)")</f>
        <v>0</v>
      </c>
      <c r="K53" s="49">
        <f>COUNTIF('PF320'!Y10:Y329,"SCB7_SDA (1)")</f>
        <v>0</v>
      </c>
      <c r="L53" s="49">
        <f>COUNTIF('PF320'!Y10:Y329,"SCB8_SDA (1)")</f>
        <v>0</v>
      </c>
      <c r="M53" s="49">
        <f>COUNTIF('PF320'!Y10:Y329,"SCB9_SDA (1)")</f>
        <v>0</v>
      </c>
      <c r="N53" s="49">
        <f>COUNTIF('PF320'!Y10:Y329,"SCB10_SDA (1)")</f>
        <v>0</v>
      </c>
    </row>
    <row r="54" spans="2:14" x14ac:dyDescent="0.55000000000000004">
      <c r="B54" s="197"/>
      <c r="C54" s="53" t="s">
        <v>2368</v>
      </c>
      <c r="D54" s="54">
        <f>COUNTIF('PF320'!Y10:Y329,"SCB0_SDA (2)")</f>
        <v>0</v>
      </c>
      <c r="E54" s="49">
        <f>COUNTIF('PF320'!Y10:Y329,"SCB1_SDA (2)")</f>
        <v>0</v>
      </c>
      <c r="F54" s="49">
        <f>COUNTIF('PF320'!Y10:Y329,"SCB2_SDA (2)")</f>
        <v>0</v>
      </c>
      <c r="G54" s="49">
        <f>COUNTIF('PF320'!Y10:Y329,"SCB3_SDA (2)")</f>
        <v>0</v>
      </c>
      <c r="H54" s="49">
        <f>COUNTIF('PF320'!Y10:Y329,"SCB4_SDA (2)")</f>
        <v>0</v>
      </c>
      <c r="I54" s="49">
        <f>COUNTIF('PF320'!Y10:Y329,"SCB5_SDA (2)")</f>
        <v>0</v>
      </c>
      <c r="J54" s="49">
        <f>COUNTIF('PF320'!Y10:Y329,"SCB6_SDA (2)")</f>
        <v>0</v>
      </c>
      <c r="K54" s="49">
        <f>COUNTIF('PF320'!Y10:Y329,"SCB7_SDA (2)")</f>
        <v>0</v>
      </c>
      <c r="L54" s="49">
        <f>COUNTIF('PF320'!Y10:Y329,"SCB8_SDA (2)")</f>
        <v>0</v>
      </c>
      <c r="M54" s="49">
        <f>COUNTIF('PF320'!Y10:Y329,"SCB9_SDA (2)")</f>
        <v>0</v>
      </c>
      <c r="N54" s="49">
        <f>COUNTIF('PF320'!Y10:Y329,"SCB10_SDA (2)")</f>
        <v>0</v>
      </c>
    </row>
    <row r="55" spans="2:14" x14ac:dyDescent="0.55000000000000004">
      <c r="B55" s="197"/>
      <c r="C55" s="53" t="s">
        <v>2369</v>
      </c>
      <c r="D55" s="54">
        <f>COUNTIF('PF320'!Y10:Y329,"SCB0_SCL (0)")</f>
        <v>0</v>
      </c>
      <c r="E55" s="49">
        <f>COUNTIF('PF320'!Y10:Y329,"SCB1_SCL (0)")</f>
        <v>0</v>
      </c>
      <c r="F55" s="49">
        <f>COUNTIF('PF320'!Y10:Y329,"SCB2_SCL (0)")</f>
        <v>0</v>
      </c>
      <c r="G55" s="49">
        <f>COUNTIF('PF320'!Y10:Y329,"SCB3_SCL (0)")</f>
        <v>0</v>
      </c>
      <c r="H55" s="49">
        <f>COUNTIF('PF320'!Y10:Y329,"SCB4_SCL (0)")</f>
        <v>0</v>
      </c>
      <c r="I55" s="49">
        <f>COUNTIF('PF320'!Y10:Y329,"SCB5_SCL (0)")</f>
        <v>0</v>
      </c>
      <c r="J55" s="49">
        <f>COUNTIF('PF320'!Y10:Y329,"SCB6_SCL (0)")</f>
        <v>0</v>
      </c>
      <c r="K55" s="49">
        <f>COUNTIF('PF320'!Y10:Y329,"SCB7_SCL (0)")</f>
        <v>0</v>
      </c>
      <c r="L55" s="49">
        <f>COUNTIF('PF320'!Y10:Y329,"SCB8_SCL (0)")</f>
        <v>0</v>
      </c>
      <c r="M55" s="49">
        <f>COUNTIF('PF320'!Y10:Y329,"SCB9_SCL (0)")</f>
        <v>0</v>
      </c>
      <c r="N55" s="49">
        <f>COUNTIF('PF320'!Y10:Y329,"SCB10_SCL (0)")</f>
        <v>0</v>
      </c>
    </row>
    <row r="56" spans="2:14" x14ac:dyDescent="0.55000000000000004">
      <c r="B56" s="197"/>
      <c r="C56" s="53" t="s">
        <v>2370</v>
      </c>
      <c r="D56" s="54">
        <f>COUNTIF('PF320'!Y10:Y329,"SCB0_SCL (1)")</f>
        <v>0</v>
      </c>
      <c r="E56" s="49">
        <f>COUNTIF('PF320'!Y10:Y329,"SCB1_SCL (1)")</f>
        <v>0</v>
      </c>
      <c r="F56" s="49">
        <f>COUNTIF('PF320'!Y10:Y329,"SCB2_SCL (1)")</f>
        <v>0</v>
      </c>
      <c r="G56" s="49">
        <f>COUNTIF('PF320'!Y10:Y329,"SCB3_SCL (1)")</f>
        <v>0</v>
      </c>
      <c r="H56" s="49">
        <f>COUNTIF('PF320'!Y10:Y329,"SCB4_SCL (1)")</f>
        <v>0</v>
      </c>
      <c r="I56" s="49">
        <f>COUNTIF('PF320'!Y10:Y329,"SCB5_SCL (1)")</f>
        <v>0</v>
      </c>
      <c r="J56" s="49">
        <f>COUNTIF('PF320'!Y10:Y329,"SCB6_SCL (1)")</f>
        <v>0</v>
      </c>
      <c r="K56" s="49">
        <f>COUNTIF('PF320'!Y10:Y329,"SCB7_SCL (1)")</f>
        <v>0</v>
      </c>
      <c r="L56" s="49">
        <f>COUNTIF('PF320'!Y10:Y329,"SCB8_SCL (1)")</f>
        <v>0</v>
      </c>
      <c r="M56" s="49">
        <f>COUNTIF('PF320'!Y10:Y329,"SCB9_SCL (1)")</f>
        <v>0</v>
      </c>
      <c r="N56" s="49">
        <f>COUNTIF('PF320'!Y10:Y329,"SCB10_SCL (1)")</f>
        <v>0</v>
      </c>
    </row>
    <row r="57" spans="2:14" x14ac:dyDescent="0.55000000000000004">
      <c r="B57" s="198"/>
      <c r="C57" s="53" t="s">
        <v>2371</v>
      </c>
      <c r="D57" s="54">
        <f>COUNTIF('PF320'!Y10:Y329,"SCB0_SCL (2)")</f>
        <v>0</v>
      </c>
      <c r="E57" s="49">
        <f>COUNTIF('PF320'!Y10:Y329,"SCB1_SCL (2)")</f>
        <v>0</v>
      </c>
      <c r="F57" s="49">
        <f>COUNTIF('PF320'!Y10:Y329,"SCB2_SCL (2)")</f>
        <v>0</v>
      </c>
      <c r="G57" s="49">
        <f>COUNTIF('PF320'!Y10:Y329,"SCB3_SCL (2)")</f>
        <v>0</v>
      </c>
      <c r="H57" s="49">
        <f>COUNTIF('PF320'!Y10:Y329,"SCB4_SCL (2)")</f>
        <v>0</v>
      </c>
      <c r="I57" s="49">
        <f>COUNTIF('PF320'!Y10:Y329,"SCB5_SCL (2)")</f>
        <v>0</v>
      </c>
      <c r="J57" s="49">
        <f>COUNTIF('PF320'!Y10:Y329,"SCB6_SCL (2)")</f>
        <v>0</v>
      </c>
      <c r="K57" s="49">
        <f>COUNTIF('PF320'!Y10:Y329,"SCB7_SCL (2)")</f>
        <v>0</v>
      </c>
      <c r="L57" s="49">
        <f>COUNTIF('PF320'!Y10:Y329,"SCB8_SCL (2)")</f>
        <v>0</v>
      </c>
      <c r="M57" s="49">
        <f>COUNTIF('PF320'!Y10:Y329,"SCB9_SCL (2)")</f>
        <v>0</v>
      </c>
      <c r="N57" s="49">
        <f>COUNTIF('PF320'!Y10:Y329,"SCB10_SCL (2)")</f>
        <v>0</v>
      </c>
    </row>
    <row r="58" spans="2:14" x14ac:dyDescent="0.55000000000000004">
      <c r="B58" s="56"/>
      <c r="C58" s="57"/>
      <c r="D58" s="58"/>
      <c r="E58" s="52"/>
      <c r="F58" s="52"/>
      <c r="G58" s="52"/>
      <c r="H58" s="52"/>
      <c r="I58" s="52"/>
      <c r="J58" s="52"/>
      <c r="K58" s="52"/>
      <c r="L58" s="52"/>
      <c r="M58" s="52"/>
      <c r="N58" s="52"/>
    </row>
    <row r="59" spans="2:14" hidden="1" x14ac:dyDescent="0.55000000000000004">
      <c r="B59" s="59" t="s">
        <v>360</v>
      </c>
      <c r="C59" s="59" t="s">
        <v>2560</v>
      </c>
      <c r="D59" s="60" t="s">
        <v>361</v>
      </c>
      <c r="E59" s="60" t="s">
        <v>362</v>
      </c>
      <c r="F59" s="60" t="s">
        <v>363</v>
      </c>
      <c r="G59" s="60" t="s">
        <v>364</v>
      </c>
      <c r="H59" s="60" t="s">
        <v>368</v>
      </c>
      <c r="I59" s="60" t="s">
        <v>367</v>
      </c>
      <c r="J59" s="60" t="s">
        <v>366</v>
      </c>
      <c r="K59" s="60" t="s">
        <v>365</v>
      </c>
      <c r="L59" s="60" t="s">
        <v>2309</v>
      </c>
      <c r="M59" s="60" t="s">
        <v>2310</v>
      </c>
      <c r="N59" s="60" t="s">
        <v>2311</v>
      </c>
    </row>
    <row r="60" spans="2:14" hidden="1" x14ac:dyDescent="0.55000000000000004">
      <c r="B60" s="61" t="s">
        <v>2561</v>
      </c>
      <c r="C60" s="62">
        <v>0</v>
      </c>
      <c r="D60" s="62">
        <f>D23+D26+D29+D32+D35+D38+D41</f>
        <v>0</v>
      </c>
      <c r="E60" s="62">
        <f t="shared" ref="E60:N62" si="0">E23+E26+E29+E32+E35+E38+E41</f>
        <v>0</v>
      </c>
      <c r="F60" s="62">
        <f t="shared" si="0"/>
        <v>0</v>
      </c>
      <c r="G60" s="62">
        <f t="shared" si="0"/>
        <v>0</v>
      </c>
      <c r="H60" s="62">
        <f t="shared" si="0"/>
        <v>0</v>
      </c>
      <c r="I60" s="62">
        <f t="shared" si="0"/>
        <v>0</v>
      </c>
      <c r="J60" s="62">
        <f t="shared" si="0"/>
        <v>0</v>
      </c>
      <c r="K60" s="62">
        <f t="shared" si="0"/>
        <v>0</v>
      </c>
      <c r="L60" s="62">
        <f t="shared" si="0"/>
        <v>0</v>
      </c>
      <c r="M60" s="62">
        <f t="shared" si="0"/>
        <v>0</v>
      </c>
      <c r="N60" s="62">
        <f t="shared" si="0"/>
        <v>0</v>
      </c>
    </row>
    <row r="61" spans="2:14" hidden="1" x14ac:dyDescent="0.55000000000000004">
      <c r="B61" s="63"/>
      <c r="C61" s="62">
        <v>1</v>
      </c>
      <c r="D61" s="62">
        <f>D24+D27+D30+D33+D36+D39+D42</f>
        <v>0</v>
      </c>
      <c r="E61" s="62">
        <f t="shared" si="0"/>
        <v>0</v>
      </c>
      <c r="F61" s="62">
        <f t="shared" si="0"/>
        <v>0</v>
      </c>
      <c r="G61" s="62">
        <f t="shared" si="0"/>
        <v>0</v>
      </c>
      <c r="H61" s="62">
        <f t="shared" si="0"/>
        <v>0</v>
      </c>
      <c r="I61" s="62">
        <f t="shared" si="0"/>
        <v>0</v>
      </c>
      <c r="J61" s="62">
        <f t="shared" si="0"/>
        <v>0</v>
      </c>
      <c r="K61" s="62">
        <f t="shared" si="0"/>
        <v>0</v>
      </c>
      <c r="L61" s="62">
        <f t="shared" si="0"/>
        <v>0</v>
      </c>
      <c r="M61" s="62">
        <f t="shared" si="0"/>
        <v>0</v>
      </c>
      <c r="N61" s="62">
        <f t="shared" si="0"/>
        <v>0</v>
      </c>
    </row>
    <row r="62" spans="2:14" hidden="1" x14ac:dyDescent="0.55000000000000004">
      <c r="B62" s="64"/>
      <c r="C62" s="62">
        <v>2</v>
      </c>
      <c r="D62" s="62">
        <f>D25+D28+D31+D34+D37+D40+D43</f>
        <v>0</v>
      </c>
      <c r="E62" s="62">
        <f t="shared" si="0"/>
        <v>0</v>
      </c>
      <c r="F62" s="62">
        <f t="shared" si="0"/>
        <v>0</v>
      </c>
      <c r="G62" s="62">
        <f t="shared" si="0"/>
        <v>0</v>
      </c>
      <c r="H62" s="62">
        <f t="shared" si="0"/>
        <v>0</v>
      </c>
      <c r="I62" s="62">
        <f t="shared" si="0"/>
        <v>0</v>
      </c>
      <c r="J62" s="62">
        <f t="shared" si="0"/>
        <v>0</v>
      </c>
      <c r="K62" s="62">
        <f t="shared" si="0"/>
        <v>0</v>
      </c>
      <c r="L62" s="62">
        <f t="shared" si="0"/>
        <v>0</v>
      </c>
      <c r="M62" s="62">
        <f t="shared" si="0"/>
        <v>0</v>
      </c>
      <c r="N62" s="62">
        <f t="shared" si="0"/>
        <v>0</v>
      </c>
    </row>
    <row r="63" spans="2:14" hidden="1" x14ac:dyDescent="0.55000000000000004">
      <c r="B63" s="61" t="s">
        <v>2562</v>
      </c>
      <c r="C63" s="62">
        <v>0</v>
      </c>
      <c r="D63" s="62">
        <f>D44+D46+D48+D50</f>
        <v>0</v>
      </c>
      <c r="E63" s="62">
        <f t="shared" ref="E63:N64" si="1">E44+E46+E48+E50</f>
        <v>0</v>
      </c>
      <c r="F63" s="62">
        <f t="shared" si="1"/>
        <v>0</v>
      </c>
      <c r="G63" s="62">
        <f t="shared" si="1"/>
        <v>0</v>
      </c>
      <c r="H63" s="62">
        <f t="shared" si="1"/>
        <v>0</v>
      </c>
      <c r="I63" s="62">
        <f t="shared" si="1"/>
        <v>0</v>
      </c>
      <c r="J63" s="62">
        <f t="shared" si="1"/>
        <v>0</v>
      </c>
      <c r="K63" s="62">
        <f t="shared" si="1"/>
        <v>0</v>
      </c>
      <c r="L63" s="62">
        <f t="shared" si="1"/>
        <v>0</v>
      </c>
      <c r="M63" s="62">
        <f t="shared" si="1"/>
        <v>0</v>
      </c>
      <c r="N63" s="62">
        <f t="shared" si="1"/>
        <v>0</v>
      </c>
    </row>
    <row r="64" spans="2:14" hidden="1" x14ac:dyDescent="0.55000000000000004">
      <c r="B64" s="64"/>
      <c r="C64" s="62">
        <v>1</v>
      </c>
      <c r="D64" s="62">
        <f>D45+D47+D49+D51</f>
        <v>0</v>
      </c>
      <c r="E64" s="62">
        <f t="shared" si="1"/>
        <v>0</v>
      </c>
      <c r="F64" s="62">
        <f t="shared" si="1"/>
        <v>0</v>
      </c>
      <c r="G64" s="62">
        <f t="shared" si="1"/>
        <v>0</v>
      </c>
      <c r="H64" s="62">
        <f t="shared" si="1"/>
        <v>0</v>
      </c>
      <c r="I64" s="62">
        <f t="shared" si="1"/>
        <v>0</v>
      </c>
      <c r="J64" s="62">
        <f t="shared" si="1"/>
        <v>0</v>
      </c>
      <c r="K64" s="62">
        <f t="shared" si="1"/>
        <v>0</v>
      </c>
      <c r="L64" s="62">
        <f t="shared" si="1"/>
        <v>0</v>
      </c>
      <c r="M64" s="62">
        <f t="shared" si="1"/>
        <v>0</v>
      </c>
      <c r="N64" s="62">
        <f t="shared" si="1"/>
        <v>0</v>
      </c>
    </row>
    <row r="65" spans="2:87" hidden="1" x14ac:dyDescent="0.55000000000000004">
      <c r="B65" s="61" t="s">
        <v>2563</v>
      </c>
      <c r="C65" s="62">
        <v>0</v>
      </c>
      <c r="D65" s="62">
        <f>D52+D55</f>
        <v>0</v>
      </c>
      <c r="E65" s="62">
        <f t="shared" ref="E65:N67" si="2">E52+E55</f>
        <v>0</v>
      </c>
      <c r="F65" s="62">
        <f t="shared" si="2"/>
        <v>0</v>
      </c>
      <c r="G65" s="62">
        <f t="shared" si="2"/>
        <v>0</v>
      </c>
      <c r="H65" s="62">
        <f t="shared" si="2"/>
        <v>0</v>
      </c>
      <c r="I65" s="62">
        <f t="shared" si="2"/>
        <v>0</v>
      </c>
      <c r="J65" s="62">
        <f t="shared" si="2"/>
        <v>0</v>
      </c>
      <c r="K65" s="62">
        <f t="shared" si="2"/>
        <v>0</v>
      </c>
      <c r="L65" s="62">
        <f t="shared" si="2"/>
        <v>0</v>
      </c>
      <c r="M65" s="62">
        <f t="shared" si="2"/>
        <v>0</v>
      </c>
      <c r="N65" s="62">
        <f t="shared" si="2"/>
        <v>0</v>
      </c>
    </row>
    <row r="66" spans="2:87" hidden="1" x14ac:dyDescent="0.55000000000000004">
      <c r="B66" s="63"/>
      <c r="C66" s="62">
        <v>1</v>
      </c>
      <c r="D66" s="62">
        <f>D53+D56</f>
        <v>0</v>
      </c>
      <c r="E66" s="62">
        <f t="shared" si="2"/>
        <v>0</v>
      </c>
      <c r="F66" s="62">
        <f t="shared" si="2"/>
        <v>0</v>
      </c>
      <c r="G66" s="62">
        <f t="shared" si="2"/>
        <v>0</v>
      </c>
      <c r="H66" s="62">
        <f t="shared" si="2"/>
        <v>0</v>
      </c>
      <c r="I66" s="62">
        <f t="shared" si="2"/>
        <v>0</v>
      </c>
      <c r="J66" s="62">
        <f t="shared" si="2"/>
        <v>0</v>
      </c>
      <c r="K66" s="62">
        <f t="shared" si="2"/>
        <v>0</v>
      </c>
      <c r="L66" s="62">
        <f t="shared" si="2"/>
        <v>0</v>
      </c>
      <c r="M66" s="62">
        <f t="shared" si="2"/>
        <v>0</v>
      </c>
      <c r="N66" s="62">
        <f t="shared" si="2"/>
        <v>0</v>
      </c>
    </row>
    <row r="67" spans="2:87" hidden="1" x14ac:dyDescent="0.55000000000000004">
      <c r="B67" s="64"/>
      <c r="C67" s="62">
        <v>2</v>
      </c>
      <c r="D67" s="62">
        <f>D54+D57</f>
        <v>0</v>
      </c>
      <c r="E67" s="62">
        <f t="shared" si="2"/>
        <v>0</v>
      </c>
      <c r="F67" s="62">
        <f t="shared" si="2"/>
        <v>0</v>
      </c>
      <c r="G67" s="62">
        <f t="shared" si="2"/>
        <v>0</v>
      </c>
      <c r="H67" s="62">
        <f t="shared" si="2"/>
        <v>0</v>
      </c>
      <c r="I67" s="62">
        <f t="shared" si="2"/>
        <v>0</v>
      </c>
      <c r="J67" s="62">
        <f t="shared" si="2"/>
        <v>0</v>
      </c>
      <c r="K67" s="62">
        <f t="shared" si="2"/>
        <v>0</v>
      </c>
      <c r="L67" s="62">
        <f t="shared" si="2"/>
        <v>0</v>
      </c>
      <c r="M67" s="62">
        <f t="shared" si="2"/>
        <v>0</v>
      </c>
      <c r="N67" s="62">
        <f t="shared" si="2"/>
        <v>0</v>
      </c>
    </row>
    <row r="68" spans="2:87" hidden="1" x14ac:dyDescent="0.55000000000000004">
      <c r="B68" s="65" t="s">
        <v>2564</v>
      </c>
      <c r="C68" s="66"/>
      <c r="D68" s="59">
        <f t="shared" ref="D68:N68" si="3">COUNTIF(D60:D67, "&lt;&gt;0")</f>
        <v>0</v>
      </c>
      <c r="E68" s="59">
        <f t="shared" si="3"/>
        <v>0</v>
      </c>
      <c r="F68" s="59">
        <f t="shared" si="3"/>
        <v>0</v>
      </c>
      <c r="G68" s="59">
        <f t="shared" si="3"/>
        <v>0</v>
      </c>
      <c r="H68" s="59">
        <f t="shared" si="3"/>
        <v>0</v>
      </c>
      <c r="I68" s="59">
        <f t="shared" si="3"/>
        <v>0</v>
      </c>
      <c r="J68" s="59">
        <f t="shared" si="3"/>
        <v>0</v>
      </c>
      <c r="K68" s="59">
        <f t="shared" si="3"/>
        <v>0</v>
      </c>
      <c r="L68" s="59">
        <f t="shared" si="3"/>
        <v>0</v>
      </c>
      <c r="M68" s="59">
        <f t="shared" si="3"/>
        <v>0</v>
      </c>
      <c r="N68" s="59">
        <f t="shared" si="3"/>
        <v>0</v>
      </c>
    </row>
    <row r="69" spans="2:87" x14ac:dyDescent="0.55000000000000004">
      <c r="B69" s="56"/>
      <c r="C69" s="57"/>
      <c r="D69" s="58"/>
      <c r="E69" s="52"/>
      <c r="F69" s="52"/>
      <c r="G69" s="52"/>
      <c r="H69" s="52"/>
      <c r="I69" s="52"/>
      <c r="J69" s="52"/>
      <c r="K69" s="52"/>
      <c r="L69" s="52"/>
      <c r="M69" s="52"/>
      <c r="N69" s="52"/>
    </row>
    <row r="71" spans="2:87" x14ac:dyDescent="0.55000000000000004">
      <c r="B71" s="184" t="s">
        <v>2373</v>
      </c>
      <c r="C71" s="185"/>
      <c r="D71" s="48" t="s">
        <v>400</v>
      </c>
      <c r="E71" s="48" t="s">
        <v>401</v>
      </c>
      <c r="F71" s="48" t="s">
        <v>402</v>
      </c>
    </row>
    <row r="72" spans="2:87" x14ac:dyDescent="0.55000000000000004">
      <c r="B72" s="194" t="s">
        <v>398</v>
      </c>
      <c r="C72" s="49" t="s">
        <v>391</v>
      </c>
      <c r="D72" s="50">
        <f>COUNTIF('PF320'!Y10:Y329,"PWM0_0")</f>
        <v>0</v>
      </c>
      <c r="E72" s="50">
        <f>COUNTIF('PF320'!Y10:Y329,"PWM0_1")</f>
        <v>0</v>
      </c>
      <c r="F72" s="50">
        <f>COUNTIF('PF320'!Y10:Y329,"PWM0_2")</f>
        <v>0</v>
      </c>
    </row>
    <row r="73" spans="2:87" x14ac:dyDescent="0.55000000000000004">
      <c r="B73" s="183"/>
      <c r="C73" s="49" t="s">
        <v>394</v>
      </c>
      <c r="D73" s="50">
        <f>COUNTIF('PF320'!Y10:Y329,"PWM0_0_N")</f>
        <v>0</v>
      </c>
      <c r="E73" s="50">
        <f>COUNTIF('PF320'!Y10:Y329,"PWM0_1_N")</f>
        <v>0</v>
      </c>
      <c r="F73" s="50">
        <f>COUNTIF('PF320'!Y10:Y329,"PWM0_2_N")</f>
        <v>0</v>
      </c>
    </row>
    <row r="74" spans="2:87" x14ac:dyDescent="0.55000000000000004">
      <c r="B74" s="194" t="s">
        <v>399</v>
      </c>
      <c r="C74" s="49" t="s">
        <v>392</v>
      </c>
      <c r="D74" s="50">
        <f>COUNTIF('PF320'!Y10:Y329,"TC0_0_TR0")</f>
        <v>0</v>
      </c>
      <c r="E74" s="50">
        <f>COUNTIF('PF320'!Y10:Y329,"TC0_1_TR0")</f>
        <v>0</v>
      </c>
      <c r="F74" s="50">
        <f>COUNTIF('PF320'!Y10:Y329,"TC0_2_TR0")</f>
        <v>0</v>
      </c>
    </row>
    <row r="75" spans="2:87" x14ac:dyDescent="0.55000000000000004">
      <c r="B75" s="183"/>
      <c r="C75" s="49" t="s">
        <v>393</v>
      </c>
      <c r="D75" s="50">
        <f>COUNTIF('PF320'!Y10:Y329,"TC0_0_TR1")</f>
        <v>0</v>
      </c>
      <c r="E75" s="50">
        <f>COUNTIF('PF320'!Y10:Y329,"TC0_1_TR1")</f>
        <v>0</v>
      </c>
      <c r="F75" s="50">
        <f>COUNTIF('PF320'!Y10:Y329,"TC0_2_TR1")</f>
        <v>0</v>
      </c>
    </row>
    <row r="77" spans="2:87" x14ac:dyDescent="0.55000000000000004">
      <c r="B77" s="184" t="s">
        <v>2372</v>
      </c>
      <c r="C77" s="185"/>
      <c r="D77" s="48" t="s">
        <v>400</v>
      </c>
      <c r="E77" s="48" t="s">
        <v>401</v>
      </c>
      <c r="F77" s="48" t="s">
        <v>402</v>
      </c>
      <c r="G77" s="48" t="s">
        <v>403</v>
      </c>
      <c r="H77" s="48" t="s">
        <v>404</v>
      </c>
      <c r="I77" s="48" t="s">
        <v>405</v>
      </c>
      <c r="J77" s="48" t="s">
        <v>406</v>
      </c>
      <c r="K77" s="48" t="s">
        <v>407</v>
      </c>
      <c r="L77" s="48" t="s">
        <v>408</v>
      </c>
      <c r="M77" s="48" t="s">
        <v>409</v>
      </c>
      <c r="N77" s="48" t="s">
        <v>410</v>
      </c>
      <c r="O77" s="48" t="s">
        <v>411</v>
      </c>
      <c r="P77" s="48" t="s">
        <v>412</v>
      </c>
      <c r="Q77" s="48" t="s">
        <v>413</v>
      </c>
      <c r="R77" s="48" t="s">
        <v>414</v>
      </c>
      <c r="S77" s="48" t="s">
        <v>415</v>
      </c>
      <c r="T77" s="48" t="s">
        <v>416</v>
      </c>
      <c r="U77" s="48" t="s">
        <v>417</v>
      </c>
      <c r="V77" s="48" t="s">
        <v>418</v>
      </c>
      <c r="W77" s="48" t="s">
        <v>419</v>
      </c>
      <c r="X77" s="48" t="s">
        <v>420</v>
      </c>
      <c r="Y77" s="48" t="s">
        <v>421</v>
      </c>
      <c r="Z77" s="48" t="s">
        <v>422</v>
      </c>
      <c r="AA77" s="48" t="s">
        <v>423</v>
      </c>
      <c r="AB77" s="48" t="s">
        <v>424</v>
      </c>
      <c r="AC77" s="48" t="s">
        <v>425</v>
      </c>
      <c r="AD77" s="48" t="s">
        <v>426</v>
      </c>
      <c r="AE77" s="48" t="s">
        <v>427</v>
      </c>
      <c r="AF77" s="48" t="s">
        <v>428</v>
      </c>
      <c r="AG77" s="48" t="s">
        <v>429</v>
      </c>
      <c r="AH77" s="48" t="s">
        <v>430</v>
      </c>
      <c r="AI77" s="48" t="s">
        <v>431</v>
      </c>
      <c r="AJ77" s="48" t="s">
        <v>432</v>
      </c>
      <c r="AK77" s="48" t="s">
        <v>433</v>
      </c>
      <c r="AL77" s="48" t="s">
        <v>434</v>
      </c>
      <c r="AM77" s="48" t="s">
        <v>435</v>
      </c>
      <c r="AN77" s="48" t="s">
        <v>436</v>
      </c>
      <c r="AO77" s="48" t="s">
        <v>437</v>
      </c>
      <c r="AP77" s="48" t="s">
        <v>438</v>
      </c>
      <c r="AQ77" s="48" t="s">
        <v>439</v>
      </c>
      <c r="AR77" s="48" t="s">
        <v>440</v>
      </c>
      <c r="AS77" s="48" t="s">
        <v>441</v>
      </c>
      <c r="AT77" s="48" t="s">
        <v>442</v>
      </c>
      <c r="AU77" s="48" t="s">
        <v>443</v>
      </c>
      <c r="AV77" s="48" t="s">
        <v>444</v>
      </c>
      <c r="AW77" s="48" t="s">
        <v>445</v>
      </c>
      <c r="AX77" s="48" t="s">
        <v>446</v>
      </c>
      <c r="AY77" s="48" t="s">
        <v>447</v>
      </c>
      <c r="AZ77" s="48" t="s">
        <v>448</v>
      </c>
      <c r="BA77" s="48" t="s">
        <v>449</v>
      </c>
      <c r="BB77" s="48" t="s">
        <v>450</v>
      </c>
      <c r="BC77" s="48" t="s">
        <v>451</v>
      </c>
      <c r="BD77" s="48" t="s">
        <v>452</v>
      </c>
      <c r="BE77" s="48" t="s">
        <v>453</v>
      </c>
      <c r="BF77" s="48" t="s">
        <v>454</v>
      </c>
      <c r="BG77" s="48" t="s">
        <v>455</v>
      </c>
      <c r="BH77" s="48" t="s">
        <v>456</v>
      </c>
      <c r="BI77" s="48" t="s">
        <v>457</v>
      </c>
      <c r="BJ77" s="48" t="s">
        <v>458</v>
      </c>
      <c r="BK77" s="48" t="s">
        <v>459</v>
      </c>
      <c r="BL77" s="48" t="s">
        <v>460</v>
      </c>
      <c r="BM77" s="48" t="s">
        <v>461</v>
      </c>
      <c r="BN77" s="48" t="s">
        <v>462</v>
      </c>
      <c r="BO77" s="48" t="s">
        <v>2312</v>
      </c>
      <c r="BP77" s="48" t="s">
        <v>2313</v>
      </c>
      <c r="BQ77" s="48" t="s">
        <v>2314</v>
      </c>
      <c r="BR77" s="48" t="s">
        <v>2315</v>
      </c>
      <c r="BS77" s="48" t="s">
        <v>2316</v>
      </c>
      <c r="BT77" s="48" t="s">
        <v>2317</v>
      </c>
      <c r="BU77" s="48" t="s">
        <v>2318</v>
      </c>
      <c r="BV77" s="48" t="s">
        <v>2319</v>
      </c>
      <c r="BW77" s="48" t="s">
        <v>2320</v>
      </c>
      <c r="BX77" s="48" t="s">
        <v>2321</v>
      </c>
      <c r="BY77" s="48" t="s">
        <v>2322</v>
      </c>
      <c r="BZ77" s="48" t="s">
        <v>2323</v>
      </c>
      <c r="CA77" s="48" t="s">
        <v>2324</v>
      </c>
      <c r="CB77" s="48" t="s">
        <v>2325</v>
      </c>
      <c r="CC77" s="48" t="s">
        <v>2326</v>
      </c>
      <c r="CD77" s="48" t="s">
        <v>2327</v>
      </c>
      <c r="CE77" s="48" t="s">
        <v>2328</v>
      </c>
      <c r="CF77" s="48" t="s">
        <v>2329</v>
      </c>
      <c r="CG77" s="48" t="s">
        <v>2330</v>
      </c>
      <c r="CH77" s="48" t="s">
        <v>2331</v>
      </c>
      <c r="CI77" s="48" t="s">
        <v>2332</v>
      </c>
    </row>
    <row r="78" spans="2:87" x14ac:dyDescent="0.55000000000000004">
      <c r="B78" s="194" t="s">
        <v>398</v>
      </c>
      <c r="C78" s="49" t="s">
        <v>391</v>
      </c>
      <c r="D78" s="50">
        <f>COUNTIF('PF320'!Y10:Y329,"PWM1_0")</f>
        <v>0</v>
      </c>
      <c r="E78" s="50">
        <f>COUNTIF('PF320'!Y10:Y329,"PWM1_1")</f>
        <v>0</v>
      </c>
      <c r="F78" s="50">
        <f>COUNTIF('PF320'!Y10:Y329,"PWM1_2")</f>
        <v>0</v>
      </c>
      <c r="G78" s="50">
        <f>COUNTIF('PF320'!Y10:Y329,"PWM1_3")</f>
        <v>0</v>
      </c>
      <c r="H78" s="50">
        <f>COUNTIF('PF320'!Y10:Y329,"PWM1_4")</f>
        <v>0</v>
      </c>
      <c r="I78" s="50">
        <f>COUNTIF('PF320'!Y10:Y329,"PWM1_5")</f>
        <v>0</v>
      </c>
      <c r="J78" s="50">
        <f>COUNTIF('PF320'!Y10:Y329,"PWM1_6")</f>
        <v>0</v>
      </c>
      <c r="K78" s="50">
        <f>COUNTIF('PF320'!Y10:Y329,"PWM1_7")</f>
        <v>0</v>
      </c>
      <c r="L78" s="50">
        <f>COUNTIF('PF320'!Y10:Y329,"PWM1_8")</f>
        <v>0</v>
      </c>
      <c r="M78" s="50">
        <f>COUNTIF('PF320'!Y10:Y329,"PWM1_9")</f>
        <v>0</v>
      </c>
      <c r="N78" s="50">
        <f>COUNTIF('PF320'!Y10:Y329,"PWM1_10")</f>
        <v>0</v>
      </c>
      <c r="O78" s="50">
        <f>COUNTIF('PF320'!Y10:Y329,"PWM1_11")</f>
        <v>0</v>
      </c>
      <c r="P78" s="50">
        <f>COUNTIF('PF320'!Y10:Y329,"PWM1_12")</f>
        <v>0</v>
      </c>
      <c r="Q78" s="50">
        <f>COUNTIF('PF320'!Y10:Y329,"PWM1_13")</f>
        <v>0</v>
      </c>
      <c r="R78" s="50">
        <f>COUNTIF('PF320'!Y10:Y329,"PWM1_14")</f>
        <v>0</v>
      </c>
      <c r="S78" s="50">
        <f>COUNTIF('PF320'!Y10:Y329,"PWM1_15")</f>
        <v>0</v>
      </c>
      <c r="T78" s="50">
        <f>COUNTIF('PF320'!Y10:Y329,"PWM1_16")</f>
        <v>0</v>
      </c>
      <c r="U78" s="50">
        <f>COUNTIF('PF320'!Y10:Y329,"PWM1_17")</f>
        <v>0</v>
      </c>
      <c r="V78" s="50">
        <f>COUNTIF('PF320'!Y10:Y329,"PWM1_18")</f>
        <v>0</v>
      </c>
      <c r="W78" s="50">
        <f>COUNTIF('PF320'!Y10:Y329,"PWM1_19")</f>
        <v>0</v>
      </c>
      <c r="X78" s="50">
        <f>COUNTIF('PF320'!Y10:Y329,"PWM1_20")</f>
        <v>0</v>
      </c>
      <c r="Y78" s="50">
        <f>COUNTIF('PF320'!Y10:Y329,"PWM1_21")</f>
        <v>0</v>
      </c>
      <c r="Z78" s="50">
        <f>COUNTIF('PF320'!Y10:Y329,"PWM1_22")</f>
        <v>0</v>
      </c>
      <c r="AA78" s="50">
        <f>COUNTIF('PF320'!Y10:Y329,"PWM1_23")</f>
        <v>0</v>
      </c>
      <c r="AB78" s="50">
        <f>COUNTIF('PF320'!Y10:Y329,"PWM1_24")</f>
        <v>0</v>
      </c>
      <c r="AC78" s="50">
        <f>COUNTIF('PF320'!Y10:Y329,"PWM1_25")</f>
        <v>0</v>
      </c>
      <c r="AD78" s="50">
        <f>COUNTIF('PF320'!Y10:Y329,"PWM1_26")</f>
        <v>0</v>
      </c>
      <c r="AE78" s="50">
        <f>COUNTIF('PF320'!Y10:Y329,"PWM1_27")</f>
        <v>0</v>
      </c>
      <c r="AF78" s="50">
        <f>COUNTIF('PF320'!Y10:Y329,"PWM1_28")</f>
        <v>0</v>
      </c>
      <c r="AG78" s="50">
        <f>COUNTIF('PF320'!Y10:Y329,"PWM1_29")</f>
        <v>0</v>
      </c>
      <c r="AH78" s="50">
        <f>COUNTIF('PF320'!Y10:Y329,"PWM1_30")</f>
        <v>0</v>
      </c>
      <c r="AI78" s="50">
        <f>COUNTIF('PF320'!Y10:Y329,"PWM1_31")</f>
        <v>0</v>
      </c>
      <c r="AJ78" s="50">
        <f>COUNTIF('PF320'!Y10:Y329,"PWM1_32")</f>
        <v>0</v>
      </c>
      <c r="AK78" s="50">
        <f>COUNTIF('PF320'!Y10:Y329,"PWM1_33")</f>
        <v>0</v>
      </c>
      <c r="AL78" s="50">
        <f>COUNTIF('PF320'!Y10:Y329,"PWM1_34")</f>
        <v>0</v>
      </c>
      <c r="AM78" s="50">
        <f>COUNTIF('PF320'!Y10:Y329,"PWM1_35")</f>
        <v>0</v>
      </c>
      <c r="AN78" s="50">
        <f>COUNTIF('PF320'!Y10:Y329,"PWM1_36")</f>
        <v>0</v>
      </c>
      <c r="AO78" s="50">
        <f>COUNTIF('PF320'!Y10:Y329,"PWM1_37")</f>
        <v>0</v>
      </c>
      <c r="AP78" s="50">
        <f>COUNTIF('PF320'!Y10:Y329,"PWM1_38")</f>
        <v>0</v>
      </c>
      <c r="AQ78" s="50">
        <f>COUNTIF('PF320'!Y10:Y329,"PWM1_39")</f>
        <v>0</v>
      </c>
      <c r="AR78" s="50">
        <f>COUNTIF('PF320'!Y10:Y329,"PWM1_40")</f>
        <v>0</v>
      </c>
      <c r="AS78" s="50">
        <f>COUNTIF('PF320'!Y10:Y329,"PWM1_41")</f>
        <v>0</v>
      </c>
      <c r="AT78" s="50">
        <f>COUNTIF('PF320'!Y10:Y329,"PWM1_42")</f>
        <v>0</v>
      </c>
      <c r="AU78" s="50">
        <f>COUNTIF('PF320'!Y10:Y329,"PWM1_43")</f>
        <v>0</v>
      </c>
      <c r="AV78" s="50">
        <f>COUNTIF('PF320'!Y10:Y329,"PWM1_44")</f>
        <v>0</v>
      </c>
      <c r="AW78" s="50">
        <f>COUNTIF('PF320'!Y10:Y329,"PWM1_45")</f>
        <v>0</v>
      </c>
      <c r="AX78" s="50">
        <f>COUNTIF('PF320'!Y10:Y329,"PWM1_46")</f>
        <v>0</v>
      </c>
      <c r="AY78" s="50">
        <f>COUNTIF('PF320'!Y10:Y329,"PWM1_47")</f>
        <v>0</v>
      </c>
      <c r="AZ78" s="50">
        <f>COUNTIF('PF320'!Y10:Y329,"PWM1_48")</f>
        <v>0</v>
      </c>
      <c r="BA78" s="50">
        <f>COUNTIF('PF320'!Y10:Y329,"PWM1_49")</f>
        <v>0</v>
      </c>
      <c r="BB78" s="50">
        <f>COUNTIF('PF320'!Y10:Y329,"PWM1_50")</f>
        <v>0</v>
      </c>
      <c r="BC78" s="50">
        <f>COUNTIF('PF320'!Y10:Y329,"PWM1_51")</f>
        <v>0</v>
      </c>
      <c r="BD78" s="50">
        <f>COUNTIF('PF320'!Y10:Y329,"PWM1_52")</f>
        <v>0</v>
      </c>
      <c r="BE78" s="50">
        <f>COUNTIF('PF320'!Y10:Y329,"PWM1_53")</f>
        <v>0</v>
      </c>
      <c r="BF78" s="50">
        <f>COUNTIF('PF320'!Y10:Y329,"PWM1_54")</f>
        <v>0</v>
      </c>
      <c r="BG78" s="50">
        <f>COUNTIF('PF320'!Y10:Y329,"PWM1_55")</f>
        <v>0</v>
      </c>
      <c r="BH78" s="50">
        <f>COUNTIF('PF320'!Y10:Y329,"PWM1_56")</f>
        <v>0</v>
      </c>
      <c r="BI78" s="50">
        <f>COUNTIF('PF320'!Y10:Y329,"PWM1_57")</f>
        <v>0</v>
      </c>
      <c r="BJ78" s="50">
        <f>COUNTIF('PF320'!Y10:Y329,"PWM1_58")</f>
        <v>0</v>
      </c>
      <c r="BK78" s="50">
        <f>COUNTIF('PF320'!Y10:Y329,"PWM1_59")</f>
        <v>0</v>
      </c>
      <c r="BL78" s="50">
        <f>COUNTIF('PF320'!Y10:Y329,"PWM1_60")</f>
        <v>0</v>
      </c>
      <c r="BM78" s="50">
        <f>COUNTIF('PF320'!Y10:Y329,"PWM1_61")</f>
        <v>0</v>
      </c>
      <c r="BN78" s="50">
        <f>COUNTIF('PF320'!Y10:Y329,"PWM1_62")</f>
        <v>0</v>
      </c>
      <c r="BO78" s="50">
        <f>COUNTIF('PF320'!Y10:Y329,"PWM1_63")</f>
        <v>0</v>
      </c>
      <c r="BP78" s="50">
        <f>COUNTIF('PF320'!Y10:Y329,"PWM1_64")</f>
        <v>0</v>
      </c>
      <c r="BQ78" s="50">
        <f>COUNTIF('PF320'!Y10:Y329,"PWM1_65")</f>
        <v>0</v>
      </c>
      <c r="BR78" s="50">
        <f>COUNTIF('PF320'!Y10:Y329,"PWM1_66")</f>
        <v>0</v>
      </c>
      <c r="BS78" s="50">
        <f>COUNTIF('PF320'!Y10:Y329,"PWM1_67")</f>
        <v>0</v>
      </c>
      <c r="BT78" s="50">
        <f>COUNTIF('PF320'!Y10:Y329,"PWM1_68")</f>
        <v>0</v>
      </c>
      <c r="BU78" s="50">
        <f>COUNTIF('PF320'!Y10:Y329,"PWM1_69")</f>
        <v>0</v>
      </c>
      <c r="BV78" s="50">
        <f>COUNTIF('PF320'!Y10:Y329,"PWM1_70")</f>
        <v>0</v>
      </c>
      <c r="BW78" s="50">
        <f>COUNTIF('PF320'!Y10:Y329,"PWM1_71")</f>
        <v>0</v>
      </c>
      <c r="BX78" s="50">
        <f>COUNTIF('PF320'!Y10:Y329,"PWM1_72")</f>
        <v>0</v>
      </c>
      <c r="BY78" s="50">
        <f>COUNTIF('PF320'!Y10:Y329,"PWM1_73")</f>
        <v>0</v>
      </c>
      <c r="BZ78" s="50">
        <f>COUNTIF('PF320'!Y10:Y329,"PWM1_74")</f>
        <v>0</v>
      </c>
      <c r="CA78" s="50">
        <f>COUNTIF('PF320'!Y10:Y329,"PWM1_75")</f>
        <v>0</v>
      </c>
      <c r="CB78" s="50">
        <f>COUNTIF('PF320'!Y10:Y329,"PWM1_76")</f>
        <v>0</v>
      </c>
      <c r="CC78" s="50">
        <f>COUNTIF('PF320'!Y10:Y329,"PWM1_77")</f>
        <v>0</v>
      </c>
      <c r="CD78" s="50">
        <f>COUNTIF('PF320'!Y10:Y329,"PWM1_78")</f>
        <v>0</v>
      </c>
      <c r="CE78" s="50">
        <f>COUNTIF('PF320'!Y10:Y329,"PWM1_79")</f>
        <v>0</v>
      </c>
      <c r="CF78" s="50">
        <f>COUNTIF('PF320'!Y10:Y329,"PWM1_80")</f>
        <v>0</v>
      </c>
      <c r="CG78" s="50">
        <f>COUNTIF('PF320'!Y10:Y329,"PWM1_81")</f>
        <v>0</v>
      </c>
      <c r="CH78" s="50">
        <f>COUNTIF('PF320'!Y10:Y329,"PWM1_82")</f>
        <v>0</v>
      </c>
      <c r="CI78" s="50">
        <f>COUNTIF('PF320'!Y10:Y329,"PWM1_83")</f>
        <v>0</v>
      </c>
    </row>
    <row r="79" spans="2:87" x14ac:dyDescent="0.55000000000000004">
      <c r="B79" s="183"/>
      <c r="C79" s="49" t="s">
        <v>394</v>
      </c>
      <c r="D79" s="50">
        <f>COUNTIF('PF320'!Y10:Y329,"PWM1_0_N")</f>
        <v>0</v>
      </c>
      <c r="E79" s="50">
        <f>COUNTIF('PF320'!Y10:Y329,"PWM1_1_N")</f>
        <v>0</v>
      </c>
      <c r="F79" s="50">
        <f>COUNTIF('PF320'!Y10:Y329,"PWM1_2_N")</f>
        <v>0</v>
      </c>
      <c r="G79" s="50">
        <f>COUNTIF('PF320'!Y10:Y329,"PWM1_3_N")</f>
        <v>0</v>
      </c>
      <c r="H79" s="50">
        <f>COUNTIF('PF320'!Y10:Y329,"PWM1_4_N")</f>
        <v>0</v>
      </c>
      <c r="I79" s="50">
        <f>COUNTIF('PF320'!Y10:Y329,"PWM1_5_N")</f>
        <v>0</v>
      </c>
      <c r="J79" s="50">
        <f>COUNTIF('PF320'!Y10:Y329,"PWM1_6_N")</f>
        <v>0</v>
      </c>
      <c r="K79" s="50">
        <f>COUNTIF('PF320'!Y10:Y329,"PWM1_7_N")</f>
        <v>0</v>
      </c>
      <c r="L79" s="50">
        <f>COUNTIF('PF320'!Y10:Y329,"PWM1_8_N")</f>
        <v>0</v>
      </c>
      <c r="M79" s="50">
        <f>COUNTIF('PF320'!Y10:Y329,"PWM1_9_N")</f>
        <v>0</v>
      </c>
      <c r="N79" s="50">
        <f>COUNTIF('PF320'!Y10:Y329,"PWM1_10_N")</f>
        <v>0</v>
      </c>
      <c r="O79" s="50">
        <f>COUNTIF('PF320'!Y10:Y329,"PWM1_11_N")</f>
        <v>0</v>
      </c>
      <c r="P79" s="50">
        <f>COUNTIF('PF320'!Y10:Y329,"PWM1_12_N")</f>
        <v>0</v>
      </c>
      <c r="Q79" s="50">
        <f>COUNTIF('PF320'!Y10:Y329,"PWM1_13_N")</f>
        <v>0</v>
      </c>
      <c r="R79" s="50">
        <f>COUNTIF('PF320'!Y10:Y329,"PWM1_14_N")</f>
        <v>0</v>
      </c>
      <c r="S79" s="50">
        <f>COUNTIF('PF320'!Y10:Y329,"PWM1_15_N")</f>
        <v>0</v>
      </c>
      <c r="T79" s="50">
        <f>COUNTIF('PF320'!Y10:Y329,"PWM1_16_N")</f>
        <v>0</v>
      </c>
      <c r="U79" s="50">
        <f>COUNTIF('PF320'!Y10:Y329,"PWM1_17_N")</f>
        <v>0</v>
      </c>
      <c r="V79" s="50">
        <f>COUNTIF('PF320'!Y10:Y329,"PWM1_18_N")</f>
        <v>0</v>
      </c>
      <c r="W79" s="50">
        <f>COUNTIF('PF320'!Y10:Y329,"PWM1_19_N")</f>
        <v>0</v>
      </c>
      <c r="X79" s="50">
        <f>COUNTIF('PF320'!Y10:Y329,"PWM1_20_N")</f>
        <v>0</v>
      </c>
      <c r="Y79" s="50">
        <f>COUNTIF('PF320'!Y10:Y329,"PWM1_21_N")</f>
        <v>0</v>
      </c>
      <c r="Z79" s="50">
        <f>COUNTIF('PF320'!Y10:Y329,"PWM1_22_N")</f>
        <v>0</v>
      </c>
      <c r="AA79" s="50">
        <f>COUNTIF('PF320'!Y10:Y329,"PWM1_23_N")</f>
        <v>0</v>
      </c>
      <c r="AB79" s="50">
        <f>COUNTIF('PF320'!Y10:Y329,"PWM1_24_N")</f>
        <v>0</v>
      </c>
      <c r="AC79" s="50">
        <f>COUNTIF('PF320'!Y10:Y329,"PWM1_25_N")</f>
        <v>0</v>
      </c>
      <c r="AD79" s="50">
        <f>COUNTIF('PF320'!Y10:Y329,"PWM_26_N")</f>
        <v>0</v>
      </c>
      <c r="AE79" s="50">
        <f>COUNTIF('PF320'!Y10:Y329,"PWM1_27_N")</f>
        <v>0</v>
      </c>
      <c r="AF79" s="50">
        <f>COUNTIF('PF320'!Y10:Y329,"PWM1_28_N")</f>
        <v>0</v>
      </c>
      <c r="AG79" s="50">
        <f>COUNTIF('PF320'!Y10:Y329,"PWM1_29_N")</f>
        <v>0</v>
      </c>
      <c r="AH79" s="50">
        <f>COUNTIF('PF320'!Y10:Y329,"PWM1_30_N")</f>
        <v>0</v>
      </c>
      <c r="AI79" s="50">
        <f>COUNTIF('PF320'!Y10:Y329,"PWM1_31_N")</f>
        <v>0</v>
      </c>
      <c r="AJ79" s="50">
        <f>COUNTIF('PF320'!Y10:Y329,"PWM1_32_N")</f>
        <v>0</v>
      </c>
      <c r="AK79" s="50">
        <f>COUNTIF('PF320'!Y10:Y329,"PWM1_33_N")</f>
        <v>0</v>
      </c>
      <c r="AL79" s="50">
        <f>COUNTIF('PF320'!Y10:Y329,"PWM1_34_N")</f>
        <v>0</v>
      </c>
      <c r="AM79" s="50">
        <f>COUNTIF('PF320'!Y10:Y329,"PWM1_35_N")</f>
        <v>0</v>
      </c>
      <c r="AN79" s="50">
        <f>COUNTIF('PF320'!Y10:Y329,"PWM1_36_N")</f>
        <v>0</v>
      </c>
      <c r="AO79" s="50">
        <f>COUNTIF('PF320'!Y10:Y329,"PWM1_37_N")</f>
        <v>0</v>
      </c>
      <c r="AP79" s="50">
        <f>COUNTIF('PF320'!Y10:Y329,"PWM1_38_N")</f>
        <v>0</v>
      </c>
      <c r="AQ79" s="50">
        <f>COUNTIF('PF320'!Y10:Y329,"PWM1_39_N")</f>
        <v>0</v>
      </c>
      <c r="AR79" s="50">
        <f>COUNTIF('PF320'!Y10:Y329,"PWM1_40_N")</f>
        <v>0</v>
      </c>
      <c r="AS79" s="50">
        <f>COUNTIF('PF320'!Y10:Y329,"PWM1_41_N")</f>
        <v>0</v>
      </c>
      <c r="AT79" s="50">
        <f>COUNTIF('PF320'!Y10:Y329,"PWM1_42_N")</f>
        <v>0</v>
      </c>
      <c r="AU79" s="50">
        <f>COUNTIF('PF320'!Y10:Y329,"PWM1_43_N")</f>
        <v>0</v>
      </c>
      <c r="AV79" s="50">
        <f>COUNTIF('PF320'!Y10:Y329,"PWM1_44_N")</f>
        <v>0</v>
      </c>
      <c r="AW79" s="50">
        <f>COUNTIF('PF320'!Y10:Y329,"PWM1_45_N")</f>
        <v>0</v>
      </c>
      <c r="AX79" s="50">
        <f>COUNTIF('PF320'!Y10:Y329,"PWM1_46_N")</f>
        <v>0</v>
      </c>
      <c r="AY79" s="50">
        <f>COUNTIF('PF320'!Y10:Y329,"PWM1_47_N")</f>
        <v>0</v>
      </c>
      <c r="AZ79" s="50">
        <f>COUNTIF('PF320'!Y10:Y329,"PWM1_48_N")</f>
        <v>0</v>
      </c>
      <c r="BA79" s="50">
        <f>COUNTIF('PF320'!Y10:Y329,"PWM1_49_N")</f>
        <v>0</v>
      </c>
      <c r="BB79" s="50">
        <f>COUNTIF('PF320'!Y10:Y329,"PWM1_50_N")</f>
        <v>0</v>
      </c>
      <c r="BC79" s="50">
        <f>COUNTIF('PF320'!Y10:Y329,"PWM1_51_N")</f>
        <v>0</v>
      </c>
      <c r="BD79" s="50">
        <f>COUNTIF('PF320'!Y10:Y329,"PWM1_52_N")</f>
        <v>0</v>
      </c>
      <c r="BE79" s="50">
        <f>COUNTIF('PF320'!Y10:Y329,"PWM1_53_N")</f>
        <v>0</v>
      </c>
      <c r="BF79" s="50">
        <f>COUNTIF('PF320'!Y10:Y329,"PWM1_54_N")</f>
        <v>0</v>
      </c>
      <c r="BG79" s="50">
        <f>COUNTIF('PF320'!Y10:Y329,"PWM1_55_N")</f>
        <v>0</v>
      </c>
      <c r="BH79" s="50">
        <f>COUNTIF('PF320'!Y10:Y329,"PWM1_56_N")</f>
        <v>0</v>
      </c>
      <c r="BI79" s="50">
        <f>COUNTIF('PF320'!Y10:Y329,"PWM1_57_N")</f>
        <v>0</v>
      </c>
      <c r="BJ79" s="50">
        <f>COUNTIF('PF320'!Y10:Y329,"PWM1_58_N")</f>
        <v>0</v>
      </c>
      <c r="BK79" s="50">
        <f>COUNTIF('PF320'!Y10:Y329,"PWM1_59_N")</f>
        <v>0</v>
      </c>
      <c r="BL79" s="50">
        <f>COUNTIF('PF320'!Y10:Y329,"PWM1_60_N")</f>
        <v>0</v>
      </c>
      <c r="BM79" s="50">
        <f>COUNTIF('PF320'!Y10:Y329,"PWM1_61_N")</f>
        <v>0</v>
      </c>
      <c r="BN79" s="50">
        <f>COUNTIF('PF320'!Y10:Y329,"PWM1_62_N")</f>
        <v>0</v>
      </c>
      <c r="BO79" s="50">
        <f>COUNTIF('PF320'!Y10:Y329,"PWM1_63_N")</f>
        <v>0</v>
      </c>
      <c r="BP79" s="50">
        <f>COUNTIF('PF320'!Y10:Y329,"PWM1_64_N")</f>
        <v>0</v>
      </c>
      <c r="BQ79" s="50">
        <f>COUNTIF('PF320'!Y10:Y329,"PWM1_65_N")</f>
        <v>0</v>
      </c>
      <c r="BR79" s="50">
        <f>COUNTIF('PF320'!Y10:Y329,"PWM1_66_N")</f>
        <v>0</v>
      </c>
      <c r="BS79" s="50">
        <f>COUNTIF('PF320'!Y10:Y329,"PWM1_67_N")</f>
        <v>0</v>
      </c>
      <c r="BT79" s="50">
        <f>COUNTIF('PF320'!Y10:Y329,"PWM1_68_N")</f>
        <v>0</v>
      </c>
      <c r="BU79" s="50">
        <f>COUNTIF('PF320'!Y10:Y329,"PWM1_69_N")</f>
        <v>0</v>
      </c>
      <c r="BV79" s="50">
        <f>COUNTIF('PF320'!Y10:Y329,"PWM1_70_N")</f>
        <v>0</v>
      </c>
      <c r="BW79" s="50">
        <f>COUNTIF('PF320'!Y10:Y329,"PWM1_71_N")</f>
        <v>0</v>
      </c>
      <c r="BX79" s="50">
        <f>COUNTIF('PF320'!Y10:Y329,"PWM1_72_N")</f>
        <v>0</v>
      </c>
      <c r="BY79" s="50">
        <f>COUNTIF('PF320'!Y10:Y329,"PWM1_73_N")</f>
        <v>0</v>
      </c>
      <c r="BZ79" s="50">
        <f>COUNTIF('PF320'!Y10:Y329,"PWM1_74_N")</f>
        <v>0</v>
      </c>
      <c r="CA79" s="50">
        <f>COUNTIF('PF320'!Y10:Y329,"PWM1_75_N")</f>
        <v>0</v>
      </c>
      <c r="CB79" s="50">
        <f>COUNTIF('PF320'!Y10:Y329,"PWM1_76_N")</f>
        <v>0</v>
      </c>
      <c r="CC79" s="50">
        <f>COUNTIF('PF320'!Y10:Y329,"PWM1_77_N")</f>
        <v>0</v>
      </c>
      <c r="CD79" s="50">
        <f>COUNTIF('PF320'!Y10:Y329,"PWM1_78_N")</f>
        <v>0</v>
      </c>
      <c r="CE79" s="50">
        <f>COUNTIF('PF320'!Y10:Y329,"PWM1_79_N")</f>
        <v>0</v>
      </c>
      <c r="CF79" s="50">
        <f>COUNTIF('PF320'!Y10:Y329,"PWM1_80_N")</f>
        <v>0</v>
      </c>
      <c r="CG79" s="50">
        <f>COUNTIF('PF320'!Y10:Y329,"PWM1_81_N")</f>
        <v>0</v>
      </c>
      <c r="CH79" s="50">
        <f>COUNTIF('PF320'!Y10:Y329,"PWM1_82_N")</f>
        <v>0</v>
      </c>
      <c r="CI79" s="50">
        <f>COUNTIF('PF320'!Y10:Y329,"PWM1_83_N")</f>
        <v>0</v>
      </c>
    </row>
    <row r="80" spans="2:87" x14ac:dyDescent="0.55000000000000004">
      <c r="B80" s="194" t="s">
        <v>399</v>
      </c>
      <c r="C80" s="49" t="s">
        <v>392</v>
      </c>
      <c r="D80" s="50">
        <f>COUNTIF('PF320'!Y10:Y329,"TC1_0_TR0")</f>
        <v>0</v>
      </c>
      <c r="E80" s="50">
        <f>COUNTIF('PF320'!Y10:Y329,"TC1_1_TR0")</f>
        <v>0</v>
      </c>
      <c r="F80" s="50">
        <f>COUNTIF('PF320'!Y10:Y329,"TC1_2_TR0")</f>
        <v>0</v>
      </c>
      <c r="G80" s="50">
        <f>COUNTIF('PF320'!Y10:Y329,"TC1_3_TR0")</f>
        <v>0</v>
      </c>
      <c r="H80" s="50">
        <f>COUNTIF('PF320'!Y10:Y329,"TC1_4_TR0")</f>
        <v>0</v>
      </c>
      <c r="I80" s="50">
        <f>COUNTIF('PF320'!Y10:Y329,"TC1_5_TR0")</f>
        <v>0</v>
      </c>
      <c r="J80" s="50">
        <f>COUNTIF('PF320'!Y10:Y329,"TC1_6_TR0")</f>
        <v>0</v>
      </c>
      <c r="K80" s="50">
        <f>COUNTIF('PF320'!Y10:Y329,"TC1_7_TR0")</f>
        <v>0</v>
      </c>
      <c r="L80" s="50">
        <f>COUNTIF('PF320'!Y10:Y329,"TC1_8_TR0")</f>
        <v>0</v>
      </c>
      <c r="M80" s="50">
        <f>COUNTIF('PF320'!Y10:Y329,"TC1_9_TR0")</f>
        <v>0</v>
      </c>
      <c r="N80" s="50">
        <f>COUNTIF('PF320'!Y10:Y329,"TC1_10_TR0")</f>
        <v>0</v>
      </c>
      <c r="O80" s="50">
        <f>COUNTIF('PF320'!Y10:Y329,"TC1_11_TR0")</f>
        <v>0</v>
      </c>
      <c r="P80" s="50">
        <f>COUNTIF('PF320'!Y10:Y329,"TC1_12_TR0")</f>
        <v>0</v>
      </c>
      <c r="Q80" s="50">
        <f>COUNTIF('PF320'!Y10:Y329,"TC1_13_TR0")</f>
        <v>0</v>
      </c>
      <c r="R80" s="50">
        <f>COUNTIF('PF320'!Y10:Y329,"TC1_14_TR0")</f>
        <v>0</v>
      </c>
      <c r="S80" s="50">
        <f>COUNTIF('PF320'!Y10:Y329,"TC1_15_TR0")</f>
        <v>0</v>
      </c>
      <c r="T80" s="50">
        <f>COUNTIF('PF320'!Y10:Y329,"TC1_16_TR0")</f>
        <v>0</v>
      </c>
      <c r="U80" s="50">
        <f>COUNTIF('PF320'!Y10:Y329,"TC1_17_TR0")</f>
        <v>0</v>
      </c>
      <c r="V80" s="50">
        <f>COUNTIF('PF320'!Y10:Y329,"TC1_18_TR0")</f>
        <v>0</v>
      </c>
      <c r="W80" s="50">
        <f>COUNTIF('PF320'!Y10:Y329,"TC1_19_TR0")</f>
        <v>0</v>
      </c>
      <c r="X80" s="50">
        <f>COUNTIF('PF320'!Y10:Y329,"TC1_20_TR0")</f>
        <v>0</v>
      </c>
      <c r="Y80" s="50">
        <f>COUNTIF('PF320'!Y10:Y329,"TC1_21_TR0")</f>
        <v>0</v>
      </c>
      <c r="Z80" s="50">
        <f>COUNTIF('PF320'!Y10:Y329,"TC1_22_TR0")</f>
        <v>0</v>
      </c>
      <c r="AA80" s="50">
        <f>COUNTIF('PF320'!Y10:Y329,"TC1_23_TR0")</f>
        <v>0</v>
      </c>
      <c r="AB80" s="50">
        <f>COUNTIF('PF320'!Y10:Y329,"TC1_24_TR0")</f>
        <v>0</v>
      </c>
      <c r="AC80" s="50">
        <f>COUNTIF('PF320'!Y10:Y329,"TC1_25_TR0")</f>
        <v>0</v>
      </c>
      <c r="AD80" s="50">
        <f>COUNTIF('PF320'!Y10:Y329,"TC1_26_TR0")</f>
        <v>0</v>
      </c>
      <c r="AE80" s="50">
        <f>COUNTIF('PF320'!Y10:Y329,"TC1_27_TR0")</f>
        <v>0</v>
      </c>
      <c r="AF80" s="50">
        <f>COUNTIF('PF320'!Y10:Y329,"TC1_28_TR0")</f>
        <v>0</v>
      </c>
      <c r="AG80" s="50">
        <f>COUNTIF('PF320'!Y10:Y329,"TC1_29_TR0")</f>
        <v>0</v>
      </c>
      <c r="AH80" s="50">
        <f>COUNTIF('PF320'!Y10:Y329,"TC1_30_TR0")</f>
        <v>0</v>
      </c>
      <c r="AI80" s="50">
        <f>COUNTIF('PF320'!Y10:Y329,"TC1_31_TR0")</f>
        <v>0</v>
      </c>
      <c r="AJ80" s="50">
        <f>COUNTIF('PF320'!Y10:Y329,"TC1_32_TR0")</f>
        <v>0</v>
      </c>
      <c r="AK80" s="50">
        <f>COUNTIF('PF320'!Y10:Y329,"TC1_33_TR0")</f>
        <v>0</v>
      </c>
      <c r="AL80" s="50">
        <f>COUNTIF('PF320'!Y10:Y329,"TC1_34_TR0")</f>
        <v>0</v>
      </c>
      <c r="AM80" s="50">
        <f>COUNTIF('PF320'!Y10:Y329,"TC1_35_TR0")</f>
        <v>0</v>
      </c>
      <c r="AN80" s="50">
        <f>COUNTIF('PF320'!Y10:Y329,"TC1_36_TR0")</f>
        <v>0</v>
      </c>
      <c r="AO80" s="50">
        <f>COUNTIF('PF320'!Y10:Y329,"TC1_37_TR0")</f>
        <v>0</v>
      </c>
      <c r="AP80" s="50">
        <f>COUNTIF('PF320'!Y10:Y329,"TC1_38_TR0")</f>
        <v>0</v>
      </c>
      <c r="AQ80" s="50">
        <f>COUNTIF('PF320'!Y10:Y329,"TC1_39_TR0")</f>
        <v>0</v>
      </c>
      <c r="AR80" s="50">
        <f>COUNTIF('PF320'!Y10:Y329,"TC1_40_TR0")</f>
        <v>0</v>
      </c>
      <c r="AS80" s="50">
        <f>COUNTIF('PF320'!Y10:Y329,"TC1_41_TR0")</f>
        <v>0</v>
      </c>
      <c r="AT80" s="50">
        <f>COUNTIF('PF320'!Y10:Y329,"TC1_42_TR0")</f>
        <v>0</v>
      </c>
      <c r="AU80" s="50">
        <f>COUNTIF('PF320'!Y10:Y329,"TC1_43_TR0")</f>
        <v>0</v>
      </c>
      <c r="AV80" s="50">
        <f>COUNTIF('PF320'!Y10:Y329,"TC1_44_TR0")</f>
        <v>0</v>
      </c>
      <c r="AW80" s="50">
        <f>COUNTIF('PF320'!Y10:Y329,"TC1_45_TR0")</f>
        <v>0</v>
      </c>
      <c r="AX80" s="50">
        <f>COUNTIF('PF320'!Y10:Y329,"TC1_46_TR0")</f>
        <v>0</v>
      </c>
      <c r="AY80" s="50">
        <f>COUNTIF('PF320'!Y10:Y329,"TC1_47_TR0")</f>
        <v>0</v>
      </c>
      <c r="AZ80" s="50">
        <f>COUNTIF('PF320'!Y10:Y329,"TC1_48_TR0")</f>
        <v>0</v>
      </c>
      <c r="BA80" s="50">
        <f>COUNTIF('PF320'!Y10:Y329,"TC1_49_TR0")</f>
        <v>0</v>
      </c>
      <c r="BB80" s="50">
        <f>COUNTIF('PF320'!Y10:Y329,"TC1_50_TR0")</f>
        <v>0</v>
      </c>
      <c r="BC80" s="50">
        <f>COUNTIF('PF320'!Y10:Y329,"TC1_51_TR0")</f>
        <v>0</v>
      </c>
      <c r="BD80" s="50">
        <f>COUNTIF('PF320'!Y10:Y329,"TC1_52_TR0")</f>
        <v>0</v>
      </c>
      <c r="BE80" s="50">
        <f>COUNTIF('PF320'!Y10:Y329,"TC1_53_TR0")</f>
        <v>0</v>
      </c>
      <c r="BF80" s="50">
        <f>COUNTIF('PF320'!Y10:Y329,"TC1_54_TR0")</f>
        <v>0</v>
      </c>
      <c r="BG80" s="50">
        <f>COUNTIF('PF320'!Y10:Y329,"TC1_55_TR0")</f>
        <v>0</v>
      </c>
      <c r="BH80" s="50">
        <f>COUNTIF('PF320'!Y10:Y329,"TC1_56_TR0")</f>
        <v>0</v>
      </c>
      <c r="BI80" s="50">
        <f>COUNTIF('PF320'!Y10:Y329,"TC1_57_TR0")</f>
        <v>0</v>
      </c>
      <c r="BJ80" s="50">
        <f>COUNTIF('PF320'!Y10:Y329,"TC1_58_TR0")</f>
        <v>0</v>
      </c>
      <c r="BK80" s="50">
        <f>COUNTIF('PF320'!Y10:Y329,"TC1_59_TR0")</f>
        <v>0</v>
      </c>
      <c r="BL80" s="50">
        <f>COUNTIF('PF320'!Y10:Y329,"TC1_60_TR0")</f>
        <v>0</v>
      </c>
      <c r="BM80" s="50">
        <f>COUNTIF('PF320'!Y10:Y329,"TC1_61_TR0")</f>
        <v>0</v>
      </c>
      <c r="BN80" s="50">
        <f>COUNTIF('PF320'!Y10:Y329,"TC1_62_TR0")</f>
        <v>0</v>
      </c>
      <c r="BO80" s="50">
        <f>COUNTIF('PF320'!Y10:Y329,"TC1_63_TR0")</f>
        <v>0</v>
      </c>
      <c r="BP80" s="50">
        <f>COUNTIF('PF320'!Y10:Y329,"TC1_64_TR0")</f>
        <v>0</v>
      </c>
      <c r="BQ80" s="50">
        <f>COUNTIF('PF320'!Y10:Y329,"TC1_65_TR0")</f>
        <v>0</v>
      </c>
      <c r="BR80" s="50">
        <f>COUNTIF('PF320'!Y10:Y329,"TC1_66_TR0")</f>
        <v>0</v>
      </c>
      <c r="BS80" s="50">
        <f>COUNTIF('PF320'!Y10:Y329,"TC1_67_TR0")</f>
        <v>0</v>
      </c>
      <c r="BT80" s="50">
        <f>COUNTIF('PF320'!Y10:Y329,"TC1_68_TR0")</f>
        <v>0</v>
      </c>
      <c r="BU80" s="50">
        <f>COUNTIF('PF320'!Y10:Y329,"TC1_69_TR0")</f>
        <v>0</v>
      </c>
      <c r="BV80" s="50">
        <f>COUNTIF('PF320'!Y10:Y329,"TC1_70_TR0")</f>
        <v>0</v>
      </c>
      <c r="BW80" s="50">
        <f>COUNTIF('PF320'!Y10:Y329,"TC1_71_TR0")</f>
        <v>0</v>
      </c>
      <c r="BX80" s="50">
        <f>COUNTIF('PF320'!Y10:Y329,"TC1_72_TR0")</f>
        <v>0</v>
      </c>
      <c r="BY80" s="50">
        <f>COUNTIF('PF320'!Y10:Y329,"TC1_73_TR0")</f>
        <v>0</v>
      </c>
      <c r="BZ80" s="50">
        <f>COUNTIF('PF320'!Y10:Y329,"TC1_74_TR0")</f>
        <v>0</v>
      </c>
      <c r="CA80" s="50">
        <f>COUNTIF('PF320'!Y10:Y329,"TC1_75_TR0")</f>
        <v>0</v>
      </c>
      <c r="CB80" s="50">
        <f>COUNTIF('PF320'!Y10:Y329,"TC1_76_TR0")</f>
        <v>0</v>
      </c>
      <c r="CC80" s="50">
        <f>COUNTIF('PF320'!Y10:Y329,"TC1_77_TR0")</f>
        <v>0</v>
      </c>
      <c r="CD80" s="50">
        <f>COUNTIF('PF320'!Y10:Y329,"TC1_78_TR0")</f>
        <v>0</v>
      </c>
      <c r="CE80" s="50">
        <f>COUNTIF('PF320'!Y10:Y329,"TC1_79_TR0")</f>
        <v>0</v>
      </c>
      <c r="CF80" s="50">
        <f>COUNTIF('PF320'!Y10:Y329,"TC1_80_TR0")</f>
        <v>0</v>
      </c>
      <c r="CG80" s="50">
        <f>COUNTIF('PF320'!Y10:Y329,"TC1_81_TR0")</f>
        <v>0</v>
      </c>
      <c r="CH80" s="50">
        <f>COUNTIF('PF320'!Y10:Y329,"TC1_82_TR0")</f>
        <v>0</v>
      </c>
      <c r="CI80" s="50">
        <f>COUNTIF('PF320'!Y10:Y329,"TC1_83_TR0")</f>
        <v>0</v>
      </c>
    </row>
    <row r="81" spans="2:87" x14ac:dyDescent="0.55000000000000004">
      <c r="B81" s="183"/>
      <c r="C81" s="49" t="s">
        <v>393</v>
      </c>
      <c r="D81" s="50">
        <f>COUNTIF('PF320'!Y10:Y329,"TC1_0_TR1")</f>
        <v>0</v>
      </c>
      <c r="E81" s="50">
        <f>COUNTIF('PF320'!Y10:Y329,"TC1_1_TR1")</f>
        <v>0</v>
      </c>
      <c r="F81" s="50">
        <f>COUNTIF('PF320'!Y10:Y329,"TC1_2_TR1")</f>
        <v>0</v>
      </c>
      <c r="G81" s="50">
        <f>COUNTIF('PF320'!Y10:Y329,"TC1_3_TR1")</f>
        <v>0</v>
      </c>
      <c r="H81" s="50">
        <f>COUNTIF('PF320'!Y10:Y329,"TC1_4_TR1")</f>
        <v>0</v>
      </c>
      <c r="I81" s="50">
        <f>COUNTIF('PF320'!Y10:Y329,"TC1_5_TR1")</f>
        <v>0</v>
      </c>
      <c r="J81" s="50">
        <f>COUNTIF('PF320'!Y10:Y329,"TC1_6_TR1")</f>
        <v>0</v>
      </c>
      <c r="K81" s="50">
        <f>COUNTIF('PF320'!Y10:Y329,"TC1_7_TR1")</f>
        <v>0</v>
      </c>
      <c r="L81" s="50">
        <f>COUNTIF('PF320'!Y10:Y329,"TC1_8_TR1")</f>
        <v>0</v>
      </c>
      <c r="M81" s="50">
        <f>COUNTIF('PF320'!Y10:Y329,"TC1_9_TR1")</f>
        <v>0</v>
      </c>
      <c r="N81" s="50">
        <f>COUNTIF('PF320'!Y10:Y329,"TC1_10_TR1")</f>
        <v>0</v>
      </c>
      <c r="O81" s="50">
        <f>COUNTIF('PF320'!Y10:Y329,"TC1_11_TR1")</f>
        <v>0</v>
      </c>
      <c r="P81" s="50">
        <f>COUNTIF('PF320'!Y10:Y329,"TC1_12_TR1")</f>
        <v>0</v>
      </c>
      <c r="Q81" s="50">
        <f>COUNTIF('PF320'!Y10:Y329,"TC1_13_TR1")</f>
        <v>0</v>
      </c>
      <c r="R81" s="50">
        <f>COUNTIF('PF320'!Y10:Y329,"TC1_14_TR1")</f>
        <v>0</v>
      </c>
      <c r="S81" s="50">
        <f>COUNTIF('PF320'!Y10:Y329,"TC1_15_TR1")</f>
        <v>0</v>
      </c>
      <c r="T81" s="50">
        <f>COUNTIF('PF320'!Y10:Y329,"TC1_16_TR1")</f>
        <v>0</v>
      </c>
      <c r="U81" s="50">
        <f>COUNTIF('PF320'!Y10:Y329,"TC1_17_TR1")</f>
        <v>0</v>
      </c>
      <c r="V81" s="50">
        <f>COUNTIF('PF320'!Y10:Y329,"TC1_18_TR1")</f>
        <v>0</v>
      </c>
      <c r="W81" s="50">
        <f>COUNTIF('PF320'!Y10:Y329,"TC1_19_TR1")</f>
        <v>0</v>
      </c>
      <c r="X81" s="50">
        <f>COUNTIF('PF320'!Y10:Y329,"TC1_20_TR1")</f>
        <v>0</v>
      </c>
      <c r="Y81" s="50">
        <f>COUNTIF('PF320'!Y10:Y329,"TC1_21_TR1")</f>
        <v>0</v>
      </c>
      <c r="Z81" s="50">
        <f>COUNTIF('PF320'!Y10:Y329,"TC1_22_TR1")</f>
        <v>0</v>
      </c>
      <c r="AA81" s="50">
        <f>COUNTIF('PF320'!Y10:Y329,"TC1_23_TR1")</f>
        <v>0</v>
      </c>
      <c r="AB81" s="50">
        <f>COUNTIF('PF320'!Y10:Y329,"TC1_24_TR1")</f>
        <v>0</v>
      </c>
      <c r="AC81" s="50">
        <f>COUNTIF('PF320'!Y10:Y329,"TC1_25_TR1")</f>
        <v>0</v>
      </c>
      <c r="AD81" s="50">
        <f>COUNTIF('PF320'!Y10:Y329,"TC1_26_TR1")</f>
        <v>0</v>
      </c>
      <c r="AE81" s="50">
        <f>COUNTIF('PF320'!Y10:Y329,"TC1_27_TR1")</f>
        <v>0</v>
      </c>
      <c r="AF81" s="50">
        <f>COUNTIF('PF320'!Y10:Y329,"TC1_28_TR1")</f>
        <v>0</v>
      </c>
      <c r="AG81" s="50">
        <f>COUNTIF('PF320'!Y10:Y329,"TC1_29_TR1")</f>
        <v>0</v>
      </c>
      <c r="AH81" s="50">
        <f>COUNTIF('PF320'!Y10:Y329,"TC1_30_TR1")</f>
        <v>0</v>
      </c>
      <c r="AI81" s="50">
        <f>COUNTIF('PF320'!Y10:Y329,"TC1_31_TR1")</f>
        <v>0</v>
      </c>
      <c r="AJ81" s="50">
        <f>COUNTIF('PF320'!Y10:Y329,"TC1_32_TR1")</f>
        <v>0</v>
      </c>
      <c r="AK81" s="50">
        <f>COUNTIF('PF320'!Y10:Y329,"TC1_33_TR1")</f>
        <v>0</v>
      </c>
      <c r="AL81" s="50">
        <f>COUNTIF('PF320'!Y10:Y329,"TC1_34_TR1")</f>
        <v>0</v>
      </c>
      <c r="AM81" s="50">
        <f>COUNTIF('PF320'!Y10:Y329,"TC1_35_TR1")</f>
        <v>0</v>
      </c>
      <c r="AN81" s="50">
        <f>COUNTIF('PF320'!Y10:Y329,"TC1_36_TR1")</f>
        <v>0</v>
      </c>
      <c r="AO81" s="50">
        <f>COUNTIF('PF320'!Y10:Y329,"TC1_37_TR1")</f>
        <v>0</v>
      </c>
      <c r="AP81" s="50">
        <f>COUNTIF('PF320'!Y10:Y329,"TC1_38_TR1")</f>
        <v>0</v>
      </c>
      <c r="AQ81" s="50">
        <f>COUNTIF('PF320'!Y10:Y329,"TC1_39_TR1")</f>
        <v>0</v>
      </c>
      <c r="AR81" s="50">
        <f>COUNTIF('PF320'!Y10:Y329,"TC1_40_TR1")</f>
        <v>0</v>
      </c>
      <c r="AS81" s="50">
        <f>COUNTIF('PF320'!Y10:Y329,"TC1_41_TR1")</f>
        <v>0</v>
      </c>
      <c r="AT81" s="50">
        <f>COUNTIF('PF320'!Y10:Y329,"TC1_42_TR1")</f>
        <v>0</v>
      </c>
      <c r="AU81" s="50">
        <f>COUNTIF('PF320'!Y10:Y329,"TC1_43_TR1")</f>
        <v>0</v>
      </c>
      <c r="AV81" s="50">
        <f>COUNTIF('PF320'!Y10:Y329,"TC1_44_TR1")</f>
        <v>0</v>
      </c>
      <c r="AW81" s="50">
        <f>COUNTIF('PF320'!Y10:Y329,"TC1_45_TR1")</f>
        <v>0</v>
      </c>
      <c r="AX81" s="50">
        <f>COUNTIF('PF320'!Y10:Y329,"TC1_46_TR1")</f>
        <v>0</v>
      </c>
      <c r="AY81" s="50">
        <f>COUNTIF('PF320'!Y10:Y329,"TC1_47_TR1")</f>
        <v>0</v>
      </c>
      <c r="AZ81" s="50">
        <f>COUNTIF('PF320'!Y10:Y329,"TC1_48_TR1")</f>
        <v>0</v>
      </c>
      <c r="BA81" s="50">
        <f>COUNTIF('PF320'!Y10:Y329,"TC1_49_TR1")</f>
        <v>0</v>
      </c>
      <c r="BB81" s="50">
        <f>COUNTIF('PF320'!Y10:Y329,"TC1_50_TR1")</f>
        <v>0</v>
      </c>
      <c r="BC81" s="50">
        <f>COUNTIF('PF320'!Y10:Y329,"TC1_51_TR1")</f>
        <v>0</v>
      </c>
      <c r="BD81" s="50">
        <f>COUNTIF('PF320'!Y10:Y329,"TC1_52_TR1")</f>
        <v>0</v>
      </c>
      <c r="BE81" s="50">
        <f>COUNTIF('PF320'!Y10:Y329,"TC1_53_TR1")</f>
        <v>0</v>
      </c>
      <c r="BF81" s="50">
        <f>COUNTIF('PF320'!Y10:Y329,"TC1_54_TR1")</f>
        <v>0</v>
      </c>
      <c r="BG81" s="50">
        <f>COUNTIF('PF320'!Y10:Y329,"TC1_55_TR1")</f>
        <v>0</v>
      </c>
      <c r="BH81" s="50">
        <f>COUNTIF('PF320'!Y10:Y329,"TC1_56_TR1")</f>
        <v>0</v>
      </c>
      <c r="BI81" s="50">
        <f>COUNTIF('PF320'!Y10:Y329,"TC1_57_TR1")</f>
        <v>0</v>
      </c>
      <c r="BJ81" s="50">
        <f>COUNTIF('PF320'!Y10:Y329,"TC1_58_TR1")</f>
        <v>0</v>
      </c>
      <c r="BK81" s="50">
        <f>COUNTIF('PF320'!Y10:Y329,"TC1_59_TR1")</f>
        <v>0</v>
      </c>
      <c r="BL81" s="50">
        <f>COUNTIF('PF320'!Y10:Y329,"TC1_60_TR1")</f>
        <v>0</v>
      </c>
      <c r="BM81" s="50">
        <f>COUNTIF('PF320'!Y10:Y329,"TC1_61_TR1")</f>
        <v>0</v>
      </c>
      <c r="BN81" s="50">
        <f>COUNTIF('PF320'!Y10:Y329,"TC1_62_TR1")</f>
        <v>0</v>
      </c>
      <c r="BO81" s="50">
        <f>COUNTIF('PF320'!Y10:Y329,"TC1_63_TR1")</f>
        <v>0</v>
      </c>
      <c r="BP81" s="50">
        <f>COUNTIF('PF320'!Y10:Y329,"TC1_64_TR1")</f>
        <v>0</v>
      </c>
      <c r="BQ81" s="50">
        <f>COUNTIF('PF320'!Y10:Y329,"TC1_65_TR1")</f>
        <v>0</v>
      </c>
      <c r="BR81" s="50">
        <f>COUNTIF('PF320'!Y10:Y329,"TC1_66_TR1")</f>
        <v>0</v>
      </c>
      <c r="BS81" s="50">
        <f>COUNTIF('PF320'!Y10:Y329,"TC1_67_TR1")</f>
        <v>0</v>
      </c>
      <c r="BT81" s="50">
        <f>COUNTIF('PF320'!Y10:Y329,"TC1_68_TR1")</f>
        <v>0</v>
      </c>
      <c r="BU81" s="50">
        <f>COUNTIF('PF320'!Y10:Y329,"TC1_69_TR1")</f>
        <v>0</v>
      </c>
      <c r="BV81" s="50">
        <f>COUNTIF('PF320'!Y10:Y329,"TC1_70_TR1")</f>
        <v>0</v>
      </c>
      <c r="BW81" s="50">
        <f>COUNTIF('PF320'!Y10:Y329,"TC1_71_TR1")</f>
        <v>0</v>
      </c>
      <c r="BX81" s="50">
        <f>COUNTIF('PF320'!Y10:Y329,"TC1_72_TR1")</f>
        <v>0</v>
      </c>
      <c r="BY81" s="50">
        <f>COUNTIF('PF320'!Y10:Y329,"TC1_73_TR1")</f>
        <v>0</v>
      </c>
      <c r="BZ81" s="50">
        <f>COUNTIF('PF320'!Y10:Y329,"TC1_74_TR1")</f>
        <v>0</v>
      </c>
      <c r="CA81" s="50">
        <f>COUNTIF('PF320'!Y10:Y329,"TC1_75_TR1")</f>
        <v>0</v>
      </c>
      <c r="CB81" s="50">
        <f>COUNTIF('PF320'!Y10:Y329,"TC1_76_TR1")</f>
        <v>0</v>
      </c>
      <c r="CC81" s="50">
        <f>COUNTIF('PF320'!Y10:Y329,"TC1_77_TR1")</f>
        <v>0</v>
      </c>
      <c r="CD81" s="50">
        <f>COUNTIF('PF320'!Y10:Y329,"TC1_78_TR1")</f>
        <v>0</v>
      </c>
      <c r="CE81" s="50">
        <f>COUNTIF('PF320'!Y10:Y329,"TC1_79_TR1")</f>
        <v>0</v>
      </c>
      <c r="CF81" s="50">
        <f>COUNTIF('PF320'!Y10:Y329,"TC1_80_TR1")</f>
        <v>0</v>
      </c>
      <c r="CG81" s="50">
        <f>COUNTIF('PF320'!Y10:Y329,"TC1_81_TR1")</f>
        <v>0</v>
      </c>
      <c r="CH81" s="50">
        <f>COUNTIF('PF320'!Y10:Y329,"TC1_82_TR1")</f>
        <v>0</v>
      </c>
      <c r="CI81" s="50">
        <f>COUNTIF('PF320'!Y10:Y329,"TC1_83_TR1")</f>
        <v>0</v>
      </c>
    </row>
    <row r="82" spans="2:87" x14ac:dyDescent="0.55000000000000004">
      <c r="B82" s="67"/>
    </row>
    <row r="83" spans="2:87" x14ac:dyDescent="0.55000000000000004">
      <c r="B83" s="184" t="s">
        <v>2386</v>
      </c>
      <c r="C83" s="185"/>
      <c r="D83" s="48" t="s">
        <v>400</v>
      </c>
      <c r="E83" s="48" t="s">
        <v>401</v>
      </c>
      <c r="F83" s="48" t="s">
        <v>402</v>
      </c>
    </row>
    <row r="84" spans="2:87" x14ac:dyDescent="0.55000000000000004">
      <c r="B84" s="194" t="s">
        <v>398</v>
      </c>
      <c r="C84" s="49" t="s">
        <v>391</v>
      </c>
      <c r="D84" s="50">
        <f>COUNTIF('PF320'!Y10:Y329,"PWM0_M_0")</f>
        <v>0</v>
      </c>
      <c r="E84" s="50">
        <f>COUNTIF('PF320'!Y10:Y329,"PWM0_M_1")</f>
        <v>0</v>
      </c>
      <c r="F84" s="50">
        <f>COUNTIF('PF320'!Y10:Y329,"PWM0_M_2")</f>
        <v>0</v>
      </c>
    </row>
    <row r="85" spans="2:87" x14ac:dyDescent="0.55000000000000004">
      <c r="B85" s="183"/>
      <c r="C85" s="49" t="s">
        <v>394</v>
      </c>
      <c r="D85" s="50">
        <f>COUNTIF('PF320'!Y10:Y329,"PWM0_M_0_N")</f>
        <v>0</v>
      </c>
      <c r="E85" s="50">
        <f>COUNTIF('PF320'!Y10:Y329,"PWM0_M_1_N")</f>
        <v>0</v>
      </c>
      <c r="F85" s="50">
        <f>COUNTIF('PF320'!Y10:Y329,"PWM0_M_2_N")</f>
        <v>0</v>
      </c>
    </row>
    <row r="86" spans="2:87" x14ac:dyDescent="0.55000000000000004">
      <c r="B86" s="194" t="s">
        <v>399</v>
      </c>
      <c r="C86" s="49" t="s">
        <v>392</v>
      </c>
      <c r="D86" s="50">
        <f>COUNTIF('PF320'!Y10:Y329,"TC0_M_0_TR0")</f>
        <v>0</v>
      </c>
      <c r="E86" s="50">
        <f>COUNTIF('PF320'!Y10:Y329,"TC0_M_1_TR0")</f>
        <v>0</v>
      </c>
      <c r="F86" s="50">
        <f>COUNTIF('PF320'!Y10:Y329,"TC0_M_2_TR0")</f>
        <v>0</v>
      </c>
    </row>
    <row r="87" spans="2:87" x14ac:dyDescent="0.55000000000000004">
      <c r="B87" s="183"/>
      <c r="C87" s="49" t="s">
        <v>393</v>
      </c>
      <c r="D87" s="50">
        <f>COUNTIF('PF320'!Y10:Y329,"TC0_M_0_TR1")</f>
        <v>0</v>
      </c>
      <c r="E87" s="50">
        <f>COUNTIF('PF320'!Y10:Y329,"TC0_M_1_TR1")</f>
        <v>0</v>
      </c>
      <c r="F87" s="50">
        <f>COUNTIF('PF320'!Y10:Y329,"TC0_M_2_TR1")</f>
        <v>0</v>
      </c>
    </row>
    <row r="89" spans="2:87" x14ac:dyDescent="0.55000000000000004">
      <c r="B89" s="184" t="s">
        <v>2387</v>
      </c>
      <c r="C89" s="185"/>
      <c r="D89" s="48" t="s">
        <v>400</v>
      </c>
      <c r="E89" s="48" t="s">
        <v>401</v>
      </c>
      <c r="F89" s="48" t="s">
        <v>402</v>
      </c>
      <c r="G89" s="48" t="s">
        <v>403</v>
      </c>
      <c r="H89" s="48" t="s">
        <v>404</v>
      </c>
      <c r="I89" s="48" t="s">
        <v>405</v>
      </c>
      <c r="J89" s="48" t="s">
        <v>406</v>
      </c>
      <c r="K89" s="48" t="s">
        <v>407</v>
      </c>
      <c r="L89" s="48" t="s">
        <v>408</v>
      </c>
      <c r="M89" s="48" t="s">
        <v>409</v>
      </c>
      <c r="N89" s="48" t="s">
        <v>410</v>
      </c>
      <c r="O89" s="48" t="s">
        <v>411</v>
      </c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</row>
    <row r="90" spans="2:87" x14ac:dyDescent="0.55000000000000004">
      <c r="B90" s="194" t="s">
        <v>398</v>
      </c>
      <c r="C90" s="49" t="s">
        <v>391</v>
      </c>
      <c r="D90" s="50">
        <f>COUNTIF('PF320'!Y10:Y329,"PWM1_M_0")</f>
        <v>0</v>
      </c>
      <c r="E90" s="50">
        <f>COUNTIF('PF320'!Y10:Y329,"PWM1_M_1")</f>
        <v>0</v>
      </c>
      <c r="F90" s="50">
        <f>COUNTIF('PF320'!Y10:Y329,"PWM1_M_2")</f>
        <v>0</v>
      </c>
      <c r="G90" s="50">
        <f>COUNTIF('PF320'!Y10:Y329,"PWM1_M_3")</f>
        <v>0</v>
      </c>
      <c r="H90" s="50">
        <f>COUNTIF('PF320'!Y10:Y329,"PWM1_M_4")</f>
        <v>0</v>
      </c>
      <c r="I90" s="50">
        <f>COUNTIF('PF320'!Y10:Y329,"PWM1_M_5")</f>
        <v>0</v>
      </c>
      <c r="J90" s="50">
        <f>COUNTIF('PF320'!Y10:Y329,"PWM1_M_6")</f>
        <v>0</v>
      </c>
      <c r="K90" s="50">
        <f>COUNTIF('PF320'!Y10:Y329,"PWM1_M_7")</f>
        <v>0</v>
      </c>
      <c r="L90" s="50">
        <f>COUNTIF('PF320'!Y10:Y329,"PWM1_M_8")</f>
        <v>0</v>
      </c>
      <c r="M90" s="50">
        <f>COUNTIF('PF320'!Y10:Y329,"PWM1_M_9")</f>
        <v>0</v>
      </c>
      <c r="N90" s="50">
        <f>COUNTIF('PF320'!Y10:Y329,"PWM1_M_10")</f>
        <v>0</v>
      </c>
      <c r="O90" s="50">
        <f>COUNTIF('PF320'!Y10:Y329,"PWM1_M_11")</f>
        <v>0</v>
      </c>
      <c r="P90" s="68"/>
    </row>
    <row r="91" spans="2:87" x14ac:dyDescent="0.55000000000000004">
      <c r="B91" s="183"/>
      <c r="C91" s="49" t="s">
        <v>394</v>
      </c>
      <c r="D91" s="50">
        <f>COUNTIF('PF320'!Y10:Y329,"PWM1_M_0_N")</f>
        <v>0</v>
      </c>
      <c r="E91" s="50">
        <f>COUNTIF('PF320'!Y10:Y329,"PWM1_M_1_N")</f>
        <v>0</v>
      </c>
      <c r="F91" s="50">
        <f>COUNTIF('PF320'!Y10:Y329,"PWM1_M_2_N")</f>
        <v>0</v>
      </c>
      <c r="G91" s="50">
        <f>COUNTIF('PF320'!Y10:Y329,"PWM1_M_3_N")</f>
        <v>0</v>
      </c>
      <c r="H91" s="50">
        <f>COUNTIF('PF320'!Y10:Y329,"PWM1_M_4_N")</f>
        <v>0</v>
      </c>
      <c r="I91" s="50">
        <f>COUNTIF('PF320'!Y10:Y329,"PWM1_M_5_N")</f>
        <v>0</v>
      </c>
      <c r="J91" s="50">
        <f>COUNTIF('PF320'!Y10:Y329,"PWM1_M_6_N")</f>
        <v>0</v>
      </c>
      <c r="K91" s="50">
        <f>COUNTIF('PF320'!Y10:Y329,"PWM1_M_7_N")</f>
        <v>0</v>
      </c>
      <c r="L91" s="50">
        <f>COUNTIF('PF320'!Y10:Y329,"PWM1_M_8_N")</f>
        <v>0</v>
      </c>
      <c r="M91" s="50">
        <f>COUNTIF('PF320'!Y10:Y329,"PWM1_M_9_N")</f>
        <v>0</v>
      </c>
      <c r="N91" s="50">
        <f>COUNTIF('PF320'!Y10:Y329,"PWM1_M_10_N")</f>
        <v>0</v>
      </c>
      <c r="O91" s="50">
        <f>COUNTIF('PF320'!Y10:Y329,"PWM1_M_11_N")</f>
        <v>0</v>
      </c>
      <c r="P91" s="68"/>
    </row>
    <row r="92" spans="2:87" x14ac:dyDescent="0.55000000000000004">
      <c r="B92" s="194" t="s">
        <v>399</v>
      </c>
      <c r="C92" s="49" t="s">
        <v>392</v>
      </c>
      <c r="D92" s="50">
        <f>COUNTIF('PF320'!Y10:Y329,"TC1_M_0_TR0")</f>
        <v>0</v>
      </c>
      <c r="E92" s="50">
        <f>COUNTIF('PF320'!Y10:Y329,"TC1_M_1_TR0")</f>
        <v>0</v>
      </c>
      <c r="F92" s="50">
        <f>COUNTIF('PF320'!Y10:Y329,"TC1_M_2_TR0")</f>
        <v>0</v>
      </c>
      <c r="G92" s="50">
        <f>COUNTIF('PF320'!Y10:Y329,"TC1_M_3_TR0")</f>
        <v>0</v>
      </c>
      <c r="H92" s="50">
        <f>COUNTIF('PF320'!Y10:Y329,"TC1_M_4_TR0")</f>
        <v>0</v>
      </c>
      <c r="I92" s="50">
        <f>COUNTIF('PF320'!Y10:Y329,"TC1_M_5_TR0")</f>
        <v>0</v>
      </c>
      <c r="J92" s="50">
        <f>COUNTIF('PF320'!Y10:Y329,"TC1_M_6_TR0")</f>
        <v>0</v>
      </c>
      <c r="K92" s="50">
        <f>COUNTIF('PF320'!Y10:Y329,"TC1_M_7_TR0")</f>
        <v>0</v>
      </c>
      <c r="L92" s="50">
        <f>COUNTIF('PF320'!Y10:Y329,"TC1_M_8_TR0")</f>
        <v>0</v>
      </c>
      <c r="M92" s="50">
        <f>COUNTIF('PF320'!Y10:Y329,"TC1_M_9_TR0")</f>
        <v>0</v>
      </c>
      <c r="N92" s="50">
        <f>COUNTIF('PF320'!Y10:Y329,"TC1_M_10_TR0")</f>
        <v>0</v>
      </c>
      <c r="O92" s="50">
        <f>COUNTIF('PF320'!Y10:Y329,"TC1_M_11_TR0")</f>
        <v>0</v>
      </c>
      <c r="P92" s="68"/>
    </row>
    <row r="93" spans="2:87" x14ac:dyDescent="0.55000000000000004">
      <c r="B93" s="183"/>
      <c r="C93" s="49" t="s">
        <v>393</v>
      </c>
      <c r="D93" s="50">
        <f>COUNTIF('PF320'!Y10:Y329,"TC1_M_0_TR1")</f>
        <v>0</v>
      </c>
      <c r="E93" s="50">
        <f>COUNTIF('PF320'!Y10:Y329,"TC1_M_1_TR1")</f>
        <v>0</v>
      </c>
      <c r="F93" s="50">
        <f>COUNTIF('PF320'!Y10:Y329,"TC1_M_2_TR1")</f>
        <v>0</v>
      </c>
      <c r="G93" s="50">
        <f>COUNTIF('PF320'!Y10:Y329,"TC1_M_3_TR1")</f>
        <v>0</v>
      </c>
      <c r="H93" s="50">
        <f>COUNTIF('PF320'!Y10:Y329,"TC1_M_4_TR1")</f>
        <v>0</v>
      </c>
      <c r="I93" s="50">
        <f>COUNTIF('PF320'!Y10:Y329,"TC1_M_5_TR1")</f>
        <v>0</v>
      </c>
      <c r="J93" s="50">
        <f>COUNTIF('PF320'!Y10:Y329,"TC1_M_6_TR1")</f>
        <v>0</v>
      </c>
      <c r="K93" s="50">
        <f>COUNTIF('PF320'!Y10:Y329,"TC1_M_7_TR1")</f>
        <v>0</v>
      </c>
      <c r="L93" s="50">
        <f>COUNTIF('PF320'!Y10:Y329,"TC1_M_8_TR1")</f>
        <v>0</v>
      </c>
      <c r="M93" s="50">
        <f>COUNTIF('PF320'!Y10:Y329,"TC1_M_9_TR1")</f>
        <v>0</v>
      </c>
      <c r="N93" s="50">
        <f>COUNTIF('PF320'!Y10:Y329,"TC1_M_10_TR1")</f>
        <v>0</v>
      </c>
      <c r="O93" s="50">
        <f>COUNTIF('PF320'!Y10:Y329,"TC1_M_11_TR1")</f>
        <v>0</v>
      </c>
      <c r="P93" s="68"/>
    </row>
    <row r="94" spans="2:87" x14ac:dyDescent="0.55000000000000004">
      <c r="B94" s="67"/>
    </row>
    <row r="95" spans="2:87" x14ac:dyDescent="0.55000000000000004">
      <c r="B95" s="184" t="s">
        <v>2391</v>
      </c>
      <c r="C95" s="185"/>
      <c r="D95" s="48" t="s">
        <v>400</v>
      </c>
      <c r="E95" s="48" t="s">
        <v>401</v>
      </c>
      <c r="F95" s="48" t="s">
        <v>402</v>
      </c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</row>
    <row r="96" spans="2:87" x14ac:dyDescent="0.55000000000000004">
      <c r="B96" s="194" t="s">
        <v>398</v>
      </c>
      <c r="C96" s="49" t="s">
        <v>391</v>
      </c>
      <c r="D96" s="50">
        <f>COUNTIF('PF320'!Y10:Y329,"PWM0_H_0")</f>
        <v>0</v>
      </c>
      <c r="E96" s="50">
        <f>COUNTIF('PF320'!Y10:Y329,"PWM0_H_1")</f>
        <v>0</v>
      </c>
      <c r="F96" s="50">
        <f>COUNTIF('PF320'!Y10:Y329,"PWM0_H_2")</f>
        <v>0</v>
      </c>
    </row>
    <row r="97" spans="2:58" x14ac:dyDescent="0.55000000000000004">
      <c r="B97" s="183"/>
      <c r="C97" s="49" t="s">
        <v>394</v>
      </c>
      <c r="D97" s="50">
        <f>COUNTIF('PF320'!Y10:Y329,"PWM0_H_0_N")</f>
        <v>0</v>
      </c>
      <c r="E97" s="50">
        <f>COUNTIF('PF320'!Y10:Y329,"PWM0_H_1_N")</f>
        <v>0</v>
      </c>
      <c r="F97" s="50">
        <f>COUNTIF('PF320'!Y10:Y329,"PWM0_H_2_N")</f>
        <v>0</v>
      </c>
    </row>
    <row r="98" spans="2:58" x14ac:dyDescent="0.55000000000000004">
      <c r="B98" s="194" t="s">
        <v>399</v>
      </c>
      <c r="C98" s="49" t="s">
        <v>392</v>
      </c>
      <c r="D98" s="50">
        <f>COUNTIF('PF320'!Y10:Y329,"TC0_H_0_TR0")</f>
        <v>0</v>
      </c>
      <c r="E98" s="50">
        <f>COUNTIF('PF320'!Y10:Y329,"TC0_H_1_TR0")</f>
        <v>0</v>
      </c>
      <c r="F98" s="50">
        <f>COUNTIF('PF320'!Y10:Y329,"TC0_H_2_TR0")</f>
        <v>0</v>
      </c>
    </row>
    <row r="99" spans="2:58" x14ac:dyDescent="0.55000000000000004">
      <c r="B99" s="183"/>
      <c r="C99" s="49" t="s">
        <v>393</v>
      </c>
      <c r="D99" s="50">
        <f>COUNTIF('PF320'!Y10:Y329,"TC0_H_0_TR1")</f>
        <v>0</v>
      </c>
      <c r="E99" s="50">
        <f>COUNTIF('PF320'!Y10:Y329,"TC0_H_1_TR1")</f>
        <v>0</v>
      </c>
      <c r="F99" s="50">
        <f>COUNTIF('PF320'!Y10:Y329,"TC0_H_2_TR1")</f>
        <v>0</v>
      </c>
      <c r="G99" s="68"/>
    </row>
    <row r="100" spans="2:58" x14ac:dyDescent="0.55000000000000004">
      <c r="B100" s="67"/>
    </row>
    <row r="101" spans="2:58" x14ac:dyDescent="0.55000000000000004">
      <c r="B101" s="184" t="s">
        <v>2390</v>
      </c>
      <c r="C101" s="185"/>
      <c r="D101" s="48" t="s">
        <v>400</v>
      </c>
      <c r="E101" s="48" t="s">
        <v>401</v>
      </c>
      <c r="F101" s="48" t="s">
        <v>402</v>
      </c>
      <c r="G101" s="48" t="s">
        <v>403</v>
      </c>
      <c r="H101" s="48" t="s">
        <v>404</v>
      </c>
      <c r="I101" s="48" t="s">
        <v>405</v>
      </c>
      <c r="J101" s="48" t="s">
        <v>406</v>
      </c>
      <c r="K101" s="48" t="s">
        <v>407</v>
      </c>
      <c r="L101" s="48" t="s">
        <v>408</v>
      </c>
      <c r="M101" s="48" t="s">
        <v>409</v>
      </c>
      <c r="N101" s="48" t="s">
        <v>410</v>
      </c>
      <c r="O101" s="48" t="s">
        <v>411</v>
      </c>
      <c r="P101" s="48" t="s">
        <v>412</v>
      </c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</row>
    <row r="102" spans="2:58" x14ac:dyDescent="0.55000000000000004">
      <c r="B102" s="194" t="s">
        <v>398</v>
      </c>
      <c r="C102" s="49" t="s">
        <v>391</v>
      </c>
      <c r="D102" s="50">
        <f>COUNTIF('PF320'!Y10:Y329,"PWM1_H_0")</f>
        <v>0</v>
      </c>
      <c r="E102" s="50">
        <f>COUNTIF('PF320'!Y10:Y329,"PWM1_H_1")</f>
        <v>0</v>
      </c>
      <c r="F102" s="50">
        <f>COUNTIF('PF320'!Y10:Y329,"PWM1_H_2")</f>
        <v>0</v>
      </c>
      <c r="G102" s="50">
        <f>COUNTIF('PF320'!Y10:Y329,"PWM1_H_3")</f>
        <v>0</v>
      </c>
      <c r="H102" s="50">
        <f>COUNTIF('PF320'!Y10:Y329,"PWM1_H_4")</f>
        <v>0</v>
      </c>
      <c r="I102" s="50">
        <f>COUNTIF('PF320'!Y10:Y329,"PWM1_H_5")</f>
        <v>0</v>
      </c>
      <c r="J102" s="50">
        <f>COUNTIF('PF320'!Y10:Y329,"PWM1_H_6")</f>
        <v>0</v>
      </c>
      <c r="K102" s="50">
        <f>COUNTIF('PF320'!Y10:Y329,"PWM1_H_7")</f>
        <v>0</v>
      </c>
      <c r="L102" s="50">
        <f>COUNTIF('PF320'!Y10:Y329,"PWM1_H_8")</f>
        <v>0</v>
      </c>
      <c r="M102" s="50">
        <f>COUNTIF('PF320'!Y10:Y329,"PWM1_H_9")</f>
        <v>0</v>
      </c>
      <c r="N102" s="50">
        <f>COUNTIF('PF320'!Y10:Y329,"PWM1_H_10")</f>
        <v>0</v>
      </c>
      <c r="O102" s="50">
        <f>COUNTIF('PF320'!Y10:Y329,"PWM1_H_11")</f>
        <v>0</v>
      </c>
      <c r="P102" s="50">
        <f>COUNTIF('PF320'!Y10:Y329,"PWM1_H_12")</f>
        <v>0</v>
      </c>
    </row>
    <row r="103" spans="2:58" x14ac:dyDescent="0.55000000000000004">
      <c r="B103" s="183"/>
      <c r="C103" s="49" t="s">
        <v>394</v>
      </c>
      <c r="D103" s="50">
        <f>COUNTIF('PF320'!Y10:Y329,"PWM1_H_0_N")</f>
        <v>0</v>
      </c>
      <c r="E103" s="50">
        <f>COUNTIF('PF320'!Y10:Y329,"PWM1_H_1_N")</f>
        <v>0</v>
      </c>
      <c r="F103" s="50">
        <f>COUNTIF('PF320'!Y10:Y329,"PWM1_H_2_N")</f>
        <v>0</v>
      </c>
      <c r="G103" s="50">
        <f>COUNTIF('PF320'!Y10:Y329,"PWM1_H_3_N")</f>
        <v>0</v>
      </c>
      <c r="H103" s="50">
        <f>COUNTIF('PF320'!Y10:Y329,"PWM1_H_4_N")</f>
        <v>0</v>
      </c>
      <c r="I103" s="50">
        <f>COUNTIF('PF320'!Y10:Y329,"PWM1_H_5_N")</f>
        <v>0</v>
      </c>
      <c r="J103" s="50">
        <f>COUNTIF('PF320'!Y10:Y329,"PWM1_H_6_N")</f>
        <v>0</v>
      </c>
      <c r="K103" s="50">
        <f>COUNTIF('PF320'!Y10:Y329,"PWM1_H_7_N")</f>
        <v>0</v>
      </c>
      <c r="L103" s="50">
        <f>COUNTIF('PF320'!Y10:Y329,"PWM1_H_8_N")</f>
        <v>0</v>
      </c>
      <c r="M103" s="50">
        <f>COUNTIF('PF320'!Y10:Y329,"PWM1_H_9_N")</f>
        <v>0</v>
      </c>
      <c r="N103" s="50">
        <f>COUNTIF('PF320'!Y10:Y329,"PWM1_H_10_N")</f>
        <v>0</v>
      </c>
      <c r="O103" s="50">
        <f>COUNTIF('PF320'!Y10:Y329,"PWM1_H_11_N")</f>
        <v>0</v>
      </c>
      <c r="P103" s="50">
        <f>COUNTIF('PF320'!Y10:Y329,"PWM1_H_12_N")</f>
        <v>0</v>
      </c>
    </row>
    <row r="104" spans="2:58" x14ac:dyDescent="0.55000000000000004">
      <c r="B104" s="194" t="s">
        <v>399</v>
      </c>
      <c r="C104" s="49" t="s">
        <v>392</v>
      </c>
      <c r="D104" s="50">
        <f>COUNTIF('PF320'!Y10:Y329,"TC1_H_0_TR0")</f>
        <v>0</v>
      </c>
      <c r="E104" s="50">
        <f>COUNTIF('PF320'!Y10:Y329,"TC1_H_1_TR0")</f>
        <v>0</v>
      </c>
      <c r="F104" s="50">
        <f>COUNTIF('PF320'!Y10:Y329,"TC1_H_2_TR0")</f>
        <v>0</v>
      </c>
      <c r="G104" s="50">
        <f>COUNTIF('PF320'!Y10:Y329,"TC1_H_3_TR0")</f>
        <v>0</v>
      </c>
      <c r="H104" s="50">
        <f>COUNTIF('PF320'!Y10:Y329,"TC1_H_4_TR0")</f>
        <v>0</v>
      </c>
      <c r="I104" s="50">
        <f>COUNTIF('PF320'!Y10:Y329,"TC1_H_5_TR0")</f>
        <v>0</v>
      </c>
      <c r="J104" s="50">
        <f>COUNTIF('PF320'!Y10:Y329,"TC1_H_6_TR0")</f>
        <v>0</v>
      </c>
      <c r="K104" s="50">
        <f>COUNTIF('PF320'!Y10:Y329,"TC1_H_7_TR0")</f>
        <v>0</v>
      </c>
      <c r="L104" s="50">
        <f>COUNTIF('PF320'!Y10:Y329,"TC1_H_8_TR0")</f>
        <v>0</v>
      </c>
      <c r="M104" s="50">
        <f>COUNTIF('PF320'!Y10:Y329,"TC1_H_9_TR0")</f>
        <v>0</v>
      </c>
      <c r="N104" s="50">
        <f>COUNTIF('PF320'!Y10:Y329,"TC1_H_10_TR0")</f>
        <v>0</v>
      </c>
      <c r="O104" s="50">
        <f>COUNTIF('PF320'!Y10:Y329,"TC1_H_11_TR0")</f>
        <v>0</v>
      </c>
      <c r="P104" s="50">
        <f>COUNTIF('PF320'!Y10:Y329,"TC1_H_12_TR0")</f>
        <v>0</v>
      </c>
    </row>
    <row r="105" spans="2:58" x14ac:dyDescent="0.55000000000000004">
      <c r="B105" s="183"/>
      <c r="C105" s="49" t="s">
        <v>393</v>
      </c>
      <c r="D105" s="50">
        <f>COUNTIF('PF320'!Y10:Y329,"TC1_H_0_TR1")</f>
        <v>0</v>
      </c>
      <c r="E105" s="50">
        <f>COUNTIF('PF320'!Y10:Y329,"TC1_H_1_TR1")</f>
        <v>0</v>
      </c>
      <c r="F105" s="50">
        <f>COUNTIF('PF320'!Y10:Y329,"TC1_H_2_TR1")</f>
        <v>0</v>
      </c>
      <c r="G105" s="50">
        <f>COUNTIF('PF320'!Y10:Y329,"TC1_H_3_TR1")</f>
        <v>0</v>
      </c>
      <c r="H105" s="50">
        <f>COUNTIF('PF320'!Y10:Y329,"TC1_H_4_TR1")</f>
        <v>0</v>
      </c>
      <c r="I105" s="50">
        <f>COUNTIF('PF320'!Y10:Y329,"TC1_H_5_TR1")</f>
        <v>0</v>
      </c>
      <c r="J105" s="50">
        <f>COUNTIF('PF320'!Y10:Y329,"TC1_H_6_TR1")</f>
        <v>0</v>
      </c>
      <c r="K105" s="50">
        <f>COUNTIF('PF320'!Y10:Y329,"TC1_H_7_TR1")</f>
        <v>0</v>
      </c>
      <c r="L105" s="50">
        <f>COUNTIF('PF320'!Y10:Y329,"TC1_H_8_TR1")</f>
        <v>0</v>
      </c>
      <c r="M105" s="50">
        <f>COUNTIF('PF320'!Y10:Y329,"TC1_H_9_TR1")</f>
        <v>0</v>
      </c>
      <c r="N105" s="50">
        <f>COUNTIF('PF320'!Y10:Y329,"TC1_H_10_TR1")</f>
        <v>0</v>
      </c>
      <c r="O105" s="50">
        <f>COUNTIF('PF320'!Y10:Y329,"TC1_H_11_TR1")</f>
        <v>0</v>
      </c>
      <c r="P105" s="50">
        <f>COUNTIF('PF320'!Y10:Y329,"TC1_H_12_TR1")</f>
        <v>0</v>
      </c>
    </row>
    <row r="106" spans="2:58" x14ac:dyDescent="0.55000000000000004">
      <c r="B106" s="67"/>
      <c r="C106" s="52"/>
    </row>
    <row r="107" spans="2:58" ht="10" customHeight="1" x14ac:dyDescent="0.55000000000000004"/>
    <row r="108" spans="2:58" x14ac:dyDescent="0.55000000000000004">
      <c r="B108" s="184" t="s">
        <v>387</v>
      </c>
      <c r="C108" s="185"/>
      <c r="D108" s="48" t="s">
        <v>388</v>
      </c>
      <c r="E108" s="48" t="s">
        <v>389</v>
      </c>
      <c r="F108" s="48" t="s">
        <v>390</v>
      </c>
    </row>
    <row r="109" spans="2:58" x14ac:dyDescent="0.55000000000000004">
      <c r="B109" s="191" t="s">
        <v>380</v>
      </c>
      <c r="C109" s="49" t="s">
        <v>463</v>
      </c>
      <c r="D109" s="50">
        <f>COUNTIF('PF320'!Y10:Y329,"ADC[0]_0")</f>
        <v>0</v>
      </c>
      <c r="E109" s="50">
        <f>COUNTIF('PF320'!Y10:Y329,"ADC[1]_0")</f>
        <v>0</v>
      </c>
      <c r="F109" s="50">
        <f>COUNTIF('PF320'!Y10:Y329,"ADC[2]_0")</f>
        <v>0</v>
      </c>
    </row>
    <row r="110" spans="2:58" x14ac:dyDescent="0.55000000000000004">
      <c r="B110" s="192"/>
      <c r="C110" s="49" t="s">
        <v>464</v>
      </c>
      <c r="D110" s="50">
        <f>COUNTIF('PF320'!Y10:Y329,"ADC[0]_1")</f>
        <v>0</v>
      </c>
      <c r="E110" s="50">
        <f>COUNTIF('PF320'!Y10:Y329,"ADC[1]_1")</f>
        <v>0</v>
      </c>
      <c r="F110" s="50">
        <f>COUNTIF('PF320'!Y10:Y329,"ADC[2]_1")</f>
        <v>0</v>
      </c>
    </row>
    <row r="111" spans="2:58" x14ac:dyDescent="0.55000000000000004">
      <c r="B111" s="192"/>
      <c r="C111" s="49" t="s">
        <v>465</v>
      </c>
      <c r="D111" s="50">
        <f>COUNTIF('PF320'!Y10:Y329,"ADC[0]_2")</f>
        <v>0</v>
      </c>
      <c r="E111" s="50">
        <f>COUNTIF('PF320'!Y10:Y329,"ADC[1]_2")</f>
        <v>0</v>
      </c>
      <c r="F111" s="50">
        <f>COUNTIF('PF320'!Y10:Y329,"ADC[2]_2")</f>
        <v>0</v>
      </c>
    </row>
    <row r="112" spans="2:58" x14ac:dyDescent="0.55000000000000004">
      <c r="B112" s="192"/>
      <c r="C112" s="49" t="s">
        <v>466</v>
      </c>
      <c r="D112" s="50">
        <f>COUNTIF('PF320'!Y10:Y329,"ADC[0]_3")</f>
        <v>0</v>
      </c>
      <c r="E112" s="50">
        <f>COUNTIF('PF320'!Y10:Y329,"ADC[1]_3")</f>
        <v>0</v>
      </c>
      <c r="F112" s="50">
        <f>COUNTIF('PF320'!Y10:Y329,"ADC[2]_3")</f>
        <v>0</v>
      </c>
    </row>
    <row r="113" spans="2:6" x14ac:dyDescent="0.55000000000000004">
      <c r="B113" s="192"/>
      <c r="C113" s="49" t="s">
        <v>467</v>
      </c>
      <c r="D113" s="50">
        <f>COUNTIF('PF320'!Y10:Y329,"ADC[0]_4")</f>
        <v>0</v>
      </c>
      <c r="E113" s="50">
        <f>COUNTIF('PF320'!Y10:Y329,"ADC[1]_4")</f>
        <v>0</v>
      </c>
      <c r="F113" s="50">
        <f>COUNTIF('PF320'!Y10:Y329,"ADC[2]_4")</f>
        <v>0</v>
      </c>
    </row>
    <row r="114" spans="2:6" x14ac:dyDescent="0.55000000000000004">
      <c r="B114" s="192"/>
      <c r="C114" s="49" t="s">
        <v>468</v>
      </c>
      <c r="D114" s="50">
        <f>COUNTIF('PF320'!Y10:Y329,"ADC[0]_5")</f>
        <v>0</v>
      </c>
      <c r="E114" s="50">
        <f>COUNTIF('PF320'!Y10:Y329,"ADC[1]_5")</f>
        <v>0</v>
      </c>
      <c r="F114" s="50">
        <f>COUNTIF('PF320'!Y10:Y329,"ADC[2]_5")</f>
        <v>0</v>
      </c>
    </row>
    <row r="115" spans="2:6" x14ac:dyDescent="0.55000000000000004">
      <c r="B115" s="192"/>
      <c r="C115" s="49" t="s">
        <v>469</v>
      </c>
      <c r="D115" s="50">
        <f>COUNTIF('PF320'!Y10:Y329,"ADC[0]_6")</f>
        <v>0</v>
      </c>
      <c r="E115" s="50">
        <f>COUNTIF('PF320'!Y10:Y329,"ADC[1]_6")</f>
        <v>0</v>
      </c>
      <c r="F115" s="50">
        <f>COUNTIF('PF320'!Y10:Y329,"ADC[2]_6")</f>
        <v>0</v>
      </c>
    </row>
    <row r="116" spans="2:6" x14ac:dyDescent="0.55000000000000004">
      <c r="B116" s="192"/>
      <c r="C116" s="49" t="s">
        <v>470</v>
      </c>
      <c r="D116" s="50">
        <f>COUNTIF('PF320'!Y10:Y329,"ADC[0]_7")</f>
        <v>0</v>
      </c>
      <c r="E116" s="50">
        <f>COUNTIF('PF320'!Y10:Y329,"ADC[1]_7")</f>
        <v>0</v>
      </c>
      <c r="F116" s="50">
        <f>COUNTIF('PF320'!Y10:Y329,"ADC[2]_7")</f>
        <v>0</v>
      </c>
    </row>
    <row r="117" spans="2:6" x14ac:dyDescent="0.55000000000000004">
      <c r="B117" s="192"/>
      <c r="C117" s="49" t="s">
        <v>471</v>
      </c>
      <c r="D117" s="50">
        <f>COUNTIF('PF320'!Y10:Y329,"ADC[0]_8")</f>
        <v>0</v>
      </c>
      <c r="E117" s="50">
        <f>COUNTIF('PF320'!Y10:Y329,"ADC[1]_8")</f>
        <v>0</v>
      </c>
      <c r="F117" s="50">
        <f>COUNTIF('PF320'!Y10:Y329,"ADC[2]_8")</f>
        <v>0</v>
      </c>
    </row>
    <row r="118" spans="2:6" x14ac:dyDescent="0.55000000000000004">
      <c r="B118" s="192"/>
      <c r="C118" s="49" t="s">
        <v>472</v>
      </c>
      <c r="D118" s="50">
        <f>COUNTIF('PF320'!Y10:Y329,"ADC[0]_9")</f>
        <v>0</v>
      </c>
      <c r="E118" s="50">
        <f>COUNTIF('PF320'!Y10:Y329,"ADC[1]_9")</f>
        <v>0</v>
      </c>
      <c r="F118" s="50">
        <f>COUNTIF('PF320'!Y10:Y329,"ADC[2]_9")</f>
        <v>0</v>
      </c>
    </row>
    <row r="119" spans="2:6" x14ac:dyDescent="0.55000000000000004">
      <c r="B119" s="192"/>
      <c r="C119" s="49" t="s">
        <v>473</v>
      </c>
      <c r="D119" s="50">
        <f>COUNTIF('PF320'!Y10:Y329,"ADC[0]_10")</f>
        <v>0</v>
      </c>
      <c r="E119" s="50">
        <f>COUNTIF('PF320'!Y10:Y329,"ADC[1]_10")</f>
        <v>0</v>
      </c>
      <c r="F119" s="50">
        <f>COUNTIF('PF320'!Y10:Y329,"ADC[2]_10")</f>
        <v>0</v>
      </c>
    </row>
    <row r="120" spans="2:6" x14ac:dyDescent="0.55000000000000004">
      <c r="B120" s="192"/>
      <c r="C120" s="49" t="s">
        <v>474</v>
      </c>
      <c r="D120" s="50">
        <f>COUNTIF('PF320'!Y10:Y329,"ADC[0]_11")</f>
        <v>0</v>
      </c>
      <c r="E120" s="50">
        <f>COUNTIF('PF320'!Y10:Y329,"ADC[1]_11")</f>
        <v>0</v>
      </c>
      <c r="F120" s="50">
        <f>COUNTIF('PF320'!Y10:Y329,"ADC[2]_11")</f>
        <v>0</v>
      </c>
    </row>
    <row r="121" spans="2:6" x14ac:dyDescent="0.55000000000000004">
      <c r="B121" s="192"/>
      <c r="C121" s="49" t="s">
        <v>475</v>
      </c>
      <c r="D121" s="50">
        <f>COUNTIF('PF320'!Y10:Y329,"ADC[0]_12")</f>
        <v>0</v>
      </c>
      <c r="E121" s="50">
        <f>COUNTIF('PF320'!Y10:Y329,"ADC[1]_12")</f>
        <v>0</v>
      </c>
      <c r="F121" s="50">
        <f>COUNTIF('PF320'!Y10:Y329,"ADC[2]_12")</f>
        <v>0</v>
      </c>
    </row>
    <row r="122" spans="2:6" x14ac:dyDescent="0.55000000000000004">
      <c r="B122" s="192"/>
      <c r="C122" s="49" t="s">
        <v>476</v>
      </c>
      <c r="D122" s="50">
        <f>COUNTIF('PF320'!Y10:Y329,"ADC[0]_13")</f>
        <v>0</v>
      </c>
      <c r="E122" s="50">
        <f>COUNTIF('PF320'!Y10:Y329,"ADC[1]_13")</f>
        <v>0</v>
      </c>
      <c r="F122" s="50">
        <f>COUNTIF('PF320'!Y10:Y329,"ADC[2]_13")</f>
        <v>0</v>
      </c>
    </row>
    <row r="123" spans="2:6" x14ac:dyDescent="0.55000000000000004">
      <c r="B123" s="192"/>
      <c r="C123" s="49" t="s">
        <v>477</v>
      </c>
      <c r="D123" s="50">
        <f>COUNTIF('PF320'!Y10:Y329,"ADC[0]_14")</f>
        <v>0</v>
      </c>
      <c r="E123" s="50">
        <f>COUNTIF('PF320'!Y10:Y329,"ADC[1]_14")</f>
        <v>0</v>
      </c>
      <c r="F123" s="50">
        <f>COUNTIF('PF320'!Y10:Y329,"ADC[2]_14")</f>
        <v>0</v>
      </c>
    </row>
    <row r="124" spans="2:6" x14ac:dyDescent="0.55000000000000004">
      <c r="B124" s="192"/>
      <c r="C124" s="49" t="s">
        <v>478</v>
      </c>
      <c r="D124" s="50">
        <f>COUNTIF('PF320'!Y10:Y329,"ADC[0]_15")</f>
        <v>0</v>
      </c>
      <c r="E124" s="50">
        <f>COUNTIF('PF320'!Y10:Y329,"ADC[1]_15")</f>
        <v>0</v>
      </c>
      <c r="F124" s="50">
        <f>COUNTIF('PF320'!Y10:Y329,"ADC[2]_15")</f>
        <v>0</v>
      </c>
    </row>
    <row r="125" spans="2:6" x14ac:dyDescent="0.55000000000000004">
      <c r="B125" s="192"/>
      <c r="C125" s="49" t="s">
        <v>479</v>
      </c>
      <c r="D125" s="50">
        <f>COUNTIF('PF320'!Y10:Y329,"ADC[0]_16")</f>
        <v>0</v>
      </c>
      <c r="E125" s="50">
        <f>COUNTIF('PF320'!Y10:Y329,"ADC[1]_16")</f>
        <v>0</v>
      </c>
      <c r="F125" s="50">
        <f>COUNTIF('PF320'!Y10:Y329,"ADC[2]_16")</f>
        <v>0</v>
      </c>
    </row>
    <row r="126" spans="2:6" x14ac:dyDescent="0.55000000000000004">
      <c r="B126" s="192"/>
      <c r="C126" s="49" t="s">
        <v>480</v>
      </c>
      <c r="D126" s="50">
        <f>COUNTIF('PF320'!Y10:Y329,"ADC[0]_17")</f>
        <v>0</v>
      </c>
      <c r="E126" s="50">
        <f>COUNTIF('PF320'!Y10:Y329,"ADC[1]_17")</f>
        <v>0</v>
      </c>
      <c r="F126" s="50">
        <f>COUNTIF('PF320'!Y10:Y329,"ADC[2]_17")</f>
        <v>0</v>
      </c>
    </row>
    <row r="127" spans="2:6" x14ac:dyDescent="0.55000000000000004">
      <c r="B127" s="192"/>
      <c r="C127" s="49" t="s">
        <v>481</v>
      </c>
      <c r="D127" s="50">
        <f>COUNTIF('PF320'!Y10:Y329,"ADC[0]_18")</f>
        <v>0</v>
      </c>
      <c r="E127" s="50">
        <f>COUNTIF('PF320'!Y10:Y329,"ADC[1]_18")</f>
        <v>0</v>
      </c>
      <c r="F127" s="50">
        <f>COUNTIF('PF320'!Y10:Y329,"ADC[2]_18")</f>
        <v>0</v>
      </c>
    </row>
    <row r="128" spans="2:6" x14ac:dyDescent="0.55000000000000004">
      <c r="B128" s="192"/>
      <c r="C128" s="49" t="s">
        <v>482</v>
      </c>
      <c r="D128" s="50">
        <f>COUNTIF('PF320'!Y10:Y329,"ADC[0]_19")</f>
        <v>0</v>
      </c>
      <c r="E128" s="50">
        <f>COUNTIF('PF320'!Y10:Y329,"ADC[1]_19")</f>
        <v>0</v>
      </c>
      <c r="F128" s="50">
        <f>COUNTIF('PF320'!Y10:Y329,"ADC[2]_19")</f>
        <v>0</v>
      </c>
    </row>
    <row r="129" spans="2:6" x14ac:dyDescent="0.55000000000000004">
      <c r="B129" s="192"/>
      <c r="C129" s="49" t="s">
        <v>483</v>
      </c>
      <c r="D129" s="50">
        <f>COUNTIF('PF320'!Y10:Y329,"ADC[0]_20")</f>
        <v>0</v>
      </c>
      <c r="E129" s="50">
        <f>COUNTIF('PF320'!Y10:Y329,"ADC[1]_20")</f>
        <v>0</v>
      </c>
      <c r="F129" s="50">
        <f>COUNTIF('PF320'!Y10:Y329,"ADC[2]_20")</f>
        <v>0</v>
      </c>
    </row>
    <row r="130" spans="2:6" x14ac:dyDescent="0.55000000000000004">
      <c r="B130" s="192"/>
      <c r="C130" s="49" t="s">
        <v>484</v>
      </c>
      <c r="D130" s="50">
        <f>COUNTIF('PF320'!Y10:Y329,"ADC[0]_21")</f>
        <v>0</v>
      </c>
      <c r="E130" s="50">
        <f>COUNTIF('PF320'!Y10:Y329,"ADC[1]_21")</f>
        <v>0</v>
      </c>
      <c r="F130" s="50">
        <f>COUNTIF('PF320'!Y10:Y329,"ADC[2]_21")</f>
        <v>0</v>
      </c>
    </row>
    <row r="131" spans="2:6" x14ac:dyDescent="0.55000000000000004">
      <c r="B131" s="192"/>
      <c r="C131" s="49" t="s">
        <v>485</v>
      </c>
      <c r="D131" s="50">
        <f>COUNTIF('PF320'!Y10:Y329,"ADC[0]_22")</f>
        <v>0</v>
      </c>
      <c r="E131" s="50">
        <f>COUNTIF('PF320'!Y10:Y329,"ADC[1]_22")</f>
        <v>0</v>
      </c>
      <c r="F131" s="50">
        <f>COUNTIF('PF320'!Y10:Y329,"ADC[2]_22")</f>
        <v>0</v>
      </c>
    </row>
    <row r="132" spans="2:6" x14ac:dyDescent="0.55000000000000004">
      <c r="B132" s="192"/>
      <c r="C132" s="49" t="s">
        <v>486</v>
      </c>
      <c r="D132" s="50">
        <f>COUNTIF('PF320'!Y10:Y329,"ADC[0]_23")</f>
        <v>0</v>
      </c>
      <c r="E132" s="50">
        <f>COUNTIF('PF320'!Y10:Y329,"ADC[1]_23")</f>
        <v>0</v>
      </c>
      <c r="F132" s="50">
        <f>COUNTIF('PF320'!Y10:Y329,"ADC[2]_23")</f>
        <v>0</v>
      </c>
    </row>
    <row r="133" spans="2:6" x14ac:dyDescent="0.55000000000000004">
      <c r="B133" s="192"/>
      <c r="C133" s="49" t="s">
        <v>487</v>
      </c>
      <c r="D133" s="50">
        <f>COUNTIF('PF320'!Y10:Y329,"ADC[0]_24")</f>
        <v>0</v>
      </c>
      <c r="E133" s="50">
        <f>COUNTIF('PF320'!Y10:Y329,"ADC[1]_24")</f>
        <v>0</v>
      </c>
      <c r="F133" s="50">
        <f>COUNTIF('PF320'!Y10:Y329,"ADC[2]_24")</f>
        <v>0</v>
      </c>
    </row>
    <row r="134" spans="2:6" x14ac:dyDescent="0.55000000000000004">
      <c r="B134" s="192"/>
      <c r="C134" s="49" t="s">
        <v>488</v>
      </c>
      <c r="D134" s="50">
        <f>COUNTIF('PF320'!Y10:Y329,"ADC[0]_25")</f>
        <v>0</v>
      </c>
      <c r="E134" s="50">
        <f>COUNTIF('PF320'!Y10:Y329,"ADC[1]_25")</f>
        <v>0</v>
      </c>
      <c r="F134" s="50">
        <f>COUNTIF('PF320'!Y10:Y329,"ADC[2]_25")</f>
        <v>0</v>
      </c>
    </row>
    <row r="135" spans="2:6" x14ac:dyDescent="0.55000000000000004">
      <c r="B135" s="192"/>
      <c r="C135" s="49" t="s">
        <v>489</v>
      </c>
      <c r="D135" s="50">
        <f>COUNTIF('PF320'!Y10:Y329,"ADC[0]_26")</f>
        <v>0</v>
      </c>
      <c r="E135" s="50">
        <f>COUNTIF('PF320'!Y10:Y329,"ADC[1]_26")</f>
        <v>0</v>
      </c>
      <c r="F135" s="50">
        <f>COUNTIF('PF320'!Y10:Y329,"ADC[2]_26")</f>
        <v>0</v>
      </c>
    </row>
    <row r="136" spans="2:6" x14ac:dyDescent="0.55000000000000004">
      <c r="B136" s="192"/>
      <c r="C136" s="49" t="s">
        <v>490</v>
      </c>
      <c r="D136" s="50">
        <f>COUNTIF('PF320'!Y10:Y329,"ADC[0]_27")</f>
        <v>0</v>
      </c>
      <c r="E136" s="50">
        <f>COUNTIF('PF320'!Y10:Y329,"ADC[1]_27")</f>
        <v>0</v>
      </c>
      <c r="F136" s="50">
        <f>COUNTIF('PF320'!Y10:Y329,"ADC[2]_27")</f>
        <v>0</v>
      </c>
    </row>
    <row r="137" spans="2:6" x14ac:dyDescent="0.55000000000000004">
      <c r="B137" s="192"/>
      <c r="C137" s="49" t="s">
        <v>491</v>
      </c>
      <c r="D137" s="50">
        <f>COUNTIF('PF320'!Y10:Y329,"ADC[0]_28")</f>
        <v>0</v>
      </c>
      <c r="E137" s="50">
        <f>COUNTIF('PF320'!Y10:Y329,"ADC[1]_28")</f>
        <v>0</v>
      </c>
      <c r="F137" s="50">
        <f>COUNTIF('PF320'!Y10:Y329,"ADC[2]_28")</f>
        <v>0</v>
      </c>
    </row>
    <row r="138" spans="2:6" x14ac:dyDescent="0.55000000000000004">
      <c r="B138" s="192"/>
      <c r="C138" s="49" t="s">
        <v>492</v>
      </c>
      <c r="D138" s="50">
        <f>COUNTIF('PF320'!Y10:Y329,"ADC[0]_29")</f>
        <v>0</v>
      </c>
      <c r="E138" s="50">
        <f>COUNTIF('PF320'!Y10:Y329,"ADC[1]_29")</f>
        <v>0</v>
      </c>
      <c r="F138" s="50">
        <f>COUNTIF('PF320'!Y10:Y329,"ADC[2]_29")</f>
        <v>0</v>
      </c>
    </row>
    <row r="139" spans="2:6" x14ac:dyDescent="0.55000000000000004">
      <c r="B139" s="192"/>
      <c r="C139" s="49" t="s">
        <v>493</v>
      </c>
      <c r="D139" s="50">
        <f>COUNTIF('PF320'!Y10:Y329,"ADC[0]_30")</f>
        <v>0</v>
      </c>
      <c r="E139" s="50">
        <f>COUNTIF('PF320'!Y10:Y329,"ADC[1]_30")</f>
        <v>0</v>
      </c>
      <c r="F139" s="50">
        <f>COUNTIF('PF320'!Y10:Y329,"ADC[2]_30")</f>
        <v>0</v>
      </c>
    </row>
    <row r="140" spans="2:6" x14ac:dyDescent="0.55000000000000004">
      <c r="B140" s="192"/>
      <c r="C140" s="49" t="s">
        <v>494</v>
      </c>
      <c r="D140" s="50">
        <f>COUNTIF('PF320'!Y10:Y329,"ADC[0]_31")</f>
        <v>0</v>
      </c>
      <c r="E140" s="50">
        <f>COUNTIF('PF320'!Y10:Y329,"ADC[1]_31")</f>
        <v>0</v>
      </c>
      <c r="F140" s="50">
        <f>COUNTIF('PF320'!Y10:Y329,"ADC[2]_31")</f>
        <v>0</v>
      </c>
    </row>
    <row r="141" spans="2:6" x14ac:dyDescent="0.55000000000000004">
      <c r="B141" s="193"/>
      <c r="C141" s="69" t="s">
        <v>2438</v>
      </c>
      <c r="D141" s="50">
        <f>COUNTIF('PF320'!Y10:Y329,"ADC[0]_M")</f>
        <v>0</v>
      </c>
      <c r="E141" s="50">
        <f>COUNTIF('PF320'!Y10:Y329,"ADC[1]_M")</f>
        <v>0</v>
      </c>
      <c r="F141" s="50">
        <f>COUNTIF('PF320'!Y10:Y329,"ADC[2]_M")</f>
        <v>0</v>
      </c>
    </row>
    <row r="142" spans="2:6" x14ac:dyDescent="0.55000000000000004">
      <c r="B142" s="67"/>
      <c r="C142" s="70"/>
    </row>
    <row r="143" spans="2:6" x14ac:dyDescent="0.55000000000000004">
      <c r="B143" s="67"/>
      <c r="C143" s="70"/>
    </row>
    <row r="144" spans="2:6" x14ac:dyDescent="0.55000000000000004">
      <c r="B144" s="179" t="s">
        <v>2566</v>
      </c>
      <c r="C144" s="179"/>
      <c r="D144" s="48" t="s">
        <v>2643</v>
      </c>
    </row>
    <row r="145" spans="2:4" x14ac:dyDescent="0.55000000000000004">
      <c r="B145" s="194" t="s">
        <v>2569</v>
      </c>
      <c r="C145" s="27" t="s">
        <v>2337</v>
      </c>
      <c r="D145" s="50">
        <f>COUNTIF('PF320'!Y10:Y329,"SPIHB_CLK (0)")</f>
        <v>0</v>
      </c>
    </row>
    <row r="146" spans="2:4" x14ac:dyDescent="0.55000000000000004">
      <c r="B146" s="182"/>
      <c r="C146" s="27" t="s">
        <v>2597</v>
      </c>
      <c r="D146" s="50">
        <f>COUNTIF('PF320'!Y10:Y329,"SPIHB_RWDS (0)")</f>
        <v>0</v>
      </c>
    </row>
    <row r="147" spans="2:4" x14ac:dyDescent="0.55000000000000004">
      <c r="B147" s="182"/>
      <c r="C147" s="27" t="s">
        <v>2346</v>
      </c>
      <c r="D147" s="50">
        <f>COUNTIF('PF320'!Y10:Y329,"SPIHB_SEL0 (0)")</f>
        <v>0</v>
      </c>
    </row>
    <row r="148" spans="2:4" x14ac:dyDescent="0.55000000000000004">
      <c r="B148" s="182"/>
      <c r="C148" s="27" t="s">
        <v>2349</v>
      </c>
      <c r="D148" s="50">
        <f>COUNTIF('PF320'!Y10:Y329,"SPIHB_SEL1 (0)")</f>
        <v>0</v>
      </c>
    </row>
    <row r="149" spans="2:4" x14ac:dyDescent="0.55000000000000004">
      <c r="B149" s="182"/>
      <c r="C149" s="27" t="s">
        <v>2598</v>
      </c>
      <c r="D149" s="50">
        <f>COUNTIF('PF320'!Y10:Y329,"SPIHB_DATA0 (0)")</f>
        <v>0</v>
      </c>
    </row>
    <row r="150" spans="2:4" x14ac:dyDescent="0.55000000000000004">
      <c r="B150" s="182"/>
      <c r="C150" s="27" t="s">
        <v>2599</v>
      </c>
      <c r="D150" s="50">
        <f>COUNTIF('PF320'!Y10:Y329,"SPIHB_DATA1 (0)")</f>
        <v>0</v>
      </c>
    </row>
    <row r="151" spans="2:4" x14ac:dyDescent="0.55000000000000004">
      <c r="B151" s="182"/>
      <c r="C151" s="27" t="s">
        <v>2600</v>
      </c>
      <c r="D151" s="50">
        <f>COUNTIF('PF320'!Y10:Y329,"SPIHB_DATA2 (0)")</f>
        <v>0</v>
      </c>
    </row>
    <row r="152" spans="2:4" x14ac:dyDescent="0.55000000000000004">
      <c r="B152" s="182"/>
      <c r="C152" s="27" t="s">
        <v>2601</v>
      </c>
      <c r="D152" s="50">
        <f>COUNTIF('PF320'!Y10:Y329,"SPIHB_DATA3 (0)")</f>
        <v>0</v>
      </c>
    </row>
    <row r="153" spans="2:4" x14ac:dyDescent="0.55000000000000004">
      <c r="B153" s="182"/>
      <c r="C153" s="27" t="s">
        <v>2602</v>
      </c>
      <c r="D153" s="50">
        <f>COUNTIF('PF320'!Y10:Y329,"SPIHB_DATA4 (0)")</f>
        <v>0</v>
      </c>
    </row>
    <row r="154" spans="2:4" x14ac:dyDescent="0.55000000000000004">
      <c r="B154" s="182"/>
      <c r="C154" s="27" t="s">
        <v>2603</v>
      </c>
      <c r="D154" s="50">
        <f>COUNTIF('PF320'!Y10:Y329,"SPIHB_DATA5 (0)")</f>
        <v>0</v>
      </c>
    </row>
    <row r="155" spans="2:4" x14ac:dyDescent="0.55000000000000004">
      <c r="B155" s="182"/>
      <c r="C155" s="27" t="s">
        <v>2604</v>
      </c>
      <c r="D155" s="50">
        <f>COUNTIF('PF320'!Y10:Y329,"SPIHB_DATA6 (0)")</f>
        <v>0</v>
      </c>
    </row>
    <row r="156" spans="2:4" x14ac:dyDescent="0.55000000000000004">
      <c r="B156" s="182"/>
      <c r="C156" s="27" t="s">
        <v>2605</v>
      </c>
      <c r="D156" s="50">
        <f>COUNTIF('PF320'!Y10:Y329,"SPIHB_DATA7 (0)")</f>
        <v>0</v>
      </c>
    </row>
    <row r="157" spans="2:4" x14ac:dyDescent="0.55000000000000004">
      <c r="B157" s="182"/>
      <c r="C157" s="27" t="s">
        <v>2338</v>
      </c>
      <c r="D157" s="50">
        <f>COUNTIF('PF320'!Y10:Y329,"SPIHB_CLK (1)")</f>
        <v>0</v>
      </c>
    </row>
    <row r="158" spans="2:4" x14ac:dyDescent="0.55000000000000004">
      <c r="B158" s="182"/>
      <c r="C158" s="27" t="s">
        <v>2606</v>
      </c>
      <c r="D158" s="50">
        <f>COUNTIF('PF320'!Y10:Y329,"SPIHB_RWDS (1)")</f>
        <v>0</v>
      </c>
    </row>
    <row r="159" spans="2:4" x14ac:dyDescent="0.55000000000000004">
      <c r="B159" s="182"/>
      <c r="C159" s="27" t="s">
        <v>2347</v>
      </c>
      <c r="D159" s="50">
        <f>COUNTIF('PF320'!Y10:Y329,"SPIHB_SEL0 (1)")</f>
        <v>0</v>
      </c>
    </row>
    <row r="160" spans="2:4" x14ac:dyDescent="0.55000000000000004">
      <c r="B160" s="182"/>
      <c r="C160" s="27" t="s">
        <v>2350</v>
      </c>
      <c r="D160" s="50">
        <f>COUNTIF('PF320'!Y10:Y329,"SPIHB_SEL1 (1)")</f>
        <v>0</v>
      </c>
    </row>
    <row r="161" spans="2:5" x14ac:dyDescent="0.55000000000000004">
      <c r="B161" s="182"/>
      <c r="C161" s="27" t="s">
        <v>2607</v>
      </c>
      <c r="D161" s="50">
        <f>COUNTIF('PF320'!Y10:Y329,"SPIHB_DATA0 (1)")</f>
        <v>0</v>
      </c>
    </row>
    <row r="162" spans="2:5" x14ac:dyDescent="0.55000000000000004">
      <c r="B162" s="182"/>
      <c r="C162" s="27" t="s">
        <v>2608</v>
      </c>
      <c r="D162" s="50">
        <f>COUNTIF('PF320'!Y10:Y329,"SPIHB_DATA1 (1)")</f>
        <v>0</v>
      </c>
    </row>
    <row r="163" spans="2:5" x14ac:dyDescent="0.55000000000000004">
      <c r="B163" s="182"/>
      <c r="C163" s="27" t="s">
        <v>2609</v>
      </c>
      <c r="D163" s="50">
        <f>COUNTIF('PF320'!Y10:Y329,"SPIHB_DATA2 (1)")</f>
        <v>0</v>
      </c>
    </row>
    <row r="164" spans="2:5" x14ac:dyDescent="0.55000000000000004">
      <c r="B164" s="182"/>
      <c r="C164" s="27" t="s">
        <v>2610</v>
      </c>
      <c r="D164" s="50">
        <f>COUNTIF('PF320'!Y10:Y329,"SPIHB_DATA3 (1)")</f>
        <v>0</v>
      </c>
    </row>
    <row r="165" spans="2:5" x14ac:dyDescent="0.55000000000000004">
      <c r="B165" s="182"/>
      <c r="C165" s="27" t="s">
        <v>2611</v>
      </c>
      <c r="D165" s="50">
        <f>COUNTIF('PF320'!Y10:Y329,"SPIHB_DATA4 (1)")</f>
        <v>0</v>
      </c>
    </row>
    <row r="166" spans="2:5" x14ac:dyDescent="0.55000000000000004">
      <c r="B166" s="182"/>
      <c r="C166" s="27" t="s">
        <v>2612</v>
      </c>
      <c r="D166" s="50">
        <f>COUNTIF('PF320'!Y10:Y329,"SPIHB_DATA5 (1)")</f>
        <v>0</v>
      </c>
    </row>
    <row r="167" spans="2:5" x14ac:dyDescent="0.55000000000000004">
      <c r="B167" s="182"/>
      <c r="C167" s="27" t="s">
        <v>2613</v>
      </c>
      <c r="D167" s="50">
        <f>COUNTIF('PF320'!Y10:Y329,"SPIHB_DATA6 (1)")</f>
        <v>0</v>
      </c>
    </row>
    <row r="168" spans="2:5" x14ac:dyDescent="0.55000000000000004">
      <c r="B168" s="183"/>
      <c r="C168" s="27" t="s">
        <v>2614</v>
      </c>
      <c r="D168" s="50">
        <f>COUNTIF('PF320'!Y10:Y329,"SPIHB_DATA7 (1)")</f>
        <v>0</v>
      </c>
    </row>
    <row r="169" spans="2:5" x14ac:dyDescent="0.55000000000000004">
      <c r="B169" s="67"/>
      <c r="C169" s="71"/>
    </row>
    <row r="170" spans="2:5" hidden="1" x14ac:dyDescent="0.55000000000000004">
      <c r="B170" s="59" t="s">
        <v>2566</v>
      </c>
      <c r="C170" s="59" t="s">
        <v>2560</v>
      </c>
      <c r="D170" s="48" t="s">
        <v>2643</v>
      </c>
    </row>
    <row r="171" spans="2:5" hidden="1" x14ac:dyDescent="0.55000000000000004">
      <c r="B171" s="61"/>
      <c r="C171" s="62">
        <v>0</v>
      </c>
      <c r="D171" s="62">
        <f>SUM(D145:D156)</f>
        <v>0</v>
      </c>
    </row>
    <row r="172" spans="2:5" hidden="1" x14ac:dyDescent="0.55000000000000004">
      <c r="B172" s="63"/>
      <c r="C172" s="62">
        <v>1</v>
      </c>
      <c r="D172" s="62">
        <f>SUM(D157:D168)</f>
        <v>0</v>
      </c>
    </row>
    <row r="173" spans="2:5" hidden="1" x14ac:dyDescent="0.55000000000000004">
      <c r="B173" s="65" t="s">
        <v>2564</v>
      </c>
      <c r="C173" s="66"/>
      <c r="D173" s="59">
        <f>COUNTIF(D171:D172, "&lt;&gt;0")</f>
        <v>0</v>
      </c>
    </row>
    <row r="174" spans="2:5" hidden="1" x14ac:dyDescent="0.55000000000000004">
      <c r="B174" s="67"/>
      <c r="C174" s="70"/>
    </row>
    <row r="176" spans="2:5" x14ac:dyDescent="0.55000000000000004">
      <c r="B176" s="184" t="s">
        <v>2393</v>
      </c>
      <c r="C176" s="185"/>
      <c r="D176" s="48" t="s">
        <v>2396</v>
      </c>
      <c r="E176" s="48" t="s">
        <v>2397</v>
      </c>
    </row>
    <row r="177" spans="2:5" x14ac:dyDescent="0.55000000000000004">
      <c r="B177" s="188" t="s">
        <v>380</v>
      </c>
      <c r="C177" s="72" t="s">
        <v>2398</v>
      </c>
      <c r="D177" s="50">
        <f>COUNTIF('PF320'!Y10:Y329,"ETH0_REF_CLK (0)")</f>
        <v>0</v>
      </c>
      <c r="E177" s="50">
        <f>COUNTIF('PF320'!Y10:Y329,"ETH1_REF_CLK (0)")</f>
        <v>0</v>
      </c>
    </row>
    <row r="178" spans="2:5" x14ac:dyDescent="0.55000000000000004">
      <c r="B178" s="189"/>
      <c r="C178" s="72" t="s">
        <v>2437</v>
      </c>
      <c r="D178" s="50">
        <f>COUNTIF('PF320'!Y10:Y329,"ETH0_REF_CLK (1)")</f>
        <v>0</v>
      </c>
      <c r="E178" s="50">
        <f>COUNTIF('PF320'!Y10:Y329,"ETH1_REF_CLK (1)")</f>
        <v>0</v>
      </c>
    </row>
    <row r="179" spans="2:5" x14ac:dyDescent="0.55000000000000004">
      <c r="B179" s="189"/>
      <c r="C179" s="72" t="s">
        <v>2399</v>
      </c>
      <c r="D179" s="50">
        <f>COUNTIF('PF320'!Y10:Y329,"ETH0_TX_CTL (0)")</f>
        <v>0</v>
      </c>
      <c r="E179" s="50">
        <f>COUNTIF('PF320'!Y10:Y329,"ETH1_TX_CTL (0)")</f>
        <v>0</v>
      </c>
    </row>
    <row r="180" spans="2:5" x14ac:dyDescent="0.55000000000000004">
      <c r="B180" s="189"/>
      <c r="C180" s="72" t="s">
        <v>2436</v>
      </c>
      <c r="D180" s="50">
        <f>COUNTIF('PF320'!Y10:Y329,"ETH0_TX_CTL (1)")</f>
        <v>0</v>
      </c>
      <c r="E180" s="50">
        <f>COUNTIF('PF320'!Y10:Y329,"ETH1_TX_CTL (1)")</f>
        <v>0</v>
      </c>
    </row>
    <row r="181" spans="2:5" x14ac:dyDescent="0.55000000000000004">
      <c r="B181" s="189"/>
      <c r="C181" s="72" t="s">
        <v>2400</v>
      </c>
      <c r="D181" s="50">
        <f>COUNTIF('PF320'!Y10:Y329,"ETH0_TX_CLK (0)")</f>
        <v>0</v>
      </c>
      <c r="E181" s="50">
        <f>COUNTIF('PF320'!Y10:Y329,"ETH1_TX_CLK (0)")</f>
        <v>0</v>
      </c>
    </row>
    <row r="182" spans="2:5" x14ac:dyDescent="0.55000000000000004">
      <c r="B182" s="189"/>
      <c r="C182" s="72" t="s">
        <v>2435</v>
      </c>
      <c r="D182" s="50">
        <f>COUNTIF('PF320'!Y10:Y329,"ETH0_TX_CLK (1)")</f>
        <v>0</v>
      </c>
      <c r="E182" s="50">
        <f>COUNTIF('PF320'!Y10:Y329,"ETH1_TX_CLK (1)")</f>
        <v>0</v>
      </c>
    </row>
    <row r="183" spans="2:5" x14ac:dyDescent="0.55000000000000004">
      <c r="B183" s="189"/>
      <c r="C183" s="72" t="s">
        <v>2401</v>
      </c>
      <c r="D183" s="50">
        <f>COUNTIF('PF320'!Y10:Y329,"ETH0_TX_ER (0)")</f>
        <v>0</v>
      </c>
      <c r="E183" s="50">
        <f>COUNTIF('PF320'!Y10:Y329,"ETH1_TX_ER (0)")</f>
        <v>0</v>
      </c>
    </row>
    <row r="184" spans="2:5" x14ac:dyDescent="0.55000000000000004">
      <c r="B184" s="189"/>
      <c r="C184" s="72" t="s">
        <v>2402</v>
      </c>
      <c r="D184" s="50">
        <f>COUNTIF('PF320'!Y10:Y329,"ETH0_TXD_0 (0)")</f>
        <v>0</v>
      </c>
      <c r="E184" s="50">
        <f>COUNTIF('PF320'!Y10:Y329,"ETH1_TXD_0 (0)")</f>
        <v>0</v>
      </c>
    </row>
    <row r="185" spans="2:5" x14ac:dyDescent="0.55000000000000004">
      <c r="B185" s="189"/>
      <c r="C185" s="72" t="s">
        <v>2434</v>
      </c>
      <c r="D185" s="50">
        <f>COUNTIF('PF320'!Y10:Y329,"ETH0_TXD_0 (1)")</f>
        <v>0</v>
      </c>
      <c r="E185" s="50">
        <f>COUNTIF('PF320'!Y10:Y329,"ETH1_TXD_0 (1)")</f>
        <v>0</v>
      </c>
    </row>
    <row r="186" spans="2:5" x14ac:dyDescent="0.55000000000000004">
      <c r="B186" s="189"/>
      <c r="C186" s="72" t="s">
        <v>2403</v>
      </c>
      <c r="D186" s="50">
        <f>COUNTIF('PF320'!Y10:Y329,"ETH0_TXD_1 (0)")</f>
        <v>0</v>
      </c>
      <c r="E186" s="50">
        <f>COUNTIF('PF320'!Y10:Y329,"ETH1_TXD_1 (0)")</f>
        <v>0</v>
      </c>
    </row>
    <row r="187" spans="2:5" x14ac:dyDescent="0.55000000000000004">
      <c r="B187" s="189"/>
      <c r="C187" s="72" t="s">
        <v>2433</v>
      </c>
      <c r="D187" s="50">
        <f>COUNTIF('PF320'!Y10:Y329,"ETH0_TXD_1 (1)")</f>
        <v>0</v>
      </c>
      <c r="E187" s="50">
        <f>COUNTIF('PF320'!Y10:Y329,"ETH1_TXD_1 (1)")</f>
        <v>0</v>
      </c>
    </row>
    <row r="188" spans="2:5" x14ac:dyDescent="0.55000000000000004">
      <c r="B188" s="189"/>
      <c r="C188" s="72" t="s">
        <v>2404</v>
      </c>
      <c r="D188" s="50">
        <f>COUNTIF('PF320'!Y10:Y329,"ETH0_TXD_2 (0)")</f>
        <v>0</v>
      </c>
      <c r="E188" s="50">
        <f>COUNTIF('PF320'!Y10:Y329,"ETH1_TXD_2 (0)")</f>
        <v>0</v>
      </c>
    </row>
    <row r="189" spans="2:5" x14ac:dyDescent="0.55000000000000004">
      <c r="B189" s="189"/>
      <c r="C189" s="72" t="s">
        <v>2432</v>
      </c>
      <c r="D189" s="50">
        <f>COUNTIF('PF320'!Y10:Y329,"ETH0_TXD_2 (1)")</f>
        <v>0</v>
      </c>
      <c r="E189" s="50">
        <f>COUNTIF('PF320'!Y10:Y329,"ETH1_TXD_2 (1)")</f>
        <v>0</v>
      </c>
    </row>
    <row r="190" spans="2:5" x14ac:dyDescent="0.55000000000000004">
      <c r="B190" s="189"/>
      <c r="C190" s="72" t="s">
        <v>2405</v>
      </c>
      <c r="D190" s="50">
        <f>COUNTIF('PF320'!Y10:Y329,"ETH0_TXD_3 (0)")</f>
        <v>0</v>
      </c>
      <c r="E190" s="50">
        <f>COUNTIF('PF320'!Y10:Y329,"ETH1_TXD_3 (0)")</f>
        <v>0</v>
      </c>
    </row>
    <row r="191" spans="2:5" x14ac:dyDescent="0.55000000000000004">
      <c r="B191" s="189"/>
      <c r="C191" s="72" t="s">
        <v>2431</v>
      </c>
      <c r="D191" s="50">
        <f>COUNTIF('PF320'!Y10:Y329,"ETH0_TXD_3 (1)")</f>
        <v>0</v>
      </c>
      <c r="E191" s="50">
        <f>COUNTIF('PF320'!Y10:Y329,"ETH1_TXD_3 (1)")</f>
        <v>0</v>
      </c>
    </row>
    <row r="192" spans="2:5" x14ac:dyDescent="0.55000000000000004">
      <c r="B192" s="189"/>
      <c r="C192" s="72" t="s">
        <v>2413</v>
      </c>
      <c r="D192" s="50">
        <f>COUNTIF('PF320'!Y10:Y329,"ETH0_TXD_4 (0)")</f>
        <v>0</v>
      </c>
      <c r="E192" s="50">
        <f>COUNTIF('PF320'!Y10:Y329,"ETH1_TXD_4 (0)")</f>
        <v>0</v>
      </c>
    </row>
    <row r="193" spans="2:5" x14ac:dyDescent="0.55000000000000004">
      <c r="B193" s="189"/>
      <c r="C193" s="72" t="s">
        <v>2414</v>
      </c>
      <c r="D193" s="50">
        <f>COUNTIF('PF320'!Y10:Y329,"ETH0_TXD_5 (0)")</f>
        <v>0</v>
      </c>
      <c r="E193" s="50">
        <f>COUNTIF('PF320'!Y10:Y329,"ETH1_TXD_5 (0)")</f>
        <v>0</v>
      </c>
    </row>
    <row r="194" spans="2:5" x14ac:dyDescent="0.55000000000000004">
      <c r="B194" s="189"/>
      <c r="C194" s="72" t="s">
        <v>2415</v>
      </c>
      <c r="D194" s="50">
        <f>COUNTIF('PF320'!Y10:Y329,"ETH0_TXD_6 (0)")</f>
        <v>0</v>
      </c>
      <c r="E194" s="50">
        <f>COUNTIF('PF320'!Y10:Y329,"ETH1_TXD_6 (0)")</f>
        <v>0</v>
      </c>
    </row>
    <row r="195" spans="2:5" x14ac:dyDescent="0.55000000000000004">
      <c r="B195" s="189"/>
      <c r="C195" s="72" t="s">
        <v>2416</v>
      </c>
      <c r="D195" s="50">
        <f>COUNTIF('PF320'!Y10:Y329,"ETH0_TXD_7 (0)")</f>
        <v>0</v>
      </c>
      <c r="E195" s="50">
        <f>COUNTIF('PF320'!Y10:Y329,"ETH1_TXD_7 (0)")</f>
        <v>0</v>
      </c>
    </row>
    <row r="196" spans="2:5" x14ac:dyDescent="0.55000000000000004">
      <c r="B196" s="189"/>
      <c r="C196" s="11" t="s">
        <v>2406</v>
      </c>
      <c r="D196" s="50">
        <f>COUNTIF('PF320'!Y10:Y329,"ETH0_RX_CTL (0)")</f>
        <v>0</v>
      </c>
      <c r="E196" s="50">
        <f>COUNTIF('PF320'!Y10:Y329,"ETH1_RX_CTL (0)")</f>
        <v>0</v>
      </c>
    </row>
    <row r="197" spans="2:5" x14ac:dyDescent="0.55000000000000004">
      <c r="B197" s="189"/>
      <c r="C197" s="11" t="s">
        <v>2426</v>
      </c>
      <c r="D197" s="50">
        <f>COUNTIF('PF320'!Y10:Y329,"ETH0_RX_CTL (1)")</f>
        <v>0</v>
      </c>
      <c r="E197" s="50">
        <f>COUNTIF('PF320'!Y10:Y329,"ETH1_RX_CTL (1)")</f>
        <v>0</v>
      </c>
    </row>
    <row r="198" spans="2:5" x14ac:dyDescent="0.55000000000000004">
      <c r="B198" s="189"/>
      <c r="C198" s="11" t="s">
        <v>2407</v>
      </c>
      <c r="D198" s="50">
        <f>COUNTIF('PF320'!Y10:Y329,"ETH0_RX_CLK (0)")</f>
        <v>0</v>
      </c>
      <c r="E198" s="50">
        <f>COUNTIF('PF320'!Y10:Y329,"ETH1_RX_CLK (0)")</f>
        <v>0</v>
      </c>
    </row>
    <row r="199" spans="2:5" x14ac:dyDescent="0.55000000000000004">
      <c r="B199" s="189"/>
      <c r="C199" s="11" t="s">
        <v>2425</v>
      </c>
      <c r="D199" s="50">
        <f>COUNTIF('PF320'!Y10:Y329,"ETH0_RX_CLK (1)")</f>
        <v>0</v>
      </c>
      <c r="E199" s="50">
        <f>COUNTIF('PF320'!Y10:Y329,"ETH1_RX_CLK (1)")</f>
        <v>0</v>
      </c>
    </row>
    <row r="200" spans="2:5" x14ac:dyDescent="0.55000000000000004">
      <c r="B200" s="189"/>
      <c r="C200" s="11" t="s">
        <v>2408</v>
      </c>
      <c r="D200" s="50">
        <f>COUNTIF('PF320'!Y10:Y329,"ETH0_RX_ER (0)")</f>
        <v>0</v>
      </c>
      <c r="E200" s="50">
        <f>COUNTIF('PF320'!Y10:Y329,"ETH1_RX_ER (0)")</f>
        <v>0</v>
      </c>
    </row>
    <row r="201" spans="2:5" x14ac:dyDescent="0.55000000000000004">
      <c r="B201" s="189"/>
      <c r="C201" s="11" t="s">
        <v>2409</v>
      </c>
      <c r="D201" s="50">
        <f>COUNTIF('PF320'!Y10:Y329,"ETH0_RXD_0 (0)")</f>
        <v>0</v>
      </c>
      <c r="E201" s="50">
        <f>COUNTIF('PF320'!Y10:Y329,"ETH1_RXD_0 (0)")</f>
        <v>0</v>
      </c>
    </row>
    <row r="202" spans="2:5" x14ac:dyDescent="0.55000000000000004">
      <c r="B202" s="189"/>
      <c r="C202" s="11" t="s">
        <v>2424</v>
      </c>
      <c r="D202" s="50">
        <f>COUNTIF('PF320'!Y10:Y329,"ETH0_RXD_0 (1)")</f>
        <v>0</v>
      </c>
      <c r="E202" s="50">
        <f>COUNTIF('PF320'!Y10:Y329,"ETH1_RXD_0 (1)")</f>
        <v>0</v>
      </c>
    </row>
    <row r="203" spans="2:5" x14ac:dyDescent="0.55000000000000004">
      <c r="B203" s="189"/>
      <c r="C203" s="11" t="s">
        <v>2410</v>
      </c>
      <c r="D203" s="50">
        <f>COUNTIF('PF320'!Y10:Y329,"ETH0_RXD_1 (0)")</f>
        <v>0</v>
      </c>
      <c r="E203" s="50">
        <f>COUNTIF('PF320'!Y10:Y329,"ETH1_RXD_1 (0)")</f>
        <v>0</v>
      </c>
    </row>
    <row r="204" spans="2:5" x14ac:dyDescent="0.55000000000000004">
      <c r="B204" s="189"/>
      <c r="C204" s="11" t="s">
        <v>2423</v>
      </c>
      <c r="D204" s="50">
        <f>COUNTIF('PF320'!Y10:Y329,"ETH0_RXD_1 (1)")</f>
        <v>0</v>
      </c>
      <c r="E204" s="50">
        <f>COUNTIF('PF320'!Y10:Y329,"ETH1_RXD_1 (1)")</f>
        <v>0</v>
      </c>
    </row>
    <row r="205" spans="2:5" x14ac:dyDescent="0.55000000000000004">
      <c r="B205" s="189"/>
      <c r="C205" s="11" t="s">
        <v>2411</v>
      </c>
      <c r="D205" s="50">
        <f>COUNTIF('PF320'!Y10:Y329,"ETH0_RXD_2 (0)")</f>
        <v>0</v>
      </c>
      <c r="E205" s="50">
        <f>COUNTIF('PF320'!Y10:Y329,"ETH1_RXD_2 (0)")</f>
        <v>0</v>
      </c>
    </row>
    <row r="206" spans="2:5" x14ac:dyDescent="0.55000000000000004">
      <c r="B206" s="189"/>
      <c r="C206" s="11" t="s">
        <v>2422</v>
      </c>
      <c r="D206" s="50">
        <f>COUNTIF('PF320'!Y10:Y329,"ETH0_RXD_2 (1)")</f>
        <v>0</v>
      </c>
      <c r="E206" s="50">
        <f>COUNTIF('PF320'!Y10:Y329,"ETH1_RXD_2 (1)")</f>
        <v>0</v>
      </c>
    </row>
    <row r="207" spans="2:5" x14ac:dyDescent="0.55000000000000004">
      <c r="B207" s="189"/>
      <c r="C207" s="11" t="s">
        <v>2412</v>
      </c>
      <c r="D207" s="50">
        <f>COUNTIF('PF320'!Y10:Y329,"ETH0_RXD_3 (0)")</f>
        <v>0</v>
      </c>
      <c r="E207" s="50">
        <f>COUNTIF('PF320'!Y10:Y329,"ETH1_RXD_3 (0)")</f>
        <v>0</v>
      </c>
    </row>
    <row r="208" spans="2:5" x14ac:dyDescent="0.55000000000000004">
      <c r="B208" s="189"/>
      <c r="C208" s="11" t="s">
        <v>2421</v>
      </c>
      <c r="D208" s="50">
        <f>COUNTIF('PF320'!Y10:Y329,"ETH0_RXD_3 (1)")</f>
        <v>0</v>
      </c>
      <c r="E208" s="50">
        <f>COUNTIF('PF320'!Y10:Y329,"ETH1_RXD_3 (1)")</f>
        <v>0</v>
      </c>
    </row>
    <row r="209" spans="2:5" x14ac:dyDescent="0.55000000000000004">
      <c r="B209" s="189"/>
      <c r="C209" s="11" t="s">
        <v>2427</v>
      </c>
      <c r="D209" s="50">
        <f>COUNTIF('PF320'!Y10:Y329,"ETH0_RXD_4 (0)")</f>
        <v>0</v>
      </c>
      <c r="E209" s="50">
        <f>COUNTIF('PF320'!Y10:Y329,"ETH1_RXD_4 (0)")</f>
        <v>0</v>
      </c>
    </row>
    <row r="210" spans="2:5" x14ac:dyDescent="0.55000000000000004">
      <c r="B210" s="189"/>
      <c r="C210" s="11" t="s">
        <v>2428</v>
      </c>
      <c r="D210" s="50">
        <f>COUNTIF('PF320'!Y10:Y329,"ETH0_RXD_5 (0)")</f>
        <v>0</v>
      </c>
      <c r="E210" s="50">
        <f>COUNTIF('PF320'!Y10:Y329,"ETH1_RXD_5 (0)")</f>
        <v>0</v>
      </c>
    </row>
    <row r="211" spans="2:5" x14ac:dyDescent="0.55000000000000004">
      <c r="B211" s="189"/>
      <c r="C211" s="11" t="s">
        <v>2429</v>
      </c>
      <c r="D211" s="50">
        <f>COUNTIF('PF320'!Y10:Y329,"ETH0_RXD_6 (0)")</f>
        <v>0</v>
      </c>
      <c r="E211" s="50">
        <f>COUNTIF('PF320'!Y10:Y329,"ETH1_RXD_6 (0)")</f>
        <v>0</v>
      </c>
    </row>
    <row r="212" spans="2:5" x14ac:dyDescent="0.55000000000000004">
      <c r="B212" s="189"/>
      <c r="C212" s="11" t="s">
        <v>2430</v>
      </c>
      <c r="D212" s="50">
        <f>COUNTIF('PF320'!Y10:Y329,"ETH0_RXD_7 (0)")</f>
        <v>0</v>
      </c>
      <c r="E212" s="50">
        <f>COUNTIF('PF320'!Y10:Y329,"ETH1_RXD_7 (0)")</f>
        <v>0</v>
      </c>
    </row>
    <row r="213" spans="2:5" x14ac:dyDescent="0.55000000000000004">
      <c r="B213" s="189"/>
      <c r="C213" s="11" t="s">
        <v>2615</v>
      </c>
      <c r="D213" s="50">
        <f>COUNTIF('PF320'!Y10:Y329,"ETH0_ETH_TSU_TIMER_CMP_VAL (0)")</f>
        <v>0</v>
      </c>
      <c r="E213" s="50">
        <f>COUNTIF('PF320'!Y10:Y329,"ETH1_ETH_TSU_TIMER_CMP_VAL (0)")</f>
        <v>0</v>
      </c>
    </row>
    <row r="214" spans="2:5" x14ac:dyDescent="0.55000000000000004">
      <c r="B214" s="189"/>
      <c r="C214" s="11" t="s">
        <v>2616</v>
      </c>
      <c r="D214" s="50">
        <f>COUNTIF('PF320'!Y10:Y329,"ETH0_ETH_TSU_TIMER_CMP_VAL (1)")</f>
        <v>0</v>
      </c>
      <c r="E214" s="50">
        <f>COUNTIF('PF320'!Y10:Y329,"ETH1_ETH_TSU_TIMER_CMP_VAL (1)")</f>
        <v>0</v>
      </c>
    </row>
    <row r="215" spans="2:5" x14ac:dyDescent="0.55000000000000004">
      <c r="B215" s="189"/>
      <c r="C215" s="11" t="s">
        <v>2417</v>
      </c>
      <c r="D215" s="50">
        <f>COUNTIF('PF320'!Y10:Y329,"ETH0_MDIO (0)")</f>
        <v>0</v>
      </c>
      <c r="E215" s="50">
        <f>COUNTIF('PF320'!Y10:Y329,"ETH1_MDIO (0)")</f>
        <v>0</v>
      </c>
    </row>
    <row r="216" spans="2:5" x14ac:dyDescent="0.55000000000000004">
      <c r="B216" s="189"/>
      <c r="C216" s="11" t="s">
        <v>2420</v>
      </c>
      <c r="D216" s="50">
        <f>COUNTIF('PF320'!Y10:Y329,"ETH0_MDIO (1)")</f>
        <v>0</v>
      </c>
      <c r="E216" s="50">
        <f>COUNTIF('PF320'!Y10:Y329,"ETH1_MDIO (1)")</f>
        <v>0</v>
      </c>
    </row>
    <row r="217" spans="2:5" x14ac:dyDescent="0.55000000000000004">
      <c r="B217" s="189"/>
      <c r="C217" s="11" t="s">
        <v>2418</v>
      </c>
      <c r="D217" s="50">
        <f>COUNTIF('PF320'!Y10:Y329,"ETH0_MDC (0)")</f>
        <v>0</v>
      </c>
      <c r="E217" s="50">
        <f>COUNTIF('PF320'!Y10:Y329,"ETH1_MDC (0)")</f>
        <v>0</v>
      </c>
    </row>
    <row r="218" spans="2:5" x14ac:dyDescent="0.55000000000000004">
      <c r="B218" s="190"/>
      <c r="C218" s="11" t="s">
        <v>2419</v>
      </c>
      <c r="D218" s="50">
        <f>COUNTIF('PF320'!Y10:Y329,"ETH0_MDC (1)")</f>
        <v>0</v>
      </c>
      <c r="E218" s="50">
        <f>COUNTIF('PF320'!Y10:Y329,"ETH1_MDC (1)")</f>
        <v>0</v>
      </c>
    </row>
    <row r="220" spans="2:5" hidden="1" x14ac:dyDescent="0.55000000000000004">
      <c r="B220" s="59" t="s">
        <v>2393</v>
      </c>
      <c r="C220" s="59" t="s">
        <v>2560</v>
      </c>
      <c r="D220" s="48" t="s">
        <v>2396</v>
      </c>
      <c r="E220" s="48" t="s">
        <v>2397</v>
      </c>
    </row>
    <row r="221" spans="2:5" hidden="1" x14ac:dyDescent="0.55000000000000004">
      <c r="B221" s="61"/>
      <c r="C221" s="62">
        <v>0</v>
      </c>
      <c r="D221" s="62">
        <f>SUM(D177+D179+D181+D183+D184+D186+D188+D190+D192+D193+D194+D195+D196+D198+D200+D201+D203+D205+D207+D209+D210+D211+D212+D213+D215+D217)</f>
        <v>0</v>
      </c>
      <c r="E221" s="62">
        <f>SUM(E177+E179+E181+E183+E184+E186+E188+E190+E192+E193+E194+E195+E196+E198+E200+E201+E203+E205+E207+E209+E210+E211+E212+E213+E215+E217)</f>
        <v>0</v>
      </c>
    </row>
    <row r="222" spans="2:5" hidden="1" x14ac:dyDescent="0.55000000000000004">
      <c r="B222" s="63"/>
      <c r="C222" s="62">
        <v>1</v>
      </c>
      <c r="D222" s="62">
        <f>SUM(D178+D180+D182+D185+D187+D189+D191+D197+D199+D202+D204+D206+D208+D214+D216+D218)</f>
        <v>0</v>
      </c>
      <c r="E222" s="62">
        <f>SUM(E178+E180+E182+E185+E187+E189+E191+E197+E199+E202+E204+E206+E208+E214+E216+E218)</f>
        <v>0</v>
      </c>
    </row>
    <row r="223" spans="2:5" hidden="1" x14ac:dyDescent="0.55000000000000004">
      <c r="B223" s="65" t="s">
        <v>2564</v>
      </c>
      <c r="C223" s="66"/>
      <c r="D223" s="59">
        <f>COUNTIF(D221:D222, "&lt;&gt;0")</f>
        <v>0</v>
      </c>
      <c r="E223" s="59">
        <f>COUNTIF(E221:E222, "&lt;&gt;0")</f>
        <v>0</v>
      </c>
    </row>
    <row r="224" spans="2:5" hidden="1" x14ac:dyDescent="0.55000000000000004"/>
    <row r="226" spans="2:4" x14ac:dyDescent="0.55000000000000004">
      <c r="B226" s="179" t="s">
        <v>2570</v>
      </c>
      <c r="C226" s="179"/>
      <c r="D226" s="48" t="s">
        <v>2642</v>
      </c>
    </row>
    <row r="227" spans="2:4" x14ac:dyDescent="0.55000000000000004">
      <c r="B227" s="182" t="s">
        <v>2569</v>
      </c>
      <c r="C227" s="73" t="s">
        <v>2579</v>
      </c>
      <c r="D227" s="74">
        <f>COUNTIF('PF320'!Y10:Y329,"SDHC_CARD_MECH_WRITE_PROT (0)")</f>
        <v>0</v>
      </c>
    </row>
    <row r="228" spans="2:4" x14ac:dyDescent="0.55000000000000004">
      <c r="B228" s="182"/>
      <c r="C228" s="11" t="s">
        <v>2580</v>
      </c>
      <c r="D228" s="50">
        <f>COUNTIF('PF320'!Y10:Y329,"SDHC_CARD_CMD (0)")</f>
        <v>0</v>
      </c>
    </row>
    <row r="229" spans="2:4" x14ac:dyDescent="0.55000000000000004">
      <c r="B229" s="182"/>
      <c r="C229" s="11" t="s">
        <v>2581</v>
      </c>
      <c r="D229" s="50">
        <f>COUNTIF('PF320'!Y10:Y329,"SDHC_CLK_CARD (0)")</f>
        <v>0</v>
      </c>
    </row>
    <row r="230" spans="2:4" x14ac:dyDescent="0.55000000000000004">
      <c r="B230" s="182"/>
      <c r="C230" s="11" t="s">
        <v>2582</v>
      </c>
      <c r="D230" s="50">
        <f>COUNTIF('PF320'!Y10:Y329,"SDHC_CARD_DETECT_N (0)")</f>
        <v>0</v>
      </c>
    </row>
    <row r="231" spans="2:4" x14ac:dyDescent="0.55000000000000004">
      <c r="B231" s="182"/>
      <c r="C231" s="11" t="s">
        <v>2583</v>
      </c>
      <c r="D231" s="50">
        <f>COUNTIF('PF320'!Y10:Y329,"SDHC_CARD_IF_PWR_EN (0)")</f>
        <v>0</v>
      </c>
    </row>
    <row r="232" spans="2:4" x14ac:dyDescent="0.55000000000000004">
      <c r="B232" s="182"/>
      <c r="C232" s="11" t="s">
        <v>2584</v>
      </c>
      <c r="D232" s="50">
        <f>COUNTIF('PF320'!Y10:Y329,"SDHC_CARD_DAT_3TO0_0 (0)")</f>
        <v>0</v>
      </c>
    </row>
    <row r="233" spans="2:4" x14ac:dyDescent="0.55000000000000004">
      <c r="B233" s="182"/>
      <c r="C233" s="11" t="s">
        <v>2585</v>
      </c>
      <c r="D233" s="50">
        <f>COUNTIF('PF320'!Y10:Y329,"SDHC_CARD_DAT_3TO0_1 (0)")</f>
        <v>0</v>
      </c>
    </row>
    <row r="234" spans="2:4" x14ac:dyDescent="0.55000000000000004">
      <c r="B234" s="182"/>
      <c r="C234" s="16" t="s">
        <v>2586</v>
      </c>
      <c r="D234" s="50">
        <f>COUNTIF('PF320'!Y10:Y329,"SDHC_CARD_DAT_3TO0_2 (0)")</f>
        <v>0</v>
      </c>
    </row>
    <row r="235" spans="2:4" x14ac:dyDescent="0.55000000000000004">
      <c r="B235" s="182"/>
      <c r="C235" s="11" t="s">
        <v>2587</v>
      </c>
      <c r="D235" s="50">
        <f>COUNTIF('PF320'!Y10:Y329,"SDHC_CARD_DAT_3TO0_3 (0)")</f>
        <v>0</v>
      </c>
    </row>
    <row r="236" spans="2:4" x14ac:dyDescent="0.55000000000000004">
      <c r="B236" s="182"/>
      <c r="C236" s="11" t="s">
        <v>2588</v>
      </c>
      <c r="D236" s="50">
        <f>COUNTIF('PF320'!Y10:Y329,"SDHC_CARD_DAT_7TO4_0 (0)")</f>
        <v>0</v>
      </c>
    </row>
    <row r="237" spans="2:4" x14ac:dyDescent="0.55000000000000004">
      <c r="B237" s="182"/>
      <c r="C237" s="11" t="s">
        <v>2589</v>
      </c>
      <c r="D237" s="50">
        <f>COUNTIF('PF320'!Y10:Y329,"SDHC_CARD_DAT_7TO4_1 (0)")</f>
        <v>0</v>
      </c>
    </row>
    <row r="238" spans="2:4" x14ac:dyDescent="0.55000000000000004">
      <c r="B238" s="182"/>
      <c r="C238" s="11" t="s">
        <v>2590</v>
      </c>
      <c r="D238" s="50">
        <f>COUNTIF('PF320'!Y10:Y329,"SDHC_CARD_DAT_7TO4_2 (0)")</f>
        <v>0</v>
      </c>
    </row>
    <row r="239" spans="2:4" x14ac:dyDescent="0.55000000000000004">
      <c r="B239" s="182"/>
      <c r="C239" s="11" t="s">
        <v>2591</v>
      </c>
      <c r="D239" s="50">
        <f>COUNTIF('PF320'!Y10:Y329,"SDHC_CARD_DAT_7TO4_3 (0)")</f>
        <v>0</v>
      </c>
    </row>
    <row r="240" spans="2:4" x14ac:dyDescent="0.55000000000000004">
      <c r="B240" s="182"/>
      <c r="C240" s="11" t="s">
        <v>2592</v>
      </c>
      <c r="D240" s="50">
        <f>COUNTIF('PF320'!Y10:Y329,"SDHC_CARD_DETECT_N (1)")</f>
        <v>0</v>
      </c>
    </row>
    <row r="241" spans="2:4" x14ac:dyDescent="0.55000000000000004">
      <c r="B241" s="182"/>
      <c r="C241" s="11" t="s">
        <v>2593</v>
      </c>
      <c r="D241" s="50">
        <f>COUNTIF('PF320'!Y10:Y329,"SDHC_CARD_MECH_WRITE_PROT (1)")</f>
        <v>0</v>
      </c>
    </row>
    <row r="242" spans="2:4" x14ac:dyDescent="0.55000000000000004">
      <c r="B242" s="182"/>
      <c r="C242" s="11" t="s">
        <v>2594</v>
      </c>
      <c r="D242" s="50">
        <f>COUNTIF('PF320'!Y10:Y329,"SDHC_CLK_CARD (1)")</f>
        <v>0</v>
      </c>
    </row>
    <row r="243" spans="2:4" x14ac:dyDescent="0.55000000000000004">
      <c r="B243" s="182"/>
      <c r="C243" s="11" t="s">
        <v>2595</v>
      </c>
      <c r="D243" s="50">
        <f>COUNTIF('PF320'!Y10:Y329,"SDHC_CARD_CMD (1)")</f>
        <v>0</v>
      </c>
    </row>
    <row r="244" spans="2:4" x14ac:dyDescent="0.55000000000000004">
      <c r="B244" s="182"/>
      <c r="C244" s="11" t="s">
        <v>2596</v>
      </c>
      <c r="D244" s="50">
        <f>COUNTIF('PF320'!Y10:Y329,"SDHC_CARD_IF_PWR_EN (1)")</f>
        <v>0</v>
      </c>
    </row>
    <row r="245" spans="2:4" x14ac:dyDescent="0.55000000000000004">
      <c r="B245" s="182"/>
      <c r="C245" s="11" t="s">
        <v>2578</v>
      </c>
      <c r="D245" s="50">
        <f>COUNTIF('PF320'!Y10:Y329,"SDHC_CARD_DAT_3TO0_0 (1)")</f>
        <v>0</v>
      </c>
    </row>
    <row r="246" spans="2:4" x14ac:dyDescent="0.55000000000000004">
      <c r="B246" s="182"/>
      <c r="C246" s="11" t="s">
        <v>2577</v>
      </c>
      <c r="D246" s="50">
        <f>COUNTIF('PF320'!Y10:Y329,"SDHC_CARD_DAT_3TO0_1 (1)")</f>
        <v>0</v>
      </c>
    </row>
    <row r="247" spans="2:4" x14ac:dyDescent="0.55000000000000004">
      <c r="B247" s="182"/>
      <c r="C247" s="11" t="s">
        <v>2576</v>
      </c>
      <c r="D247" s="50">
        <f>COUNTIF('PF320'!Y10:Y329,"SDHC_CARD_DAT_3TO0_2 (1)")</f>
        <v>0</v>
      </c>
    </row>
    <row r="248" spans="2:4" x14ac:dyDescent="0.55000000000000004">
      <c r="B248" s="182"/>
      <c r="C248" s="11" t="s">
        <v>2575</v>
      </c>
      <c r="D248" s="50">
        <f>COUNTIF('PF320'!Y10:Y329,"SDHC_CARD_DAT_3TO0_3 (1)")</f>
        <v>0</v>
      </c>
    </row>
    <row r="249" spans="2:4" x14ac:dyDescent="0.55000000000000004">
      <c r="B249" s="182"/>
      <c r="C249" s="11" t="s">
        <v>2574</v>
      </c>
      <c r="D249" s="50">
        <f>COUNTIF('PF320'!Y10:Y329,"SDHC_CARD_DAT_7TO4_0 (1)")</f>
        <v>0</v>
      </c>
    </row>
    <row r="250" spans="2:4" x14ac:dyDescent="0.55000000000000004">
      <c r="B250" s="182"/>
      <c r="C250" s="11" t="s">
        <v>2573</v>
      </c>
      <c r="D250" s="50">
        <f>COUNTIF('PF320'!Y10:Y329,"SDHC_CARD_DAT_7TO4_1 (1)")</f>
        <v>0</v>
      </c>
    </row>
    <row r="251" spans="2:4" x14ac:dyDescent="0.55000000000000004">
      <c r="B251" s="182"/>
      <c r="C251" s="11" t="s">
        <v>2572</v>
      </c>
      <c r="D251" s="50">
        <f>COUNTIF('PF320'!Y10:Y329,"SDHC_CARD_DAT_7TO4_2 (1)")</f>
        <v>0</v>
      </c>
    </row>
    <row r="252" spans="2:4" x14ac:dyDescent="0.55000000000000004">
      <c r="B252" s="183"/>
      <c r="C252" s="11" t="s">
        <v>2571</v>
      </c>
      <c r="D252" s="50">
        <f>COUNTIF('PF320'!Y10:Y329,"SDHC_CARD_DAT_7TO4_3 (1)")</f>
        <v>0</v>
      </c>
    </row>
    <row r="253" spans="2:4" x14ac:dyDescent="0.55000000000000004">
      <c r="B253" s="67"/>
      <c r="C253" s="71"/>
    </row>
    <row r="254" spans="2:4" hidden="1" x14ac:dyDescent="0.55000000000000004">
      <c r="B254" s="59" t="s">
        <v>2570</v>
      </c>
      <c r="C254" s="59" t="s">
        <v>2560</v>
      </c>
      <c r="D254" s="48" t="s">
        <v>2646</v>
      </c>
    </row>
    <row r="255" spans="2:4" hidden="1" x14ac:dyDescent="0.55000000000000004">
      <c r="B255" s="61"/>
      <c r="C255" s="62">
        <v>0</v>
      </c>
      <c r="D255" s="62">
        <f>SUM(D227:D239)</f>
        <v>0</v>
      </c>
    </row>
    <row r="256" spans="2:4" hidden="1" x14ac:dyDescent="0.55000000000000004">
      <c r="B256" s="63"/>
      <c r="C256" s="62">
        <v>1</v>
      </c>
      <c r="D256" s="62">
        <f>SUM(D240:D252)</f>
        <v>0</v>
      </c>
    </row>
    <row r="257" spans="2:9" hidden="1" x14ac:dyDescent="0.55000000000000004">
      <c r="B257" s="65" t="s">
        <v>2564</v>
      </c>
      <c r="C257" s="66"/>
      <c r="D257" s="59">
        <f>COUNTIF(D255:D256, "&lt;&gt;0")</f>
        <v>0</v>
      </c>
    </row>
    <row r="258" spans="2:9" hidden="1" x14ac:dyDescent="0.55000000000000004"/>
    <row r="260" spans="2:9" x14ac:dyDescent="0.55000000000000004">
      <c r="B260" s="179" t="s">
        <v>2629</v>
      </c>
      <c r="C260" s="179"/>
      <c r="D260" s="179" t="s">
        <v>2645</v>
      </c>
      <c r="E260" s="179"/>
    </row>
    <row r="261" spans="2:9" x14ac:dyDescent="0.55000000000000004">
      <c r="B261" s="180" t="s">
        <v>380</v>
      </c>
      <c r="C261" s="27" t="s">
        <v>2636</v>
      </c>
      <c r="D261" s="181">
        <f>COUNTIF('PF320'!Y10:Y329,"FLEXRAY_RXDA")</f>
        <v>0</v>
      </c>
      <c r="E261" s="181"/>
    </row>
    <row r="262" spans="2:9" x14ac:dyDescent="0.55000000000000004">
      <c r="B262" s="180"/>
      <c r="C262" s="27" t="s">
        <v>2637</v>
      </c>
      <c r="D262" s="181">
        <f>COUNTIF('PF320'!Y10:Y329,"FLEXRAY_TXDA")</f>
        <v>0</v>
      </c>
      <c r="E262" s="181"/>
    </row>
    <row r="263" spans="2:9" x14ac:dyDescent="0.55000000000000004">
      <c r="B263" s="180"/>
      <c r="C263" s="27" t="s">
        <v>2638</v>
      </c>
      <c r="D263" s="181">
        <f>COUNTIF('PF320'!Y10:Y329,"FLEXRAY_TXENA_N")</f>
        <v>0</v>
      </c>
      <c r="E263" s="181"/>
    </row>
    <row r="264" spans="2:9" x14ac:dyDescent="0.55000000000000004">
      <c r="B264" s="180"/>
      <c r="C264" s="27" t="s">
        <v>2639</v>
      </c>
      <c r="D264" s="181">
        <f>COUNTIF('PF320'!Y10:Y329,"FLEXRAY_RXDB")</f>
        <v>0</v>
      </c>
      <c r="E264" s="181"/>
    </row>
    <row r="265" spans="2:9" x14ac:dyDescent="0.55000000000000004">
      <c r="B265" s="180"/>
      <c r="C265" s="27" t="s">
        <v>2640</v>
      </c>
      <c r="D265" s="181">
        <f>COUNTIF('PF320'!Y10:Y329,"FLEXRAY_TXDB")</f>
        <v>0</v>
      </c>
      <c r="E265" s="181"/>
    </row>
    <row r="266" spans="2:9" x14ac:dyDescent="0.55000000000000004">
      <c r="B266" s="180"/>
      <c r="C266" s="27" t="s">
        <v>2641</v>
      </c>
      <c r="D266" s="181">
        <f>COUNTIF('PF320'!Y10:Y329,"FLEXRAY_TXENB_N")</f>
        <v>0</v>
      </c>
      <c r="E266" s="181"/>
    </row>
    <row r="269" spans="2:9" x14ac:dyDescent="0.55000000000000004">
      <c r="B269" s="179" t="s">
        <v>2617</v>
      </c>
      <c r="C269" s="179"/>
      <c r="D269" s="184" t="s">
        <v>2618</v>
      </c>
      <c r="E269" s="185"/>
      <c r="F269" s="184" t="s">
        <v>2619</v>
      </c>
      <c r="G269" s="185"/>
      <c r="H269" s="184" t="s">
        <v>2620</v>
      </c>
      <c r="I269" s="185"/>
    </row>
    <row r="270" spans="2:9" x14ac:dyDescent="0.55000000000000004">
      <c r="B270" s="180" t="s">
        <v>380</v>
      </c>
      <c r="C270" s="27" t="s">
        <v>2621</v>
      </c>
      <c r="D270" s="186">
        <f>COUNTIF('PF320'!Y10:Y329,"AUDIOSS0_MCLK")</f>
        <v>0</v>
      </c>
      <c r="E270" s="187"/>
      <c r="F270" s="186">
        <f>COUNTIF('PF320'!Y10:Y329,"AUDIOSS1_MCLK")</f>
        <v>0</v>
      </c>
      <c r="G270" s="187"/>
      <c r="H270" s="186">
        <f>COUNTIF('PF320'!Y10:Y329,"AUDIOSS2_MCLK")</f>
        <v>0</v>
      </c>
      <c r="I270" s="187"/>
    </row>
    <row r="271" spans="2:9" x14ac:dyDescent="0.55000000000000004">
      <c r="B271" s="180"/>
      <c r="C271" s="27" t="s">
        <v>2622</v>
      </c>
      <c r="D271" s="186">
        <f>COUNTIF('PF320'!Y10:Y329,"AUDIOSS0_TX_SCK")</f>
        <v>0</v>
      </c>
      <c r="E271" s="187"/>
      <c r="F271" s="186">
        <f>COUNTIF('PF320'!Y10:Y329,"AUDIOSS1_TX_SCK")</f>
        <v>0</v>
      </c>
      <c r="G271" s="187"/>
      <c r="H271" s="186">
        <f>COUNTIF('PF320'!Y10:Y329,"AUDIOSS2_TX_SCK")</f>
        <v>0</v>
      </c>
      <c r="I271" s="187"/>
    </row>
    <row r="272" spans="2:9" x14ac:dyDescent="0.55000000000000004">
      <c r="B272" s="180"/>
      <c r="C272" s="27" t="s">
        <v>2623</v>
      </c>
      <c r="D272" s="186">
        <f>COUNTIF('PF320'!Y10:Y329,"AUDIOSS0_TX_WS")</f>
        <v>0</v>
      </c>
      <c r="E272" s="187"/>
      <c r="F272" s="186">
        <f>COUNTIF('PF320'!Y10:Y329,"AUDIOSS1_TX_WS")</f>
        <v>0</v>
      </c>
      <c r="G272" s="187"/>
      <c r="H272" s="186">
        <f>COUNTIF('PF320'!Y10:Y329,"AUDIOSS2_TX_WS")</f>
        <v>0</v>
      </c>
      <c r="I272" s="187"/>
    </row>
    <row r="273" spans="2:9" x14ac:dyDescent="0.55000000000000004">
      <c r="B273" s="180"/>
      <c r="C273" s="27" t="s">
        <v>2624</v>
      </c>
      <c r="D273" s="186">
        <f>COUNTIF('PF320'!Y10:Y329,"AUDIOSS0_TX_SDO")</f>
        <v>0</v>
      </c>
      <c r="E273" s="187"/>
      <c r="F273" s="186">
        <f>COUNTIF('PF320'!Y10:Y329,"AUDIOSS1_TX_SDO")</f>
        <v>0</v>
      </c>
      <c r="G273" s="187"/>
      <c r="H273" s="186">
        <f>COUNTIF('PF320'!Y10:Y329,"AUDIOSS2_TX_SDO")</f>
        <v>0</v>
      </c>
      <c r="I273" s="187"/>
    </row>
    <row r="274" spans="2:9" x14ac:dyDescent="0.55000000000000004">
      <c r="B274" s="180"/>
      <c r="C274" s="27" t="s">
        <v>2625</v>
      </c>
      <c r="D274" s="186">
        <f>COUNTIF('PF320'!Y10:Y329,"AUDIOSS0_CLK_I2S_IF")</f>
        <v>0</v>
      </c>
      <c r="E274" s="187"/>
      <c r="F274" s="186">
        <f>COUNTIF('PF320'!Y10:Y329,"AUDIOSS1_CLK_I2S_IF")</f>
        <v>0</v>
      </c>
      <c r="G274" s="187"/>
      <c r="H274" s="186">
        <f>COUNTIF('PF320'!Y10:Y329,"AUDIOSS2_CLK_I2S_IF")</f>
        <v>0</v>
      </c>
      <c r="I274" s="187"/>
    </row>
    <row r="275" spans="2:9" x14ac:dyDescent="0.55000000000000004">
      <c r="B275" s="180"/>
      <c r="C275" s="27" t="s">
        <v>2626</v>
      </c>
      <c r="D275" s="186">
        <f>COUNTIF('PF320'!Y10:Y329,"AUDIOSS0_RX_SCK")</f>
        <v>0</v>
      </c>
      <c r="E275" s="187"/>
      <c r="F275" s="186">
        <f>COUNTIF('PF320'!Y10:Y329,"AUDIOSS1_RX_SCK")</f>
        <v>0</v>
      </c>
      <c r="G275" s="187"/>
      <c r="H275" s="186">
        <f>COUNTIF('PF320'!Y10:Y329,"AUDIOSS2_RX_SCK")</f>
        <v>0</v>
      </c>
      <c r="I275" s="187"/>
    </row>
    <row r="276" spans="2:9" x14ac:dyDescent="0.55000000000000004">
      <c r="B276" s="180"/>
      <c r="C276" s="27" t="s">
        <v>2627</v>
      </c>
      <c r="D276" s="186">
        <f>COUNTIF('PF320'!Y10:Y329,"AUDIOSS0_RX_WS")</f>
        <v>0</v>
      </c>
      <c r="E276" s="187"/>
      <c r="F276" s="186">
        <f>COUNTIF('PF320'!Y10:Y329,"AUDIOSS1_RX_WS")</f>
        <v>0</v>
      </c>
      <c r="G276" s="187"/>
      <c r="H276" s="186">
        <f>COUNTIF('PF320'!Y10:Y329,"AUDIOSS2_RX_WS")</f>
        <v>0</v>
      </c>
      <c r="I276" s="187"/>
    </row>
    <row r="277" spans="2:9" x14ac:dyDescent="0.55000000000000004">
      <c r="B277" s="180"/>
      <c r="C277" s="27" t="s">
        <v>2628</v>
      </c>
      <c r="D277" s="186">
        <f>COUNTIF('PF320'!Y10:Y329,"AUDIOSS0_RX_SDI")</f>
        <v>0</v>
      </c>
      <c r="E277" s="187"/>
      <c r="F277" s="186">
        <f>COUNTIF('PF320'!Y10:Y329,"AUDIOSS1_RX_SDI")</f>
        <v>0</v>
      </c>
      <c r="G277" s="187"/>
      <c r="H277" s="186">
        <f>COUNTIF('PF320'!Y10:Y329,"AUDIOSS2_RX_SDI")</f>
        <v>0</v>
      </c>
      <c r="I277" s="187"/>
    </row>
    <row r="278" spans="2:9" x14ac:dyDescent="0.55000000000000004">
      <c r="B278" s="67"/>
      <c r="C278" s="71"/>
    </row>
    <row r="279" spans="2:9" x14ac:dyDescent="0.55000000000000004">
      <c r="B279" s="67"/>
      <c r="C279" s="71"/>
    </row>
  </sheetData>
  <sheetProtection algorithmName="SHA-512" hashValue="BG1B8bmFADm8p9tcqFsRmSPdzg+PwMz6GMUeH0aF5JMELSYgxyDgzrTxonAAn3k5d2+nsPYS04lESXdeu+3/sQ==" saltValue="+qstwBVhcOpFB28ALgNCuQ==" spinCount="100000" sheet="1" objects="1" scenarios="1" formatCells="0" formatColumns="0" formatRows="0" insertColumns="0" insertRows="0" insertHyperlinks="0" deleteColumns="0" deleteRows="0" selectLockedCells="1" sort="0" autoFilter="0" pivotTables="0"/>
  <mergeCells count="74">
    <mergeCell ref="H275:I275"/>
    <mergeCell ref="H276:I276"/>
    <mergeCell ref="H277:I277"/>
    <mergeCell ref="F270:G270"/>
    <mergeCell ref="F271:G271"/>
    <mergeCell ref="F272:G272"/>
    <mergeCell ref="F273:G273"/>
    <mergeCell ref="F274:G274"/>
    <mergeCell ref="H270:I270"/>
    <mergeCell ref="H271:I271"/>
    <mergeCell ref="H272:I272"/>
    <mergeCell ref="H273:I273"/>
    <mergeCell ref="H274:I274"/>
    <mergeCell ref="B78:B79"/>
    <mergeCell ref="B7:C7"/>
    <mergeCell ref="B8:B9"/>
    <mergeCell ref="B11:C11"/>
    <mergeCell ref="B12:B13"/>
    <mergeCell ref="B16:C16"/>
    <mergeCell ref="B17:B19"/>
    <mergeCell ref="B22:C22"/>
    <mergeCell ref="B77:C77"/>
    <mergeCell ref="B23:B43"/>
    <mergeCell ref="B44:B51"/>
    <mergeCell ref="B52:B57"/>
    <mergeCell ref="B71:C71"/>
    <mergeCell ref="B72:B73"/>
    <mergeCell ref="B74:B75"/>
    <mergeCell ref="B102:B103"/>
    <mergeCell ref="B83:C83"/>
    <mergeCell ref="B84:B85"/>
    <mergeCell ref="B86:B87"/>
    <mergeCell ref="B95:C95"/>
    <mergeCell ref="B96:B97"/>
    <mergeCell ref="B98:B99"/>
    <mergeCell ref="B80:B81"/>
    <mergeCell ref="B89:C89"/>
    <mergeCell ref="B90:B91"/>
    <mergeCell ref="B92:B93"/>
    <mergeCell ref="B101:C101"/>
    <mergeCell ref="B176:C176"/>
    <mergeCell ref="B177:B218"/>
    <mergeCell ref="B109:B141"/>
    <mergeCell ref="B104:B105"/>
    <mergeCell ref="B108:C108"/>
    <mergeCell ref="B144:C144"/>
    <mergeCell ref="B145:B168"/>
    <mergeCell ref="H269:I269"/>
    <mergeCell ref="B270:B277"/>
    <mergeCell ref="B269:C269"/>
    <mergeCell ref="D269:E269"/>
    <mergeCell ref="F269:G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F275:G275"/>
    <mergeCell ref="F276:G276"/>
    <mergeCell ref="F277:G277"/>
    <mergeCell ref="B226:C226"/>
    <mergeCell ref="B260:C260"/>
    <mergeCell ref="B261:B266"/>
    <mergeCell ref="D260:E260"/>
    <mergeCell ref="D261:E261"/>
    <mergeCell ref="D262:E262"/>
    <mergeCell ref="D263:E263"/>
    <mergeCell ref="D264:E264"/>
    <mergeCell ref="D265:E265"/>
    <mergeCell ref="D266:E266"/>
    <mergeCell ref="B227:B252"/>
  </mergeCells>
  <phoneticPr fontId="3"/>
  <conditionalFormatting sqref="D261:D266 F261:I266 D270:D277 F270:I277">
    <cfRule type="cellIs" dxfId="23" priority="9" operator="notEqual">
      <formula>0</formula>
    </cfRule>
  </conditionalFormatting>
  <conditionalFormatting sqref="D261:D266 F261:I266 D270:I277">
    <cfRule type="cellIs" dxfId="22" priority="7" operator="greaterThanOrEqual">
      <formula>2</formula>
    </cfRule>
  </conditionalFormatting>
  <conditionalFormatting sqref="D72:F75 D78:CI82 D84:F87">
    <cfRule type="cellIs" dxfId="21" priority="39" operator="notEqual">
      <formula>0</formula>
    </cfRule>
    <cfRule type="cellIs" dxfId="20" priority="40" operator="greaterThanOrEqual">
      <formula>2</formula>
    </cfRule>
  </conditionalFormatting>
  <conditionalFormatting sqref="D8:H9 G12:H14 D12:F15 L17:W20 D17:K21 D23:N58 D69:N69 D90:O94 D96:G99 D100:O100 D102:P106 D109:F143 D145:E169 D174:F174 D177:E218 D227:E253 D278:E279">
    <cfRule type="cellIs" dxfId="19" priority="158" operator="greaterThanOrEqual">
      <formula>2</formula>
    </cfRule>
    <cfRule type="cellIs" dxfId="18" priority="188" operator="notEqual">
      <formula>0</formula>
    </cfRule>
  </conditionalFormatting>
  <pageMargins left="0.7" right="0.7" top="0.75" bottom="0.75" header="0.3" footer="0.3"/>
  <pageSetup paperSize="9" orientation="portrait" r:id="rId1"/>
  <ignoredErrors>
    <ignoredError sqref="D8:H9 D12:H13 D17:W19 D23:N57 D60:N68 D72:F75 D78:CI81 D84:F87 D90:O93 D96:F99 D102:F102 D109:F141 D145:D168 D171:D173 D177:E218 D221:E223 D227:D252 D255:D257 D261:E266 D270:I277 D104:P105 D103:E103 F103:P103 G102:P102" unlocked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F1C0-A012-4E1D-BDC5-2F7406DD4C9C}">
  <dimension ref="A1:AV265"/>
  <sheetViews>
    <sheetView zoomScale="55" zoomScaleNormal="55" workbookViewId="0">
      <selection activeCell="AW5" sqref="AW5"/>
    </sheetView>
  </sheetViews>
  <sheetFormatPr defaultRowHeight="10" x14ac:dyDescent="0.55000000000000004"/>
  <cols>
    <col min="1" max="1" width="8.6640625" style="76"/>
    <col min="2" max="2" width="3.33203125" style="76" customWidth="1"/>
    <col min="3" max="3" width="6.58203125" style="76" customWidth="1"/>
    <col min="4" max="4" width="3.58203125" style="77" customWidth="1"/>
    <col min="5" max="5" width="8.58203125" style="77" customWidth="1"/>
    <col min="6" max="6" width="1.58203125" style="77" customWidth="1"/>
    <col min="7" max="7" width="8.58203125" style="77" customWidth="1"/>
    <col min="8" max="8" width="1.58203125" style="77" customWidth="1"/>
    <col min="9" max="9" width="8.58203125" style="77" customWidth="1"/>
    <col min="10" max="10" width="1.58203125" style="77" customWidth="1"/>
    <col min="11" max="11" width="8.58203125" style="77" customWidth="1"/>
    <col min="12" max="12" width="1.58203125" style="77" customWidth="1"/>
    <col min="13" max="13" width="8.58203125" style="77" customWidth="1"/>
    <col min="14" max="14" width="1.58203125" style="77" customWidth="1"/>
    <col min="15" max="15" width="8.58203125" style="77" customWidth="1"/>
    <col min="16" max="16" width="1.58203125" style="77" customWidth="1"/>
    <col min="17" max="17" width="8.58203125" style="77" customWidth="1"/>
    <col min="18" max="18" width="1.58203125" style="77" customWidth="1"/>
    <col min="19" max="19" width="8.58203125" style="77" customWidth="1"/>
    <col min="20" max="20" width="1.58203125" style="77" customWidth="1"/>
    <col min="21" max="21" width="8.58203125" style="77" customWidth="1"/>
    <col min="22" max="22" width="1.58203125" style="77" customWidth="1"/>
    <col min="23" max="23" width="8.58203125" style="77" customWidth="1"/>
    <col min="24" max="24" width="1.58203125" style="77" customWidth="1"/>
    <col min="25" max="25" width="8.58203125" style="77" customWidth="1"/>
    <col min="26" max="26" width="1.58203125" style="77" customWidth="1"/>
    <col min="27" max="27" width="8.58203125" style="77" customWidth="1"/>
    <col min="28" max="28" width="1.58203125" style="77" customWidth="1"/>
    <col min="29" max="29" width="8.58203125" style="77" customWidth="1"/>
    <col min="30" max="30" width="1.58203125" style="77" customWidth="1"/>
    <col min="31" max="31" width="8.58203125" style="77" customWidth="1"/>
    <col min="32" max="32" width="1.58203125" style="77" customWidth="1"/>
    <col min="33" max="33" width="8.58203125" style="77" customWidth="1"/>
    <col min="34" max="34" width="1.58203125" style="77" customWidth="1"/>
    <col min="35" max="35" width="8.58203125" style="77" customWidth="1"/>
    <col min="36" max="36" width="1.58203125" style="77" customWidth="1"/>
    <col min="37" max="37" width="8.58203125" style="77" customWidth="1"/>
    <col min="38" max="38" width="1.58203125" style="77" customWidth="1"/>
    <col min="39" max="39" width="8.58203125" style="77" customWidth="1"/>
    <col min="40" max="40" width="1.58203125" style="77" customWidth="1"/>
    <col min="41" max="41" width="8.58203125" style="77" customWidth="1"/>
    <col min="42" max="42" width="1.58203125" style="77" customWidth="1"/>
    <col min="43" max="43" width="8.58203125" style="77" customWidth="1"/>
    <col min="44" max="44" width="3.58203125" style="77" customWidth="1"/>
    <col min="45" max="45" width="3.33203125" style="77" customWidth="1"/>
    <col min="46" max="48" width="8.58203125" style="76" customWidth="1"/>
    <col min="49" max="270" width="8.6640625" style="76"/>
    <col min="271" max="271" width="14.33203125" style="76" customWidth="1"/>
    <col min="272" max="273" width="3.33203125" style="76" customWidth="1"/>
    <col min="274" max="298" width="2.4140625" style="76" customWidth="1"/>
    <col min="299" max="300" width="3.33203125" style="76" customWidth="1"/>
    <col min="301" max="301" width="14.33203125" style="76" customWidth="1"/>
    <col min="302" max="526" width="8.6640625" style="76"/>
    <col min="527" max="527" width="14.33203125" style="76" customWidth="1"/>
    <col min="528" max="529" width="3.33203125" style="76" customWidth="1"/>
    <col min="530" max="554" width="2.4140625" style="76" customWidth="1"/>
    <col min="555" max="556" width="3.33203125" style="76" customWidth="1"/>
    <col min="557" max="557" width="14.33203125" style="76" customWidth="1"/>
    <col min="558" max="782" width="8.6640625" style="76"/>
    <col min="783" max="783" width="14.33203125" style="76" customWidth="1"/>
    <col min="784" max="785" width="3.33203125" style="76" customWidth="1"/>
    <col min="786" max="810" width="2.4140625" style="76" customWidth="1"/>
    <col min="811" max="812" width="3.33203125" style="76" customWidth="1"/>
    <col min="813" max="813" width="14.33203125" style="76" customWidth="1"/>
    <col min="814" max="1038" width="8.6640625" style="76"/>
    <col min="1039" max="1039" width="14.33203125" style="76" customWidth="1"/>
    <col min="1040" max="1041" width="3.33203125" style="76" customWidth="1"/>
    <col min="1042" max="1066" width="2.4140625" style="76" customWidth="1"/>
    <col min="1067" max="1068" width="3.33203125" style="76" customWidth="1"/>
    <col min="1069" max="1069" width="14.33203125" style="76" customWidth="1"/>
    <col min="1070" max="1294" width="8.6640625" style="76"/>
    <col min="1295" max="1295" width="14.33203125" style="76" customWidth="1"/>
    <col min="1296" max="1297" width="3.33203125" style="76" customWidth="1"/>
    <col min="1298" max="1322" width="2.4140625" style="76" customWidth="1"/>
    <col min="1323" max="1324" width="3.33203125" style="76" customWidth="1"/>
    <col min="1325" max="1325" width="14.33203125" style="76" customWidth="1"/>
    <col min="1326" max="1550" width="8.6640625" style="76"/>
    <col min="1551" max="1551" width="14.33203125" style="76" customWidth="1"/>
    <col min="1552" max="1553" width="3.33203125" style="76" customWidth="1"/>
    <col min="1554" max="1578" width="2.4140625" style="76" customWidth="1"/>
    <col min="1579" max="1580" width="3.33203125" style="76" customWidth="1"/>
    <col min="1581" max="1581" width="14.33203125" style="76" customWidth="1"/>
    <col min="1582" max="1806" width="8.6640625" style="76"/>
    <col min="1807" max="1807" width="14.33203125" style="76" customWidth="1"/>
    <col min="1808" max="1809" width="3.33203125" style="76" customWidth="1"/>
    <col min="1810" max="1834" width="2.4140625" style="76" customWidth="1"/>
    <col min="1835" max="1836" width="3.33203125" style="76" customWidth="1"/>
    <col min="1837" max="1837" width="14.33203125" style="76" customWidth="1"/>
    <col min="1838" max="2062" width="8.6640625" style="76"/>
    <col min="2063" max="2063" width="14.33203125" style="76" customWidth="1"/>
    <col min="2064" max="2065" width="3.33203125" style="76" customWidth="1"/>
    <col min="2066" max="2090" width="2.4140625" style="76" customWidth="1"/>
    <col min="2091" max="2092" width="3.33203125" style="76" customWidth="1"/>
    <col min="2093" max="2093" width="14.33203125" style="76" customWidth="1"/>
    <col min="2094" max="2318" width="8.6640625" style="76"/>
    <col min="2319" max="2319" width="14.33203125" style="76" customWidth="1"/>
    <col min="2320" max="2321" width="3.33203125" style="76" customWidth="1"/>
    <col min="2322" max="2346" width="2.4140625" style="76" customWidth="1"/>
    <col min="2347" max="2348" width="3.33203125" style="76" customWidth="1"/>
    <col min="2349" max="2349" width="14.33203125" style="76" customWidth="1"/>
    <col min="2350" max="2574" width="8.6640625" style="76"/>
    <col min="2575" max="2575" width="14.33203125" style="76" customWidth="1"/>
    <col min="2576" max="2577" width="3.33203125" style="76" customWidth="1"/>
    <col min="2578" max="2602" width="2.4140625" style="76" customWidth="1"/>
    <col min="2603" max="2604" width="3.33203125" style="76" customWidth="1"/>
    <col min="2605" max="2605" width="14.33203125" style="76" customWidth="1"/>
    <col min="2606" max="2830" width="8.6640625" style="76"/>
    <col min="2831" max="2831" width="14.33203125" style="76" customWidth="1"/>
    <col min="2832" max="2833" width="3.33203125" style="76" customWidth="1"/>
    <col min="2834" max="2858" width="2.4140625" style="76" customWidth="1"/>
    <col min="2859" max="2860" width="3.33203125" style="76" customWidth="1"/>
    <col min="2861" max="2861" width="14.33203125" style="76" customWidth="1"/>
    <col min="2862" max="3086" width="8.6640625" style="76"/>
    <col min="3087" max="3087" width="14.33203125" style="76" customWidth="1"/>
    <col min="3088" max="3089" width="3.33203125" style="76" customWidth="1"/>
    <col min="3090" max="3114" width="2.4140625" style="76" customWidth="1"/>
    <col min="3115" max="3116" width="3.33203125" style="76" customWidth="1"/>
    <col min="3117" max="3117" width="14.33203125" style="76" customWidth="1"/>
    <col min="3118" max="3342" width="8.6640625" style="76"/>
    <col min="3343" max="3343" width="14.33203125" style="76" customWidth="1"/>
    <col min="3344" max="3345" width="3.33203125" style="76" customWidth="1"/>
    <col min="3346" max="3370" width="2.4140625" style="76" customWidth="1"/>
    <col min="3371" max="3372" width="3.33203125" style="76" customWidth="1"/>
    <col min="3373" max="3373" width="14.33203125" style="76" customWidth="1"/>
    <col min="3374" max="3598" width="8.6640625" style="76"/>
    <col min="3599" max="3599" width="14.33203125" style="76" customWidth="1"/>
    <col min="3600" max="3601" width="3.33203125" style="76" customWidth="1"/>
    <col min="3602" max="3626" width="2.4140625" style="76" customWidth="1"/>
    <col min="3627" max="3628" width="3.33203125" style="76" customWidth="1"/>
    <col min="3629" max="3629" width="14.33203125" style="76" customWidth="1"/>
    <col min="3630" max="3854" width="8.6640625" style="76"/>
    <col min="3855" max="3855" width="14.33203125" style="76" customWidth="1"/>
    <col min="3856" max="3857" width="3.33203125" style="76" customWidth="1"/>
    <col min="3858" max="3882" width="2.4140625" style="76" customWidth="1"/>
    <col min="3883" max="3884" width="3.33203125" style="76" customWidth="1"/>
    <col min="3885" max="3885" width="14.33203125" style="76" customWidth="1"/>
    <col min="3886" max="4110" width="8.6640625" style="76"/>
    <col min="4111" max="4111" width="14.33203125" style="76" customWidth="1"/>
    <col min="4112" max="4113" width="3.33203125" style="76" customWidth="1"/>
    <col min="4114" max="4138" width="2.4140625" style="76" customWidth="1"/>
    <col min="4139" max="4140" width="3.33203125" style="76" customWidth="1"/>
    <col min="4141" max="4141" width="14.33203125" style="76" customWidth="1"/>
    <col min="4142" max="4366" width="8.6640625" style="76"/>
    <col min="4367" max="4367" width="14.33203125" style="76" customWidth="1"/>
    <col min="4368" max="4369" width="3.33203125" style="76" customWidth="1"/>
    <col min="4370" max="4394" width="2.4140625" style="76" customWidth="1"/>
    <col min="4395" max="4396" width="3.33203125" style="76" customWidth="1"/>
    <col min="4397" max="4397" width="14.33203125" style="76" customWidth="1"/>
    <col min="4398" max="4622" width="8.6640625" style="76"/>
    <col min="4623" max="4623" width="14.33203125" style="76" customWidth="1"/>
    <col min="4624" max="4625" width="3.33203125" style="76" customWidth="1"/>
    <col min="4626" max="4650" width="2.4140625" style="76" customWidth="1"/>
    <col min="4651" max="4652" width="3.33203125" style="76" customWidth="1"/>
    <col min="4653" max="4653" width="14.33203125" style="76" customWidth="1"/>
    <col min="4654" max="4878" width="8.6640625" style="76"/>
    <col min="4879" max="4879" width="14.33203125" style="76" customWidth="1"/>
    <col min="4880" max="4881" width="3.33203125" style="76" customWidth="1"/>
    <col min="4882" max="4906" width="2.4140625" style="76" customWidth="1"/>
    <col min="4907" max="4908" width="3.33203125" style="76" customWidth="1"/>
    <col min="4909" max="4909" width="14.33203125" style="76" customWidth="1"/>
    <col min="4910" max="5134" width="8.6640625" style="76"/>
    <col min="5135" max="5135" width="14.33203125" style="76" customWidth="1"/>
    <col min="5136" max="5137" width="3.33203125" style="76" customWidth="1"/>
    <col min="5138" max="5162" width="2.4140625" style="76" customWidth="1"/>
    <col min="5163" max="5164" width="3.33203125" style="76" customWidth="1"/>
    <col min="5165" max="5165" width="14.33203125" style="76" customWidth="1"/>
    <col min="5166" max="5390" width="8.6640625" style="76"/>
    <col min="5391" max="5391" width="14.33203125" style="76" customWidth="1"/>
    <col min="5392" max="5393" width="3.33203125" style="76" customWidth="1"/>
    <col min="5394" max="5418" width="2.4140625" style="76" customWidth="1"/>
    <col min="5419" max="5420" width="3.33203125" style="76" customWidth="1"/>
    <col min="5421" max="5421" width="14.33203125" style="76" customWidth="1"/>
    <col min="5422" max="5646" width="8.6640625" style="76"/>
    <col min="5647" max="5647" width="14.33203125" style="76" customWidth="1"/>
    <col min="5648" max="5649" width="3.33203125" style="76" customWidth="1"/>
    <col min="5650" max="5674" width="2.4140625" style="76" customWidth="1"/>
    <col min="5675" max="5676" width="3.33203125" style="76" customWidth="1"/>
    <col min="5677" max="5677" width="14.33203125" style="76" customWidth="1"/>
    <col min="5678" max="5902" width="8.6640625" style="76"/>
    <col min="5903" max="5903" width="14.33203125" style="76" customWidth="1"/>
    <col min="5904" max="5905" width="3.33203125" style="76" customWidth="1"/>
    <col min="5906" max="5930" width="2.4140625" style="76" customWidth="1"/>
    <col min="5931" max="5932" width="3.33203125" style="76" customWidth="1"/>
    <col min="5933" max="5933" width="14.33203125" style="76" customWidth="1"/>
    <col min="5934" max="6158" width="8.6640625" style="76"/>
    <col min="6159" max="6159" width="14.33203125" style="76" customWidth="1"/>
    <col min="6160" max="6161" width="3.33203125" style="76" customWidth="1"/>
    <col min="6162" max="6186" width="2.4140625" style="76" customWidth="1"/>
    <col min="6187" max="6188" width="3.33203125" style="76" customWidth="1"/>
    <col min="6189" max="6189" width="14.33203125" style="76" customWidth="1"/>
    <col min="6190" max="6414" width="8.6640625" style="76"/>
    <col min="6415" max="6415" width="14.33203125" style="76" customWidth="1"/>
    <col min="6416" max="6417" width="3.33203125" style="76" customWidth="1"/>
    <col min="6418" max="6442" width="2.4140625" style="76" customWidth="1"/>
    <col min="6443" max="6444" width="3.33203125" style="76" customWidth="1"/>
    <col min="6445" max="6445" width="14.33203125" style="76" customWidth="1"/>
    <col min="6446" max="6670" width="8.6640625" style="76"/>
    <col min="6671" max="6671" width="14.33203125" style="76" customWidth="1"/>
    <col min="6672" max="6673" width="3.33203125" style="76" customWidth="1"/>
    <col min="6674" max="6698" width="2.4140625" style="76" customWidth="1"/>
    <col min="6699" max="6700" width="3.33203125" style="76" customWidth="1"/>
    <col min="6701" max="6701" width="14.33203125" style="76" customWidth="1"/>
    <col min="6702" max="6926" width="8.6640625" style="76"/>
    <col min="6927" max="6927" width="14.33203125" style="76" customWidth="1"/>
    <col min="6928" max="6929" width="3.33203125" style="76" customWidth="1"/>
    <col min="6930" max="6954" width="2.4140625" style="76" customWidth="1"/>
    <col min="6955" max="6956" width="3.33203125" style="76" customWidth="1"/>
    <col min="6957" max="6957" width="14.33203125" style="76" customWidth="1"/>
    <col min="6958" max="7182" width="8.6640625" style="76"/>
    <col min="7183" max="7183" width="14.33203125" style="76" customWidth="1"/>
    <col min="7184" max="7185" width="3.33203125" style="76" customWidth="1"/>
    <col min="7186" max="7210" width="2.4140625" style="76" customWidth="1"/>
    <col min="7211" max="7212" width="3.33203125" style="76" customWidth="1"/>
    <col min="7213" max="7213" width="14.33203125" style="76" customWidth="1"/>
    <col min="7214" max="7438" width="8.6640625" style="76"/>
    <col min="7439" max="7439" width="14.33203125" style="76" customWidth="1"/>
    <col min="7440" max="7441" width="3.33203125" style="76" customWidth="1"/>
    <col min="7442" max="7466" width="2.4140625" style="76" customWidth="1"/>
    <col min="7467" max="7468" width="3.33203125" style="76" customWidth="1"/>
    <col min="7469" max="7469" width="14.33203125" style="76" customWidth="1"/>
    <col min="7470" max="7694" width="8.6640625" style="76"/>
    <col min="7695" max="7695" width="14.33203125" style="76" customWidth="1"/>
    <col min="7696" max="7697" width="3.33203125" style="76" customWidth="1"/>
    <col min="7698" max="7722" width="2.4140625" style="76" customWidth="1"/>
    <col min="7723" max="7724" width="3.33203125" style="76" customWidth="1"/>
    <col min="7725" max="7725" width="14.33203125" style="76" customWidth="1"/>
    <col min="7726" max="7950" width="8.6640625" style="76"/>
    <col min="7951" max="7951" width="14.33203125" style="76" customWidth="1"/>
    <col min="7952" max="7953" width="3.33203125" style="76" customWidth="1"/>
    <col min="7954" max="7978" width="2.4140625" style="76" customWidth="1"/>
    <col min="7979" max="7980" width="3.33203125" style="76" customWidth="1"/>
    <col min="7981" max="7981" width="14.33203125" style="76" customWidth="1"/>
    <col min="7982" max="8206" width="8.6640625" style="76"/>
    <col min="8207" max="8207" width="14.33203125" style="76" customWidth="1"/>
    <col min="8208" max="8209" width="3.33203125" style="76" customWidth="1"/>
    <col min="8210" max="8234" width="2.4140625" style="76" customWidth="1"/>
    <col min="8235" max="8236" width="3.33203125" style="76" customWidth="1"/>
    <col min="8237" max="8237" width="14.33203125" style="76" customWidth="1"/>
    <col min="8238" max="8462" width="8.6640625" style="76"/>
    <col min="8463" max="8463" width="14.33203125" style="76" customWidth="1"/>
    <col min="8464" max="8465" width="3.33203125" style="76" customWidth="1"/>
    <col min="8466" max="8490" width="2.4140625" style="76" customWidth="1"/>
    <col min="8491" max="8492" width="3.33203125" style="76" customWidth="1"/>
    <col min="8493" max="8493" width="14.33203125" style="76" customWidth="1"/>
    <col min="8494" max="8718" width="8.6640625" style="76"/>
    <col min="8719" max="8719" width="14.33203125" style="76" customWidth="1"/>
    <col min="8720" max="8721" width="3.33203125" style="76" customWidth="1"/>
    <col min="8722" max="8746" width="2.4140625" style="76" customWidth="1"/>
    <col min="8747" max="8748" width="3.33203125" style="76" customWidth="1"/>
    <col min="8749" max="8749" width="14.33203125" style="76" customWidth="1"/>
    <col min="8750" max="8974" width="8.6640625" style="76"/>
    <col min="8975" max="8975" width="14.33203125" style="76" customWidth="1"/>
    <col min="8976" max="8977" width="3.33203125" style="76" customWidth="1"/>
    <col min="8978" max="9002" width="2.4140625" style="76" customWidth="1"/>
    <col min="9003" max="9004" width="3.33203125" style="76" customWidth="1"/>
    <col min="9005" max="9005" width="14.33203125" style="76" customWidth="1"/>
    <col min="9006" max="9230" width="8.6640625" style="76"/>
    <col min="9231" max="9231" width="14.33203125" style="76" customWidth="1"/>
    <col min="9232" max="9233" width="3.33203125" style="76" customWidth="1"/>
    <col min="9234" max="9258" width="2.4140625" style="76" customWidth="1"/>
    <col min="9259" max="9260" width="3.33203125" style="76" customWidth="1"/>
    <col min="9261" max="9261" width="14.33203125" style="76" customWidth="1"/>
    <col min="9262" max="9486" width="8.6640625" style="76"/>
    <col min="9487" max="9487" width="14.33203125" style="76" customWidth="1"/>
    <col min="9488" max="9489" width="3.33203125" style="76" customWidth="1"/>
    <col min="9490" max="9514" width="2.4140625" style="76" customWidth="1"/>
    <col min="9515" max="9516" width="3.33203125" style="76" customWidth="1"/>
    <col min="9517" max="9517" width="14.33203125" style="76" customWidth="1"/>
    <col min="9518" max="9742" width="8.6640625" style="76"/>
    <col min="9743" max="9743" width="14.33203125" style="76" customWidth="1"/>
    <col min="9744" max="9745" width="3.33203125" style="76" customWidth="1"/>
    <col min="9746" max="9770" width="2.4140625" style="76" customWidth="1"/>
    <col min="9771" max="9772" width="3.33203125" style="76" customWidth="1"/>
    <col min="9773" max="9773" width="14.33203125" style="76" customWidth="1"/>
    <col min="9774" max="9998" width="8.6640625" style="76"/>
    <col min="9999" max="9999" width="14.33203125" style="76" customWidth="1"/>
    <col min="10000" max="10001" width="3.33203125" style="76" customWidth="1"/>
    <col min="10002" max="10026" width="2.4140625" style="76" customWidth="1"/>
    <col min="10027" max="10028" width="3.33203125" style="76" customWidth="1"/>
    <col min="10029" max="10029" width="14.33203125" style="76" customWidth="1"/>
    <col min="10030" max="10254" width="8.6640625" style="76"/>
    <col min="10255" max="10255" width="14.33203125" style="76" customWidth="1"/>
    <col min="10256" max="10257" width="3.33203125" style="76" customWidth="1"/>
    <col min="10258" max="10282" width="2.4140625" style="76" customWidth="1"/>
    <col min="10283" max="10284" width="3.33203125" style="76" customWidth="1"/>
    <col min="10285" max="10285" width="14.33203125" style="76" customWidth="1"/>
    <col min="10286" max="10510" width="8.6640625" style="76"/>
    <col min="10511" max="10511" width="14.33203125" style="76" customWidth="1"/>
    <col min="10512" max="10513" width="3.33203125" style="76" customWidth="1"/>
    <col min="10514" max="10538" width="2.4140625" style="76" customWidth="1"/>
    <col min="10539" max="10540" width="3.33203125" style="76" customWidth="1"/>
    <col min="10541" max="10541" width="14.33203125" style="76" customWidth="1"/>
    <col min="10542" max="10766" width="8.6640625" style="76"/>
    <col min="10767" max="10767" width="14.33203125" style="76" customWidth="1"/>
    <col min="10768" max="10769" width="3.33203125" style="76" customWidth="1"/>
    <col min="10770" max="10794" width="2.4140625" style="76" customWidth="1"/>
    <col min="10795" max="10796" width="3.33203125" style="76" customWidth="1"/>
    <col min="10797" max="10797" width="14.33203125" style="76" customWidth="1"/>
    <col min="10798" max="11022" width="8.6640625" style="76"/>
    <col min="11023" max="11023" width="14.33203125" style="76" customWidth="1"/>
    <col min="11024" max="11025" width="3.33203125" style="76" customWidth="1"/>
    <col min="11026" max="11050" width="2.4140625" style="76" customWidth="1"/>
    <col min="11051" max="11052" width="3.33203125" style="76" customWidth="1"/>
    <col min="11053" max="11053" width="14.33203125" style="76" customWidth="1"/>
    <col min="11054" max="11278" width="8.6640625" style="76"/>
    <col min="11279" max="11279" width="14.33203125" style="76" customWidth="1"/>
    <col min="11280" max="11281" width="3.33203125" style="76" customWidth="1"/>
    <col min="11282" max="11306" width="2.4140625" style="76" customWidth="1"/>
    <col min="11307" max="11308" width="3.33203125" style="76" customWidth="1"/>
    <col min="11309" max="11309" width="14.33203125" style="76" customWidth="1"/>
    <col min="11310" max="11534" width="8.6640625" style="76"/>
    <col min="11535" max="11535" width="14.33203125" style="76" customWidth="1"/>
    <col min="11536" max="11537" width="3.33203125" style="76" customWidth="1"/>
    <col min="11538" max="11562" width="2.4140625" style="76" customWidth="1"/>
    <col min="11563" max="11564" width="3.33203125" style="76" customWidth="1"/>
    <col min="11565" max="11565" width="14.33203125" style="76" customWidth="1"/>
    <col min="11566" max="11790" width="8.6640625" style="76"/>
    <col min="11791" max="11791" width="14.33203125" style="76" customWidth="1"/>
    <col min="11792" max="11793" width="3.33203125" style="76" customWidth="1"/>
    <col min="11794" max="11818" width="2.4140625" style="76" customWidth="1"/>
    <col min="11819" max="11820" width="3.33203125" style="76" customWidth="1"/>
    <col min="11821" max="11821" width="14.33203125" style="76" customWidth="1"/>
    <col min="11822" max="12046" width="8.6640625" style="76"/>
    <col min="12047" max="12047" width="14.33203125" style="76" customWidth="1"/>
    <col min="12048" max="12049" width="3.33203125" style="76" customWidth="1"/>
    <col min="12050" max="12074" width="2.4140625" style="76" customWidth="1"/>
    <col min="12075" max="12076" width="3.33203125" style="76" customWidth="1"/>
    <col min="12077" max="12077" width="14.33203125" style="76" customWidth="1"/>
    <col min="12078" max="12302" width="8.6640625" style="76"/>
    <col min="12303" max="12303" width="14.33203125" style="76" customWidth="1"/>
    <col min="12304" max="12305" width="3.33203125" style="76" customWidth="1"/>
    <col min="12306" max="12330" width="2.4140625" style="76" customWidth="1"/>
    <col min="12331" max="12332" width="3.33203125" style="76" customWidth="1"/>
    <col min="12333" max="12333" width="14.33203125" style="76" customWidth="1"/>
    <col min="12334" max="12558" width="8.6640625" style="76"/>
    <col min="12559" max="12559" width="14.33203125" style="76" customWidth="1"/>
    <col min="12560" max="12561" width="3.33203125" style="76" customWidth="1"/>
    <col min="12562" max="12586" width="2.4140625" style="76" customWidth="1"/>
    <col min="12587" max="12588" width="3.33203125" style="76" customWidth="1"/>
    <col min="12589" max="12589" width="14.33203125" style="76" customWidth="1"/>
    <col min="12590" max="12814" width="8.6640625" style="76"/>
    <col min="12815" max="12815" width="14.33203125" style="76" customWidth="1"/>
    <col min="12816" max="12817" width="3.33203125" style="76" customWidth="1"/>
    <col min="12818" max="12842" width="2.4140625" style="76" customWidth="1"/>
    <col min="12843" max="12844" width="3.33203125" style="76" customWidth="1"/>
    <col min="12845" max="12845" width="14.33203125" style="76" customWidth="1"/>
    <col min="12846" max="13070" width="8.6640625" style="76"/>
    <col min="13071" max="13071" width="14.33203125" style="76" customWidth="1"/>
    <col min="13072" max="13073" width="3.33203125" style="76" customWidth="1"/>
    <col min="13074" max="13098" width="2.4140625" style="76" customWidth="1"/>
    <col min="13099" max="13100" width="3.33203125" style="76" customWidth="1"/>
    <col min="13101" max="13101" width="14.33203125" style="76" customWidth="1"/>
    <col min="13102" max="13326" width="8.6640625" style="76"/>
    <col min="13327" max="13327" width="14.33203125" style="76" customWidth="1"/>
    <col min="13328" max="13329" width="3.33203125" style="76" customWidth="1"/>
    <col min="13330" max="13354" width="2.4140625" style="76" customWidth="1"/>
    <col min="13355" max="13356" width="3.33203125" style="76" customWidth="1"/>
    <col min="13357" max="13357" width="14.33203125" style="76" customWidth="1"/>
    <col min="13358" max="13582" width="8.6640625" style="76"/>
    <col min="13583" max="13583" width="14.33203125" style="76" customWidth="1"/>
    <col min="13584" max="13585" width="3.33203125" style="76" customWidth="1"/>
    <col min="13586" max="13610" width="2.4140625" style="76" customWidth="1"/>
    <col min="13611" max="13612" width="3.33203125" style="76" customWidth="1"/>
    <col min="13613" max="13613" width="14.33203125" style="76" customWidth="1"/>
    <col min="13614" max="13838" width="8.6640625" style="76"/>
    <col min="13839" max="13839" width="14.33203125" style="76" customWidth="1"/>
    <col min="13840" max="13841" width="3.33203125" style="76" customWidth="1"/>
    <col min="13842" max="13866" width="2.4140625" style="76" customWidth="1"/>
    <col min="13867" max="13868" width="3.33203125" style="76" customWidth="1"/>
    <col min="13869" max="13869" width="14.33203125" style="76" customWidth="1"/>
    <col min="13870" max="14094" width="8.6640625" style="76"/>
    <col min="14095" max="14095" width="14.33203125" style="76" customWidth="1"/>
    <col min="14096" max="14097" width="3.33203125" style="76" customWidth="1"/>
    <col min="14098" max="14122" width="2.4140625" style="76" customWidth="1"/>
    <col min="14123" max="14124" width="3.33203125" style="76" customWidth="1"/>
    <col min="14125" max="14125" width="14.33203125" style="76" customWidth="1"/>
    <col min="14126" max="14350" width="8.6640625" style="76"/>
    <col min="14351" max="14351" width="14.33203125" style="76" customWidth="1"/>
    <col min="14352" max="14353" width="3.33203125" style="76" customWidth="1"/>
    <col min="14354" max="14378" width="2.4140625" style="76" customWidth="1"/>
    <col min="14379" max="14380" width="3.33203125" style="76" customWidth="1"/>
    <col min="14381" max="14381" width="14.33203125" style="76" customWidth="1"/>
    <col min="14382" max="14606" width="8.6640625" style="76"/>
    <col min="14607" max="14607" width="14.33203125" style="76" customWidth="1"/>
    <col min="14608" max="14609" width="3.33203125" style="76" customWidth="1"/>
    <col min="14610" max="14634" width="2.4140625" style="76" customWidth="1"/>
    <col min="14635" max="14636" width="3.33203125" style="76" customWidth="1"/>
    <col min="14637" max="14637" width="14.33203125" style="76" customWidth="1"/>
    <col min="14638" max="14862" width="8.6640625" style="76"/>
    <col min="14863" max="14863" width="14.33203125" style="76" customWidth="1"/>
    <col min="14864" max="14865" width="3.33203125" style="76" customWidth="1"/>
    <col min="14866" max="14890" width="2.4140625" style="76" customWidth="1"/>
    <col min="14891" max="14892" width="3.33203125" style="76" customWidth="1"/>
    <col min="14893" max="14893" width="14.33203125" style="76" customWidth="1"/>
    <col min="14894" max="15118" width="8.6640625" style="76"/>
    <col min="15119" max="15119" width="14.33203125" style="76" customWidth="1"/>
    <col min="15120" max="15121" width="3.33203125" style="76" customWidth="1"/>
    <col min="15122" max="15146" width="2.4140625" style="76" customWidth="1"/>
    <col min="15147" max="15148" width="3.33203125" style="76" customWidth="1"/>
    <col min="15149" max="15149" width="14.33203125" style="76" customWidth="1"/>
    <col min="15150" max="15374" width="8.6640625" style="76"/>
    <col min="15375" max="15375" width="14.33203125" style="76" customWidth="1"/>
    <col min="15376" max="15377" width="3.33203125" style="76" customWidth="1"/>
    <col min="15378" max="15402" width="2.4140625" style="76" customWidth="1"/>
    <col min="15403" max="15404" width="3.33203125" style="76" customWidth="1"/>
    <col min="15405" max="15405" width="14.33203125" style="76" customWidth="1"/>
    <col min="15406" max="15630" width="8.6640625" style="76"/>
    <col min="15631" max="15631" width="14.33203125" style="76" customWidth="1"/>
    <col min="15632" max="15633" width="3.33203125" style="76" customWidth="1"/>
    <col min="15634" max="15658" width="2.4140625" style="76" customWidth="1"/>
    <col min="15659" max="15660" width="3.33203125" style="76" customWidth="1"/>
    <col min="15661" max="15661" width="14.33203125" style="76" customWidth="1"/>
    <col min="15662" max="15886" width="8.6640625" style="76"/>
    <col min="15887" max="15887" width="14.33203125" style="76" customWidth="1"/>
    <col min="15888" max="15889" width="3.33203125" style="76" customWidth="1"/>
    <col min="15890" max="15914" width="2.4140625" style="76" customWidth="1"/>
    <col min="15915" max="15916" width="3.33203125" style="76" customWidth="1"/>
    <col min="15917" max="15917" width="14.33203125" style="76" customWidth="1"/>
    <col min="15918" max="16142" width="8.6640625" style="76"/>
    <col min="16143" max="16143" width="14.33203125" style="76" customWidth="1"/>
    <col min="16144" max="16145" width="3.33203125" style="76" customWidth="1"/>
    <col min="16146" max="16170" width="2.4140625" style="76" customWidth="1"/>
    <col min="16171" max="16172" width="3.33203125" style="76" customWidth="1"/>
    <col min="16173" max="16173" width="14.33203125" style="76" customWidth="1"/>
    <col min="16174" max="16384" width="8.6640625" style="76"/>
  </cols>
  <sheetData>
    <row r="1" spans="1:48" ht="29.5" x14ac:dyDescent="0.55000000000000004">
      <c r="A1" s="75" t="s">
        <v>1934</v>
      </c>
      <c r="AT1" s="78"/>
      <c r="AU1" s="78"/>
      <c r="AV1" s="78"/>
    </row>
    <row r="2" spans="1:48" ht="25" customHeight="1" x14ac:dyDescent="0.55000000000000004">
      <c r="A2" s="75"/>
      <c r="AT2" s="78"/>
      <c r="AU2" s="78"/>
      <c r="AV2" s="78"/>
    </row>
    <row r="3" spans="1:48" ht="25" customHeight="1" x14ac:dyDescent="0.55000000000000004">
      <c r="A3" s="79"/>
      <c r="AT3" s="78"/>
      <c r="AU3" s="78"/>
      <c r="AV3" s="78"/>
    </row>
    <row r="4" spans="1:48" ht="25" customHeight="1" x14ac:dyDescent="0.55000000000000004">
      <c r="A4" s="79"/>
      <c r="AT4" s="78"/>
      <c r="AU4" s="78"/>
      <c r="AV4" s="78"/>
    </row>
    <row r="5" spans="1:48" ht="25" customHeight="1" x14ac:dyDescent="0.55000000000000004">
      <c r="A5" s="79"/>
      <c r="AT5" s="78"/>
      <c r="AU5" s="78"/>
      <c r="AV5" s="137" t="s">
        <v>2552</v>
      </c>
    </row>
    <row r="6" spans="1:48" ht="22.5" x14ac:dyDescent="0.55000000000000004">
      <c r="A6" s="79"/>
      <c r="AT6" s="80"/>
    </row>
    <row r="7" spans="1:48" ht="28" customHeight="1" x14ac:dyDescent="0.55000000000000004"/>
    <row r="8" spans="1:48" ht="28" customHeight="1" thickBot="1" x14ac:dyDescent="0.6">
      <c r="E8" s="81">
        <v>1</v>
      </c>
      <c r="F8" s="81"/>
      <c r="G8" s="81">
        <v>2</v>
      </c>
      <c r="H8" s="81"/>
      <c r="I8" s="81">
        <v>3</v>
      </c>
      <c r="J8" s="81"/>
      <c r="K8" s="81">
        <v>4</v>
      </c>
      <c r="L8" s="81"/>
      <c r="M8" s="81">
        <v>5</v>
      </c>
      <c r="N8" s="81"/>
      <c r="O8" s="81">
        <v>6</v>
      </c>
      <c r="P8" s="81"/>
      <c r="Q8" s="81">
        <v>7</v>
      </c>
      <c r="R8" s="81"/>
      <c r="S8" s="81">
        <v>8</v>
      </c>
      <c r="T8" s="81"/>
      <c r="U8" s="81">
        <v>9</v>
      </c>
      <c r="V8" s="81"/>
      <c r="W8" s="81">
        <v>10</v>
      </c>
      <c r="X8" s="81"/>
      <c r="Y8" s="81">
        <v>11</v>
      </c>
      <c r="Z8" s="81"/>
      <c r="AA8" s="81">
        <v>12</v>
      </c>
      <c r="AB8" s="81"/>
      <c r="AC8" s="81">
        <v>13</v>
      </c>
      <c r="AD8" s="81"/>
      <c r="AE8" s="81">
        <v>14</v>
      </c>
      <c r="AF8" s="81"/>
      <c r="AG8" s="81">
        <v>15</v>
      </c>
      <c r="AH8" s="81"/>
      <c r="AI8" s="81">
        <v>16</v>
      </c>
      <c r="AJ8" s="81"/>
      <c r="AK8" s="81">
        <v>17</v>
      </c>
      <c r="AL8" s="81"/>
      <c r="AM8" s="81">
        <v>18</v>
      </c>
      <c r="AN8" s="81"/>
      <c r="AO8" s="81">
        <v>19</v>
      </c>
      <c r="AP8" s="81"/>
      <c r="AQ8" s="81">
        <v>20</v>
      </c>
    </row>
    <row r="9" spans="1:48" ht="20" customHeight="1" x14ac:dyDescent="0.55000000000000004"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2"/>
    </row>
    <row r="10" spans="1:48" ht="46" customHeight="1" x14ac:dyDescent="0.55000000000000004">
      <c r="C10" s="82" t="s">
        <v>1935</v>
      </c>
      <c r="D10" s="113"/>
      <c r="E10" s="114" t="str">
        <f>'PF320'!Y250</f>
        <v>VSSD</v>
      </c>
      <c r="F10" s="115"/>
      <c r="G10" s="116">
        <f>'PF320'!Y52</f>
        <v>0</v>
      </c>
      <c r="H10" s="115"/>
      <c r="I10" s="116">
        <f>'PF320'!Y50</f>
        <v>0</v>
      </c>
      <c r="J10" s="115"/>
      <c r="K10" s="116">
        <f>'PF320'!Y47</f>
        <v>0</v>
      </c>
      <c r="L10" s="115"/>
      <c r="M10" s="116">
        <f>'PF320'!Y44</f>
        <v>0</v>
      </c>
      <c r="N10" s="115"/>
      <c r="O10" s="116">
        <f>'PF320'!Y220</f>
        <v>0</v>
      </c>
      <c r="P10" s="115"/>
      <c r="Q10" s="116">
        <f>'PF320'!Y42</f>
        <v>0</v>
      </c>
      <c r="R10" s="115"/>
      <c r="S10" s="116">
        <f>'PF320'!Y38</f>
        <v>0</v>
      </c>
      <c r="T10" s="115"/>
      <c r="U10" s="116">
        <f>'PF320'!Y37</f>
        <v>0</v>
      </c>
      <c r="V10" s="115"/>
      <c r="W10" s="116">
        <f>'PF320'!Y213</f>
        <v>0</v>
      </c>
      <c r="X10" s="115"/>
      <c r="Y10" s="116">
        <f>'PF320'!Y211</f>
        <v>0</v>
      </c>
      <c r="Z10" s="115"/>
      <c r="AA10" s="116">
        <f>'PF320'!Y31</f>
        <v>0</v>
      </c>
      <c r="AB10" s="115"/>
      <c r="AC10" s="116">
        <f>'PF320'!Y29</f>
        <v>0</v>
      </c>
      <c r="AD10" s="115"/>
      <c r="AE10" s="116">
        <f>'PF320'!Y23</f>
        <v>0</v>
      </c>
      <c r="AF10" s="115"/>
      <c r="AG10" s="116">
        <f>'PF320'!Y21</f>
        <v>0</v>
      </c>
      <c r="AH10" s="115"/>
      <c r="AI10" s="116">
        <f>'PF320'!Y15</f>
        <v>0</v>
      </c>
      <c r="AJ10" s="115"/>
      <c r="AK10" s="116">
        <f>'PF320'!Y14</f>
        <v>0</v>
      </c>
      <c r="AL10" s="115"/>
      <c r="AM10" s="116">
        <f>'PF320'!Y10</f>
        <v>0</v>
      </c>
      <c r="AN10" s="115"/>
      <c r="AO10" s="116">
        <f>'PF320'!Y210</f>
        <v>0</v>
      </c>
      <c r="AP10" s="115"/>
      <c r="AQ10" s="117" t="str">
        <f>'PF320'!Y324</f>
        <v>VSSD</v>
      </c>
      <c r="AR10" s="118"/>
      <c r="AS10" s="83"/>
    </row>
    <row r="11" spans="1:48" ht="10" customHeight="1" x14ac:dyDescent="0.55000000000000004">
      <c r="C11" s="84"/>
      <c r="D11" s="113"/>
      <c r="E11" s="115"/>
      <c r="F11" s="115"/>
      <c r="G11" s="115" t="s">
        <v>1936</v>
      </c>
      <c r="H11" s="115"/>
      <c r="I11" s="115" t="s">
        <v>1937</v>
      </c>
      <c r="J11" s="115"/>
      <c r="K11" s="115" t="s">
        <v>1938</v>
      </c>
      <c r="L11" s="115"/>
      <c r="M11" s="115" t="s">
        <v>2114</v>
      </c>
      <c r="N11" s="115"/>
      <c r="O11" s="115" t="s">
        <v>2131</v>
      </c>
      <c r="P11" s="115"/>
      <c r="Q11" s="115" t="s">
        <v>2141</v>
      </c>
      <c r="R11" s="115"/>
      <c r="S11" s="115" t="s">
        <v>2151</v>
      </c>
      <c r="T11" s="115"/>
      <c r="U11" s="115" t="s">
        <v>2159</v>
      </c>
      <c r="V11" s="115"/>
      <c r="W11" s="115" t="s">
        <v>2168</v>
      </c>
      <c r="X11" s="115"/>
      <c r="Y11" s="115" t="s">
        <v>2175</v>
      </c>
      <c r="Z11" s="115"/>
      <c r="AA11" s="115" t="s">
        <v>2183</v>
      </c>
      <c r="AB11" s="115"/>
      <c r="AC11" s="115" t="s">
        <v>2192</v>
      </c>
      <c r="AD11" s="115"/>
      <c r="AE11" s="115" t="s">
        <v>2199</v>
      </c>
      <c r="AF11" s="115"/>
      <c r="AG11" s="115" t="s">
        <v>2209</v>
      </c>
      <c r="AH11" s="115"/>
      <c r="AI11" s="115" t="s">
        <v>2218</v>
      </c>
      <c r="AJ11" s="115"/>
      <c r="AK11" s="115" t="s">
        <v>2235</v>
      </c>
      <c r="AL11" s="115"/>
      <c r="AM11" s="115" t="s">
        <v>2191</v>
      </c>
      <c r="AN11" s="115"/>
      <c r="AO11" s="115" t="s">
        <v>2257</v>
      </c>
      <c r="AP11" s="115"/>
      <c r="AQ11" s="115"/>
      <c r="AR11" s="118"/>
    </row>
    <row r="12" spans="1:48" ht="46" customHeight="1" x14ac:dyDescent="0.55000000000000004">
      <c r="C12" s="82" t="s">
        <v>1940</v>
      </c>
      <c r="D12" s="113"/>
      <c r="E12" s="116">
        <f>'PF320'!Y53</f>
        <v>0</v>
      </c>
      <c r="F12" s="115"/>
      <c r="G12" s="116">
        <f>'PF320'!Y54</f>
        <v>0</v>
      </c>
      <c r="H12" s="115"/>
      <c r="I12" s="116">
        <f>'PF320'!Y51</f>
        <v>0</v>
      </c>
      <c r="J12" s="115"/>
      <c r="K12" s="116">
        <f>'PF320'!Y48</f>
        <v>0</v>
      </c>
      <c r="L12" s="115"/>
      <c r="M12" s="116">
        <f>'PF320'!Y45</f>
        <v>0</v>
      </c>
      <c r="N12" s="115"/>
      <c r="O12" s="116">
        <f>'PF320'!Y221</f>
        <v>0</v>
      </c>
      <c r="P12" s="115"/>
      <c r="Q12" s="116">
        <f>'PF320'!Y43</f>
        <v>0</v>
      </c>
      <c r="R12" s="115"/>
      <c r="S12" s="116">
        <f>'PF320'!Y39</f>
        <v>0</v>
      </c>
      <c r="T12" s="115"/>
      <c r="U12" s="116">
        <f>'PF320'!Y216</f>
        <v>0</v>
      </c>
      <c r="V12" s="115"/>
      <c r="W12" s="116">
        <f>'PF320'!Y214</f>
        <v>0</v>
      </c>
      <c r="X12" s="115"/>
      <c r="Y12" s="116">
        <f>'PF320'!Y212</f>
        <v>0</v>
      </c>
      <c r="Z12" s="115"/>
      <c r="AA12" s="116">
        <f>'PF320'!Y32</f>
        <v>0</v>
      </c>
      <c r="AB12" s="115"/>
      <c r="AC12" s="116">
        <f>'PF320'!Y30</f>
        <v>0</v>
      </c>
      <c r="AD12" s="115"/>
      <c r="AE12" s="116">
        <f>'PF320'!Y24</f>
        <v>0</v>
      </c>
      <c r="AF12" s="115"/>
      <c r="AG12" s="116">
        <f>'PF320'!Y22</f>
        <v>0</v>
      </c>
      <c r="AH12" s="115"/>
      <c r="AI12" s="116">
        <f>'PF320'!Y16</f>
        <v>0</v>
      </c>
      <c r="AJ12" s="115"/>
      <c r="AK12" s="116">
        <f>'PF320'!Y12</f>
        <v>0</v>
      </c>
      <c r="AL12" s="115"/>
      <c r="AM12" s="116">
        <f>'PF320'!Y11</f>
        <v>0</v>
      </c>
      <c r="AN12" s="115"/>
      <c r="AO12" s="116">
        <f>'PF320'!Y209</f>
        <v>0</v>
      </c>
      <c r="AP12" s="115"/>
      <c r="AQ12" s="116">
        <f>'PF320'!Y208</f>
        <v>0</v>
      </c>
      <c r="AR12" s="118"/>
    </row>
    <row r="13" spans="1:48" ht="10" customHeight="1" x14ac:dyDescent="0.55000000000000004">
      <c r="C13" s="82"/>
      <c r="D13" s="113"/>
      <c r="E13" s="115" t="s">
        <v>1959</v>
      </c>
      <c r="F13" s="115"/>
      <c r="G13" s="115" t="s">
        <v>2074</v>
      </c>
      <c r="H13" s="115"/>
      <c r="I13" s="115" t="s">
        <v>2093</v>
      </c>
      <c r="J13" s="115"/>
      <c r="K13" s="115" t="s">
        <v>2110</v>
      </c>
      <c r="L13" s="115"/>
      <c r="M13" s="115" t="s">
        <v>2115</v>
      </c>
      <c r="N13" s="115"/>
      <c r="O13" s="115" t="s">
        <v>2132</v>
      </c>
      <c r="P13" s="115"/>
      <c r="Q13" s="115" t="s">
        <v>2142</v>
      </c>
      <c r="R13" s="115"/>
      <c r="S13" s="115" t="s">
        <v>2152</v>
      </c>
      <c r="T13" s="115"/>
      <c r="U13" s="115" t="s">
        <v>2160</v>
      </c>
      <c r="V13" s="115"/>
      <c r="W13" s="115" t="s">
        <v>2169</v>
      </c>
      <c r="X13" s="115"/>
      <c r="Y13" s="115" t="s">
        <v>2176</v>
      </c>
      <c r="Z13" s="115"/>
      <c r="AA13" s="115" t="s">
        <v>2184</v>
      </c>
      <c r="AB13" s="115"/>
      <c r="AC13" s="115" t="s">
        <v>2193</v>
      </c>
      <c r="AD13" s="115"/>
      <c r="AE13" s="115" t="s">
        <v>2200</v>
      </c>
      <c r="AF13" s="115"/>
      <c r="AG13" s="115" t="s">
        <v>2210</v>
      </c>
      <c r="AH13" s="115"/>
      <c r="AI13" s="115" t="s">
        <v>2219</v>
      </c>
      <c r="AJ13" s="115"/>
      <c r="AK13" s="115" t="s">
        <v>2236</v>
      </c>
      <c r="AL13" s="115"/>
      <c r="AM13" s="115" t="s">
        <v>2241</v>
      </c>
      <c r="AN13" s="115"/>
      <c r="AO13" s="115" t="s">
        <v>2258</v>
      </c>
      <c r="AP13" s="115"/>
      <c r="AQ13" s="115" t="s">
        <v>2277</v>
      </c>
      <c r="AR13" s="118"/>
    </row>
    <row r="14" spans="1:48" ht="46" customHeight="1" x14ac:dyDescent="0.55000000000000004">
      <c r="C14" s="82" t="s">
        <v>1941</v>
      </c>
      <c r="D14" s="113"/>
      <c r="E14" s="116">
        <f>'PF320'!Y55</f>
        <v>0</v>
      </c>
      <c r="F14" s="115"/>
      <c r="G14" s="116">
        <f>'PF320'!Y56</f>
        <v>0</v>
      </c>
      <c r="H14" s="115"/>
      <c r="I14" s="114" t="str">
        <f>'PF320'!Y252</f>
        <v>VSSD</v>
      </c>
      <c r="J14" s="115"/>
      <c r="K14" s="116">
        <f>'PF320'!Y49</f>
        <v>0</v>
      </c>
      <c r="L14" s="115"/>
      <c r="M14" s="116">
        <f>'PF320'!Y46</f>
        <v>0</v>
      </c>
      <c r="N14" s="115"/>
      <c r="O14" s="116">
        <f>'PF320'!Y222</f>
        <v>0</v>
      </c>
      <c r="P14" s="115"/>
      <c r="Q14" s="116">
        <f>'PF320'!Y219</f>
        <v>0</v>
      </c>
      <c r="R14" s="115"/>
      <c r="S14" s="116">
        <f>'PF320'!Y40</f>
        <v>0</v>
      </c>
      <c r="T14" s="115"/>
      <c r="U14" s="116">
        <f>'PF320'!Y217</f>
        <v>0</v>
      </c>
      <c r="V14" s="115"/>
      <c r="W14" s="117" t="str">
        <f>'PF320'!Y279</f>
        <v>VSSD</v>
      </c>
      <c r="X14" s="115"/>
      <c r="Y14" s="116">
        <f>'PF320'!Y35</f>
        <v>0</v>
      </c>
      <c r="Z14" s="115"/>
      <c r="AA14" s="116">
        <f>'PF320'!Y33</f>
        <v>0</v>
      </c>
      <c r="AB14" s="115"/>
      <c r="AC14" s="116">
        <f>'PF320'!Y27</f>
        <v>0</v>
      </c>
      <c r="AD14" s="115"/>
      <c r="AE14" s="116">
        <f>'PF320'!Y25</f>
        <v>0</v>
      </c>
      <c r="AF14" s="115"/>
      <c r="AG14" s="116">
        <f>'PF320'!Y18</f>
        <v>0</v>
      </c>
      <c r="AH14" s="115"/>
      <c r="AI14" s="116">
        <f>'PF320'!Y17</f>
        <v>0</v>
      </c>
      <c r="AJ14" s="115"/>
      <c r="AK14" s="116">
        <f>'PF320'!Y13</f>
        <v>0</v>
      </c>
      <c r="AL14" s="115"/>
      <c r="AM14" s="117" t="str">
        <f>'PF320'!Y321</f>
        <v>VSSD</v>
      </c>
      <c r="AN14" s="115"/>
      <c r="AO14" s="116">
        <f>'PF320'!Y207</f>
        <v>0</v>
      </c>
      <c r="AP14" s="115"/>
      <c r="AQ14" s="116">
        <f>'PF320'!Y206</f>
        <v>0</v>
      </c>
      <c r="AR14" s="118"/>
    </row>
    <row r="15" spans="1:48" ht="10" customHeight="1" x14ac:dyDescent="0.55000000000000004">
      <c r="C15" s="82"/>
      <c r="D15" s="113"/>
      <c r="E15" s="115" t="s">
        <v>1960</v>
      </c>
      <c r="F15" s="115"/>
      <c r="G15" s="115" t="s">
        <v>2075</v>
      </c>
      <c r="H15" s="115"/>
      <c r="I15" s="115"/>
      <c r="J15" s="115"/>
      <c r="K15" s="115" t="s">
        <v>2111</v>
      </c>
      <c r="L15" s="115"/>
      <c r="M15" s="115" t="s">
        <v>2116</v>
      </c>
      <c r="N15" s="115"/>
      <c r="O15" s="115" t="s">
        <v>2133</v>
      </c>
      <c r="P15" s="115"/>
      <c r="Q15" s="115" t="s">
        <v>2143</v>
      </c>
      <c r="R15" s="115"/>
      <c r="S15" s="115" t="s">
        <v>2153</v>
      </c>
      <c r="T15" s="115"/>
      <c r="U15" s="115" t="s">
        <v>2161</v>
      </c>
      <c r="V15" s="115"/>
      <c r="W15" s="115"/>
      <c r="X15" s="115"/>
      <c r="Y15" s="115" t="s">
        <v>2177</v>
      </c>
      <c r="Z15" s="115"/>
      <c r="AA15" s="115" t="s">
        <v>2185</v>
      </c>
      <c r="AB15" s="115"/>
      <c r="AC15" s="115" t="s">
        <v>2194</v>
      </c>
      <c r="AD15" s="115"/>
      <c r="AE15" s="115" t="s">
        <v>2201</v>
      </c>
      <c r="AF15" s="115"/>
      <c r="AG15" s="115" t="s">
        <v>2211</v>
      </c>
      <c r="AH15" s="115"/>
      <c r="AI15" s="115" t="s">
        <v>2220</v>
      </c>
      <c r="AJ15" s="115"/>
      <c r="AK15" s="115" t="s">
        <v>2237</v>
      </c>
      <c r="AL15" s="115"/>
      <c r="AM15" s="115"/>
      <c r="AN15" s="115"/>
      <c r="AO15" s="115" t="s">
        <v>2259</v>
      </c>
      <c r="AP15" s="115"/>
      <c r="AQ15" s="115" t="s">
        <v>2278</v>
      </c>
      <c r="AR15" s="118"/>
    </row>
    <row r="16" spans="1:48" ht="46" customHeight="1" x14ac:dyDescent="0.55000000000000004">
      <c r="C16" s="82" t="s">
        <v>1942</v>
      </c>
      <c r="D16" s="113"/>
      <c r="E16" s="116">
        <f>'PF320'!Y57</f>
        <v>0</v>
      </c>
      <c r="F16" s="115"/>
      <c r="G16" s="116">
        <f>'PF320'!Y226</f>
        <v>0</v>
      </c>
      <c r="H16" s="115"/>
      <c r="I16" s="116">
        <f>'PF320'!Y227</f>
        <v>0</v>
      </c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6">
        <f>'PF320'!Y205</f>
        <v>0</v>
      </c>
      <c r="AN16" s="115"/>
      <c r="AO16" s="116">
        <f>'PF320'!Y204</f>
        <v>0</v>
      </c>
      <c r="AP16" s="115"/>
      <c r="AQ16" s="116">
        <f>'PF320'!Y171</f>
        <v>0</v>
      </c>
      <c r="AR16" s="118"/>
    </row>
    <row r="17" spans="3:44" ht="10" customHeight="1" x14ac:dyDescent="0.55000000000000004">
      <c r="C17" s="82"/>
      <c r="D17" s="113"/>
      <c r="E17" s="115" t="s">
        <v>1961</v>
      </c>
      <c r="F17" s="115"/>
      <c r="G17" s="115" t="s">
        <v>2076</v>
      </c>
      <c r="H17" s="115"/>
      <c r="I17" s="115" t="s">
        <v>2094</v>
      </c>
      <c r="J17" s="115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  <c r="AM17" s="115" t="s">
        <v>2242</v>
      </c>
      <c r="AN17" s="115"/>
      <c r="AO17" s="115" t="s">
        <v>2260</v>
      </c>
      <c r="AP17" s="115"/>
      <c r="AQ17" s="115" t="s">
        <v>2279</v>
      </c>
      <c r="AR17" s="118"/>
    </row>
    <row r="18" spans="3:44" ht="46" customHeight="1" x14ac:dyDescent="0.55000000000000004">
      <c r="C18" s="82" t="s">
        <v>1943</v>
      </c>
      <c r="D18" s="113"/>
      <c r="E18" s="116">
        <f>'PF320'!Y229</f>
        <v>0</v>
      </c>
      <c r="F18" s="115"/>
      <c r="G18" s="116">
        <f>'PF320'!Y230</f>
        <v>0</v>
      </c>
      <c r="H18" s="115"/>
      <c r="I18" s="116">
        <f>'PF320'!Y231</f>
        <v>0</v>
      </c>
      <c r="J18" s="115"/>
      <c r="K18" s="115"/>
      <c r="L18" s="115"/>
      <c r="M18" s="116">
        <f>'PF320'!Y228</f>
        <v>0</v>
      </c>
      <c r="N18" s="115"/>
      <c r="O18" s="116">
        <f>'PF320'!Y225</f>
        <v>0</v>
      </c>
      <c r="P18" s="115"/>
      <c r="Q18" s="116">
        <f>'PF320'!Y223</f>
        <v>0</v>
      </c>
      <c r="R18" s="115"/>
      <c r="S18" s="116">
        <f>'PF320'!Y41</f>
        <v>0</v>
      </c>
      <c r="T18" s="115"/>
      <c r="U18" s="116">
        <f>'PF320'!Y218</f>
        <v>0</v>
      </c>
      <c r="V18" s="115"/>
      <c r="W18" s="116">
        <f>'PF320'!Y215</f>
        <v>0</v>
      </c>
      <c r="X18" s="115"/>
      <c r="Y18" s="116">
        <f>'PF320'!Y36</f>
        <v>0</v>
      </c>
      <c r="Z18" s="115"/>
      <c r="AA18" s="116">
        <f>'PF320'!Y34</f>
        <v>0</v>
      </c>
      <c r="AB18" s="115"/>
      <c r="AC18" s="116">
        <f>'PF320'!Y28</f>
        <v>0</v>
      </c>
      <c r="AD18" s="115"/>
      <c r="AE18" s="116">
        <f>'PF320'!Y26</f>
        <v>0</v>
      </c>
      <c r="AF18" s="115"/>
      <c r="AG18" s="116">
        <f>'PF320'!Y19</f>
        <v>0</v>
      </c>
      <c r="AH18" s="115"/>
      <c r="AI18" s="116">
        <f>'PF320'!Y203</f>
        <v>0</v>
      </c>
      <c r="AJ18" s="115"/>
      <c r="AK18" s="115"/>
      <c r="AL18" s="115"/>
      <c r="AM18" s="116">
        <f>'PF320'!Y170</f>
        <v>0</v>
      </c>
      <c r="AN18" s="115"/>
      <c r="AO18" s="116">
        <f>'PF320'!Y169</f>
        <v>0</v>
      </c>
      <c r="AP18" s="115"/>
      <c r="AQ18" s="116">
        <f>'PF320'!Y168</f>
        <v>0</v>
      </c>
      <c r="AR18" s="118"/>
    </row>
    <row r="19" spans="3:44" ht="10" customHeight="1" x14ac:dyDescent="0.55000000000000004">
      <c r="C19" s="82"/>
      <c r="D19" s="113"/>
      <c r="E19" s="115" t="s">
        <v>1962</v>
      </c>
      <c r="F19" s="115"/>
      <c r="G19" s="115" t="s">
        <v>2077</v>
      </c>
      <c r="H19" s="115"/>
      <c r="I19" s="115" t="s">
        <v>2095</v>
      </c>
      <c r="J19" s="115"/>
      <c r="K19" s="115"/>
      <c r="L19" s="115"/>
      <c r="M19" s="115" t="s">
        <v>1978</v>
      </c>
      <c r="N19" s="115"/>
      <c r="O19" s="115" t="s">
        <v>2134</v>
      </c>
      <c r="P19" s="115"/>
      <c r="Q19" s="115" t="s">
        <v>2144</v>
      </c>
      <c r="R19" s="115"/>
      <c r="S19" s="115" t="s">
        <v>2154</v>
      </c>
      <c r="T19" s="115"/>
      <c r="U19" s="115" t="s">
        <v>2162</v>
      </c>
      <c r="V19" s="115"/>
      <c r="W19" s="115" t="s">
        <v>2170</v>
      </c>
      <c r="X19" s="115"/>
      <c r="Y19" s="115" t="s">
        <v>2178</v>
      </c>
      <c r="Z19" s="115"/>
      <c r="AA19" s="115" t="s">
        <v>2186</v>
      </c>
      <c r="AB19" s="115"/>
      <c r="AC19" s="115" t="s">
        <v>2195</v>
      </c>
      <c r="AD19" s="115"/>
      <c r="AE19" s="115" t="s">
        <v>2202</v>
      </c>
      <c r="AF19" s="115"/>
      <c r="AG19" s="115" t="s">
        <v>2212</v>
      </c>
      <c r="AH19" s="115"/>
      <c r="AI19" s="115" t="s">
        <v>1979</v>
      </c>
      <c r="AJ19" s="115"/>
      <c r="AK19" s="115"/>
      <c r="AL19" s="115"/>
      <c r="AM19" s="115" t="s">
        <v>2243</v>
      </c>
      <c r="AN19" s="115"/>
      <c r="AO19" s="115" t="s">
        <v>2261</v>
      </c>
      <c r="AP19" s="115"/>
      <c r="AQ19" s="115" t="s">
        <v>2280</v>
      </c>
      <c r="AR19" s="118"/>
    </row>
    <row r="20" spans="3:44" ht="46" customHeight="1" x14ac:dyDescent="0.55000000000000004">
      <c r="C20" s="82" t="s">
        <v>1944</v>
      </c>
      <c r="D20" s="113"/>
      <c r="E20" s="116">
        <f>'PF320'!Y58</f>
        <v>0</v>
      </c>
      <c r="F20" s="115"/>
      <c r="G20" s="116">
        <f>'PF320'!Y59</f>
        <v>0</v>
      </c>
      <c r="H20" s="115"/>
      <c r="I20" s="116">
        <f>'PF320'!Y232</f>
        <v>0</v>
      </c>
      <c r="J20" s="115"/>
      <c r="K20" s="115"/>
      <c r="L20" s="115"/>
      <c r="M20" s="116">
        <f>'PF320'!Y233</f>
        <v>0</v>
      </c>
      <c r="N20" s="115"/>
      <c r="O20" s="119" t="str">
        <f>'PF320'!Y255</f>
        <v>VCCD</v>
      </c>
      <c r="P20" s="115"/>
      <c r="Q20" s="116">
        <f>'PF320'!Y224</f>
        <v>0</v>
      </c>
      <c r="R20" s="115"/>
      <c r="S20" s="119" t="str">
        <f>'PF320'!Y263</f>
        <v>VDDD</v>
      </c>
      <c r="T20" s="115"/>
      <c r="U20" s="119" t="str">
        <f>'PF320'!Y271</f>
        <v>VDDD</v>
      </c>
      <c r="V20" s="115"/>
      <c r="W20" s="119" t="str">
        <f>'PF320'!Y280</f>
        <v>VDDIO_1</v>
      </c>
      <c r="X20" s="115"/>
      <c r="Y20" s="119" t="str">
        <f>'PF320'!Y288</f>
        <v>VDDIO_1</v>
      </c>
      <c r="Z20" s="115"/>
      <c r="AA20" s="119" t="str">
        <f>'PF320'!Y296</f>
        <v>VDDIO_1</v>
      </c>
      <c r="AB20" s="115"/>
      <c r="AC20" s="119" t="str">
        <f>'PF320'!Y304</f>
        <v>VDDIO_1</v>
      </c>
      <c r="AD20" s="115"/>
      <c r="AE20" s="116">
        <f>'PF320'!Y20</f>
        <v>0</v>
      </c>
      <c r="AF20" s="115"/>
      <c r="AG20" s="119" t="str">
        <f>'PF320'!Y312</f>
        <v>VCCD</v>
      </c>
      <c r="AH20" s="115"/>
      <c r="AI20" s="116">
        <f>'PF320'!Y172</f>
        <v>0</v>
      </c>
      <c r="AJ20" s="115"/>
      <c r="AK20" s="115"/>
      <c r="AL20" s="115"/>
      <c r="AM20" s="116">
        <f>'PF320'!Y167</f>
        <v>0</v>
      </c>
      <c r="AN20" s="115"/>
      <c r="AO20" s="116">
        <f>'PF320'!Y166</f>
        <v>0</v>
      </c>
      <c r="AP20" s="115"/>
      <c r="AQ20" s="116">
        <f>'PF320'!Y161</f>
        <v>0</v>
      </c>
      <c r="AR20" s="118"/>
    </row>
    <row r="21" spans="3:44" ht="10" customHeight="1" x14ac:dyDescent="0.55000000000000004">
      <c r="C21" s="82"/>
      <c r="D21" s="113"/>
      <c r="E21" s="115" t="s">
        <v>1963</v>
      </c>
      <c r="F21" s="115"/>
      <c r="G21" s="115" t="s">
        <v>2078</v>
      </c>
      <c r="H21" s="115"/>
      <c r="I21" s="115" t="s">
        <v>2096</v>
      </c>
      <c r="J21" s="115"/>
      <c r="K21" s="115"/>
      <c r="L21" s="115"/>
      <c r="M21" s="115" t="s">
        <v>2117</v>
      </c>
      <c r="N21" s="115"/>
      <c r="O21" s="115"/>
      <c r="P21" s="115"/>
      <c r="Q21" s="115" t="s">
        <v>2145</v>
      </c>
      <c r="R21" s="115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 t="s">
        <v>2203</v>
      </c>
      <c r="AF21" s="115"/>
      <c r="AG21" s="115"/>
      <c r="AH21" s="115"/>
      <c r="AI21" s="115" t="s">
        <v>2221</v>
      </c>
      <c r="AJ21" s="115"/>
      <c r="AK21" s="115"/>
      <c r="AL21" s="115"/>
      <c r="AM21" s="115" t="s">
        <v>2244</v>
      </c>
      <c r="AN21" s="115"/>
      <c r="AO21" s="115" t="s">
        <v>2262</v>
      </c>
      <c r="AP21" s="115"/>
      <c r="AQ21" s="115" t="s">
        <v>2281</v>
      </c>
      <c r="AR21" s="118"/>
    </row>
    <row r="22" spans="3:44" ht="46" customHeight="1" x14ac:dyDescent="0.55000000000000004">
      <c r="C22" s="82" t="s">
        <v>1945</v>
      </c>
      <c r="D22" s="113"/>
      <c r="E22" s="116">
        <f>'PF320'!Y60</f>
        <v>0</v>
      </c>
      <c r="F22" s="115"/>
      <c r="G22" s="116">
        <f>'PF320'!Y61</f>
        <v>0</v>
      </c>
      <c r="H22" s="115"/>
      <c r="I22" s="116">
        <f>'PF320'!Y62</f>
        <v>0</v>
      </c>
      <c r="J22" s="115"/>
      <c r="K22" s="115"/>
      <c r="L22" s="115"/>
      <c r="M22" s="116">
        <f>'PF320'!Y63</f>
        <v>0</v>
      </c>
      <c r="N22" s="115"/>
      <c r="O22" s="116">
        <f>'PF320'!Y64</f>
        <v>0</v>
      </c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6">
        <f>'PF320'!Y173</f>
        <v>0</v>
      </c>
      <c r="AH22" s="115"/>
      <c r="AI22" s="116">
        <f>'PF320'!Y165</f>
        <v>0</v>
      </c>
      <c r="AJ22" s="115"/>
      <c r="AK22" s="115"/>
      <c r="AL22" s="115"/>
      <c r="AM22" s="116">
        <f>'PF320'!Y163</f>
        <v>0</v>
      </c>
      <c r="AN22" s="115"/>
      <c r="AO22" s="116">
        <f>'PF320'!Y162</f>
        <v>0</v>
      </c>
      <c r="AP22" s="115"/>
      <c r="AQ22" s="116">
        <f>'PF320'!Y160</f>
        <v>0</v>
      </c>
      <c r="AR22" s="118"/>
    </row>
    <row r="23" spans="3:44" ht="10" customHeight="1" x14ac:dyDescent="0.55000000000000004">
      <c r="C23" s="82"/>
      <c r="D23" s="113"/>
      <c r="E23" s="115" t="s">
        <v>1964</v>
      </c>
      <c r="F23" s="115"/>
      <c r="G23" s="115" t="s">
        <v>2079</v>
      </c>
      <c r="H23" s="115"/>
      <c r="I23" s="115" t="s">
        <v>2097</v>
      </c>
      <c r="J23" s="115"/>
      <c r="K23" s="115"/>
      <c r="L23" s="115"/>
      <c r="M23" s="115" t="s">
        <v>2118</v>
      </c>
      <c r="N23" s="115"/>
      <c r="O23" s="115" t="s">
        <v>2135</v>
      </c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115"/>
      <c r="AG23" s="115" t="s">
        <v>2213</v>
      </c>
      <c r="AH23" s="115"/>
      <c r="AI23" s="115" t="s">
        <v>2222</v>
      </c>
      <c r="AJ23" s="115"/>
      <c r="AK23" s="115"/>
      <c r="AL23" s="115"/>
      <c r="AM23" s="115" t="s">
        <v>2245</v>
      </c>
      <c r="AN23" s="115"/>
      <c r="AO23" s="115" t="s">
        <v>2263</v>
      </c>
      <c r="AP23" s="115"/>
      <c r="AQ23" s="115" t="s">
        <v>2282</v>
      </c>
      <c r="AR23" s="118"/>
    </row>
    <row r="24" spans="3:44" ht="46" customHeight="1" x14ac:dyDescent="0.55000000000000004">
      <c r="C24" s="82" t="s">
        <v>1946</v>
      </c>
      <c r="D24" s="113"/>
      <c r="E24" s="116">
        <f>'PF320'!Y66</f>
        <v>0</v>
      </c>
      <c r="F24" s="115"/>
      <c r="G24" s="116">
        <f>'PF320'!Y67</f>
        <v>0</v>
      </c>
      <c r="H24" s="115"/>
      <c r="I24" s="116">
        <f>'PF320'!Y68</f>
        <v>0</v>
      </c>
      <c r="J24" s="115"/>
      <c r="K24" s="115"/>
      <c r="L24" s="115"/>
      <c r="M24" s="116">
        <f>'PF320'!Y65</f>
        <v>0</v>
      </c>
      <c r="N24" s="115"/>
      <c r="O24" s="119" t="str">
        <f>'PF320'!Y256</f>
        <v>VDDIO_3</v>
      </c>
      <c r="P24" s="115"/>
      <c r="Q24" s="115"/>
      <c r="R24" s="115"/>
      <c r="S24" s="114" t="str">
        <f>'PF320'!Y264</f>
        <v>VSSIO_3</v>
      </c>
      <c r="T24" s="115"/>
      <c r="U24" s="114" t="str">
        <f>'PF320'!Y272</f>
        <v>VSSD</v>
      </c>
      <c r="V24" s="115"/>
      <c r="W24" s="114" t="str">
        <f>'PF320'!Y281</f>
        <v>VSSD</v>
      </c>
      <c r="X24" s="115"/>
      <c r="Y24" s="114" t="str">
        <f>'PF320'!Y289</f>
        <v>VSSD</v>
      </c>
      <c r="Z24" s="115"/>
      <c r="AA24" s="114" t="str">
        <f>'PF320'!Y297</f>
        <v>VSSD</v>
      </c>
      <c r="AB24" s="115"/>
      <c r="AC24" s="114" t="str">
        <f>'PF320'!Y305</f>
        <v>VSSD</v>
      </c>
      <c r="AD24" s="115"/>
      <c r="AE24" s="115"/>
      <c r="AF24" s="115"/>
      <c r="AG24" s="119" t="str">
        <f>'PF320'!Y313</f>
        <v>VDDD</v>
      </c>
      <c r="AH24" s="115"/>
      <c r="AI24" s="116">
        <f>'PF320'!Y164</f>
        <v>0</v>
      </c>
      <c r="AJ24" s="115"/>
      <c r="AK24" s="115"/>
      <c r="AL24" s="115"/>
      <c r="AM24" s="116">
        <f>'PF320'!Y158</f>
        <v>0</v>
      </c>
      <c r="AN24" s="115"/>
      <c r="AO24" s="116">
        <f>'PF320'!Y157</f>
        <v>0</v>
      </c>
      <c r="AP24" s="115"/>
      <c r="AQ24" s="116">
        <f>'PF320'!Y159</f>
        <v>0</v>
      </c>
      <c r="AR24" s="118"/>
    </row>
    <row r="25" spans="3:44" ht="10" customHeight="1" x14ac:dyDescent="0.55000000000000004">
      <c r="C25" s="82"/>
      <c r="D25" s="113"/>
      <c r="E25" s="115" t="s">
        <v>1965</v>
      </c>
      <c r="F25" s="115"/>
      <c r="G25" s="115" t="s">
        <v>2080</v>
      </c>
      <c r="H25" s="115"/>
      <c r="I25" s="115" t="s">
        <v>2098</v>
      </c>
      <c r="J25" s="115"/>
      <c r="K25" s="115"/>
      <c r="L25" s="115"/>
      <c r="M25" s="115" t="s">
        <v>2119</v>
      </c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 t="s">
        <v>2223</v>
      </c>
      <c r="AJ25" s="115"/>
      <c r="AK25" s="115"/>
      <c r="AL25" s="115"/>
      <c r="AM25" s="115" t="s">
        <v>2246</v>
      </c>
      <c r="AN25" s="115"/>
      <c r="AO25" s="115" t="s">
        <v>2264</v>
      </c>
      <c r="AP25" s="115"/>
      <c r="AQ25" s="115" t="s">
        <v>2283</v>
      </c>
      <c r="AR25" s="118"/>
    </row>
    <row r="26" spans="3:44" ht="46" customHeight="1" x14ac:dyDescent="0.55000000000000004">
      <c r="C26" s="82" t="s">
        <v>1947</v>
      </c>
      <c r="D26" s="113"/>
      <c r="E26" s="116">
        <f>'PF320'!Y69</f>
        <v>0</v>
      </c>
      <c r="F26" s="115"/>
      <c r="G26" s="116">
        <f>'PF320'!Y70</f>
        <v>0</v>
      </c>
      <c r="H26" s="115"/>
      <c r="I26" s="116">
        <f>'PF320'!Y73</f>
        <v>0</v>
      </c>
      <c r="J26" s="115"/>
      <c r="K26" s="115"/>
      <c r="L26" s="115"/>
      <c r="M26" s="116">
        <f>'PF320'!Y74</f>
        <v>0</v>
      </c>
      <c r="N26" s="115"/>
      <c r="O26" s="119" t="str">
        <f>'PF320'!Y257</f>
        <v>VDDIO_3</v>
      </c>
      <c r="P26" s="115"/>
      <c r="Q26" s="115"/>
      <c r="R26" s="115"/>
      <c r="S26" s="114" t="str">
        <f>'PF320'!Y265</f>
        <v>VSSIO_3</v>
      </c>
      <c r="T26" s="115"/>
      <c r="U26" s="114" t="str">
        <f>'PF320'!Y273</f>
        <v>VSSD</v>
      </c>
      <c r="V26" s="115"/>
      <c r="W26" s="114" t="str">
        <f>'PF320'!Y282</f>
        <v>VSSD</v>
      </c>
      <c r="X26" s="115"/>
      <c r="Y26" s="114" t="str">
        <f>'PF320'!Y290</f>
        <v>VSSD</v>
      </c>
      <c r="Z26" s="115"/>
      <c r="AA26" s="114" t="str">
        <f>'PF320'!Y298</f>
        <v>VSSD</v>
      </c>
      <c r="AB26" s="115"/>
      <c r="AC26" s="114" t="str">
        <f>'PF320'!Y306</f>
        <v>VSSD</v>
      </c>
      <c r="AD26" s="115"/>
      <c r="AE26" s="115"/>
      <c r="AF26" s="115"/>
      <c r="AG26" s="119" t="str">
        <f>'PF320'!Y314</f>
        <v>VDDD</v>
      </c>
      <c r="AH26" s="115"/>
      <c r="AI26" s="116">
        <f>'PF320'!Y150</f>
        <v>0</v>
      </c>
      <c r="AJ26" s="115"/>
      <c r="AK26" s="115"/>
      <c r="AL26" s="115"/>
      <c r="AM26" s="117" t="str">
        <f>'PF320'!Y322</f>
        <v>VSSD</v>
      </c>
      <c r="AN26" s="115"/>
      <c r="AO26" s="116">
        <f>'PF320'!Y156</f>
        <v>0</v>
      </c>
      <c r="AP26" s="115"/>
      <c r="AQ26" s="120" t="str">
        <f>'PF320'!Y325</f>
        <v>DRV_VOUT</v>
      </c>
      <c r="AR26" s="118"/>
    </row>
    <row r="27" spans="3:44" ht="10" customHeight="1" x14ac:dyDescent="0.55000000000000004">
      <c r="C27" s="82"/>
      <c r="D27" s="113"/>
      <c r="E27" s="115" t="s">
        <v>1966</v>
      </c>
      <c r="F27" s="115"/>
      <c r="G27" s="115" t="s">
        <v>2081</v>
      </c>
      <c r="H27" s="115"/>
      <c r="I27" s="115" t="s">
        <v>2099</v>
      </c>
      <c r="J27" s="115"/>
      <c r="K27" s="115"/>
      <c r="L27" s="115"/>
      <c r="M27" s="115" t="s">
        <v>2120</v>
      </c>
      <c r="N27" s="115"/>
      <c r="O27" s="115"/>
      <c r="P27" s="115"/>
      <c r="Q27" s="115"/>
      <c r="R27" s="115"/>
      <c r="S27" s="115"/>
      <c r="T27" s="115"/>
      <c r="U27" s="115"/>
      <c r="V27" s="115"/>
      <c r="W27" s="115"/>
      <c r="X27" s="115"/>
      <c r="Y27" s="115"/>
      <c r="Z27" s="115"/>
      <c r="AA27" s="115"/>
      <c r="AB27" s="115"/>
      <c r="AC27" s="115"/>
      <c r="AD27" s="115"/>
      <c r="AE27" s="115"/>
      <c r="AF27" s="115"/>
      <c r="AG27" s="115"/>
      <c r="AH27" s="115"/>
      <c r="AI27" s="115" t="s">
        <v>2224</v>
      </c>
      <c r="AJ27" s="115"/>
      <c r="AK27" s="115"/>
      <c r="AL27" s="115"/>
      <c r="AM27" s="115"/>
      <c r="AN27" s="115"/>
      <c r="AO27" s="115" t="s">
        <v>2265</v>
      </c>
      <c r="AP27" s="115"/>
      <c r="AQ27" s="115"/>
      <c r="AR27" s="118"/>
    </row>
    <row r="28" spans="3:44" ht="46" customHeight="1" x14ac:dyDescent="0.55000000000000004">
      <c r="C28" s="82" t="s">
        <v>1948</v>
      </c>
      <c r="D28" s="113"/>
      <c r="E28" s="116">
        <f>'PF320'!Y71</f>
        <v>0</v>
      </c>
      <c r="F28" s="115"/>
      <c r="G28" s="116">
        <f>'PF320'!Y72</f>
        <v>0</v>
      </c>
      <c r="H28" s="115"/>
      <c r="I28" s="116">
        <f>'PF320'!Y174</f>
        <v>0</v>
      </c>
      <c r="J28" s="115"/>
      <c r="K28" s="115"/>
      <c r="L28" s="115"/>
      <c r="M28" s="116">
        <f>'PF320'!Y75</f>
        <v>0</v>
      </c>
      <c r="N28" s="115"/>
      <c r="O28" s="119" t="str">
        <f>'PF320'!Y258</f>
        <v>VDDIO_3</v>
      </c>
      <c r="P28" s="115"/>
      <c r="Q28" s="115"/>
      <c r="R28" s="115"/>
      <c r="S28" s="114" t="str">
        <f>'PF320'!Y266</f>
        <v>VSSIO_3</v>
      </c>
      <c r="T28" s="115"/>
      <c r="U28" s="114" t="str">
        <f>'PF320'!Y274</f>
        <v>VSSD</v>
      </c>
      <c r="V28" s="115"/>
      <c r="W28" s="114" t="str">
        <f>'PF320'!Y283</f>
        <v>VSSD</v>
      </c>
      <c r="X28" s="115"/>
      <c r="Y28" s="114" t="str">
        <f>'PF320'!Y291</f>
        <v>VSSD</v>
      </c>
      <c r="Z28" s="115"/>
      <c r="AA28" s="114" t="str">
        <f>'PF320'!Y299</f>
        <v>VSSD</v>
      </c>
      <c r="AB28" s="115"/>
      <c r="AC28" s="114" t="str">
        <f>'PF320'!Y307</f>
        <v>VSSD</v>
      </c>
      <c r="AD28" s="115"/>
      <c r="AE28" s="115"/>
      <c r="AF28" s="115"/>
      <c r="AG28" s="119" t="str">
        <f>'PF320'!Y315</f>
        <v>VDDD</v>
      </c>
      <c r="AH28" s="115"/>
      <c r="AI28" s="116">
        <f>'PF320'!Y149</f>
        <v>0</v>
      </c>
      <c r="AJ28" s="115"/>
      <c r="AK28" s="115"/>
      <c r="AL28" s="115"/>
      <c r="AM28" s="117" t="str">
        <f>'PF320'!Y323</f>
        <v>VSSD</v>
      </c>
      <c r="AN28" s="115"/>
      <c r="AO28" s="116">
        <f>'PF320'!Y155</f>
        <v>0</v>
      </c>
      <c r="AP28" s="115"/>
      <c r="AQ28" s="121" t="str">
        <f>'PF320'!Y326</f>
        <v>XRES_L</v>
      </c>
      <c r="AR28" s="118"/>
    </row>
    <row r="29" spans="3:44" ht="10" customHeight="1" x14ac:dyDescent="0.55000000000000004">
      <c r="C29" s="82"/>
      <c r="D29" s="113"/>
      <c r="E29" s="115" t="s">
        <v>1967</v>
      </c>
      <c r="F29" s="115"/>
      <c r="G29" s="115" t="s">
        <v>2082</v>
      </c>
      <c r="H29" s="115"/>
      <c r="I29" s="115" t="s">
        <v>2100</v>
      </c>
      <c r="J29" s="115"/>
      <c r="K29" s="115"/>
      <c r="L29" s="115"/>
      <c r="M29" s="115" t="s">
        <v>2121</v>
      </c>
      <c r="N29" s="115"/>
      <c r="O29" s="115"/>
      <c r="P29" s="115"/>
      <c r="Q29" s="115"/>
      <c r="R29" s="115"/>
      <c r="S29" s="115"/>
      <c r="T29" s="115"/>
      <c r="U29" s="115"/>
      <c r="V29" s="115"/>
      <c r="W29" s="115"/>
      <c r="X29" s="115"/>
      <c r="Y29" s="115"/>
      <c r="Z29" s="115"/>
      <c r="AA29" s="115"/>
      <c r="AB29" s="115"/>
      <c r="AC29" s="115"/>
      <c r="AD29" s="115"/>
      <c r="AE29" s="115"/>
      <c r="AF29" s="115"/>
      <c r="AG29" s="115"/>
      <c r="AH29" s="115"/>
      <c r="AI29" s="115" t="s">
        <v>2225</v>
      </c>
      <c r="AJ29" s="115"/>
      <c r="AK29" s="115"/>
      <c r="AL29" s="115"/>
      <c r="AM29" s="115"/>
      <c r="AN29" s="115"/>
      <c r="AO29" s="115" t="s">
        <v>2266</v>
      </c>
      <c r="AP29" s="115"/>
      <c r="AQ29" s="115"/>
      <c r="AR29" s="118"/>
    </row>
    <row r="30" spans="3:44" ht="46" customHeight="1" x14ac:dyDescent="0.55000000000000004">
      <c r="C30" s="82" t="s">
        <v>1949</v>
      </c>
      <c r="D30" s="113"/>
      <c r="E30" s="116">
        <f>'PF320'!Y175</f>
        <v>0</v>
      </c>
      <c r="F30" s="115"/>
      <c r="G30" s="116">
        <f>'PF320'!Y176</f>
        <v>0</v>
      </c>
      <c r="H30" s="115"/>
      <c r="I30" s="116">
        <f>'PF320'!Y177</f>
        <v>0</v>
      </c>
      <c r="J30" s="115"/>
      <c r="K30" s="115"/>
      <c r="L30" s="115"/>
      <c r="M30" s="116">
        <f>'PF320'!Y76</f>
        <v>0</v>
      </c>
      <c r="N30" s="115"/>
      <c r="O30" s="119" t="str">
        <f>'PF320'!Y259</f>
        <v>VDDIO_3</v>
      </c>
      <c r="P30" s="115"/>
      <c r="Q30" s="115"/>
      <c r="R30" s="115"/>
      <c r="S30" s="114" t="str">
        <f>'PF320'!Y267</f>
        <v>VSSIO_3</v>
      </c>
      <c r="T30" s="115"/>
      <c r="U30" s="114" t="str">
        <f>'PF320'!Y275</f>
        <v>VSSD</v>
      </c>
      <c r="V30" s="115"/>
      <c r="W30" s="114" t="str">
        <f>'PF320'!Y284</f>
        <v>VSSD</v>
      </c>
      <c r="X30" s="115"/>
      <c r="Y30" s="114" t="str">
        <f>'PF320'!Y292</f>
        <v>VSSD</v>
      </c>
      <c r="Z30" s="115"/>
      <c r="AA30" s="114" t="str">
        <f>'PF320'!Y300</f>
        <v>VSSD</v>
      </c>
      <c r="AB30" s="115"/>
      <c r="AC30" s="114" t="str">
        <f>'PF320'!Y308</f>
        <v>VSSD</v>
      </c>
      <c r="AD30" s="115"/>
      <c r="AE30" s="115"/>
      <c r="AF30" s="115"/>
      <c r="AG30" s="119" t="str">
        <f>'PF320'!Y316</f>
        <v>VDDD</v>
      </c>
      <c r="AH30" s="115"/>
      <c r="AI30" s="116">
        <f>'PF320'!Y148</f>
        <v>0</v>
      </c>
      <c r="AJ30" s="115"/>
      <c r="AK30" s="115"/>
      <c r="AL30" s="115"/>
      <c r="AM30" s="116">
        <f>'PF320'!Y147</f>
        <v>0</v>
      </c>
      <c r="AN30" s="115"/>
      <c r="AO30" s="116">
        <f>'PF320'!Y146</f>
        <v>0</v>
      </c>
      <c r="AP30" s="115"/>
      <c r="AQ30" s="117" t="str">
        <f>'PF320'!Y327</f>
        <v>VSSD_2</v>
      </c>
      <c r="AR30" s="118"/>
    </row>
    <row r="31" spans="3:44" ht="10" customHeight="1" x14ac:dyDescent="0.55000000000000004">
      <c r="C31" s="82"/>
      <c r="D31" s="113"/>
      <c r="E31" s="115" t="s">
        <v>1968</v>
      </c>
      <c r="F31" s="115"/>
      <c r="G31" s="115" t="s">
        <v>2083</v>
      </c>
      <c r="H31" s="115"/>
      <c r="I31" s="115" t="s">
        <v>2101</v>
      </c>
      <c r="J31" s="115"/>
      <c r="K31" s="115"/>
      <c r="L31" s="115"/>
      <c r="M31" s="115" t="s">
        <v>2122</v>
      </c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5"/>
      <c r="Y31" s="115"/>
      <c r="Z31" s="115"/>
      <c r="AA31" s="115"/>
      <c r="AB31" s="115"/>
      <c r="AC31" s="115"/>
      <c r="AD31" s="115"/>
      <c r="AE31" s="115"/>
      <c r="AF31" s="115"/>
      <c r="AG31" s="115"/>
      <c r="AH31" s="115"/>
      <c r="AI31" s="115" t="s">
        <v>2226</v>
      </c>
      <c r="AJ31" s="115"/>
      <c r="AK31" s="115"/>
      <c r="AL31" s="115"/>
      <c r="AM31" s="115" t="s">
        <v>2247</v>
      </c>
      <c r="AN31" s="115"/>
      <c r="AO31" s="115" t="s">
        <v>2267</v>
      </c>
      <c r="AP31" s="115"/>
      <c r="AQ31" s="115"/>
      <c r="AR31" s="118"/>
    </row>
    <row r="32" spans="3:44" ht="46" customHeight="1" x14ac:dyDescent="0.55000000000000004">
      <c r="C32" s="82" t="s">
        <v>1950</v>
      </c>
      <c r="D32" s="113"/>
      <c r="E32" s="116">
        <f>'PF320'!Y178</f>
        <v>0</v>
      </c>
      <c r="F32" s="115"/>
      <c r="G32" s="116">
        <f>'PF320'!Y179</f>
        <v>0</v>
      </c>
      <c r="H32" s="115"/>
      <c r="I32" s="116">
        <f>'PF320'!Y180</f>
        <v>0</v>
      </c>
      <c r="J32" s="115"/>
      <c r="K32" s="115"/>
      <c r="L32" s="115"/>
      <c r="M32" s="116">
        <f>'PF320'!Y77</f>
        <v>0</v>
      </c>
      <c r="N32" s="115"/>
      <c r="O32" s="122" t="str">
        <f>'PF320'!Y260</f>
        <v>VREFH</v>
      </c>
      <c r="P32" s="115"/>
      <c r="Q32" s="115"/>
      <c r="R32" s="115"/>
      <c r="S32" s="122" t="str">
        <f>'PF320'!Y268</f>
        <v>VREFL</v>
      </c>
      <c r="T32" s="115"/>
      <c r="U32" s="114" t="str">
        <f>'PF320'!Y276</f>
        <v>VSSD</v>
      </c>
      <c r="V32" s="115"/>
      <c r="W32" s="114" t="str">
        <f>'PF320'!Y285</f>
        <v>VSSD</v>
      </c>
      <c r="X32" s="115"/>
      <c r="Y32" s="114" t="str">
        <f>'PF320'!Y293</f>
        <v>VSSD</v>
      </c>
      <c r="Z32" s="115"/>
      <c r="AA32" s="114" t="str">
        <f>'PF320'!Y301</f>
        <v>VSSD</v>
      </c>
      <c r="AB32" s="115"/>
      <c r="AC32" s="114" t="str">
        <f>'PF320'!Y309</f>
        <v>VSSD</v>
      </c>
      <c r="AD32" s="115"/>
      <c r="AE32" s="115"/>
      <c r="AF32" s="115"/>
      <c r="AG32" s="119" t="str">
        <f>'PF320'!Y317</f>
        <v>VDDD</v>
      </c>
      <c r="AH32" s="115"/>
      <c r="AI32" s="116">
        <f>'PF320'!Y145</f>
        <v>0</v>
      </c>
      <c r="AJ32" s="115"/>
      <c r="AK32" s="115"/>
      <c r="AL32" s="115"/>
      <c r="AM32" s="116">
        <f>'PF320'!Y144</f>
        <v>0</v>
      </c>
      <c r="AN32" s="115"/>
      <c r="AO32" s="116">
        <f>'PF320'!Y153</f>
        <v>0</v>
      </c>
      <c r="AP32" s="115"/>
      <c r="AQ32" s="116">
        <f>'PF320'!Y154</f>
        <v>0</v>
      </c>
      <c r="AR32" s="118"/>
    </row>
    <row r="33" spans="3:44" ht="10" customHeight="1" x14ac:dyDescent="0.55000000000000004">
      <c r="C33" s="82"/>
      <c r="D33" s="113"/>
      <c r="E33" s="115" t="s">
        <v>1969</v>
      </c>
      <c r="F33" s="115"/>
      <c r="G33" s="115" t="s">
        <v>2084</v>
      </c>
      <c r="H33" s="115"/>
      <c r="I33" s="115" t="s">
        <v>2102</v>
      </c>
      <c r="J33" s="115"/>
      <c r="K33" s="115"/>
      <c r="L33" s="115"/>
      <c r="M33" s="115" t="s">
        <v>2123</v>
      </c>
      <c r="N33" s="115"/>
      <c r="O33" s="115"/>
      <c r="P33" s="115"/>
      <c r="Q33" s="115"/>
      <c r="R33" s="115"/>
      <c r="S33" s="115"/>
      <c r="T33" s="115"/>
      <c r="U33" s="115"/>
      <c r="V33" s="115"/>
      <c r="W33" s="115"/>
      <c r="X33" s="115"/>
      <c r="Y33" s="115"/>
      <c r="Z33" s="115"/>
      <c r="AA33" s="115"/>
      <c r="AB33" s="115"/>
      <c r="AC33" s="115"/>
      <c r="AD33" s="115"/>
      <c r="AE33" s="115"/>
      <c r="AF33" s="115"/>
      <c r="AG33" s="115"/>
      <c r="AH33" s="115"/>
      <c r="AI33" s="115" t="s">
        <v>2227</v>
      </c>
      <c r="AJ33" s="115"/>
      <c r="AK33" s="115"/>
      <c r="AL33" s="115"/>
      <c r="AM33" s="115" t="s">
        <v>2248</v>
      </c>
      <c r="AN33" s="115"/>
      <c r="AO33" s="115" t="s">
        <v>2268</v>
      </c>
      <c r="AP33" s="115"/>
      <c r="AQ33" s="115" t="s">
        <v>2284</v>
      </c>
      <c r="AR33" s="118"/>
    </row>
    <row r="34" spans="3:44" ht="46" customHeight="1" x14ac:dyDescent="0.55000000000000004">
      <c r="C34" s="82" t="s">
        <v>1951</v>
      </c>
      <c r="D34" s="113"/>
      <c r="E34" s="116">
        <f>'PF320'!Y181</f>
        <v>0</v>
      </c>
      <c r="F34" s="115"/>
      <c r="G34" s="116">
        <f>'PF320'!Y182</f>
        <v>0</v>
      </c>
      <c r="H34" s="115"/>
      <c r="I34" s="116">
        <f>'PF320'!Y183</f>
        <v>0</v>
      </c>
      <c r="J34" s="115"/>
      <c r="K34" s="115"/>
      <c r="L34" s="115"/>
      <c r="M34" s="116">
        <f>'PF320'!Y78</f>
        <v>0</v>
      </c>
      <c r="N34" s="115"/>
      <c r="O34" s="119" t="str">
        <f>'PF320'!Y261</f>
        <v>VDDA</v>
      </c>
      <c r="P34" s="115"/>
      <c r="Q34" s="115"/>
      <c r="R34" s="115"/>
      <c r="S34" s="117" t="str">
        <f>'PF320'!Y269</f>
        <v>VSSA</v>
      </c>
      <c r="T34" s="115"/>
      <c r="U34" s="123" t="str">
        <f>'PF320'!Y277</f>
        <v>VSSIO_4</v>
      </c>
      <c r="V34" s="115"/>
      <c r="W34" s="123" t="str">
        <f>'PF320'!Y286</f>
        <v>VSSIO_4</v>
      </c>
      <c r="X34" s="115"/>
      <c r="Y34" s="114" t="str">
        <f>'PF320'!Y294</f>
        <v>VSSIO_4</v>
      </c>
      <c r="Z34" s="115"/>
      <c r="AA34" s="114" t="str">
        <f>'PF320'!Y302</f>
        <v>VSSD</v>
      </c>
      <c r="AB34" s="115"/>
      <c r="AC34" s="114" t="str">
        <f>'PF320'!Y310</f>
        <v>VSSD_1</v>
      </c>
      <c r="AD34" s="115"/>
      <c r="AE34" s="115"/>
      <c r="AF34" s="115"/>
      <c r="AG34" s="119" t="str">
        <f>'PF320'!Y318</f>
        <v>VDDD</v>
      </c>
      <c r="AH34" s="115"/>
      <c r="AI34" s="116">
        <f>'PF320'!Y142</f>
        <v>0</v>
      </c>
      <c r="AJ34" s="115"/>
      <c r="AK34" s="115"/>
      <c r="AL34" s="115"/>
      <c r="AM34" s="116">
        <f>'PF320'!Y143</f>
        <v>0</v>
      </c>
      <c r="AN34" s="115"/>
      <c r="AO34" s="116">
        <f>'PF320'!Y151</f>
        <v>0</v>
      </c>
      <c r="AP34" s="115"/>
      <c r="AQ34" s="116">
        <f>'PF320'!Y152</f>
        <v>0</v>
      </c>
      <c r="AR34" s="118"/>
    </row>
    <row r="35" spans="3:44" ht="10" customHeight="1" x14ac:dyDescent="0.55000000000000004">
      <c r="C35" s="82"/>
      <c r="D35" s="113"/>
      <c r="E35" s="115" t="s">
        <v>1970</v>
      </c>
      <c r="F35" s="115"/>
      <c r="G35" s="115" t="s">
        <v>2085</v>
      </c>
      <c r="H35" s="115"/>
      <c r="I35" s="115" t="s">
        <v>2103</v>
      </c>
      <c r="J35" s="115"/>
      <c r="K35" s="115"/>
      <c r="L35" s="115"/>
      <c r="M35" s="115" t="s">
        <v>2124</v>
      </c>
      <c r="N35" s="115"/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  <c r="Z35" s="115"/>
      <c r="AA35" s="115"/>
      <c r="AB35" s="115"/>
      <c r="AC35" s="115"/>
      <c r="AD35" s="115"/>
      <c r="AE35" s="115"/>
      <c r="AF35" s="115"/>
      <c r="AG35" s="115"/>
      <c r="AH35" s="115"/>
      <c r="AI35" s="115" t="s">
        <v>2228</v>
      </c>
      <c r="AJ35" s="115"/>
      <c r="AK35" s="115"/>
      <c r="AL35" s="115"/>
      <c r="AM35" s="115" t="s">
        <v>2249</v>
      </c>
      <c r="AN35" s="115"/>
      <c r="AO35" s="115" t="s">
        <v>2269</v>
      </c>
      <c r="AP35" s="115"/>
      <c r="AQ35" s="115" t="s">
        <v>2285</v>
      </c>
      <c r="AR35" s="118"/>
    </row>
    <row r="36" spans="3:44" ht="46" customHeight="1" x14ac:dyDescent="0.55000000000000004">
      <c r="C36" s="82" t="s">
        <v>1952</v>
      </c>
      <c r="D36" s="113"/>
      <c r="E36" s="116">
        <f>'PF320'!Y184</f>
        <v>0</v>
      </c>
      <c r="F36" s="115"/>
      <c r="G36" s="116">
        <f>'PF320'!Y185</f>
        <v>0</v>
      </c>
      <c r="H36" s="115"/>
      <c r="I36" s="116">
        <f>'PF320'!Y186</f>
        <v>0</v>
      </c>
      <c r="J36" s="115"/>
      <c r="K36" s="115"/>
      <c r="L36" s="115"/>
      <c r="M36" s="116">
        <f>'PF320'!Y83</f>
        <v>0</v>
      </c>
      <c r="N36" s="115"/>
      <c r="O36" s="116">
        <f>'PF320'!Y84</f>
        <v>0</v>
      </c>
      <c r="P36" s="115"/>
      <c r="Q36" s="115"/>
      <c r="R36" s="115"/>
      <c r="S36" s="115"/>
      <c r="T36" s="115"/>
      <c r="U36" s="115"/>
      <c r="V36" s="115"/>
      <c r="W36" s="115"/>
      <c r="X36" s="115"/>
      <c r="Y36" s="115"/>
      <c r="Z36" s="115"/>
      <c r="AA36" s="115"/>
      <c r="AB36" s="115"/>
      <c r="AC36" s="115"/>
      <c r="AD36" s="115"/>
      <c r="AE36" s="115"/>
      <c r="AF36" s="115"/>
      <c r="AG36" s="116">
        <f>'PF320'!Y141</f>
        <v>0</v>
      </c>
      <c r="AH36" s="115"/>
      <c r="AI36" s="116">
        <f>'PF320'!Y140</f>
        <v>0</v>
      </c>
      <c r="AJ36" s="115"/>
      <c r="AK36" s="115"/>
      <c r="AL36" s="115"/>
      <c r="AM36" s="116">
        <f>'PF320'!Y139</f>
        <v>0</v>
      </c>
      <c r="AN36" s="115"/>
      <c r="AO36" s="116">
        <f>'PF320'!Y138</f>
        <v>0</v>
      </c>
      <c r="AP36" s="115"/>
      <c r="AQ36" s="117" t="str">
        <f>'PF320'!Y328</f>
        <v>VSSD_2</v>
      </c>
      <c r="AR36" s="118"/>
    </row>
    <row r="37" spans="3:44" ht="10" customHeight="1" x14ac:dyDescent="0.55000000000000004">
      <c r="C37" s="82"/>
      <c r="D37" s="113"/>
      <c r="E37" s="115" t="s">
        <v>1971</v>
      </c>
      <c r="F37" s="115"/>
      <c r="G37" s="115" t="s">
        <v>2086</v>
      </c>
      <c r="H37" s="115"/>
      <c r="I37" s="115" t="s">
        <v>2104</v>
      </c>
      <c r="J37" s="115"/>
      <c r="K37" s="115"/>
      <c r="L37" s="115"/>
      <c r="M37" s="115" t="s">
        <v>2125</v>
      </c>
      <c r="N37" s="115"/>
      <c r="O37" s="115" t="s">
        <v>2136</v>
      </c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5"/>
      <c r="AA37" s="115"/>
      <c r="AB37" s="115"/>
      <c r="AC37" s="115"/>
      <c r="AD37" s="115"/>
      <c r="AE37" s="115"/>
      <c r="AF37" s="115"/>
      <c r="AG37" s="115" t="s">
        <v>2214</v>
      </c>
      <c r="AH37" s="115"/>
      <c r="AI37" s="115" t="s">
        <v>2229</v>
      </c>
      <c r="AJ37" s="115"/>
      <c r="AK37" s="115"/>
      <c r="AL37" s="115"/>
      <c r="AM37" s="115" t="s">
        <v>2250</v>
      </c>
      <c r="AN37" s="115"/>
      <c r="AO37" s="115" t="s">
        <v>2270</v>
      </c>
      <c r="AP37" s="115"/>
      <c r="AQ37" s="115"/>
      <c r="AR37" s="118"/>
    </row>
    <row r="38" spans="3:44" ht="46" customHeight="1" x14ac:dyDescent="0.55000000000000004">
      <c r="C38" s="82" t="s">
        <v>1953</v>
      </c>
      <c r="D38" s="113"/>
      <c r="E38" s="116">
        <f>'PF320'!Y79</f>
        <v>0</v>
      </c>
      <c r="F38" s="115"/>
      <c r="G38" s="116">
        <f>'PF320'!Y80</f>
        <v>0</v>
      </c>
      <c r="H38" s="115"/>
      <c r="I38" s="116">
        <f>'PF320'!Y81</f>
        <v>0</v>
      </c>
      <c r="J38" s="115"/>
      <c r="K38" s="115"/>
      <c r="L38" s="115"/>
      <c r="M38" s="116">
        <f>'PF320'!Y85</f>
        <v>0</v>
      </c>
      <c r="N38" s="115"/>
      <c r="O38" s="119" t="str">
        <f>'PF320'!Y262</f>
        <v>VCCD</v>
      </c>
      <c r="P38" s="115"/>
      <c r="Q38" s="116">
        <f>'PF320'!Y108</f>
        <v>0</v>
      </c>
      <c r="R38" s="115"/>
      <c r="S38" s="119" t="str">
        <f>'PF320'!Y270</f>
        <v>VDDIO_2</v>
      </c>
      <c r="T38" s="115"/>
      <c r="U38" s="119" t="str">
        <f>'PF320'!Y278</f>
        <v>VDDIO_4</v>
      </c>
      <c r="V38" s="115"/>
      <c r="W38" s="119" t="str">
        <f>'PF320'!Y287</f>
        <v>VDDIO_4</v>
      </c>
      <c r="X38" s="115"/>
      <c r="Y38" s="119" t="str">
        <f>'PF320'!Y295</f>
        <v>VDDIO_4</v>
      </c>
      <c r="Z38" s="115"/>
      <c r="AA38" s="119" t="str">
        <f>'PF320'!Y303</f>
        <v>VDDD</v>
      </c>
      <c r="AB38" s="115"/>
      <c r="AC38" s="119" t="str">
        <f>'PF320'!Y311</f>
        <v>VDDD</v>
      </c>
      <c r="AD38" s="115"/>
      <c r="AE38" s="116">
        <f>'PF320'!Y125</f>
        <v>0</v>
      </c>
      <c r="AF38" s="115"/>
      <c r="AG38" s="119" t="str">
        <f>'PF320'!Y319</f>
        <v>VCCD</v>
      </c>
      <c r="AH38" s="115"/>
      <c r="AI38" s="116">
        <f>'PF320'!Y137</f>
        <v>0</v>
      </c>
      <c r="AJ38" s="115"/>
      <c r="AK38" s="115"/>
      <c r="AL38" s="115"/>
      <c r="AM38" s="116">
        <f>'PF320'!Y249</f>
        <v>0</v>
      </c>
      <c r="AN38" s="115"/>
      <c r="AO38" s="116">
        <f>'PF320'!Y248</f>
        <v>0</v>
      </c>
      <c r="AP38" s="115"/>
      <c r="AQ38" s="116">
        <f>'PF320'!Y247</f>
        <v>0</v>
      </c>
      <c r="AR38" s="118"/>
    </row>
    <row r="39" spans="3:44" ht="10" customHeight="1" x14ac:dyDescent="0.55000000000000004">
      <c r="C39" s="82"/>
      <c r="D39" s="113"/>
      <c r="E39" s="115" t="s">
        <v>1972</v>
      </c>
      <c r="F39" s="115"/>
      <c r="G39" s="115" t="s">
        <v>2087</v>
      </c>
      <c r="H39" s="115"/>
      <c r="I39" s="115" t="s">
        <v>2105</v>
      </c>
      <c r="J39" s="115"/>
      <c r="K39" s="115"/>
      <c r="L39" s="115"/>
      <c r="M39" s="115" t="s">
        <v>2126</v>
      </c>
      <c r="N39" s="115"/>
      <c r="O39" s="115"/>
      <c r="P39" s="115"/>
      <c r="Q39" s="115" t="s">
        <v>2146</v>
      </c>
      <c r="R39" s="115"/>
      <c r="S39" s="115"/>
      <c r="T39" s="115"/>
      <c r="U39" s="115"/>
      <c r="V39" s="115"/>
      <c r="W39" s="115"/>
      <c r="X39" s="115"/>
      <c r="Y39" s="115"/>
      <c r="Z39" s="115"/>
      <c r="AA39" s="115"/>
      <c r="AB39" s="115"/>
      <c r="AC39" s="115"/>
      <c r="AD39" s="115"/>
      <c r="AE39" s="115" t="s">
        <v>2204</v>
      </c>
      <c r="AF39" s="115"/>
      <c r="AG39" s="115"/>
      <c r="AH39" s="115"/>
      <c r="AI39" s="115" t="s">
        <v>2230</v>
      </c>
      <c r="AJ39" s="115"/>
      <c r="AK39" s="115"/>
      <c r="AL39" s="115"/>
      <c r="AM39" s="115" t="s">
        <v>2251</v>
      </c>
      <c r="AN39" s="115"/>
      <c r="AO39" s="115" t="s">
        <v>2271</v>
      </c>
      <c r="AP39" s="115"/>
      <c r="AQ39" s="115" t="s">
        <v>2286</v>
      </c>
      <c r="AR39" s="118"/>
    </row>
    <row r="40" spans="3:44" ht="46" customHeight="1" x14ac:dyDescent="0.55000000000000004">
      <c r="C40" s="82" t="s">
        <v>1954</v>
      </c>
      <c r="D40" s="113"/>
      <c r="E40" s="116">
        <f>'PF320'!Y82</f>
        <v>0</v>
      </c>
      <c r="F40" s="115"/>
      <c r="G40" s="116">
        <f>'PF320'!Y86</f>
        <v>0</v>
      </c>
      <c r="H40" s="115"/>
      <c r="I40" s="116">
        <f>'PF320'!Y87</f>
        <v>0</v>
      </c>
      <c r="J40" s="115"/>
      <c r="K40" s="115"/>
      <c r="L40" s="115"/>
      <c r="M40" s="116">
        <f>'PF320'!Y103</f>
        <v>0</v>
      </c>
      <c r="N40" s="115"/>
      <c r="O40" s="116">
        <f>'PF320'!Y107</f>
        <v>0</v>
      </c>
      <c r="P40" s="115"/>
      <c r="Q40" s="116">
        <f>'PF320'!Y109</f>
        <v>0</v>
      </c>
      <c r="R40" s="115"/>
      <c r="S40" s="116">
        <f>'PF320'!Y113</f>
        <v>0</v>
      </c>
      <c r="T40" s="115"/>
      <c r="U40" s="116">
        <f>'PF320'!Y114</f>
        <v>0</v>
      </c>
      <c r="V40" s="115"/>
      <c r="W40" s="116">
        <f>'PF320'!Y115</f>
        <v>0</v>
      </c>
      <c r="X40" s="115"/>
      <c r="Y40" s="116">
        <f>'PF320'!Y116</f>
        <v>0</v>
      </c>
      <c r="Z40" s="115"/>
      <c r="AA40" s="116">
        <f>'PF320'!Y117</f>
        <v>0</v>
      </c>
      <c r="AB40" s="115"/>
      <c r="AC40" s="116">
        <f>'PF320'!Y118</f>
        <v>0</v>
      </c>
      <c r="AD40" s="115"/>
      <c r="AE40" s="116">
        <f>'PF320'!Y124</f>
        <v>0</v>
      </c>
      <c r="AF40" s="115"/>
      <c r="AG40" s="116">
        <f>'PF320'!Y135</f>
        <v>0</v>
      </c>
      <c r="AH40" s="115"/>
      <c r="AI40" s="116">
        <f>'PF320'!Y136</f>
        <v>0</v>
      </c>
      <c r="AJ40" s="115"/>
      <c r="AK40" s="115"/>
      <c r="AL40" s="115"/>
      <c r="AM40" s="116">
        <f>'PF320'!Y246</f>
        <v>0</v>
      </c>
      <c r="AN40" s="115"/>
      <c r="AO40" s="116">
        <f>'PF320'!Y245</f>
        <v>0</v>
      </c>
      <c r="AP40" s="115"/>
      <c r="AQ40" s="116">
        <f>'PF320'!Y244</f>
        <v>0</v>
      </c>
      <c r="AR40" s="118"/>
    </row>
    <row r="41" spans="3:44" ht="10" customHeight="1" x14ac:dyDescent="0.55000000000000004">
      <c r="C41" s="82"/>
      <c r="D41" s="113"/>
      <c r="E41" s="115" t="s">
        <v>1973</v>
      </c>
      <c r="F41" s="115"/>
      <c r="G41" s="115" t="s">
        <v>2088</v>
      </c>
      <c r="H41" s="115"/>
      <c r="I41" s="115" t="s">
        <v>2106</v>
      </c>
      <c r="J41" s="115"/>
      <c r="K41" s="115"/>
      <c r="L41" s="115"/>
      <c r="M41" s="115" t="s">
        <v>2127</v>
      </c>
      <c r="N41" s="115"/>
      <c r="O41" s="115" t="s">
        <v>2137</v>
      </c>
      <c r="P41" s="115"/>
      <c r="Q41" s="115" t="s">
        <v>2147</v>
      </c>
      <c r="R41" s="115"/>
      <c r="S41" s="115" t="s">
        <v>2155</v>
      </c>
      <c r="T41" s="115"/>
      <c r="U41" s="115" t="s">
        <v>2164</v>
      </c>
      <c r="V41" s="115"/>
      <c r="W41" s="115" t="s">
        <v>2171</v>
      </c>
      <c r="X41" s="115"/>
      <c r="Y41" s="115" t="s">
        <v>2179</v>
      </c>
      <c r="Z41" s="115"/>
      <c r="AA41" s="115" t="s">
        <v>2187</v>
      </c>
      <c r="AB41" s="115"/>
      <c r="AC41" s="115" t="s">
        <v>2196</v>
      </c>
      <c r="AD41" s="115"/>
      <c r="AE41" s="115" t="s">
        <v>2205</v>
      </c>
      <c r="AF41" s="115"/>
      <c r="AG41" s="115" t="s">
        <v>2215</v>
      </c>
      <c r="AH41" s="115"/>
      <c r="AI41" s="115" t="s">
        <v>2231</v>
      </c>
      <c r="AJ41" s="115"/>
      <c r="AK41" s="115"/>
      <c r="AL41" s="115"/>
      <c r="AM41" s="115" t="s">
        <v>2252</v>
      </c>
      <c r="AN41" s="115"/>
      <c r="AO41" s="115" t="s">
        <v>2272</v>
      </c>
      <c r="AP41" s="115"/>
      <c r="AQ41" s="115" t="s">
        <v>2287</v>
      </c>
      <c r="AR41" s="118"/>
    </row>
    <row r="42" spans="3:44" ht="46" customHeight="1" x14ac:dyDescent="0.55000000000000004">
      <c r="C42" s="82" t="s">
        <v>1955</v>
      </c>
      <c r="D42" s="113"/>
      <c r="E42" s="116">
        <f>'PF320'!Y88</f>
        <v>0</v>
      </c>
      <c r="F42" s="115"/>
      <c r="G42" s="116">
        <f>'PF320'!Y89</f>
        <v>0</v>
      </c>
      <c r="H42" s="115"/>
      <c r="I42" s="116">
        <f>'PF320'!Y90</f>
        <v>0</v>
      </c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115"/>
      <c r="AJ42" s="115"/>
      <c r="AK42" s="115"/>
      <c r="AL42" s="115"/>
      <c r="AM42" s="116">
        <f>'PF320'!Y243</f>
        <v>0</v>
      </c>
      <c r="AN42" s="115"/>
      <c r="AO42" s="116">
        <f>'PF320'!Y242</f>
        <v>0</v>
      </c>
      <c r="AP42" s="115"/>
      <c r="AQ42" s="116">
        <f>'PF320'!Y241</f>
        <v>0</v>
      </c>
      <c r="AR42" s="118"/>
    </row>
    <row r="43" spans="3:44" ht="10" customHeight="1" x14ac:dyDescent="0.55000000000000004">
      <c r="C43" s="82"/>
      <c r="D43" s="113"/>
      <c r="E43" s="115" t="s">
        <v>1974</v>
      </c>
      <c r="F43" s="115"/>
      <c r="G43" s="115" t="s">
        <v>2089</v>
      </c>
      <c r="H43" s="115"/>
      <c r="I43" s="115" t="s">
        <v>2107</v>
      </c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15"/>
      <c r="AL43" s="115"/>
      <c r="AM43" s="115" t="s">
        <v>2253</v>
      </c>
      <c r="AN43" s="115"/>
      <c r="AO43" s="115" t="s">
        <v>2273</v>
      </c>
      <c r="AP43" s="115"/>
      <c r="AQ43" s="115" t="s">
        <v>2288</v>
      </c>
      <c r="AR43" s="118"/>
    </row>
    <row r="44" spans="3:44" ht="46" customHeight="1" x14ac:dyDescent="0.55000000000000004">
      <c r="C44" s="82" t="s">
        <v>1956</v>
      </c>
      <c r="D44" s="113"/>
      <c r="E44" s="116">
        <f>'PF320'!Y91</f>
        <v>0</v>
      </c>
      <c r="F44" s="115"/>
      <c r="G44" s="116">
        <f>'PF320'!Y92</f>
        <v>0</v>
      </c>
      <c r="H44" s="115"/>
      <c r="I44" s="114" t="str">
        <f>'PF320'!Y253</f>
        <v>VSSD</v>
      </c>
      <c r="J44" s="115"/>
      <c r="K44" s="114" t="str">
        <f>'PF320'!Y254</f>
        <v>VSSD</v>
      </c>
      <c r="L44" s="115"/>
      <c r="M44" s="116">
        <f>'PF320'!Y102</f>
        <v>0</v>
      </c>
      <c r="N44" s="115"/>
      <c r="O44" s="116">
        <f>'PF320'!Y106</f>
        <v>0</v>
      </c>
      <c r="P44" s="115"/>
      <c r="Q44" s="116">
        <f>'PF320'!Y112</f>
        <v>0</v>
      </c>
      <c r="R44" s="115"/>
      <c r="S44" s="116">
        <f>'PF320'!Y189</f>
        <v>0</v>
      </c>
      <c r="T44" s="115"/>
      <c r="U44" s="116">
        <f>'PF320'!Y192</f>
        <v>0</v>
      </c>
      <c r="V44" s="115"/>
      <c r="W44" s="116">
        <f>'PF320'!Y195</f>
        <v>0</v>
      </c>
      <c r="X44" s="115"/>
      <c r="Y44" s="116">
        <f>'PF320'!Y198</f>
        <v>0</v>
      </c>
      <c r="Z44" s="115"/>
      <c r="AA44" s="116">
        <f>'PF320'!Y200</f>
        <v>0</v>
      </c>
      <c r="AB44" s="115"/>
      <c r="AC44" s="116">
        <f>'PF320'!Y202</f>
        <v>0</v>
      </c>
      <c r="AD44" s="115"/>
      <c r="AE44" s="116">
        <f>'PF320'!Y123</f>
        <v>0</v>
      </c>
      <c r="AF44" s="115"/>
      <c r="AG44" s="117" t="str">
        <f>'PF320'!Y320</f>
        <v>VSSD</v>
      </c>
      <c r="AH44" s="115"/>
      <c r="AI44" s="116">
        <f>'PF320'!Y130</f>
        <v>0</v>
      </c>
      <c r="AJ44" s="115"/>
      <c r="AK44" s="116">
        <f>'PF320'!Y235</f>
        <v>0</v>
      </c>
      <c r="AL44" s="115"/>
      <c r="AM44" s="116">
        <f>'PF320'!Y237</f>
        <v>0</v>
      </c>
      <c r="AN44" s="115"/>
      <c r="AO44" s="116">
        <f>'PF320'!Y240</f>
        <v>0</v>
      </c>
      <c r="AP44" s="115"/>
      <c r="AQ44" s="116">
        <f>'PF320'!Y239</f>
        <v>0</v>
      </c>
      <c r="AR44" s="118"/>
    </row>
    <row r="45" spans="3:44" ht="10" customHeight="1" x14ac:dyDescent="0.55000000000000004">
      <c r="C45" s="82"/>
      <c r="D45" s="113"/>
      <c r="E45" s="115" t="s">
        <v>1975</v>
      </c>
      <c r="F45" s="115"/>
      <c r="G45" s="115" t="s">
        <v>2090</v>
      </c>
      <c r="H45" s="115"/>
      <c r="I45" s="115"/>
      <c r="J45" s="115"/>
      <c r="K45" s="115"/>
      <c r="L45" s="115"/>
      <c r="M45" s="115" t="s">
        <v>2128</v>
      </c>
      <c r="N45" s="115"/>
      <c r="O45" s="115" t="s">
        <v>2138</v>
      </c>
      <c r="P45" s="115"/>
      <c r="Q45" s="115" t="s">
        <v>2148</v>
      </c>
      <c r="R45" s="115"/>
      <c r="S45" s="115" t="s">
        <v>2156</v>
      </c>
      <c r="T45" s="115"/>
      <c r="U45" s="115" t="s">
        <v>2165</v>
      </c>
      <c r="V45" s="115"/>
      <c r="W45" s="115" t="s">
        <v>2172</v>
      </c>
      <c r="X45" s="115"/>
      <c r="Y45" s="115" t="s">
        <v>2180</v>
      </c>
      <c r="Z45" s="115"/>
      <c r="AA45" s="115" t="s">
        <v>2188</v>
      </c>
      <c r="AB45" s="115"/>
      <c r="AC45" s="115" t="s">
        <v>1981</v>
      </c>
      <c r="AD45" s="115"/>
      <c r="AE45" s="115" t="s">
        <v>2206</v>
      </c>
      <c r="AF45" s="115"/>
      <c r="AG45" s="115"/>
      <c r="AH45" s="115"/>
      <c r="AI45" s="115" t="s">
        <v>2232</v>
      </c>
      <c r="AJ45" s="115"/>
      <c r="AK45" s="115" t="s">
        <v>2238</v>
      </c>
      <c r="AL45" s="115"/>
      <c r="AM45" s="115" t="s">
        <v>2254</v>
      </c>
      <c r="AN45" s="115"/>
      <c r="AO45" s="115" t="s">
        <v>2274</v>
      </c>
      <c r="AP45" s="115"/>
      <c r="AQ45" s="115" t="s">
        <v>2289</v>
      </c>
      <c r="AR45" s="118"/>
    </row>
    <row r="46" spans="3:44" ht="46" customHeight="1" x14ac:dyDescent="0.55000000000000004">
      <c r="C46" s="82" t="s">
        <v>1957</v>
      </c>
      <c r="D46" s="113"/>
      <c r="E46" s="116">
        <f>'PF320'!Y93</f>
        <v>0</v>
      </c>
      <c r="F46" s="115"/>
      <c r="G46" s="116">
        <f>'PF320'!Y95</f>
        <v>0</v>
      </c>
      <c r="H46" s="115"/>
      <c r="I46" s="116">
        <f>'PF320'!Y97</f>
        <v>0</v>
      </c>
      <c r="J46" s="115"/>
      <c r="K46" s="116">
        <f>'PF320'!Y99</f>
        <v>0</v>
      </c>
      <c r="L46" s="115"/>
      <c r="M46" s="116">
        <f>'PF320'!Y101</f>
        <v>0</v>
      </c>
      <c r="N46" s="115"/>
      <c r="O46" s="116">
        <f>'PF320'!Y105</f>
        <v>0</v>
      </c>
      <c r="P46" s="115"/>
      <c r="Q46" s="116">
        <f>'PF320'!Y111</f>
        <v>0</v>
      </c>
      <c r="R46" s="115"/>
      <c r="S46" s="116">
        <f>'PF320'!Y188</f>
        <v>0</v>
      </c>
      <c r="T46" s="115"/>
      <c r="U46" s="116">
        <f>'PF320'!Y191</f>
        <v>0</v>
      </c>
      <c r="V46" s="115"/>
      <c r="W46" s="116">
        <f>'PF320'!Y194</f>
        <v>0</v>
      </c>
      <c r="X46" s="115"/>
      <c r="Y46" s="116">
        <f>'PF320'!Y197</f>
        <v>0</v>
      </c>
      <c r="Z46" s="115"/>
      <c r="AA46" s="116">
        <f>'PF320'!Y199</f>
        <v>0</v>
      </c>
      <c r="AB46" s="115"/>
      <c r="AC46" s="116">
        <f>'PF320'!Y201</f>
        <v>0</v>
      </c>
      <c r="AD46" s="115"/>
      <c r="AE46" s="116">
        <f>'PF320'!Y122</f>
        <v>0</v>
      </c>
      <c r="AF46" s="115"/>
      <c r="AG46" s="116">
        <f>'PF320'!Y127</f>
        <v>0</v>
      </c>
      <c r="AH46" s="115"/>
      <c r="AI46" s="116">
        <f>'PF320'!Y129</f>
        <v>0</v>
      </c>
      <c r="AJ46" s="115"/>
      <c r="AK46" s="116">
        <f>'PF320'!Y132</f>
        <v>0</v>
      </c>
      <c r="AL46" s="115"/>
      <c r="AM46" s="116">
        <f>'PF320'!Y234</f>
        <v>0</v>
      </c>
      <c r="AN46" s="115"/>
      <c r="AO46" s="116">
        <f>'PF320'!Y236</f>
        <v>0</v>
      </c>
      <c r="AP46" s="115"/>
      <c r="AQ46" s="116">
        <f>'PF320'!Y238</f>
        <v>0</v>
      </c>
      <c r="AR46" s="118"/>
    </row>
    <row r="47" spans="3:44" ht="10" customHeight="1" x14ac:dyDescent="0.55000000000000004">
      <c r="C47" s="82"/>
      <c r="D47" s="113"/>
      <c r="E47" s="115" t="s">
        <v>1976</v>
      </c>
      <c r="F47" s="115"/>
      <c r="G47" s="115" t="s">
        <v>2091</v>
      </c>
      <c r="H47" s="115"/>
      <c r="I47" s="115" t="s">
        <v>2108</v>
      </c>
      <c r="J47" s="115"/>
      <c r="K47" s="115" t="s">
        <v>2112</v>
      </c>
      <c r="L47" s="115"/>
      <c r="M47" s="115" t="s">
        <v>2129</v>
      </c>
      <c r="N47" s="115"/>
      <c r="O47" s="115" t="s">
        <v>2139</v>
      </c>
      <c r="P47" s="115"/>
      <c r="Q47" s="115" t="s">
        <v>2149</v>
      </c>
      <c r="R47" s="115"/>
      <c r="S47" s="115" t="s">
        <v>2157</v>
      </c>
      <c r="T47" s="115"/>
      <c r="U47" s="115" t="s">
        <v>2166</v>
      </c>
      <c r="V47" s="115"/>
      <c r="W47" s="115" t="s">
        <v>2173</v>
      </c>
      <c r="X47" s="115"/>
      <c r="Y47" s="115" t="s">
        <v>2181</v>
      </c>
      <c r="Z47" s="115"/>
      <c r="AA47" s="115" t="s">
        <v>2189</v>
      </c>
      <c r="AB47" s="115"/>
      <c r="AC47" s="115" t="s">
        <v>2197</v>
      </c>
      <c r="AD47" s="115"/>
      <c r="AE47" s="115" t="s">
        <v>2207</v>
      </c>
      <c r="AF47" s="115"/>
      <c r="AG47" s="115" t="s">
        <v>2216</v>
      </c>
      <c r="AH47" s="115"/>
      <c r="AI47" s="115" t="s">
        <v>2233</v>
      </c>
      <c r="AJ47" s="115"/>
      <c r="AK47" s="115" t="s">
        <v>2239</v>
      </c>
      <c r="AL47" s="115"/>
      <c r="AM47" s="115" t="s">
        <v>2255</v>
      </c>
      <c r="AN47" s="115"/>
      <c r="AO47" s="115" t="s">
        <v>2275</v>
      </c>
      <c r="AP47" s="115"/>
      <c r="AQ47" s="115" t="s">
        <v>2290</v>
      </c>
      <c r="AR47" s="118"/>
    </row>
    <row r="48" spans="3:44" ht="46" customHeight="1" x14ac:dyDescent="0.55000000000000004">
      <c r="C48" s="82" t="s">
        <v>1958</v>
      </c>
      <c r="D48" s="113"/>
      <c r="E48" s="114" t="str">
        <f>'PF320'!Y251</f>
        <v>VSSD</v>
      </c>
      <c r="F48" s="115"/>
      <c r="G48" s="116">
        <f>'PF320'!Y94</f>
        <v>0</v>
      </c>
      <c r="H48" s="115"/>
      <c r="I48" s="116">
        <f>'PF320'!Y96</f>
        <v>0</v>
      </c>
      <c r="J48" s="115"/>
      <c r="K48" s="116">
        <f>'PF320'!Y98</f>
        <v>0</v>
      </c>
      <c r="L48" s="115"/>
      <c r="M48" s="116">
        <f>'PF320'!Y100</f>
        <v>0</v>
      </c>
      <c r="N48" s="115"/>
      <c r="O48" s="116">
        <f>'PF320'!Y104</f>
        <v>0</v>
      </c>
      <c r="P48" s="115"/>
      <c r="Q48" s="116">
        <f>'PF320'!Y110</f>
        <v>0</v>
      </c>
      <c r="R48" s="115"/>
      <c r="S48" s="116">
        <f>'PF320'!Y187</f>
        <v>0</v>
      </c>
      <c r="T48" s="115"/>
      <c r="U48" s="116">
        <f>'PF320'!Y190</f>
        <v>0</v>
      </c>
      <c r="V48" s="115"/>
      <c r="W48" s="116">
        <f>'PF320'!Y193</f>
        <v>0</v>
      </c>
      <c r="X48" s="115"/>
      <c r="Y48" s="116">
        <f>'PF320'!Y196</f>
        <v>0</v>
      </c>
      <c r="Z48" s="115"/>
      <c r="AA48" s="116">
        <f>'PF320'!Y119</f>
        <v>0</v>
      </c>
      <c r="AB48" s="115"/>
      <c r="AC48" s="116">
        <f>'PF320'!Y120</f>
        <v>0</v>
      </c>
      <c r="AD48" s="115"/>
      <c r="AE48" s="116">
        <f>'PF320'!Y121</f>
        <v>0</v>
      </c>
      <c r="AF48" s="115"/>
      <c r="AG48" s="116">
        <f>'PF320'!Y126</f>
        <v>0</v>
      </c>
      <c r="AH48" s="115"/>
      <c r="AI48" s="116">
        <f>'PF320'!Y128</f>
        <v>0</v>
      </c>
      <c r="AJ48" s="115"/>
      <c r="AK48" s="116">
        <f>'PF320'!Y131</f>
        <v>0</v>
      </c>
      <c r="AL48" s="115"/>
      <c r="AM48" s="116">
        <f>'PF320'!Y133</f>
        <v>0</v>
      </c>
      <c r="AN48" s="115"/>
      <c r="AO48" s="116">
        <f>'PF320'!Y134</f>
        <v>0</v>
      </c>
      <c r="AP48" s="115"/>
      <c r="AQ48" s="117" t="str">
        <f>'PF320'!Y329</f>
        <v>VSSD</v>
      </c>
      <c r="AR48" s="118"/>
    </row>
    <row r="49" spans="3:44" ht="20" customHeight="1" thickBot="1" x14ac:dyDescent="0.6">
      <c r="C49" s="85"/>
      <c r="D49" s="124"/>
      <c r="E49" s="125"/>
      <c r="F49" s="125"/>
      <c r="G49" s="125" t="s">
        <v>2092</v>
      </c>
      <c r="H49" s="125"/>
      <c r="I49" s="125" t="s">
        <v>2109</v>
      </c>
      <c r="J49" s="125"/>
      <c r="K49" s="125" t="s">
        <v>2113</v>
      </c>
      <c r="L49" s="125"/>
      <c r="M49" s="125" t="s">
        <v>2130</v>
      </c>
      <c r="N49" s="125"/>
      <c r="O49" s="125" t="s">
        <v>2140</v>
      </c>
      <c r="P49" s="125"/>
      <c r="Q49" s="125" t="s">
        <v>2150</v>
      </c>
      <c r="R49" s="125"/>
      <c r="S49" s="125" t="s">
        <v>2158</v>
      </c>
      <c r="T49" s="125"/>
      <c r="U49" s="125" t="s">
        <v>2167</v>
      </c>
      <c r="V49" s="125"/>
      <c r="W49" s="125" t="s">
        <v>2174</v>
      </c>
      <c r="X49" s="125"/>
      <c r="Y49" s="125" t="s">
        <v>2182</v>
      </c>
      <c r="Z49" s="125"/>
      <c r="AA49" s="125" t="s">
        <v>2190</v>
      </c>
      <c r="AB49" s="125"/>
      <c r="AC49" s="125" t="s">
        <v>2198</v>
      </c>
      <c r="AD49" s="125"/>
      <c r="AE49" s="125" t="s">
        <v>2208</v>
      </c>
      <c r="AF49" s="125"/>
      <c r="AG49" s="125" t="s">
        <v>2217</v>
      </c>
      <c r="AH49" s="125"/>
      <c r="AI49" s="125" t="s">
        <v>2234</v>
      </c>
      <c r="AJ49" s="125"/>
      <c r="AK49" s="125" t="s">
        <v>2240</v>
      </c>
      <c r="AL49" s="125"/>
      <c r="AM49" s="125" t="s">
        <v>2256</v>
      </c>
      <c r="AN49" s="125"/>
      <c r="AO49" s="125" t="s">
        <v>2276</v>
      </c>
      <c r="AP49" s="125"/>
      <c r="AQ49" s="125"/>
      <c r="AR49" s="126"/>
    </row>
    <row r="50" spans="3:44" ht="34" customHeight="1" x14ac:dyDescent="0.55000000000000004">
      <c r="C50" s="86"/>
    </row>
    <row r="51" spans="3:44" ht="34" customHeight="1" x14ac:dyDescent="0.55000000000000004">
      <c r="C51" s="86"/>
    </row>
    <row r="52" spans="3:44" ht="34" customHeight="1" x14ac:dyDescent="0.55000000000000004"/>
    <row r="53" spans="3:44" ht="34" customHeight="1" x14ac:dyDescent="0.55000000000000004"/>
    <row r="54" spans="3:44" ht="34" customHeight="1" x14ac:dyDescent="0.55000000000000004"/>
    <row r="55" spans="3:44" ht="34" customHeight="1" x14ac:dyDescent="0.55000000000000004"/>
    <row r="56" spans="3:44" ht="34" customHeight="1" x14ac:dyDescent="0.55000000000000004"/>
    <row r="57" spans="3:44" ht="34" customHeight="1" x14ac:dyDescent="0.55000000000000004"/>
    <row r="58" spans="3:44" ht="34" customHeight="1" x14ac:dyDescent="0.55000000000000004"/>
    <row r="59" spans="3:44" ht="34" customHeight="1" x14ac:dyDescent="0.55000000000000004"/>
    <row r="60" spans="3:44" ht="34" customHeight="1" x14ac:dyDescent="0.55000000000000004"/>
    <row r="61" spans="3:44" ht="34" customHeight="1" x14ac:dyDescent="0.55000000000000004"/>
    <row r="62" spans="3:44" ht="34" customHeight="1" x14ac:dyDescent="0.55000000000000004"/>
    <row r="63" spans="3:44" ht="34" customHeight="1" x14ac:dyDescent="0.55000000000000004"/>
    <row r="64" spans="3:44" ht="34" customHeight="1" x14ac:dyDescent="0.55000000000000004"/>
    <row r="65" ht="34" customHeight="1" x14ac:dyDescent="0.55000000000000004"/>
    <row r="66" ht="34" customHeight="1" x14ac:dyDescent="0.55000000000000004"/>
    <row r="67" ht="34" customHeight="1" x14ac:dyDescent="0.55000000000000004"/>
    <row r="68" ht="34" customHeight="1" x14ac:dyDescent="0.55000000000000004"/>
    <row r="69" ht="34" customHeight="1" x14ac:dyDescent="0.55000000000000004"/>
    <row r="70" ht="34" customHeight="1" x14ac:dyDescent="0.55000000000000004"/>
    <row r="71" ht="34" customHeight="1" x14ac:dyDescent="0.55000000000000004"/>
    <row r="72" ht="34" customHeight="1" x14ac:dyDescent="0.55000000000000004"/>
    <row r="73" ht="34" customHeight="1" x14ac:dyDescent="0.55000000000000004"/>
    <row r="74" ht="34" customHeight="1" x14ac:dyDescent="0.55000000000000004"/>
    <row r="75" ht="34" customHeight="1" x14ac:dyDescent="0.55000000000000004"/>
    <row r="76" ht="34" customHeight="1" x14ac:dyDescent="0.55000000000000004"/>
    <row r="77" ht="34" customHeight="1" x14ac:dyDescent="0.55000000000000004"/>
    <row r="78" ht="34" customHeight="1" x14ac:dyDescent="0.55000000000000004"/>
    <row r="79" ht="34" customHeight="1" x14ac:dyDescent="0.55000000000000004"/>
    <row r="80" ht="34" customHeight="1" x14ac:dyDescent="0.55000000000000004"/>
    <row r="81" ht="34" customHeight="1" x14ac:dyDescent="0.55000000000000004"/>
    <row r="82" ht="34" customHeight="1" x14ac:dyDescent="0.55000000000000004"/>
    <row r="83" ht="34" customHeight="1" x14ac:dyDescent="0.55000000000000004"/>
    <row r="84" ht="34" customHeight="1" x14ac:dyDescent="0.55000000000000004"/>
    <row r="85" ht="34" customHeight="1" x14ac:dyDescent="0.55000000000000004"/>
    <row r="86" ht="34" customHeight="1" x14ac:dyDescent="0.55000000000000004"/>
    <row r="87" ht="34" customHeight="1" x14ac:dyDescent="0.55000000000000004"/>
    <row r="88" ht="34" customHeight="1" x14ac:dyDescent="0.55000000000000004"/>
    <row r="89" ht="34" customHeight="1" x14ac:dyDescent="0.55000000000000004"/>
    <row r="90" ht="34" customHeight="1" x14ac:dyDescent="0.55000000000000004"/>
    <row r="91" ht="34" customHeight="1" x14ac:dyDescent="0.55000000000000004"/>
    <row r="92" ht="34" customHeight="1" x14ac:dyDescent="0.55000000000000004"/>
    <row r="93" ht="34" customHeight="1" x14ac:dyDescent="0.55000000000000004"/>
    <row r="94" ht="34" customHeight="1" x14ac:dyDescent="0.55000000000000004"/>
    <row r="95" ht="34" customHeight="1" x14ac:dyDescent="0.55000000000000004"/>
    <row r="96" ht="34" customHeight="1" x14ac:dyDescent="0.55000000000000004"/>
    <row r="97" ht="34" customHeight="1" x14ac:dyDescent="0.55000000000000004"/>
    <row r="98" ht="34" customHeight="1" x14ac:dyDescent="0.55000000000000004"/>
    <row r="99" ht="34" customHeight="1" x14ac:dyDescent="0.55000000000000004"/>
    <row r="100" ht="34" customHeight="1" x14ac:dyDescent="0.55000000000000004"/>
    <row r="101" ht="34" customHeight="1" x14ac:dyDescent="0.55000000000000004"/>
    <row r="102" ht="34" customHeight="1" x14ac:dyDescent="0.55000000000000004"/>
    <row r="103" ht="34" customHeight="1" x14ac:dyDescent="0.55000000000000004"/>
    <row r="104" ht="34" customHeight="1" x14ac:dyDescent="0.55000000000000004"/>
    <row r="105" ht="34" customHeight="1" x14ac:dyDescent="0.55000000000000004"/>
    <row r="106" ht="34" customHeight="1" x14ac:dyDescent="0.55000000000000004"/>
    <row r="107" ht="34" customHeight="1" x14ac:dyDescent="0.55000000000000004"/>
    <row r="108" ht="34" customHeight="1" x14ac:dyDescent="0.55000000000000004"/>
    <row r="109" ht="34" customHeight="1" x14ac:dyDescent="0.55000000000000004"/>
    <row r="110" ht="34" customHeight="1" x14ac:dyDescent="0.55000000000000004"/>
    <row r="111" ht="34" customHeight="1" x14ac:dyDescent="0.55000000000000004"/>
    <row r="112" ht="34" customHeight="1" x14ac:dyDescent="0.55000000000000004"/>
    <row r="113" ht="34" customHeight="1" x14ac:dyDescent="0.55000000000000004"/>
    <row r="114" ht="34" customHeight="1" x14ac:dyDescent="0.55000000000000004"/>
    <row r="115" ht="34" customHeight="1" x14ac:dyDescent="0.55000000000000004"/>
    <row r="116" ht="34" customHeight="1" x14ac:dyDescent="0.55000000000000004"/>
    <row r="117" ht="34" customHeight="1" x14ac:dyDescent="0.55000000000000004"/>
    <row r="118" ht="34" customHeight="1" x14ac:dyDescent="0.55000000000000004"/>
    <row r="119" ht="34" customHeight="1" x14ac:dyDescent="0.55000000000000004"/>
    <row r="120" ht="34" customHeight="1" x14ac:dyDescent="0.55000000000000004"/>
    <row r="121" ht="34" customHeight="1" x14ac:dyDescent="0.55000000000000004"/>
    <row r="122" ht="34" customHeight="1" x14ac:dyDescent="0.55000000000000004"/>
    <row r="123" ht="34" customHeight="1" x14ac:dyDescent="0.55000000000000004"/>
    <row r="124" ht="34" customHeight="1" x14ac:dyDescent="0.55000000000000004"/>
    <row r="125" ht="34" customHeight="1" x14ac:dyDescent="0.55000000000000004"/>
    <row r="126" ht="34" customHeight="1" x14ac:dyDescent="0.55000000000000004"/>
    <row r="127" ht="34" customHeight="1" x14ac:dyDescent="0.55000000000000004"/>
    <row r="128" ht="34" customHeight="1" x14ac:dyDescent="0.55000000000000004"/>
    <row r="129" ht="34" customHeight="1" x14ac:dyDescent="0.55000000000000004"/>
    <row r="130" ht="34" customHeight="1" x14ac:dyDescent="0.55000000000000004"/>
    <row r="131" ht="34" customHeight="1" x14ac:dyDescent="0.55000000000000004"/>
    <row r="132" ht="34" customHeight="1" x14ac:dyDescent="0.55000000000000004"/>
    <row r="133" ht="34" customHeight="1" x14ac:dyDescent="0.55000000000000004"/>
    <row r="134" ht="34" customHeight="1" x14ac:dyDescent="0.55000000000000004"/>
    <row r="135" ht="34" customHeight="1" x14ac:dyDescent="0.55000000000000004"/>
    <row r="136" ht="34" customHeight="1" x14ac:dyDescent="0.55000000000000004"/>
    <row r="137" ht="34" customHeight="1" x14ac:dyDescent="0.55000000000000004"/>
    <row r="138" ht="34" customHeight="1" x14ac:dyDescent="0.55000000000000004"/>
    <row r="139" ht="34" customHeight="1" x14ac:dyDescent="0.55000000000000004"/>
    <row r="140" ht="34" customHeight="1" x14ac:dyDescent="0.55000000000000004"/>
    <row r="141" ht="34" customHeight="1" x14ac:dyDescent="0.55000000000000004"/>
    <row r="142" ht="34" customHeight="1" x14ac:dyDescent="0.55000000000000004"/>
    <row r="143" ht="34" customHeight="1" x14ac:dyDescent="0.55000000000000004"/>
    <row r="144" ht="34" customHeight="1" x14ac:dyDescent="0.55000000000000004"/>
    <row r="145" ht="34" customHeight="1" x14ac:dyDescent="0.55000000000000004"/>
    <row r="146" ht="34" customHeight="1" x14ac:dyDescent="0.55000000000000004"/>
    <row r="147" ht="34" customHeight="1" x14ac:dyDescent="0.55000000000000004"/>
    <row r="148" ht="34" customHeight="1" x14ac:dyDescent="0.55000000000000004"/>
    <row r="149" ht="34" customHeight="1" x14ac:dyDescent="0.55000000000000004"/>
    <row r="150" ht="34" customHeight="1" x14ac:dyDescent="0.55000000000000004"/>
    <row r="151" ht="34" customHeight="1" x14ac:dyDescent="0.55000000000000004"/>
    <row r="152" ht="34" customHeight="1" x14ac:dyDescent="0.55000000000000004"/>
    <row r="153" ht="34" customHeight="1" x14ac:dyDescent="0.55000000000000004"/>
    <row r="154" ht="34" customHeight="1" x14ac:dyDescent="0.55000000000000004"/>
    <row r="155" ht="34" customHeight="1" x14ac:dyDescent="0.55000000000000004"/>
    <row r="156" ht="34" customHeight="1" x14ac:dyDescent="0.55000000000000004"/>
    <row r="157" ht="34" customHeight="1" x14ac:dyDescent="0.55000000000000004"/>
    <row r="158" ht="34" customHeight="1" x14ac:dyDescent="0.55000000000000004"/>
    <row r="159" ht="34" customHeight="1" x14ac:dyDescent="0.55000000000000004"/>
    <row r="160" ht="34" customHeight="1" x14ac:dyDescent="0.55000000000000004"/>
    <row r="161" ht="34" customHeight="1" x14ac:dyDescent="0.55000000000000004"/>
    <row r="162" ht="34" customHeight="1" x14ac:dyDescent="0.55000000000000004"/>
    <row r="163" ht="34" customHeight="1" x14ac:dyDescent="0.55000000000000004"/>
    <row r="164" ht="34" customHeight="1" x14ac:dyDescent="0.55000000000000004"/>
    <row r="165" ht="34" customHeight="1" x14ac:dyDescent="0.55000000000000004"/>
    <row r="166" ht="34" customHeight="1" x14ac:dyDescent="0.55000000000000004"/>
    <row r="167" ht="34" customHeight="1" x14ac:dyDescent="0.55000000000000004"/>
    <row r="168" ht="34" customHeight="1" x14ac:dyDescent="0.55000000000000004"/>
    <row r="169" ht="34" customHeight="1" x14ac:dyDescent="0.55000000000000004"/>
    <row r="170" ht="34" customHeight="1" x14ac:dyDescent="0.55000000000000004"/>
    <row r="171" ht="34" customHeight="1" x14ac:dyDescent="0.55000000000000004"/>
    <row r="172" ht="34" customHeight="1" x14ac:dyDescent="0.55000000000000004"/>
    <row r="173" ht="34" customHeight="1" x14ac:dyDescent="0.55000000000000004"/>
    <row r="174" ht="34" customHeight="1" x14ac:dyDescent="0.55000000000000004"/>
    <row r="175" ht="34" customHeight="1" x14ac:dyDescent="0.55000000000000004"/>
    <row r="176" ht="34" customHeight="1" x14ac:dyDescent="0.55000000000000004"/>
    <row r="177" ht="34" customHeight="1" x14ac:dyDescent="0.55000000000000004"/>
    <row r="178" ht="34" customHeight="1" x14ac:dyDescent="0.55000000000000004"/>
    <row r="179" ht="34" customHeight="1" x14ac:dyDescent="0.55000000000000004"/>
    <row r="180" ht="34" customHeight="1" x14ac:dyDescent="0.55000000000000004"/>
    <row r="181" ht="34" customHeight="1" x14ac:dyDescent="0.55000000000000004"/>
    <row r="182" ht="34" customHeight="1" x14ac:dyDescent="0.55000000000000004"/>
    <row r="183" ht="34" customHeight="1" x14ac:dyDescent="0.55000000000000004"/>
    <row r="184" ht="34" customHeight="1" x14ac:dyDescent="0.55000000000000004"/>
    <row r="185" ht="34" customHeight="1" x14ac:dyDescent="0.55000000000000004"/>
    <row r="186" ht="34" customHeight="1" x14ac:dyDescent="0.55000000000000004"/>
    <row r="187" ht="34" customHeight="1" x14ac:dyDescent="0.55000000000000004"/>
    <row r="188" ht="34" customHeight="1" x14ac:dyDescent="0.55000000000000004"/>
    <row r="189" ht="34" customHeight="1" x14ac:dyDescent="0.55000000000000004"/>
    <row r="190" ht="34" customHeight="1" x14ac:dyDescent="0.55000000000000004"/>
    <row r="191" ht="34" customHeight="1" x14ac:dyDescent="0.55000000000000004"/>
    <row r="192" ht="34" customHeight="1" x14ac:dyDescent="0.55000000000000004"/>
    <row r="193" ht="34" customHeight="1" x14ac:dyDescent="0.55000000000000004"/>
    <row r="194" ht="34" customHeight="1" x14ac:dyDescent="0.55000000000000004"/>
    <row r="195" ht="34" customHeight="1" x14ac:dyDescent="0.55000000000000004"/>
    <row r="196" ht="34" customHeight="1" x14ac:dyDescent="0.55000000000000004"/>
    <row r="197" ht="34" customHeight="1" x14ac:dyDescent="0.55000000000000004"/>
    <row r="198" ht="34" customHeight="1" x14ac:dyDescent="0.55000000000000004"/>
    <row r="199" ht="34" customHeight="1" x14ac:dyDescent="0.55000000000000004"/>
    <row r="200" ht="34" customHeight="1" x14ac:dyDescent="0.55000000000000004"/>
    <row r="201" ht="34" customHeight="1" x14ac:dyDescent="0.55000000000000004"/>
    <row r="202" ht="34" customHeight="1" x14ac:dyDescent="0.55000000000000004"/>
    <row r="203" ht="34" customHeight="1" x14ac:dyDescent="0.55000000000000004"/>
    <row r="204" ht="34" customHeight="1" x14ac:dyDescent="0.55000000000000004"/>
    <row r="205" ht="34" customHeight="1" x14ac:dyDescent="0.55000000000000004"/>
    <row r="206" ht="34" customHeight="1" x14ac:dyDescent="0.55000000000000004"/>
    <row r="207" ht="34" customHeight="1" x14ac:dyDescent="0.55000000000000004"/>
    <row r="208" ht="34" customHeight="1" x14ac:dyDescent="0.55000000000000004"/>
    <row r="209" ht="34" customHeight="1" x14ac:dyDescent="0.55000000000000004"/>
    <row r="210" ht="34" customHeight="1" x14ac:dyDescent="0.55000000000000004"/>
    <row r="211" ht="34" customHeight="1" x14ac:dyDescent="0.55000000000000004"/>
    <row r="212" ht="34" customHeight="1" x14ac:dyDescent="0.55000000000000004"/>
    <row r="213" ht="34" customHeight="1" x14ac:dyDescent="0.55000000000000004"/>
    <row r="214" ht="34" customHeight="1" x14ac:dyDescent="0.55000000000000004"/>
    <row r="215" ht="34" customHeight="1" x14ac:dyDescent="0.55000000000000004"/>
    <row r="216" ht="34" customHeight="1" x14ac:dyDescent="0.55000000000000004"/>
    <row r="217" ht="34" customHeight="1" x14ac:dyDescent="0.55000000000000004"/>
    <row r="218" ht="34" customHeight="1" x14ac:dyDescent="0.55000000000000004"/>
    <row r="219" ht="34" customHeight="1" x14ac:dyDescent="0.55000000000000004"/>
    <row r="220" ht="34" customHeight="1" x14ac:dyDescent="0.55000000000000004"/>
    <row r="221" ht="34" customHeight="1" x14ac:dyDescent="0.55000000000000004"/>
    <row r="222" ht="34" customHeight="1" x14ac:dyDescent="0.55000000000000004"/>
    <row r="223" ht="34" customHeight="1" x14ac:dyDescent="0.55000000000000004"/>
    <row r="224" ht="34" customHeight="1" x14ac:dyDescent="0.55000000000000004"/>
    <row r="225" ht="34" customHeight="1" x14ac:dyDescent="0.55000000000000004"/>
    <row r="226" ht="34" customHeight="1" x14ac:dyDescent="0.55000000000000004"/>
    <row r="227" ht="34" customHeight="1" x14ac:dyDescent="0.55000000000000004"/>
    <row r="228" ht="34" customHeight="1" x14ac:dyDescent="0.55000000000000004"/>
    <row r="229" ht="34" customHeight="1" x14ac:dyDescent="0.55000000000000004"/>
    <row r="230" ht="34" customHeight="1" x14ac:dyDescent="0.55000000000000004"/>
    <row r="231" ht="34" customHeight="1" x14ac:dyDescent="0.55000000000000004"/>
    <row r="232" ht="34" customHeight="1" x14ac:dyDescent="0.55000000000000004"/>
    <row r="233" ht="34" customHeight="1" x14ac:dyDescent="0.55000000000000004"/>
    <row r="234" ht="34" customHeight="1" x14ac:dyDescent="0.55000000000000004"/>
    <row r="235" ht="34" customHeight="1" x14ac:dyDescent="0.55000000000000004"/>
    <row r="236" ht="34" customHeight="1" x14ac:dyDescent="0.55000000000000004"/>
    <row r="237" ht="34" customHeight="1" x14ac:dyDescent="0.55000000000000004"/>
    <row r="238" ht="34" customHeight="1" x14ac:dyDescent="0.55000000000000004"/>
    <row r="239" ht="34" customHeight="1" x14ac:dyDescent="0.55000000000000004"/>
    <row r="240" ht="34" customHeight="1" x14ac:dyDescent="0.55000000000000004"/>
    <row r="241" ht="34" customHeight="1" x14ac:dyDescent="0.55000000000000004"/>
    <row r="242" ht="34" customHeight="1" x14ac:dyDescent="0.55000000000000004"/>
    <row r="243" ht="34" customHeight="1" x14ac:dyDescent="0.55000000000000004"/>
    <row r="244" ht="34" customHeight="1" x14ac:dyDescent="0.55000000000000004"/>
    <row r="245" ht="34" customHeight="1" x14ac:dyDescent="0.55000000000000004"/>
    <row r="246" ht="34" customHeight="1" x14ac:dyDescent="0.55000000000000004"/>
    <row r="247" ht="34" customHeight="1" x14ac:dyDescent="0.55000000000000004"/>
    <row r="248" ht="34" customHeight="1" x14ac:dyDescent="0.55000000000000004"/>
    <row r="249" ht="34" customHeight="1" x14ac:dyDescent="0.55000000000000004"/>
    <row r="250" ht="34" customHeight="1" x14ac:dyDescent="0.55000000000000004"/>
    <row r="251" ht="34" customHeight="1" x14ac:dyDescent="0.55000000000000004"/>
    <row r="252" ht="34" customHeight="1" x14ac:dyDescent="0.55000000000000004"/>
    <row r="253" ht="34" customHeight="1" x14ac:dyDescent="0.55000000000000004"/>
    <row r="254" ht="34" customHeight="1" x14ac:dyDescent="0.55000000000000004"/>
    <row r="255" ht="34" customHeight="1" x14ac:dyDescent="0.55000000000000004"/>
    <row r="256" ht="34" customHeight="1" x14ac:dyDescent="0.55000000000000004"/>
    <row r="257" ht="34" customHeight="1" x14ac:dyDescent="0.55000000000000004"/>
    <row r="258" ht="34" customHeight="1" x14ac:dyDescent="0.55000000000000004"/>
    <row r="259" ht="34" customHeight="1" x14ac:dyDescent="0.55000000000000004"/>
    <row r="260" ht="34" customHeight="1" x14ac:dyDescent="0.55000000000000004"/>
    <row r="261" ht="34" customHeight="1" x14ac:dyDescent="0.55000000000000004"/>
    <row r="262" ht="34" customHeight="1" x14ac:dyDescent="0.55000000000000004"/>
    <row r="263" ht="28" customHeight="1" x14ac:dyDescent="0.55000000000000004"/>
    <row r="264" ht="28" customHeight="1" x14ac:dyDescent="0.55000000000000004"/>
    <row r="265" ht="28" customHeight="1" x14ac:dyDescent="0.55000000000000004"/>
  </sheetData>
  <sheetProtection algorithmName="SHA-512" hashValue="1SrILNedLzO8inegaw8Fw2XmvRTgPoaqkTPOqSrYM4Hvn//RQe7ykg/N3dnMFugYrgZtzej+6lS+6sVqMIVpEw==" saltValue="mFDtRxXrcCbsF3z0wGd8jw==" spinCount="100000" sheet="1" objects="1" scenarios="1" formatCells="0" formatColumns="0" formatRows="0" insertColumns="0" insertRows="0" insertHyperlinks="0" deleteColumns="0" deleteRows="0" selectLockedCells="1" sort="0" autoFilter="0" pivotTables="0"/>
  <phoneticPr fontId="3"/>
  <pageMargins left="0.7" right="0.7" top="0.75" bottom="0.75" header="0.3" footer="0.3"/>
  <pageSetup paperSize="9" orientation="portrait" r:id="rId1"/>
  <ignoredErrors>
    <ignoredError sqref="G11:L11 J12:AQ16 G12:I16 E17:I26 E12:F16 E28:I48 K44:AL47 AM44:AQ48 AM18:AQ43 M18:AI40 K48:R48 T48:AL48 G10:L10 N10:P10 N11:P11 R11:AQ11 R10:AQ10" unlocked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6A912-3D3B-43F3-9611-F28AFE5C87C2}">
  <dimension ref="A1:AI331"/>
  <sheetViews>
    <sheetView zoomScale="69" zoomScaleNormal="69" workbookViewId="0">
      <pane xSplit="3" ySplit="9" topLeftCell="V10" activePane="bottomRight" state="frozen"/>
      <selection pane="topRight" activeCell="D1" sqref="D1"/>
      <selection pane="bottomLeft" activeCell="A6" sqref="A6"/>
      <selection pane="bottomRight" activeCell="AB13" sqref="AB13"/>
    </sheetView>
  </sheetViews>
  <sheetFormatPr defaultRowHeight="10" x14ac:dyDescent="0.2"/>
  <cols>
    <col min="1" max="1" width="4.58203125" style="6" customWidth="1"/>
    <col min="2" max="2" width="8.5" style="6" bestFit="1" customWidth="1"/>
    <col min="3" max="3" width="3.9140625" style="6" bestFit="1" customWidth="1"/>
    <col min="4" max="4" width="9.33203125" style="6" bestFit="1" customWidth="1"/>
    <col min="5" max="5" width="10.4140625" style="6" bestFit="1" customWidth="1"/>
    <col min="6" max="6" width="12.33203125" style="6" bestFit="1" customWidth="1"/>
    <col min="7" max="7" width="11.9140625" style="6" bestFit="1" customWidth="1"/>
    <col min="8" max="9" width="12.33203125" style="6" bestFit="1" customWidth="1"/>
    <col min="10" max="10" width="11.9140625" style="6" bestFit="1" customWidth="1"/>
    <col min="11" max="11" width="12.08203125" style="6" bestFit="1" customWidth="1"/>
    <col min="12" max="12" width="12.6640625" style="6" bestFit="1" customWidth="1"/>
    <col min="13" max="13" width="8.25" style="6" customWidth="1"/>
    <col min="14" max="14" width="11.9140625" style="6" customWidth="1"/>
    <col min="15" max="15" width="11.75" style="6" customWidth="1"/>
    <col min="16" max="16" width="14" style="6" customWidth="1"/>
    <col min="17" max="17" width="28.4140625" style="6" customWidth="1"/>
    <col min="18" max="18" width="29.6640625" style="6" customWidth="1"/>
    <col min="19" max="19" width="16.1640625" style="6" customWidth="1"/>
    <col min="20" max="20" width="28.4140625" style="6" customWidth="1"/>
    <col min="21" max="21" width="11.1640625" style="6" customWidth="1"/>
    <col min="22" max="22" width="15.25" style="6" customWidth="1"/>
    <col min="23" max="23" width="11.9140625" style="6" customWidth="1"/>
    <col min="24" max="24" width="19.1640625" style="6" customWidth="1"/>
    <col min="25" max="25" width="28.4140625" style="6" bestFit="1" customWidth="1"/>
    <col min="26" max="26" width="10" style="6" bestFit="1" customWidth="1"/>
    <col min="27" max="27" width="24.83203125" style="6" customWidth="1"/>
    <col min="28" max="28" width="46.75" style="6" customWidth="1"/>
    <col min="29" max="30" width="8.6640625" style="6"/>
    <col min="31" max="32" width="12.58203125" style="1" customWidth="1"/>
    <col min="33" max="35" width="8.58203125" style="1" customWidth="1"/>
    <col min="36" max="38" width="8.58203125" style="6" customWidth="1"/>
    <col min="39" max="16384" width="8.6640625" style="6"/>
  </cols>
  <sheetData>
    <row r="1" spans="1:35" ht="25" customHeight="1" x14ac:dyDescent="0.2">
      <c r="A1" s="5" t="s">
        <v>2547</v>
      </c>
      <c r="AG1" s="3"/>
      <c r="AH1" s="3"/>
      <c r="AI1" s="3"/>
    </row>
    <row r="2" spans="1:35" ht="25" customHeight="1" x14ac:dyDescent="0.2">
      <c r="A2" s="5"/>
      <c r="AG2" s="3"/>
      <c r="AH2" s="3"/>
      <c r="AI2" s="3"/>
    </row>
    <row r="3" spans="1:35" ht="25" customHeight="1" x14ac:dyDescent="0.2">
      <c r="A3" s="5"/>
      <c r="AG3" s="3"/>
      <c r="AH3" s="3"/>
      <c r="AI3" s="3"/>
    </row>
    <row r="4" spans="1:35" ht="25" customHeight="1" x14ac:dyDescent="0.2">
      <c r="A4" s="5"/>
      <c r="AG4" s="3"/>
      <c r="AH4" s="3"/>
      <c r="AI4" s="3"/>
    </row>
    <row r="5" spans="1:35" ht="25" customHeight="1" x14ac:dyDescent="0.2">
      <c r="A5" s="5"/>
      <c r="AF5" s="2"/>
      <c r="AG5" s="3"/>
      <c r="AH5" s="3"/>
      <c r="AI5" s="4" t="s">
        <v>2552</v>
      </c>
    </row>
    <row r="6" spans="1:35" ht="30" x14ac:dyDescent="0.2">
      <c r="E6" s="1" t="s">
        <v>2375</v>
      </c>
      <c r="F6" s="1" t="s">
        <v>2375</v>
      </c>
      <c r="G6" s="1" t="s">
        <v>2375</v>
      </c>
      <c r="H6" s="1" t="s">
        <v>2375</v>
      </c>
      <c r="I6" s="7" t="s">
        <v>2383</v>
      </c>
      <c r="J6" s="7" t="s">
        <v>2376</v>
      </c>
      <c r="K6" s="7" t="s">
        <v>2377</v>
      </c>
      <c r="L6" s="7" t="s">
        <v>2378</v>
      </c>
      <c r="M6" s="1" t="s">
        <v>497</v>
      </c>
      <c r="N6" s="7" t="s">
        <v>2379</v>
      </c>
      <c r="O6" s="7" t="s">
        <v>2392</v>
      </c>
      <c r="P6" s="7" t="s">
        <v>2380</v>
      </c>
      <c r="Q6" s="8" t="s">
        <v>2394</v>
      </c>
      <c r="R6" s="9" t="s">
        <v>2385</v>
      </c>
      <c r="S6" s="7" t="s">
        <v>2565</v>
      </c>
      <c r="T6" s="1" t="s">
        <v>498</v>
      </c>
      <c r="U6" s="8" t="s">
        <v>495</v>
      </c>
      <c r="V6" s="7" t="s">
        <v>2382</v>
      </c>
      <c r="W6" s="1" t="s">
        <v>496</v>
      </c>
      <c r="X6" s="7" t="s">
        <v>2384</v>
      </c>
    </row>
    <row r="7" spans="1:35" ht="10.5" customHeight="1" x14ac:dyDescent="0.2">
      <c r="B7" s="158" t="s">
        <v>2067</v>
      </c>
      <c r="C7" s="158" t="s">
        <v>268</v>
      </c>
      <c r="D7" s="158" t="s">
        <v>357</v>
      </c>
      <c r="E7" s="161" t="s">
        <v>499</v>
      </c>
      <c r="F7" s="162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3"/>
      <c r="U7" s="164" t="s">
        <v>1559</v>
      </c>
      <c r="V7" s="164"/>
      <c r="W7" s="164"/>
      <c r="X7" s="165" t="s">
        <v>264</v>
      </c>
      <c r="Y7" s="202" t="s">
        <v>262</v>
      </c>
      <c r="Z7" s="203"/>
      <c r="AA7" s="203"/>
      <c r="AB7" s="204"/>
      <c r="AC7" s="199" t="s">
        <v>512</v>
      </c>
      <c r="AD7" s="199"/>
      <c r="AE7" s="200" t="s">
        <v>356</v>
      </c>
      <c r="AF7" s="200"/>
    </row>
    <row r="8" spans="1:35" ht="10.5" x14ac:dyDescent="0.2">
      <c r="B8" s="159"/>
      <c r="C8" s="159"/>
      <c r="D8" s="159"/>
      <c r="E8" s="10" t="s">
        <v>343</v>
      </c>
      <c r="F8" s="10" t="s">
        <v>0</v>
      </c>
      <c r="G8" s="10" t="s">
        <v>1</v>
      </c>
      <c r="H8" s="10" t="s">
        <v>2</v>
      </c>
      <c r="I8" s="10" t="s">
        <v>3</v>
      </c>
      <c r="J8" s="10" t="s">
        <v>4</v>
      </c>
      <c r="K8" s="10" t="s">
        <v>5</v>
      </c>
      <c r="L8" s="10" t="s">
        <v>6</v>
      </c>
      <c r="M8" s="10" t="s">
        <v>7</v>
      </c>
      <c r="N8" s="10" t="s">
        <v>8</v>
      </c>
      <c r="O8" s="10" t="s">
        <v>513</v>
      </c>
      <c r="P8" s="10" t="s">
        <v>514</v>
      </c>
      <c r="Q8" s="10" t="s">
        <v>515</v>
      </c>
      <c r="R8" s="10" t="s">
        <v>516</v>
      </c>
      <c r="S8" s="10" t="s">
        <v>9</v>
      </c>
      <c r="T8" s="10" t="s">
        <v>10</v>
      </c>
      <c r="U8" s="10" t="s">
        <v>265</v>
      </c>
      <c r="V8" s="10" t="s">
        <v>266</v>
      </c>
      <c r="W8" s="10" t="s">
        <v>267</v>
      </c>
      <c r="X8" s="166"/>
      <c r="Y8" s="201" t="s">
        <v>263</v>
      </c>
      <c r="Z8" s="201" t="s">
        <v>2554</v>
      </c>
      <c r="AA8" s="172" t="s">
        <v>354</v>
      </c>
      <c r="AB8" s="172" t="s">
        <v>2555</v>
      </c>
      <c r="AC8" s="199" t="s">
        <v>511</v>
      </c>
      <c r="AD8" s="199" t="s">
        <v>509</v>
      </c>
      <c r="AE8" s="173" t="s">
        <v>2550</v>
      </c>
      <c r="AF8" s="173" t="s">
        <v>2551</v>
      </c>
    </row>
    <row r="9" spans="1:35" ht="10.5" x14ac:dyDescent="0.2">
      <c r="B9" s="160"/>
      <c r="C9" s="160"/>
      <c r="D9" s="160"/>
      <c r="E9" s="10" t="s">
        <v>344</v>
      </c>
      <c r="F9" s="10" t="s">
        <v>11</v>
      </c>
      <c r="G9" s="10" t="s">
        <v>12</v>
      </c>
      <c r="H9" s="10" t="s">
        <v>13</v>
      </c>
      <c r="I9" s="10" t="s">
        <v>14</v>
      </c>
      <c r="J9" s="10" t="s">
        <v>15</v>
      </c>
      <c r="K9" s="10" t="s">
        <v>16</v>
      </c>
      <c r="L9" s="10" t="s">
        <v>17</v>
      </c>
      <c r="M9" s="10" t="s">
        <v>18</v>
      </c>
      <c r="N9" s="10" t="s">
        <v>19</v>
      </c>
      <c r="O9" s="10" t="s">
        <v>20</v>
      </c>
      <c r="P9" s="10" t="s">
        <v>21</v>
      </c>
      <c r="Q9" s="10" t="s">
        <v>517</v>
      </c>
      <c r="R9" s="10" t="s">
        <v>518</v>
      </c>
      <c r="S9" s="10" t="s">
        <v>519</v>
      </c>
      <c r="T9" s="10" t="s">
        <v>520</v>
      </c>
      <c r="U9" s="10" t="s">
        <v>342</v>
      </c>
      <c r="V9" s="10" t="s">
        <v>269</v>
      </c>
      <c r="W9" s="10" t="s">
        <v>270</v>
      </c>
      <c r="X9" s="167"/>
      <c r="Y9" s="201"/>
      <c r="Z9" s="201"/>
      <c r="AA9" s="173"/>
      <c r="AB9" s="173"/>
      <c r="AC9" s="199"/>
      <c r="AD9" s="199"/>
      <c r="AE9" s="173"/>
      <c r="AF9" s="173"/>
    </row>
    <row r="10" spans="1:35" ht="10" customHeight="1" x14ac:dyDescent="0.2">
      <c r="B10" s="11" t="s">
        <v>22</v>
      </c>
      <c r="C10" s="11" t="s">
        <v>1561</v>
      </c>
      <c r="D10" s="11" t="s">
        <v>22</v>
      </c>
      <c r="E10" s="11" t="s">
        <v>678</v>
      </c>
      <c r="F10" s="11" t="s">
        <v>522</v>
      </c>
      <c r="G10" s="11" t="s">
        <v>523</v>
      </c>
      <c r="H10" s="11" t="s">
        <v>680</v>
      </c>
      <c r="I10" s="12" t="s">
        <v>273</v>
      </c>
      <c r="J10" s="11" t="s">
        <v>525</v>
      </c>
      <c r="K10" s="11" t="s">
        <v>526</v>
      </c>
      <c r="L10" s="12" t="s">
        <v>273</v>
      </c>
      <c r="M10" s="11" t="s">
        <v>23</v>
      </c>
      <c r="N10" s="12" t="s">
        <v>273</v>
      </c>
      <c r="O10" s="11" t="s">
        <v>527</v>
      </c>
      <c r="P10" s="12" t="s">
        <v>273</v>
      </c>
      <c r="Q10" s="12" t="s">
        <v>273</v>
      </c>
      <c r="R10" s="12" t="s">
        <v>273</v>
      </c>
      <c r="S10" s="12" t="s">
        <v>273</v>
      </c>
      <c r="T10" s="12" t="s">
        <v>273</v>
      </c>
      <c r="U10" s="12" t="s">
        <v>273</v>
      </c>
      <c r="V10" s="12" t="s">
        <v>273</v>
      </c>
      <c r="W10" s="11" t="s">
        <v>1597</v>
      </c>
      <c r="X10" s="12" t="s">
        <v>273</v>
      </c>
      <c r="Y10" s="11"/>
      <c r="Z10" s="13" t="s">
        <v>273</v>
      </c>
      <c r="AA10" s="135" t="str">
        <f>_xlfn.IFS(AND(COUNTIF(Y10,"SCB0*")=1, 'PCH272'!D68&gt;=2), "See the Notice *1", AND(COUNTIF(Y10,"SCB7*")=1, 'PCH272'!K68&gt;=2), "See the Notice *1", TRUE, "")</f>
        <v/>
      </c>
      <c r="AB10" s="14"/>
      <c r="AC10" s="11" t="s">
        <v>271</v>
      </c>
      <c r="AD10" s="11" t="s">
        <v>254</v>
      </c>
      <c r="AE10" s="14"/>
      <c r="AF10" s="14"/>
    </row>
    <row r="11" spans="1:35" x14ac:dyDescent="0.2">
      <c r="B11" s="11" t="s">
        <v>24</v>
      </c>
      <c r="C11" s="11" t="s">
        <v>1562</v>
      </c>
      <c r="D11" s="11" t="s">
        <v>24</v>
      </c>
      <c r="E11" s="11" t="s">
        <v>528</v>
      </c>
      <c r="F11" s="11" t="s">
        <v>529</v>
      </c>
      <c r="G11" s="11" t="s">
        <v>530</v>
      </c>
      <c r="H11" s="11" t="s">
        <v>681</v>
      </c>
      <c r="I11" s="12" t="s">
        <v>273</v>
      </c>
      <c r="J11" s="11" t="s">
        <v>532</v>
      </c>
      <c r="K11" s="11" t="s">
        <v>533</v>
      </c>
      <c r="L11" s="12" t="s">
        <v>273</v>
      </c>
      <c r="M11" s="11" t="s">
        <v>25</v>
      </c>
      <c r="N11" s="12" t="s">
        <v>273</v>
      </c>
      <c r="O11" s="11" t="s">
        <v>534</v>
      </c>
      <c r="P11" s="12" t="s">
        <v>273</v>
      </c>
      <c r="Q11" s="12" t="s">
        <v>273</v>
      </c>
      <c r="R11" s="12" t="s">
        <v>273</v>
      </c>
      <c r="S11" s="12" t="s">
        <v>273</v>
      </c>
      <c r="T11" s="12" t="s">
        <v>273</v>
      </c>
      <c r="U11" s="12" t="s">
        <v>273</v>
      </c>
      <c r="V11" s="12" t="s">
        <v>273</v>
      </c>
      <c r="W11" s="11" t="s">
        <v>1563</v>
      </c>
      <c r="X11" s="12" t="s">
        <v>273</v>
      </c>
      <c r="Y11" s="11"/>
      <c r="Z11" s="13" t="s">
        <v>273</v>
      </c>
      <c r="AA11" s="135" t="str">
        <f>_xlfn.IFS(AND(COUNTIF(Y11,"SCB0*")=1, 'PCH272'!D68&gt;=2), "See the Notice *1", AND(COUNTIF(Y11,"SCB7*")=1, 'PCH272'!K68&gt;=2), "See the Notice *1", TRUE, "")</f>
        <v/>
      </c>
      <c r="AB11" s="14"/>
      <c r="AC11" s="11" t="s">
        <v>271</v>
      </c>
      <c r="AD11" s="11" t="s">
        <v>254</v>
      </c>
      <c r="AE11" s="14"/>
      <c r="AF11" s="14"/>
    </row>
    <row r="12" spans="1:35" x14ac:dyDescent="0.2">
      <c r="B12" s="11" t="s">
        <v>26</v>
      </c>
      <c r="C12" s="11" t="s">
        <v>1564</v>
      </c>
      <c r="D12" s="11" t="s">
        <v>26</v>
      </c>
      <c r="E12" s="11" t="s">
        <v>535</v>
      </c>
      <c r="F12" s="11" t="s">
        <v>536</v>
      </c>
      <c r="G12" s="11" t="s">
        <v>537</v>
      </c>
      <c r="H12" s="11" t="s">
        <v>682</v>
      </c>
      <c r="I12" s="12" t="s">
        <v>273</v>
      </c>
      <c r="J12" s="11" t="s">
        <v>539</v>
      </c>
      <c r="K12" s="12" t="s">
        <v>273</v>
      </c>
      <c r="L12" s="11" t="s">
        <v>2334</v>
      </c>
      <c r="M12" s="11" t="s">
        <v>27</v>
      </c>
      <c r="N12" s="11" t="s">
        <v>28</v>
      </c>
      <c r="O12" s="11" t="s">
        <v>677</v>
      </c>
      <c r="P12" s="12" t="s">
        <v>273</v>
      </c>
      <c r="Q12" s="12" t="s">
        <v>273</v>
      </c>
      <c r="R12" s="12" t="s">
        <v>273</v>
      </c>
      <c r="S12" s="12" t="s">
        <v>273</v>
      </c>
      <c r="T12" s="12" t="s">
        <v>273</v>
      </c>
      <c r="U12" s="11" t="s">
        <v>1931</v>
      </c>
      <c r="V12" s="12" t="s">
        <v>273</v>
      </c>
      <c r="W12" s="11" t="s">
        <v>1565</v>
      </c>
      <c r="X12" s="12" t="s">
        <v>273</v>
      </c>
      <c r="Y12" s="15"/>
      <c r="Z12" s="13" t="s">
        <v>273</v>
      </c>
      <c r="AA12" s="135" t="str">
        <f>_xlfn.IFS(AND(COUNTIF(Y12,"SCB0*")=1, 'PCH272'!D68&gt;=2), "See the Notice *1", AND(COUNTIF(Y12,"SCB4*")=1, 'PCH272'!H68&gt;=2), "See the Notice *1", TRUE, "")</f>
        <v/>
      </c>
      <c r="AB12" s="14"/>
      <c r="AC12" s="11" t="s">
        <v>271</v>
      </c>
      <c r="AD12" s="11" t="s">
        <v>254</v>
      </c>
      <c r="AE12" s="14"/>
      <c r="AF12" s="14"/>
    </row>
    <row r="13" spans="1:35" x14ac:dyDescent="0.2">
      <c r="B13" s="11" t="s">
        <v>29</v>
      </c>
      <c r="C13" s="11" t="s">
        <v>1567</v>
      </c>
      <c r="D13" s="11" t="s">
        <v>29</v>
      </c>
      <c r="E13" s="11" t="s">
        <v>540</v>
      </c>
      <c r="F13" s="11" t="s">
        <v>541</v>
      </c>
      <c r="G13" s="11" t="s">
        <v>542</v>
      </c>
      <c r="H13" s="11" t="s">
        <v>683</v>
      </c>
      <c r="I13" s="12" t="s">
        <v>273</v>
      </c>
      <c r="J13" s="11" t="s">
        <v>544</v>
      </c>
      <c r="K13" s="12" t="s">
        <v>273</v>
      </c>
      <c r="L13" s="11" t="s">
        <v>545</v>
      </c>
      <c r="M13" s="12" t="s">
        <v>273</v>
      </c>
      <c r="N13" s="11" t="s">
        <v>30</v>
      </c>
      <c r="O13" s="11" t="s">
        <v>546</v>
      </c>
      <c r="P13" s="12" t="s">
        <v>273</v>
      </c>
      <c r="Q13" s="12" t="s">
        <v>273</v>
      </c>
      <c r="R13" s="12" t="s">
        <v>273</v>
      </c>
      <c r="S13" s="12" t="s">
        <v>273</v>
      </c>
      <c r="T13" s="12" t="s">
        <v>273</v>
      </c>
      <c r="U13" s="11" t="s">
        <v>1568</v>
      </c>
      <c r="V13" s="12" t="s">
        <v>273</v>
      </c>
      <c r="W13" s="11" t="s">
        <v>1569</v>
      </c>
      <c r="X13" s="12" t="s">
        <v>273</v>
      </c>
      <c r="Y13" s="15"/>
      <c r="Z13" s="13" t="s">
        <v>273</v>
      </c>
      <c r="AA13" s="135" t="str">
        <f>_xlfn.IFS(AND(COUNTIF(Y13,"SCB0*")=1, 'PCH272'!D68&gt;=2), "See the Notice *1", AND(COUNTIF(Y13,"SCB4*")=1, 'PCH272'!H68&gt;=2), "See the Notice *1", TRUE, "")</f>
        <v/>
      </c>
      <c r="AB13" s="14"/>
      <c r="AC13" s="11" t="s">
        <v>271</v>
      </c>
      <c r="AD13" s="11" t="s">
        <v>254</v>
      </c>
      <c r="AE13" s="14"/>
      <c r="AF13" s="14"/>
    </row>
    <row r="14" spans="1:35" x14ac:dyDescent="0.2">
      <c r="B14" s="11" t="s">
        <v>31</v>
      </c>
      <c r="C14" s="11" t="s">
        <v>1570</v>
      </c>
      <c r="D14" s="11" t="s">
        <v>31</v>
      </c>
      <c r="E14" s="11" t="s">
        <v>547</v>
      </c>
      <c r="F14" s="11" t="s">
        <v>548</v>
      </c>
      <c r="G14" s="11" t="s">
        <v>549</v>
      </c>
      <c r="H14" s="11" t="s">
        <v>684</v>
      </c>
      <c r="I14" s="11" t="s">
        <v>551</v>
      </c>
      <c r="J14" s="12" t="s">
        <v>273</v>
      </c>
      <c r="K14" s="12" t="s">
        <v>273</v>
      </c>
      <c r="L14" s="11" t="s">
        <v>552</v>
      </c>
      <c r="M14" s="12" t="s">
        <v>273</v>
      </c>
      <c r="N14" s="12" t="s">
        <v>273</v>
      </c>
      <c r="O14" s="12" t="s">
        <v>273</v>
      </c>
      <c r="P14" s="12" t="s">
        <v>273</v>
      </c>
      <c r="Q14" s="12" t="s">
        <v>273</v>
      </c>
      <c r="R14" s="12" t="s">
        <v>273</v>
      </c>
      <c r="S14" s="12" t="s">
        <v>273</v>
      </c>
      <c r="T14" s="12" t="s">
        <v>273</v>
      </c>
      <c r="U14" s="11" t="s">
        <v>1571</v>
      </c>
      <c r="V14" s="12" t="s">
        <v>273</v>
      </c>
      <c r="W14" s="11" t="s">
        <v>1572</v>
      </c>
      <c r="X14" s="12" t="s">
        <v>273</v>
      </c>
      <c r="Y14" s="15"/>
      <c r="Z14" s="13" t="s">
        <v>273</v>
      </c>
      <c r="AA14" s="135" t="str">
        <f>_xlfn.IFS(AND(COUNTIF(Y14,"SCB0*")=1, 'PCH272'!D68&gt;=2), "See the Notice *1", AND(COUNTIF(Y14,"SCB4*")=1, 'PCH272'!H68&gt;=2), "See the Notice *1", TRUE, "")</f>
        <v/>
      </c>
      <c r="AB14" s="14"/>
      <c r="AC14" s="11" t="s">
        <v>272</v>
      </c>
      <c r="AD14" s="11" t="s">
        <v>254</v>
      </c>
      <c r="AE14" s="14"/>
      <c r="AF14" s="14"/>
    </row>
    <row r="15" spans="1:35" x14ac:dyDescent="0.2">
      <c r="B15" s="11" t="s">
        <v>32</v>
      </c>
      <c r="C15" s="11" t="s">
        <v>1573</v>
      </c>
      <c r="D15" s="11" t="s">
        <v>32</v>
      </c>
      <c r="E15" s="11" t="s">
        <v>553</v>
      </c>
      <c r="F15" s="11" t="s">
        <v>554</v>
      </c>
      <c r="G15" s="11" t="s">
        <v>555</v>
      </c>
      <c r="H15" s="11" t="s">
        <v>685</v>
      </c>
      <c r="I15" s="11" t="s">
        <v>557</v>
      </c>
      <c r="J15" s="12" t="s">
        <v>273</v>
      </c>
      <c r="K15" s="12" t="s">
        <v>273</v>
      </c>
      <c r="L15" s="11" t="s">
        <v>2685</v>
      </c>
      <c r="M15" s="12" t="s">
        <v>273</v>
      </c>
      <c r="N15" s="12" t="s">
        <v>273</v>
      </c>
      <c r="O15" s="12" t="s">
        <v>273</v>
      </c>
      <c r="P15" s="12" t="s">
        <v>273</v>
      </c>
      <c r="Q15" s="12" t="s">
        <v>353</v>
      </c>
      <c r="R15" s="12" t="s">
        <v>273</v>
      </c>
      <c r="S15" s="12" t="s">
        <v>273</v>
      </c>
      <c r="T15" s="12" t="s">
        <v>273</v>
      </c>
      <c r="U15" s="11" t="s">
        <v>1574</v>
      </c>
      <c r="V15" s="12" t="s">
        <v>273</v>
      </c>
      <c r="W15" s="11" t="s">
        <v>1575</v>
      </c>
      <c r="X15" s="12" t="s">
        <v>273</v>
      </c>
      <c r="Y15" s="15"/>
      <c r="Z15" s="13" t="s">
        <v>273</v>
      </c>
      <c r="AA15" s="135" t="str">
        <f>_xlfn.IFS(AND(COUNTIF(Y15,"SCB0*")=1, 'PCH272'!D68&gt;=2), "See the Notice *1", AND(COUNTIF(Y15,"SCB4*")=1, 'PCH272'!H68&gt;=2), "See the Notice *1", TRUE, "")</f>
        <v/>
      </c>
      <c r="AB15" s="14"/>
      <c r="AC15" s="11" t="s">
        <v>272</v>
      </c>
      <c r="AD15" s="11" t="s">
        <v>254</v>
      </c>
      <c r="AE15" s="14"/>
      <c r="AF15" s="14"/>
    </row>
    <row r="16" spans="1:35" x14ac:dyDescent="0.2">
      <c r="B16" s="11" t="s">
        <v>33</v>
      </c>
      <c r="C16" s="11" t="s">
        <v>1576</v>
      </c>
      <c r="D16" s="11" t="s">
        <v>33</v>
      </c>
      <c r="E16" s="11" t="s">
        <v>558</v>
      </c>
      <c r="F16" s="11" t="s">
        <v>559</v>
      </c>
      <c r="G16" s="11" t="s">
        <v>560</v>
      </c>
      <c r="H16" s="11" t="s">
        <v>561</v>
      </c>
      <c r="I16" s="11" t="s">
        <v>562</v>
      </c>
      <c r="J16" s="12" t="s">
        <v>273</v>
      </c>
      <c r="K16" s="12" t="s">
        <v>273</v>
      </c>
      <c r="L16" s="12" t="s">
        <v>273</v>
      </c>
      <c r="M16" s="11" t="s">
        <v>38</v>
      </c>
      <c r="N16" s="12" t="s">
        <v>273</v>
      </c>
      <c r="O16" s="12" t="s">
        <v>273</v>
      </c>
      <c r="P16" s="12" t="s">
        <v>273</v>
      </c>
      <c r="Q16" s="12" t="s">
        <v>273</v>
      </c>
      <c r="R16" s="12" t="s">
        <v>273</v>
      </c>
      <c r="S16" s="11" t="s">
        <v>34</v>
      </c>
      <c r="T16" s="12" t="s">
        <v>273</v>
      </c>
      <c r="U16" s="12" t="s">
        <v>273</v>
      </c>
      <c r="V16" s="12" t="s">
        <v>273</v>
      </c>
      <c r="W16" s="11" t="s">
        <v>1577</v>
      </c>
      <c r="X16" s="12" t="s">
        <v>273</v>
      </c>
      <c r="Y16" s="15"/>
      <c r="Z16" s="13" t="s">
        <v>273</v>
      </c>
      <c r="AA16" s="135" t="str">
        <f>_xlfn.IFS(AND(COUNTIF(Y16,"SCB*")=1, 'PCH272'!D68&gt;=2), "See the Notice *1", TRUE, "")</f>
        <v/>
      </c>
      <c r="AB16" s="14"/>
      <c r="AC16" s="11" t="s">
        <v>272</v>
      </c>
      <c r="AD16" s="11" t="s">
        <v>254</v>
      </c>
      <c r="AE16" s="14"/>
      <c r="AF16" s="14"/>
    </row>
    <row r="17" spans="2:32" x14ac:dyDescent="0.2">
      <c r="B17" s="11" t="s">
        <v>35</v>
      </c>
      <c r="C17" s="11" t="s">
        <v>1579</v>
      </c>
      <c r="D17" s="11" t="s">
        <v>35</v>
      </c>
      <c r="E17" s="11" t="s">
        <v>563</v>
      </c>
      <c r="F17" s="11" t="s">
        <v>564</v>
      </c>
      <c r="G17" s="11" t="s">
        <v>565</v>
      </c>
      <c r="H17" s="11" t="s">
        <v>566</v>
      </c>
      <c r="I17" s="11" t="s">
        <v>567</v>
      </c>
      <c r="J17" s="12" t="s">
        <v>273</v>
      </c>
      <c r="K17" s="12" t="s">
        <v>273</v>
      </c>
      <c r="L17" s="12" t="s">
        <v>273</v>
      </c>
      <c r="M17" s="11" t="s">
        <v>42</v>
      </c>
      <c r="N17" s="12" t="s">
        <v>273</v>
      </c>
      <c r="O17" s="12" t="s">
        <v>273</v>
      </c>
      <c r="P17" s="12" t="s">
        <v>273</v>
      </c>
      <c r="Q17" s="12" t="s">
        <v>273</v>
      </c>
      <c r="R17" s="12" t="s">
        <v>273</v>
      </c>
      <c r="S17" s="11" t="s">
        <v>36</v>
      </c>
      <c r="T17" s="12" t="s">
        <v>273</v>
      </c>
      <c r="U17" s="12" t="s">
        <v>273</v>
      </c>
      <c r="V17" s="12" t="s">
        <v>273</v>
      </c>
      <c r="W17" s="11" t="s">
        <v>1580</v>
      </c>
      <c r="X17" s="12" t="s">
        <v>273</v>
      </c>
      <c r="Y17" s="15"/>
      <c r="Z17" s="13" t="s">
        <v>273</v>
      </c>
      <c r="AA17" s="135" t="str">
        <f>_xlfn.IFS(AND(COUNTIF(Y17,"SCB*")=1, 'PCH272'!D68&gt;=2), "See the Notice *1", TRUE, "")</f>
        <v/>
      </c>
      <c r="AB17" s="14"/>
      <c r="AC17" s="11" t="s">
        <v>272</v>
      </c>
      <c r="AD17" s="11" t="s">
        <v>254</v>
      </c>
      <c r="AE17" s="14"/>
      <c r="AF17" s="14"/>
    </row>
    <row r="18" spans="2:32" x14ac:dyDescent="0.2">
      <c r="B18" s="11" t="s">
        <v>568</v>
      </c>
      <c r="C18" s="11" t="s">
        <v>1581</v>
      </c>
      <c r="D18" s="11" t="s">
        <v>568</v>
      </c>
      <c r="E18" s="11" t="s">
        <v>569</v>
      </c>
      <c r="F18" s="11" t="s">
        <v>570</v>
      </c>
      <c r="G18" s="11" t="s">
        <v>571</v>
      </c>
      <c r="H18" s="11" t="s">
        <v>686</v>
      </c>
      <c r="I18" s="12" t="s">
        <v>273</v>
      </c>
      <c r="J18" s="11" t="s">
        <v>573</v>
      </c>
      <c r="K18" s="12" t="s">
        <v>273</v>
      </c>
      <c r="L18" s="11" t="s">
        <v>574</v>
      </c>
      <c r="M18" s="12" t="s">
        <v>273</v>
      </c>
      <c r="N18" s="12" t="s">
        <v>273</v>
      </c>
      <c r="O18" s="11" t="s">
        <v>575</v>
      </c>
      <c r="P18" s="12" t="s">
        <v>273</v>
      </c>
      <c r="Q18" s="12" t="s">
        <v>273</v>
      </c>
      <c r="R18" s="12" t="s">
        <v>273</v>
      </c>
      <c r="S18" s="12" t="s">
        <v>273</v>
      </c>
      <c r="T18" s="12" t="s">
        <v>273</v>
      </c>
      <c r="U18" s="12" t="s">
        <v>273</v>
      </c>
      <c r="V18" s="12" t="s">
        <v>273</v>
      </c>
      <c r="W18" s="12" t="s">
        <v>273</v>
      </c>
      <c r="X18" s="12" t="s">
        <v>273</v>
      </c>
      <c r="Y18" s="15"/>
      <c r="Z18" s="13" t="s">
        <v>273</v>
      </c>
      <c r="AA18" s="135" t="str">
        <f>_xlfn.IFS(AND(COUNTIF(Y18,"SCB*")=1, 'PCH272'!L68&gt;=2), "See the Notice *1", TRUE, "")</f>
        <v/>
      </c>
      <c r="AB18" s="14"/>
      <c r="AC18" s="11" t="s">
        <v>272</v>
      </c>
      <c r="AD18" s="11" t="s">
        <v>254</v>
      </c>
      <c r="AE18" s="14"/>
      <c r="AF18" s="14"/>
    </row>
    <row r="19" spans="2:32" x14ac:dyDescent="0.2">
      <c r="B19" s="11" t="s">
        <v>37</v>
      </c>
      <c r="C19" s="11" t="s">
        <v>1584</v>
      </c>
      <c r="D19" s="11" t="s">
        <v>37</v>
      </c>
      <c r="E19" s="11" t="s">
        <v>586</v>
      </c>
      <c r="F19" s="11" t="s">
        <v>587</v>
      </c>
      <c r="G19" s="11" t="s">
        <v>588</v>
      </c>
      <c r="H19" s="11" t="s">
        <v>687</v>
      </c>
      <c r="I19" s="11" t="s">
        <v>590</v>
      </c>
      <c r="J19" s="11" t="s">
        <v>591</v>
      </c>
      <c r="K19" s="12" t="s">
        <v>273</v>
      </c>
      <c r="L19" s="11" t="s">
        <v>2335</v>
      </c>
      <c r="M19" s="11" t="s">
        <v>38</v>
      </c>
      <c r="N19" s="11" t="s">
        <v>39</v>
      </c>
      <c r="O19" s="12" t="s">
        <v>273</v>
      </c>
      <c r="P19" s="12" t="s">
        <v>273</v>
      </c>
      <c r="Q19" s="12" t="s">
        <v>273</v>
      </c>
      <c r="R19" s="12" t="s">
        <v>273</v>
      </c>
      <c r="S19" s="11" t="s">
        <v>40</v>
      </c>
      <c r="T19" s="12" t="s">
        <v>273</v>
      </c>
      <c r="U19" s="12" t="s">
        <v>273</v>
      </c>
      <c r="V19" s="11" t="s">
        <v>274</v>
      </c>
      <c r="W19" s="11" t="s">
        <v>1585</v>
      </c>
      <c r="X19" s="12" t="s">
        <v>273</v>
      </c>
      <c r="Y19" s="15"/>
      <c r="Z19" s="13" t="s">
        <v>273</v>
      </c>
      <c r="AA19" s="135" t="str">
        <f>_xlfn.IFS(AND(COUNTIF(Y19,"SCB0*")=1, 'PCH272'!D68&gt;=2), "See the Notice *1", AND(COUNTIF(Y19,"SCB7*")=1, 'PCH272'!K68&gt;=2), "See the Notice *1", TRUE, "")</f>
        <v/>
      </c>
      <c r="AB19" s="14"/>
      <c r="AC19" s="11" t="s">
        <v>272</v>
      </c>
      <c r="AD19" s="11" t="s">
        <v>254</v>
      </c>
      <c r="AE19" s="14"/>
      <c r="AF19" s="14"/>
    </row>
    <row r="20" spans="2:32" x14ac:dyDescent="0.2">
      <c r="B20" s="11" t="s">
        <v>41</v>
      </c>
      <c r="C20" s="11" t="s">
        <v>1586</v>
      </c>
      <c r="D20" s="11" t="s">
        <v>41</v>
      </c>
      <c r="E20" s="11" t="s">
        <v>592</v>
      </c>
      <c r="F20" s="11" t="s">
        <v>593</v>
      </c>
      <c r="G20" s="11" t="s">
        <v>594</v>
      </c>
      <c r="H20" s="11" t="s">
        <v>688</v>
      </c>
      <c r="I20" s="11" t="s">
        <v>596</v>
      </c>
      <c r="J20" s="11" t="s">
        <v>597</v>
      </c>
      <c r="K20" s="11" t="s">
        <v>598</v>
      </c>
      <c r="L20" s="11" t="s">
        <v>599</v>
      </c>
      <c r="M20" s="11" t="s">
        <v>42</v>
      </c>
      <c r="N20" s="11" t="s">
        <v>43</v>
      </c>
      <c r="O20" s="12" t="s">
        <v>273</v>
      </c>
      <c r="P20" s="12" t="s">
        <v>273</v>
      </c>
      <c r="Q20" s="12" t="s">
        <v>273</v>
      </c>
      <c r="R20" s="12" t="s">
        <v>273</v>
      </c>
      <c r="S20" s="11" t="s">
        <v>44</v>
      </c>
      <c r="T20" s="12" t="s">
        <v>273</v>
      </c>
      <c r="U20" s="12" t="s">
        <v>273</v>
      </c>
      <c r="V20" s="12" t="s">
        <v>273</v>
      </c>
      <c r="W20" s="11" t="s">
        <v>1587</v>
      </c>
      <c r="X20" s="12" t="s">
        <v>273</v>
      </c>
      <c r="Y20" s="15"/>
      <c r="Z20" s="13" t="s">
        <v>273</v>
      </c>
      <c r="AA20" s="135" t="str">
        <f>_xlfn.IFS(AND(COUNTIF(Y20,"SCB0*")=1, 'PCH272'!D68&gt;=2), "See the Notice *1", AND(COUNTIF(Y20,"SCB7*")=1, 'PCH272'!K68&gt;=2), "See the Notice *1", TRUE, "")</f>
        <v/>
      </c>
      <c r="AB20" s="14"/>
      <c r="AC20" s="11" t="s">
        <v>272</v>
      </c>
      <c r="AD20" s="11" t="s">
        <v>254</v>
      </c>
      <c r="AE20" s="14"/>
      <c r="AF20" s="14"/>
    </row>
    <row r="21" spans="2:32" x14ac:dyDescent="0.2">
      <c r="B21" s="11" t="s">
        <v>45</v>
      </c>
      <c r="C21" s="11" t="s">
        <v>1588</v>
      </c>
      <c r="D21" s="11" t="s">
        <v>45</v>
      </c>
      <c r="E21" s="11" t="s">
        <v>600</v>
      </c>
      <c r="F21" s="11" t="s">
        <v>601</v>
      </c>
      <c r="G21" s="11" t="s">
        <v>602</v>
      </c>
      <c r="H21" s="11" t="s">
        <v>603</v>
      </c>
      <c r="I21" s="11" t="s">
        <v>604</v>
      </c>
      <c r="J21" s="11" t="s">
        <v>605</v>
      </c>
      <c r="K21" s="11" t="s">
        <v>606</v>
      </c>
      <c r="L21" s="11" t="s">
        <v>607</v>
      </c>
      <c r="M21" s="11" t="s">
        <v>46</v>
      </c>
      <c r="N21" s="12" t="s">
        <v>273</v>
      </c>
      <c r="O21" s="12" t="s">
        <v>273</v>
      </c>
      <c r="P21" s="12" t="s">
        <v>273</v>
      </c>
      <c r="Q21" s="11" t="s">
        <v>679</v>
      </c>
      <c r="R21" s="12" t="s">
        <v>273</v>
      </c>
      <c r="S21" s="11" t="s">
        <v>47</v>
      </c>
      <c r="T21" s="12" t="s">
        <v>273</v>
      </c>
      <c r="U21" s="12" t="s">
        <v>273</v>
      </c>
      <c r="V21" s="12" t="s">
        <v>273</v>
      </c>
      <c r="W21" s="11" t="s">
        <v>1589</v>
      </c>
      <c r="X21" s="12" t="s">
        <v>273</v>
      </c>
      <c r="Y21" s="15"/>
      <c r="Z21" s="13" t="s">
        <v>273</v>
      </c>
      <c r="AA21" s="135" t="str">
        <f>_xlfn.IFS(AND(COUNTIF(Y21,"SCB0*")=1, 'PCH272'!D68&gt;=2), "See the Notice *1", AND(COUNTIF(Y21,"SCB7*")=1, 'PCH272'!K68&gt;=2), "See the Notice *1", TRUE, "")</f>
        <v/>
      </c>
      <c r="AB21" s="14"/>
      <c r="AC21" s="11" t="s">
        <v>272</v>
      </c>
      <c r="AD21" s="11" t="s">
        <v>254</v>
      </c>
      <c r="AE21" s="14"/>
      <c r="AF21" s="14"/>
    </row>
    <row r="22" spans="2:32" x14ac:dyDescent="0.2">
      <c r="B22" s="11" t="s">
        <v>48</v>
      </c>
      <c r="C22" s="11" t="s">
        <v>1590</v>
      </c>
      <c r="D22" s="11" t="s">
        <v>48</v>
      </c>
      <c r="E22" s="11" t="s">
        <v>608</v>
      </c>
      <c r="F22" s="11" t="s">
        <v>609</v>
      </c>
      <c r="G22" s="11" t="s">
        <v>610</v>
      </c>
      <c r="H22" s="11" t="s">
        <v>689</v>
      </c>
      <c r="I22" s="11" t="s">
        <v>612</v>
      </c>
      <c r="J22" s="11" t="s">
        <v>613</v>
      </c>
      <c r="K22" s="12" t="s">
        <v>273</v>
      </c>
      <c r="L22" s="11" t="s">
        <v>614</v>
      </c>
      <c r="M22" s="11" t="s">
        <v>49</v>
      </c>
      <c r="N22" s="12" t="s">
        <v>273</v>
      </c>
      <c r="O22" s="12" t="s">
        <v>273</v>
      </c>
      <c r="P22" s="12" t="s">
        <v>273</v>
      </c>
      <c r="Q22" s="11" t="s">
        <v>696</v>
      </c>
      <c r="R22" s="12" t="s">
        <v>273</v>
      </c>
      <c r="S22" s="11" t="s">
        <v>50</v>
      </c>
      <c r="T22" s="12" t="s">
        <v>273</v>
      </c>
      <c r="U22" s="12" t="s">
        <v>273</v>
      </c>
      <c r="V22" s="12" t="s">
        <v>273</v>
      </c>
      <c r="W22" s="12" t="s">
        <v>273</v>
      </c>
      <c r="X22" s="12" t="s">
        <v>273</v>
      </c>
      <c r="Y22" s="15"/>
      <c r="Z22" s="13" t="s">
        <v>273</v>
      </c>
      <c r="AA22" s="135" t="str">
        <f>_xlfn.IFS(AND(COUNTIF(Y22,"SCB*")=1, 'PCH272'!K68&gt;=2), "See the Notice *1", TRUE, "")</f>
        <v/>
      </c>
      <c r="AB22" s="14"/>
      <c r="AC22" s="11" t="s">
        <v>272</v>
      </c>
      <c r="AD22" s="11" t="s">
        <v>254</v>
      </c>
      <c r="AE22" s="14"/>
      <c r="AF22" s="14"/>
    </row>
    <row r="23" spans="2:32" x14ac:dyDescent="0.2">
      <c r="B23" s="11" t="s">
        <v>51</v>
      </c>
      <c r="C23" s="11" t="s">
        <v>1591</v>
      </c>
      <c r="D23" s="11" t="s">
        <v>51</v>
      </c>
      <c r="E23" s="11" t="s">
        <v>615</v>
      </c>
      <c r="F23" s="11" t="s">
        <v>616</v>
      </c>
      <c r="G23" s="11" t="s">
        <v>617</v>
      </c>
      <c r="H23" s="11" t="s">
        <v>690</v>
      </c>
      <c r="I23" s="11" t="s">
        <v>619</v>
      </c>
      <c r="J23" s="12" t="s">
        <v>273</v>
      </c>
      <c r="K23" s="12" t="s">
        <v>273</v>
      </c>
      <c r="L23" s="11" t="s">
        <v>620</v>
      </c>
      <c r="M23" s="11" t="s">
        <v>52</v>
      </c>
      <c r="N23" s="12" t="s">
        <v>273</v>
      </c>
      <c r="O23" s="12" t="s">
        <v>273</v>
      </c>
      <c r="P23" s="12" t="s">
        <v>273</v>
      </c>
      <c r="Q23" s="12" t="s">
        <v>273</v>
      </c>
      <c r="R23" s="12" t="s">
        <v>273</v>
      </c>
      <c r="S23" s="11" t="s">
        <v>53</v>
      </c>
      <c r="T23" s="12" t="s">
        <v>273</v>
      </c>
      <c r="U23" s="12" t="s">
        <v>273</v>
      </c>
      <c r="V23" s="12" t="s">
        <v>273</v>
      </c>
      <c r="W23" s="12" t="s">
        <v>273</v>
      </c>
      <c r="X23" s="12" t="s">
        <v>273</v>
      </c>
      <c r="Y23" s="15"/>
      <c r="Z23" s="13" t="s">
        <v>273</v>
      </c>
      <c r="AA23" s="135" t="str">
        <f>_xlfn.IFS(AND(COUNTIF(Y23,"SCB*")=1, 'PCH272'!K68&gt;=2), "See the Notice *1", TRUE, "")</f>
        <v/>
      </c>
      <c r="AB23" s="14"/>
      <c r="AC23" s="11" t="s">
        <v>272</v>
      </c>
      <c r="AD23" s="11" t="s">
        <v>254</v>
      </c>
      <c r="AE23" s="14"/>
      <c r="AF23" s="14"/>
    </row>
    <row r="24" spans="2:32" x14ac:dyDescent="0.2">
      <c r="B24" s="11" t="s">
        <v>54</v>
      </c>
      <c r="C24" s="11" t="s">
        <v>1593</v>
      </c>
      <c r="D24" s="11" t="s">
        <v>54</v>
      </c>
      <c r="E24" s="11" t="s">
        <v>621</v>
      </c>
      <c r="F24" s="11" t="s">
        <v>622</v>
      </c>
      <c r="G24" s="11" t="s">
        <v>623</v>
      </c>
      <c r="H24" s="11" t="s">
        <v>691</v>
      </c>
      <c r="I24" s="11" t="s">
        <v>625</v>
      </c>
      <c r="J24" s="12" t="s">
        <v>273</v>
      </c>
      <c r="K24" s="12" t="s">
        <v>273</v>
      </c>
      <c r="L24" s="11" t="s">
        <v>626</v>
      </c>
      <c r="M24" s="11" t="s">
        <v>55</v>
      </c>
      <c r="N24" s="12" t="s">
        <v>273</v>
      </c>
      <c r="O24" s="12" t="s">
        <v>273</v>
      </c>
      <c r="P24" s="12" t="s">
        <v>273</v>
      </c>
      <c r="Q24" s="12" t="s">
        <v>273</v>
      </c>
      <c r="R24" s="12" t="s">
        <v>273</v>
      </c>
      <c r="S24" s="11" t="s">
        <v>56</v>
      </c>
      <c r="T24" s="12" t="s">
        <v>273</v>
      </c>
      <c r="U24" s="12" t="s">
        <v>273</v>
      </c>
      <c r="V24" s="12" t="s">
        <v>273</v>
      </c>
      <c r="W24" s="12" t="s">
        <v>273</v>
      </c>
      <c r="X24" s="12" t="s">
        <v>273</v>
      </c>
      <c r="Y24" s="15"/>
      <c r="Z24" s="13" t="s">
        <v>273</v>
      </c>
      <c r="AA24" s="135" t="str">
        <f>_xlfn.IFS(AND(COUNTIF(Y24,"SCB*")=1, 'PCH272'!K68&gt;=2), "See the Notice *1", TRUE, "")</f>
        <v/>
      </c>
      <c r="AB24" s="14"/>
      <c r="AC24" s="11" t="s">
        <v>272</v>
      </c>
      <c r="AD24" s="11" t="s">
        <v>254</v>
      </c>
      <c r="AE24" s="14"/>
      <c r="AF24" s="14"/>
    </row>
    <row r="25" spans="2:32" x14ac:dyDescent="0.2">
      <c r="B25" s="11" t="s">
        <v>627</v>
      </c>
      <c r="C25" s="11" t="s">
        <v>1594</v>
      </c>
      <c r="D25" s="11" t="s">
        <v>627</v>
      </c>
      <c r="E25" s="11" t="s">
        <v>628</v>
      </c>
      <c r="F25" s="11" t="s">
        <v>629</v>
      </c>
      <c r="G25" s="11" t="s">
        <v>630</v>
      </c>
      <c r="H25" s="11" t="s">
        <v>692</v>
      </c>
      <c r="I25" s="12" t="s">
        <v>273</v>
      </c>
      <c r="J25" s="11" t="s">
        <v>632</v>
      </c>
      <c r="K25" s="12" t="s">
        <v>273</v>
      </c>
      <c r="L25" s="11" t="s">
        <v>633</v>
      </c>
      <c r="M25" s="12" t="s">
        <v>273</v>
      </c>
      <c r="N25" s="12" t="s">
        <v>273</v>
      </c>
      <c r="O25" s="12" t="s">
        <v>273</v>
      </c>
      <c r="P25" s="12" t="s">
        <v>273</v>
      </c>
      <c r="Q25" s="12" t="s">
        <v>273</v>
      </c>
      <c r="R25" s="12" t="s">
        <v>273</v>
      </c>
      <c r="S25" s="12" t="s">
        <v>273</v>
      </c>
      <c r="T25" s="12" t="s">
        <v>273</v>
      </c>
      <c r="U25" s="12" t="s">
        <v>273</v>
      </c>
      <c r="V25" s="12" t="s">
        <v>273</v>
      </c>
      <c r="W25" s="12" t="s">
        <v>273</v>
      </c>
      <c r="X25" s="12" t="s">
        <v>273</v>
      </c>
      <c r="Y25" s="15"/>
      <c r="Z25" s="13" t="s">
        <v>273</v>
      </c>
      <c r="AA25" s="135" t="str">
        <f>_xlfn.IFS(AND(COUNTIF(Y25,"SCB*")=1, 'PCH272'!L68&gt;=2), "See the Notice *1", TRUE, "")</f>
        <v/>
      </c>
      <c r="AB25" s="14"/>
      <c r="AC25" s="11" t="s">
        <v>272</v>
      </c>
      <c r="AD25" s="11" t="s">
        <v>254</v>
      </c>
      <c r="AE25" s="14"/>
      <c r="AF25" s="14"/>
    </row>
    <row r="26" spans="2:32" x14ac:dyDescent="0.2">
      <c r="B26" s="11" t="s">
        <v>634</v>
      </c>
      <c r="C26" s="16" t="s">
        <v>1596</v>
      </c>
      <c r="D26" s="11" t="s">
        <v>634</v>
      </c>
      <c r="E26" s="11" t="s">
        <v>635</v>
      </c>
      <c r="F26" s="11" t="s">
        <v>636</v>
      </c>
      <c r="G26" s="11" t="s">
        <v>637</v>
      </c>
      <c r="H26" s="11" t="s">
        <v>693</v>
      </c>
      <c r="I26" s="12" t="s">
        <v>273</v>
      </c>
      <c r="J26" s="12" t="s">
        <v>273</v>
      </c>
      <c r="K26" s="12" t="s">
        <v>273</v>
      </c>
      <c r="L26" s="11" t="s">
        <v>639</v>
      </c>
      <c r="M26" s="11" t="s">
        <v>640</v>
      </c>
      <c r="N26" s="12" t="s">
        <v>273</v>
      </c>
      <c r="O26" s="12" t="s">
        <v>273</v>
      </c>
      <c r="P26" s="12" t="s">
        <v>273</v>
      </c>
      <c r="Q26" s="12" t="s">
        <v>273</v>
      </c>
      <c r="R26" s="12" t="s">
        <v>273</v>
      </c>
      <c r="S26" s="12" t="s">
        <v>273</v>
      </c>
      <c r="T26" s="12" t="s">
        <v>273</v>
      </c>
      <c r="U26" s="12" t="s">
        <v>273</v>
      </c>
      <c r="V26" s="12" t="s">
        <v>273</v>
      </c>
      <c r="W26" s="12" t="s">
        <v>273</v>
      </c>
      <c r="X26" s="12" t="s">
        <v>273</v>
      </c>
      <c r="Y26" s="15"/>
      <c r="Z26" s="13" t="s">
        <v>273</v>
      </c>
      <c r="AA26" s="135" t="str">
        <f>_xlfn.IFS(AND(COUNTIF(Y26,"SCB*")=1, 'PCH272'!L68&gt;=2), "See the Notice *1", TRUE, "")</f>
        <v/>
      </c>
      <c r="AB26" s="14"/>
      <c r="AC26" s="11" t="s">
        <v>272</v>
      </c>
      <c r="AD26" s="11" t="s">
        <v>254</v>
      </c>
      <c r="AE26" s="14"/>
      <c r="AF26" s="14"/>
    </row>
    <row r="27" spans="2:32" x14ac:dyDescent="0.2">
      <c r="B27" s="11" t="s">
        <v>57</v>
      </c>
      <c r="C27" s="11" t="s">
        <v>1598</v>
      </c>
      <c r="D27" s="11" t="s">
        <v>57</v>
      </c>
      <c r="E27" s="11" t="s">
        <v>641</v>
      </c>
      <c r="F27" s="11" t="s">
        <v>642</v>
      </c>
      <c r="G27" s="11" t="s">
        <v>643</v>
      </c>
      <c r="H27" s="11" t="s">
        <v>694</v>
      </c>
      <c r="I27" s="11" t="s">
        <v>645</v>
      </c>
      <c r="J27" s="11" t="s">
        <v>695</v>
      </c>
      <c r="K27" s="12" t="s">
        <v>273</v>
      </c>
      <c r="L27" s="11" t="s">
        <v>646</v>
      </c>
      <c r="M27" s="12" t="s">
        <v>273</v>
      </c>
      <c r="N27" s="11" t="s">
        <v>647</v>
      </c>
      <c r="O27" s="12" t="s">
        <v>273</v>
      </c>
      <c r="P27" s="12" t="s">
        <v>273</v>
      </c>
      <c r="Q27" s="11" t="s">
        <v>648</v>
      </c>
      <c r="R27" s="12" t="s">
        <v>273</v>
      </c>
      <c r="S27" s="12" t="s">
        <v>273</v>
      </c>
      <c r="T27" s="11" t="s">
        <v>697</v>
      </c>
      <c r="U27" s="12" t="s">
        <v>273</v>
      </c>
      <c r="V27" s="12" t="s">
        <v>273</v>
      </c>
      <c r="W27" s="12" t="s">
        <v>273</v>
      </c>
      <c r="X27" s="12" t="s">
        <v>273</v>
      </c>
      <c r="Y27" s="15"/>
      <c r="Z27" s="13" t="s">
        <v>273</v>
      </c>
      <c r="AA27" s="135" t="str">
        <f>_xlfn.IFS(AND(COUNTIF(Y27,"SCB*")=1, 'PCH272'!J68&gt;=2), "See the Notice *1", TRUE, "")</f>
        <v/>
      </c>
      <c r="AB27" s="14"/>
      <c r="AC27" s="11" t="s">
        <v>272</v>
      </c>
      <c r="AD27" s="11" t="s">
        <v>254</v>
      </c>
      <c r="AE27" s="14"/>
      <c r="AF27" s="14"/>
    </row>
    <row r="28" spans="2:32" x14ac:dyDescent="0.2">
      <c r="B28" s="11" t="s">
        <v>58</v>
      </c>
      <c r="C28" s="11" t="s">
        <v>1599</v>
      </c>
      <c r="D28" s="11" t="s">
        <v>58</v>
      </c>
      <c r="E28" s="11" t="s">
        <v>649</v>
      </c>
      <c r="F28" s="11" t="s">
        <v>650</v>
      </c>
      <c r="G28" s="11" t="s">
        <v>651</v>
      </c>
      <c r="H28" s="11" t="s">
        <v>652</v>
      </c>
      <c r="I28" s="11" t="s">
        <v>653</v>
      </c>
      <c r="J28" s="11" t="s">
        <v>654</v>
      </c>
      <c r="K28" s="11" t="s">
        <v>655</v>
      </c>
      <c r="L28" s="11" t="s">
        <v>656</v>
      </c>
      <c r="M28" s="12" t="s">
        <v>273</v>
      </c>
      <c r="N28" s="11" t="s">
        <v>657</v>
      </c>
      <c r="O28" s="12" t="s">
        <v>273</v>
      </c>
      <c r="P28" s="12" t="s">
        <v>273</v>
      </c>
      <c r="Q28" s="11" t="s">
        <v>658</v>
      </c>
      <c r="R28" s="12" t="s">
        <v>273</v>
      </c>
      <c r="S28" s="12" t="s">
        <v>273</v>
      </c>
      <c r="T28" s="11" t="s">
        <v>698</v>
      </c>
      <c r="U28" s="12" t="s">
        <v>273</v>
      </c>
      <c r="V28" s="12" t="s">
        <v>273</v>
      </c>
      <c r="W28" s="12" t="s">
        <v>273</v>
      </c>
      <c r="X28" s="12" t="s">
        <v>273</v>
      </c>
      <c r="Y28" s="15"/>
      <c r="Z28" s="13" t="s">
        <v>273</v>
      </c>
      <c r="AA28" s="135" t="str">
        <f>_xlfn.IFS(AND(COUNTIF(Y28,"SCB*")=1, 'PCH272'!J68&gt;=2), "See the Notice *1", TRUE, "")</f>
        <v/>
      </c>
      <c r="AB28" s="14"/>
      <c r="AC28" s="11" t="s">
        <v>272</v>
      </c>
      <c r="AD28" s="11" t="s">
        <v>254</v>
      </c>
      <c r="AE28" s="14"/>
      <c r="AF28" s="14"/>
    </row>
    <row r="29" spans="2:32" x14ac:dyDescent="0.2">
      <c r="B29" s="11" t="s">
        <v>59</v>
      </c>
      <c r="C29" s="11" t="s">
        <v>1600</v>
      </c>
      <c r="D29" s="11" t="s">
        <v>59</v>
      </c>
      <c r="E29" s="11" t="s">
        <v>659</v>
      </c>
      <c r="F29" s="11" t="s">
        <v>660</v>
      </c>
      <c r="G29" s="11" t="s">
        <v>661</v>
      </c>
      <c r="H29" s="11" t="s">
        <v>662</v>
      </c>
      <c r="I29" s="11" t="s">
        <v>663</v>
      </c>
      <c r="J29" s="11" t="s">
        <v>664</v>
      </c>
      <c r="K29" s="11" t="s">
        <v>665</v>
      </c>
      <c r="L29" s="11" t="s">
        <v>699</v>
      </c>
      <c r="M29" s="12" t="s">
        <v>273</v>
      </c>
      <c r="N29" s="12" t="s">
        <v>273</v>
      </c>
      <c r="O29" s="12" t="s">
        <v>273</v>
      </c>
      <c r="P29" s="12" t="s">
        <v>273</v>
      </c>
      <c r="Q29" s="12" t="s">
        <v>273</v>
      </c>
      <c r="R29" s="12" t="s">
        <v>273</v>
      </c>
      <c r="S29" s="12" t="s">
        <v>273</v>
      </c>
      <c r="T29" s="12" t="s">
        <v>273</v>
      </c>
      <c r="U29" s="12" t="s">
        <v>273</v>
      </c>
      <c r="V29" s="12" t="s">
        <v>273</v>
      </c>
      <c r="W29" s="12" t="s">
        <v>273</v>
      </c>
      <c r="X29" s="12" t="s">
        <v>273</v>
      </c>
      <c r="Y29" s="15"/>
      <c r="Z29" s="13" t="s">
        <v>273</v>
      </c>
      <c r="AA29" s="135" t="str">
        <f>_xlfn.IFS(AND(COUNTIF(Y29,"SCB*")=1, 'PCH272'!J68&gt;=2), "See the Notice *1", TRUE, "")</f>
        <v/>
      </c>
      <c r="AB29" s="14"/>
      <c r="AC29" s="11" t="s">
        <v>272</v>
      </c>
      <c r="AD29" s="11" t="s">
        <v>254</v>
      </c>
      <c r="AE29" s="14"/>
      <c r="AF29" s="14"/>
    </row>
    <row r="30" spans="2:32" x14ac:dyDescent="0.2">
      <c r="B30" s="11" t="s">
        <v>60</v>
      </c>
      <c r="C30" s="11" t="s">
        <v>1601</v>
      </c>
      <c r="D30" s="11" t="s">
        <v>60</v>
      </c>
      <c r="E30" s="11" t="s">
        <v>666</v>
      </c>
      <c r="F30" s="11" t="s">
        <v>667</v>
      </c>
      <c r="G30" s="11" t="s">
        <v>668</v>
      </c>
      <c r="H30" s="11" t="s">
        <v>669</v>
      </c>
      <c r="I30" s="11" t="s">
        <v>670</v>
      </c>
      <c r="J30" s="11" t="s">
        <v>671</v>
      </c>
      <c r="K30" s="12" t="s">
        <v>273</v>
      </c>
      <c r="L30" s="11" t="s">
        <v>700</v>
      </c>
      <c r="M30" s="12" t="s">
        <v>273</v>
      </c>
      <c r="N30" s="12" t="s">
        <v>273</v>
      </c>
      <c r="O30" s="12" t="s">
        <v>273</v>
      </c>
      <c r="P30" s="12" t="s">
        <v>273</v>
      </c>
      <c r="Q30" s="12" t="s">
        <v>273</v>
      </c>
      <c r="R30" s="12" t="s">
        <v>273</v>
      </c>
      <c r="S30" s="12" t="s">
        <v>273</v>
      </c>
      <c r="T30" s="12" t="s">
        <v>273</v>
      </c>
      <c r="U30" s="12" t="s">
        <v>273</v>
      </c>
      <c r="V30" s="12" t="s">
        <v>273</v>
      </c>
      <c r="W30" s="12" t="s">
        <v>273</v>
      </c>
      <c r="X30" s="12" t="s">
        <v>273</v>
      </c>
      <c r="Y30" s="15"/>
      <c r="Z30" s="13" t="s">
        <v>273</v>
      </c>
      <c r="AA30" s="135" t="str">
        <f>_xlfn.IFS(AND(COUNTIF(Y30,"SCB*")=1, 'PCH272'!J68&gt;=2), "See the Notice *1", TRUE, "")</f>
        <v/>
      </c>
      <c r="AB30" s="14"/>
      <c r="AC30" s="11" t="s">
        <v>272</v>
      </c>
      <c r="AD30" s="11" t="s">
        <v>254</v>
      </c>
      <c r="AE30" s="14"/>
      <c r="AF30" s="14"/>
    </row>
    <row r="31" spans="2:32" x14ac:dyDescent="0.2">
      <c r="B31" s="16" t="s">
        <v>61</v>
      </c>
      <c r="C31" s="11" t="s">
        <v>1602</v>
      </c>
      <c r="D31" s="16" t="s">
        <v>61</v>
      </c>
      <c r="E31" s="16" t="s">
        <v>672</v>
      </c>
      <c r="F31" s="16" t="s">
        <v>673</v>
      </c>
      <c r="G31" s="16" t="s">
        <v>674</v>
      </c>
      <c r="H31" s="16" t="s">
        <v>675</v>
      </c>
      <c r="I31" s="16" t="s">
        <v>676</v>
      </c>
      <c r="J31" s="12" t="s">
        <v>273</v>
      </c>
      <c r="K31" s="12" t="s">
        <v>273</v>
      </c>
      <c r="L31" s="16" t="s">
        <v>701</v>
      </c>
      <c r="M31" s="16" t="s">
        <v>23</v>
      </c>
      <c r="N31" s="12" t="s">
        <v>273</v>
      </c>
      <c r="O31" s="12" t="s">
        <v>273</v>
      </c>
      <c r="P31" s="12" t="s">
        <v>273</v>
      </c>
      <c r="Q31" s="12" t="s">
        <v>273</v>
      </c>
      <c r="R31" s="12" t="s">
        <v>273</v>
      </c>
      <c r="S31" s="12" t="s">
        <v>273</v>
      </c>
      <c r="T31" s="12" t="s">
        <v>273</v>
      </c>
      <c r="U31" s="12" t="s">
        <v>273</v>
      </c>
      <c r="V31" s="12" t="s">
        <v>273</v>
      </c>
      <c r="W31" s="12" t="s">
        <v>273</v>
      </c>
      <c r="X31" s="12" t="s">
        <v>273</v>
      </c>
      <c r="Y31" s="15"/>
      <c r="Z31" s="13" t="s">
        <v>273</v>
      </c>
      <c r="AA31" s="135" t="str">
        <f>_xlfn.IFS(AND(COUNTIF(Y31,"SCB*")=1, 'PCH272'!J68&gt;=2), "See the Notice *1", TRUE, "")</f>
        <v/>
      </c>
      <c r="AB31" s="14"/>
      <c r="AC31" s="11" t="s">
        <v>272</v>
      </c>
      <c r="AD31" s="11" t="s">
        <v>254</v>
      </c>
      <c r="AE31" s="14"/>
      <c r="AF31" s="14"/>
    </row>
    <row r="32" spans="2:32" x14ac:dyDescent="0.2">
      <c r="B32" s="11" t="s">
        <v>62</v>
      </c>
      <c r="C32" s="11" t="s">
        <v>1604</v>
      </c>
      <c r="D32" s="11" t="s">
        <v>62</v>
      </c>
      <c r="E32" s="11" t="s">
        <v>702</v>
      </c>
      <c r="F32" s="11" t="s">
        <v>703</v>
      </c>
      <c r="G32" s="11" t="s">
        <v>704</v>
      </c>
      <c r="H32" s="11" t="s">
        <v>705</v>
      </c>
      <c r="I32" s="11" t="s">
        <v>706</v>
      </c>
      <c r="J32" s="12" t="s">
        <v>273</v>
      </c>
      <c r="K32" s="12" t="s">
        <v>273</v>
      </c>
      <c r="L32" s="11" t="s">
        <v>707</v>
      </c>
      <c r="M32" s="11" t="s">
        <v>25</v>
      </c>
      <c r="N32" s="12" t="s">
        <v>273</v>
      </c>
      <c r="O32" s="12" t="s">
        <v>273</v>
      </c>
      <c r="P32" s="12" t="s">
        <v>273</v>
      </c>
      <c r="Q32" s="12" t="s">
        <v>273</v>
      </c>
      <c r="R32" s="12" t="s">
        <v>273</v>
      </c>
      <c r="S32" s="12" t="s">
        <v>273</v>
      </c>
      <c r="T32" s="12" t="s">
        <v>273</v>
      </c>
      <c r="U32" s="12" t="s">
        <v>273</v>
      </c>
      <c r="V32" s="12" t="s">
        <v>273</v>
      </c>
      <c r="W32" s="12" t="s">
        <v>273</v>
      </c>
      <c r="X32" s="12" t="s">
        <v>273</v>
      </c>
      <c r="Y32" s="15"/>
      <c r="Z32" s="13" t="s">
        <v>273</v>
      </c>
      <c r="AA32" s="135" t="str">
        <f>_xlfn.IFS(AND(COUNTIF(Y32,"SCB*")=1, 'PCH272'!J68&gt;=2), "See the Notice *1", TRUE, "")</f>
        <v/>
      </c>
      <c r="AB32" s="14"/>
      <c r="AC32" s="11" t="s">
        <v>272</v>
      </c>
      <c r="AD32" s="11" t="s">
        <v>254</v>
      </c>
      <c r="AE32" s="14"/>
      <c r="AF32" s="14"/>
    </row>
    <row r="33" spans="2:32" x14ac:dyDescent="0.2">
      <c r="B33" s="11" t="s">
        <v>708</v>
      </c>
      <c r="C33" s="11" t="s">
        <v>1605</v>
      </c>
      <c r="D33" s="11" t="s">
        <v>708</v>
      </c>
      <c r="E33" s="11" t="s">
        <v>709</v>
      </c>
      <c r="F33" s="11" t="s">
        <v>710</v>
      </c>
      <c r="G33" s="11" t="s">
        <v>711</v>
      </c>
      <c r="H33" s="11" t="s">
        <v>712</v>
      </c>
      <c r="I33" s="12" t="s">
        <v>273</v>
      </c>
      <c r="J33" s="12" t="s">
        <v>273</v>
      </c>
      <c r="K33" s="12" t="s">
        <v>273</v>
      </c>
      <c r="L33" s="11" t="s">
        <v>713</v>
      </c>
      <c r="M33" s="11" t="s">
        <v>714</v>
      </c>
      <c r="N33" s="11" t="s">
        <v>209</v>
      </c>
      <c r="O33" s="12" t="s">
        <v>273</v>
      </c>
      <c r="P33" s="12" t="s">
        <v>273</v>
      </c>
      <c r="Q33" s="12" t="s">
        <v>273</v>
      </c>
      <c r="R33" s="12" t="s">
        <v>273</v>
      </c>
      <c r="S33" s="12" t="s">
        <v>273</v>
      </c>
      <c r="T33" s="12" t="s">
        <v>273</v>
      </c>
      <c r="U33" s="12" t="s">
        <v>273</v>
      </c>
      <c r="V33" s="12" t="s">
        <v>273</v>
      </c>
      <c r="W33" s="12" t="s">
        <v>273</v>
      </c>
      <c r="X33" s="12" t="s">
        <v>273</v>
      </c>
      <c r="Y33" s="15"/>
      <c r="Z33" s="13" t="s">
        <v>273</v>
      </c>
      <c r="AA33" s="135" t="str">
        <f>_xlfn.IFS(AND(COUNTIF(Y33,"SCB*")=1, 'PCH272'!L68&gt;=2), "See the Notice *1", TRUE, "")</f>
        <v/>
      </c>
      <c r="AB33" s="14"/>
      <c r="AC33" s="11" t="s">
        <v>272</v>
      </c>
      <c r="AD33" s="11" t="s">
        <v>254</v>
      </c>
      <c r="AE33" s="14"/>
      <c r="AF33" s="14"/>
    </row>
    <row r="34" spans="2:32" x14ac:dyDescent="0.2">
      <c r="B34" s="11" t="s">
        <v>715</v>
      </c>
      <c r="C34" s="11" t="s">
        <v>1607</v>
      </c>
      <c r="D34" s="11" t="s">
        <v>715</v>
      </c>
      <c r="E34" s="11" t="s">
        <v>716</v>
      </c>
      <c r="F34" s="11" t="s">
        <v>717</v>
      </c>
      <c r="G34" s="11" t="s">
        <v>718</v>
      </c>
      <c r="H34" s="11" t="s">
        <v>719</v>
      </c>
      <c r="I34" s="12" t="s">
        <v>273</v>
      </c>
      <c r="J34" s="12" t="s">
        <v>273</v>
      </c>
      <c r="K34" s="12" t="s">
        <v>273</v>
      </c>
      <c r="L34" s="12" t="s">
        <v>273</v>
      </c>
      <c r="M34" s="11" t="s">
        <v>720</v>
      </c>
      <c r="N34" s="11" t="s">
        <v>211</v>
      </c>
      <c r="O34" s="12" t="s">
        <v>273</v>
      </c>
      <c r="P34" s="12" t="s">
        <v>273</v>
      </c>
      <c r="Q34" s="12" t="s">
        <v>273</v>
      </c>
      <c r="R34" s="12" t="s">
        <v>273</v>
      </c>
      <c r="S34" s="12" t="s">
        <v>273</v>
      </c>
      <c r="T34" s="12" t="s">
        <v>273</v>
      </c>
      <c r="U34" s="12" t="s">
        <v>273</v>
      </c>
      <c r="V34" s="12" t="s">
        <v>273</v>
      </c>
      <c r="W34" s="12" t="s">
        <v>273</v>
      </c>
      <c r="X34" s="12" t="s">
        <v>273</v>
      </c>
      <c r="Y34" s="11"/>
      <c r="Z34" s="13" t="s">
        <v>273</v>
      </c>
      <c r="AA34" s="135"/>
      <c r="AB34" s="14"/>
      <c r="AC34" s="11" t="s">
        <v>272</v>
      </c>
      <c r="AD34" s="11" t="s">
        <v>254</v>
      </c>
      <c r="AE34" s="14"/>
      <c r="AF34" s="14"/>
    </row>
    <row r="35" spans="2:32" x14ac:dyDescent="0.2">
      <c r="B35" s="11" t="s">
        <v>63</v>
      </c>
      <c r="C35" s="11" t="s">
        <v>1609</v>
      </c>
      <c r="D35" s="11" t="s">
        <v>63</v>
      </c>
      <c r="E35" s="11" t="s">
        <v>608</v>
      </c>
      <c r="F35" s="11" t="s">
        <v>721</v>
      </c>
      <c r="G35" s="11" t="s">
        <v>610</v>
      </c>
      <c r="H35" s="11" t="s">
        <v>722</v>
      </c>
      <c r="I35" s="11" t="s">
        <v>64</v>
      </c>
      <c r="J35" s="11" t="s">
        <v>723</v>
      </c>
      <c r="K35" s="12" t="s">
        <v>273</v>
      </c>
      <c r="L35" s="11" t="s">
        <v>724</v>
      </c>
      <c r="M35" s="11" t="s">
        <v>23</v>
      </c>
      <c r="N35" s="12" t="s">
        <v>273</v>
      </c>
      <c r="O35" s="12" t="s">
        <v>273</v>
      </c>
      <c r="P35" s="12" t="s">
        <v>273</v>
      </c>
      <c r="Q35" s="12" t="s">
        <v>273</v>
      </c>
      <c r="R35" s="12" t="s">
        <v>273</v>
      </c>
      <c r="S35" s="11" t="s">
        <v>65</v>
      </c>
      <c r="T35" s="12" t="s">
        <v>273</v>
      </c>
      <c r="U35" s="12" t="s">
        <v>273</v>
      </c>
      <c r="V35" s="12" t="s">
        <v>273</v>
      </c>
      <c r="W35" s="12" t="s">
        <v>273</v>
      </c>
      <c r="X35" s="12" t="s">
        <v>273</v>
      </c>
      <c r="Y35" s="15"/>
      <c r="Z35" s="13" t="s">
        <v>273</v>
      </c>
      <c r="AA35" s="135" t="str">
        <f>_xlfn.IFS(AND(COUNTIF(Y35,"SCB*")=1, 'PCH272'!I68&gt;=2), "See the Notice *1", TRUE, "")</f>
        <v/>
      </c>
      <c r="AB35" s="14"/>
      <c r="AC35" s="11" t="s">
        <v>272</v>
      </c>
      <c r="AD35" s="11" t="s">
        <v>254</v>
      </c>
      <c r="AE35" s="14"/>
      <c r="AF35" s="14"/>
    </row>
    <row r="36" spans="2:32" x14ac:dyDescent="0.2">
      <c r="B36" s="11" t="s">
        <v>66</v>
      </c>
      <c r="C36" s="11" t="s">
        <v>1610</v>
      </c>
      <c r="D36" s="11" t="s">
        <v>66</v>
      </c>
      <c r="E36" s="11" t="s">
        <v>600</v>
      </c>
      <c r="F36" s="11" t="s">
        <v>616</v>
      </c>
      <c r="G36" s="11" t="s">
        <v>602</v>
      </c>
      <c r="H36" s="11" t="s">
        <v>618</v>
      </c>
      <c r="I36" s="11" t="s">
        <v>67</v>
      </c>
      <c r="J36" s="11" t="s">
        <v>725</v>
      </c>
      <c r="K36" s="11" t="s">
        <v>726</v>
      </c>
      <c r="L36" s="11" t="s">
        <v>727</v>
      </c>
      <c r="M36" s="11" t="s">
        <v>25</v>
      </c>
      <c r="N36" s="12" t="s">
        <v>273</v>
      </c>
      <c r="O36" s="12" t="s">
        <v>273</v>
      </c>
      <c r="P36" s="12" t="s">
        <v>273</v>
      </c>
      <c r="Q36" s="12" t="s">
        <v>273</v>
      </c>
      <c r="R36" s="12" t="s">
        <v>273</v>
      </c>
      <c r="S36" s="11" t="s">
        <v>68</v>
      </c>
      <c r="T36" s="12" t="s">
        <v>273</v>
      </c>
      <c r="U36" s="12" t="s">
        <v>273</v>
      </c>
      <c r="V36" s="12" t="s">
        <v>273</v>
      </c>
      <c r="W36" s="12" t="s">
        <v>273</v>
      </c>
      <c r="X36" s="12" t="s">
        <v>273</v>
      </c>
      <c r="Y36" s="15"/>
      <c r="Z36" s="13" t="s">
        <v>273</v>
      </c>
      <c r="AA36" s="135" t="str">
        <f>_xlfn.IFS(AND(COUNTIF(Y36,"SCB*")=1, 'PCH272'!I68&gt;=2), "See the Notice *1", TRUE, "")</f>
        <v/>
      </c>
      <c r="AB36" s="14"/>
      <c r="AC36" s="11" t="s">
        <v>272</v>
      </c>
      <c r="AD36" s="11" t="s">
        <v>254</v>
      </c>
      <c r="AE36" s="14"/>
      <c r="AF36" s="14"/>
    </row>
    <row r="37" spans="2:32" x14ac:dyDescent="0.2">
      <c r="B37" s="11" t="s">
        <v>69</v>
      </c>
      <c r="C37" s="11" t="s">
        <v>1611</v>
      </c>
      <c r="D37" s="11" t="s">
        <v>69</v>
      </c>
      <c r="E37" s="11" t="s">
        <v>592</v>
      </c>
      <c r="F37" s="11" t="s">
        <v>609</v>
      </c>
      <c r="G37" s="11" t="s">
        <v>594</v>
      </c>
      <c r="H37" s="11" t="s">
        <v>611</v>
      </c>
      <c r="I37" s="11" t="s">
        <v>70</v>
      </c>
      <c r="J37" s="11" t="s">
        <v>728</v>
      </c>
      <c r="K37" s="11" t="s">
        <v>729</v>
      </c>
      <c r="L37" s="11" t="s">
        <v>730</v>
      </c>
      <c r="M37" s="11" t="s">
        <v>27</v>
      </c>
      <c r="N37" s="12" t="s">
        <v>273</v>
      </c>
      <c r="O37" s="12" t="s">
        <v>273</v>
      </c>
      <c r="P37" s="12" t="s">
        <v>273</v>
      </c>
      <c r="Q37" s="12" t="s">
        <v>273</v>
      </c>
      <c r="R37" s="12" t="s">
        <v>273</v>
      </c>
      <c r="S37" s="11" t="s">
        <v>71</v>
      </c>
      <c r="T37" s="12" t="s">
        <v>273</v>
      </c>
      <c r="U37" s="12" t="s">
        <v>273</v>
      </c>
      <c r="V37" s="12" t="s">
        <v>273</v>
      </c>
      <c r="W37" s="12" t="s">
        <v>273</v>
      </c>
      <c r="X37" s="12" t="s">
        <v>273</v>
      </c>
      <c r="Y37" s="15"/>
      <c r="Z37" s="13" t="s">
        <v>273</v>
      </c>
      <c r="AA37" s="135" t="str">
        <f>_xlfn.IFS(AND(COUNTIF(Y37,"SCB*")=1, 'PCH272'!I68&gt;=2), "See the Notice *1", TRUE, "")</f>
        <v/>
      </c>
      <c r="AB37" s="14"/>
      <c r="AC37" s="11" t="s">
        <v>272</v>
      </c>
      <c r="AD37" s="11" t="s">
        <v>254</v>
      </c>
      <c r="AE37" s="14"/>
      <c r="AF37" s="14"/>
    </row>
    <row r="38" spans="2:32" x14ac:dyDescent="0.2">
      <c r="B38" s="11" t="s">
        <v>72</v>
      </c>
      <c r="C38" s="11" t="s">
        <v>1612</v>
      </c>
      <c r="D38" s="11" t="s">
        <v>72</v>
      </c>
      <c r="E38" s="11" t="s">
        <v>586</v>
      </c>
      <c r="F38" s="11" t="s">
        <v>601</v>
      </c>
      <c r="G38" s="11" t="s">
        <v>588</v>
      </c>
      <c r="H38" s="11" t="s">
        <v>603</v>
      </c>
      <c r="I38" s="11" t="s">
        <v>821</v>
      </c>
      <c r="J38" s="11" t="s">
        <v>731</v>
      </c>
      <c r="K38" s="12" t="s">
        <v>273</v>
      </c>
      <c r="L38" s="11" t="s">
        <v>732</v>
      </c>
      <c r="M38" s="12" t="s">
        <v>273</v>
      </c>
      <c r="N38" s="11" t="s">
        <v>28</v>
      </c>
      <c r="O38" s="12" t="s">
        <v>273</v>
      </c>
      <c r="P38" s="12" t="s">
        <v>273</v>
      </c>
      <c r="Q38" s="12" t="s">
        <v>273</v>
      </c>
      <c r="R38" s="12" t="s">
        <v>273</v>
      </c>
      <c r="S38" s="11" t="s">
        <v>73</v>
      </c>
      <c r="T38" s="12" t="s">
        <v>273</v>
      </c>
      <c r="U38" s="12" t="s">
        <v>273</v>
      </c>
      <c r="V38" s="12" t="s">
        <v>273</v>
      </c>
      <c r="W38" s="12" t="s">
        <v>273</v>
      </c>
      <c r="X38" s="12" t="s">
        <v>273</v>
      </c>
      <c r="Y38" s="15"/>
      <c r="Z38" s="13" t="s">
        <v>273</v>
      </c>
      <c r="AA38" s="135" t="str">
        <f>_xlfn.IFS(AND(COUNTIF(Y38,"SCB*")=1, 'PCH272'!I68&gt;=2), "See the Notice *1", TRUE, "")</f>
        <v/>
      </c>
      <c r="AB38" s="14"/>
      <c r="AC38" s="11" t="s">
        <v>272</v>
      </c>
      <c r="AD38" s="11" t="s">
        <v>254</v>
      </c>
      <c r="AE38" s="14"/>
      <c r="AF38" s="14"/>
    </row>
    <row r="39" spans="2:32" x14ac:dyDescent="0.2">
      <c r="B39" s="11" t="s">
        <v>74</v>
      </c>
      <c r="C39" s="11" t="s">
        <v>1614</v>
      </c>
      <c r="D39" s="11" t="s">
        <v>74</v>
      </c>
      <c r="E39" s="11" t="s">
        <v>563</v>
      </c>
      <c r="F39" s="11" t="s">
        <v>593</v>
      </c>
      <c r="G39" s="11" t="s">
        <v>565</v>
      </c>
      <c r="H39" s="11" t="s">
        <v>595</v>
      </c>
      <c r="I39" s="12" t="s">
        <v>273</v>
      </c>
      <c r="J39" s="12" t="s">
        <v>273</v>
      </c>
      <c r="K39" s="11" t="s">
        <v>733</v>
      </c>
      <c r="L39" s="11" t="s">
        <v>734</v>
      </c>
      <c r="M39" s="12" t="s">
        <v>273</v>
      </c>
      <c r="N39" s="11" t="s">
        <v>30</v>
      </c>
      <c r="O39" s="12" t="s">
        <v>273</v>
      </c>
      <c r="P39" s="12" t="s">
        <v>273</v>
      </c>
      <c r="Q39" s="12" t="s">
        <v>273</v>
      </c>
      <c r="R39" s="12" t="s">
        <v>273</v>
      </c>
      <c r="S39" s="12" t="s">
        <v>273</v>
      </c>
      <c r="T39" s="12" t="s">
        <v>273</v>
      </c>
      <c r="U39" s="12" t="s">
        <v>273</v>
      </c>
      <c r="V39" s="12" t="s">
        <v>273</v>
      </c>
      <c r="W39" s="12" t="s">
        <v>273</v>
      </c>
      <c r="X39" s="12" t="s">
        <v>273</v>
      </c>
      <c r="Y39" s="15"/>
      <c r="Z39" s="13" t="s">
        <v>273</v>
      </c>
      <c r="AA39" s="135" t="str">
        <f>_xlfn.IFS(AND(COUNTIF(Y39,"SCB*")=1, 'PCH272'!I68&gt;=2), "See the Notice *1", TRUE, "")</f>
        <v/>
      </c>
      <c r="AB39" s="14"/>
      <c r="AC39" s="11" t="s">
        <v>272</v>
      </c>
      <c r="AD39" s="11" t="s">
        <v>254</v>
      </c>
      <c r="AE39" s="14"/>
      <c r="AF39" s="14"/>
    </row>
    <row r="40" spans="2:32" x14ac:dyDescent="0.2">
      <c r="B40" s="11" t="s">
        <v>75</v>
      </c>
      <c r="C40" s="11" t="s">
        <v>1617</v>
      </c>
      <c r="D40" s="11" t="s">
        <v>75</v>
      </c>
      <c r="E40" s="11" t="s">
        <v>744</v>
      </c>
      <c r="F40" s="11" t="s">
        <v>587</v>
      </c>
      <c r="G40" s="11" t="s">
        <v>745</v>
      </c>
      <c r="H40" s="11" t="s">
        <v>589</v>
      </c>
      <c r="I40" s="11" t="s">
        <v>746</v>
      </c>
      <c r="J40" s="12" t="s">
        <v>273</v>
      </c>
      <c r="K40" s="11" t="s">
        <v>747</v>
      </c>
      <c r="L40" s="11" t="s">
        <v>748</v>
      </c>
      <c r="M40" s="11" t="s">
        <v>76</v>
      </c>
      <c r="N40" s="12" t="s">
        <v>273</v>
      </c>
      <c r="O40" s="11" t="s">
        <v>749</v>
      </c>
      <c r="P40" s="12" t="s">
        <v>273</v>
      </c>
      <c r="Q40" s="12" t="s">
        <v>273</v>
      </c>
      <c r="R40" s="12" t="s">
        <v>273</v>
      </c>
      <c r="S40" s="11" t="s">
        <v>750</v>
      </c>
      <c r="T40" s="12" t="s">
        <v>273</v>
      </c>
      <c r="U40" s="12" t="s">
        <v>273</v>
      </c>
      <c r="V40" s="12" t="s">
        <v>273</v>
      </c>
      <c r="W40" s="12" t="s">
        <v>273</v>
      </c>
      <c r="X40" s="12" t="s">
        <v>273</v>
      </c>
      <c r="Y40" s="15"/>
      <c r="Z40" s="13" t="s">
        <v>273</v>
      </c>
      <c r="AA40" s="135" t="str">
        <f>_xlfn.IFS(AND(COUNTIF(Y40,"SCB*")=1, 'PCH272'!I68&gt;=2), "See the Notice *1", TRUE, "")</f>
        <v/>
      </c>
      <c r="AB40" s="14"/>
      <c r="AC40" s="11" t="s">
        <v>272</v>
      </c>
      <c r="AD40" s="11" t="s">
        <v>254</v>
      </c>
      <c r="AE40" s="14"/>
      <c r="AF40" s="14"/>
    </row>
    <row r="41" spans="2:32" x14ac:dyDescent="0.2">
      <c r="B41" s="11" t="s">
        <v>77</v>
      </c>
      <c r="C41" s="11" t="s">
        <v>1619</v>
      </c>
      <c r="D41" s="11" t="s">
        <v>77</v>
      </c>
      <c r="E41" s="11" t="s">
        <v>558</v>
      </c>
      <c r="F41" s="11" t="s">
        <v>751</v>
      </c>
      <c r="G41" s="11" t="s">
        <v>560</v>
      </c>
      <c r="H41" s="11" t="s">
        <v>752</v>
      </c>
      <c r="I41" s="11" t="s">
        <v>753</v>
      </c>
      <c r="J41" s="12" t="s">
        <v>273</v>
      </c>
      <c r="K41" s="12" t="s">
        <v>273</v>
      </c>
      <c r="L41" s="11" t="s">
        <v>754</v>
      </c>
      <c r="M41" s="11" t="s">
        <v>78</v>
      </c>
      <c r="N41" s="12" t="s">
        <v>273</v>
      </c>
      <c r="O41" s="11" t="s">
        <v>834</v>
      </c>
      <c r="P41" s="12" t="s">
        <v>273</v>
      </c>
      <c r="Q41" s="12" t="s">
        <v>273</v>
      </c>
      <c r="R41" s="12" t="s">
        <v>273</v>
      </c>
      <c r="S41" s="11" t="s">
        <v>755</v>
      </c>
      <c r="T41" s="12" t="s">
        <v>273</v>
      </c>
      <c r="U41" s="12" t="s">
        <v>273</v>
      </c>
      <c r="V41" s="12" t="s">
        <v>273</v>
      </c>
      <c r="W41" s="12" t="s">
        <v>273</v>
      </c>
      <c r="X41" s="12" t="s">
        <v>273</v>
      </c>
      <c r="Y41" s="15"/>
      <c r="Z41" s="13" t="s">
        <v>273</v>
      </c>
      <c r="AA41" s="135" t="str">
        <f>_xlfn.IFS(AND(COUNTIF(Y41,"SCB*")=1, 'PCH272'!M68&gt;=2), "See the Notice *1", TRUE, "")</f>
        <v/>
      </c>
      <c r="AB41" s="14"/>
      <c r="AC41" s="11" t="s">
        <v>272</v>
      </c>
      <c r="AD41" s="11" t="s">
        <v>254</v>
      </c>
      <c r="AE41" s="14"/>
      <c r="AF41" s="14"/>
    </row>
    <row r="42" spans="2:32" x14ac:dyDescent="0.2">
      <c r="B42" s="11" t="s">
        <v>79</v>
      </c>
      <c r="C42" s="11" t="s">
        <v>1621</v>
      </c>
      <c r="D42" s="11" t="s">
        <v>79</v>
      </c>
      <c r="E42" s="11" t="s">
        <v>553</v>
      </c>
      <c r="F42" s="11" t="s">
        <v>564</v>
      </c>
      <c r="G42" s="11" t="s">
        <v>555</v>
      </c>
      <c r="H42" s="11" t="s">
        <v>566</v>
      </c>
      <c r="I42" s="11" t="s">
        <v>756</v>
      </c>
      <c r="J42" s="12" t="s">
        <v>273</v>
      </c>
      <c r="K42" s="11" t="s">
        <v>757</v>
      </c>
      <c r="L42" s="12" t="s">
        <v>273</v>
      </c>
      <c r="M42" s="11" t="s">
        <v>80</v>
      </c>
      <c r="N42" s="12" t="s">
        <v>273</v>
      </c>
      <c r="O42" s="11" t="s">
        <v>832</v>
      </c>
      <c r="P42" s="12" t="s">
        <v>273</v>
      </c>
      <c r="Q42" s="12" t="s">
        <v>273</v>
      </c>
      <c r="R42" s="12" t="s">
        <v>273</v>
      </c>
      <c r="S42" s="12" t="s">
        <v>273</v>
      </c>
      <c r="T42" s="12" t="s">
        <v>273</v>
      </c>
      <c r="U42" s="12" t="s">
        <v>273</v>
      </c>
      <c r="V42" s="12" t="s">
        <v>273</v>
      </c>
      <c r="W42" s="12" t="s">
        <v>273</v>
      </c>
      <c r="X42" s="12" t="s">
        <v>273</v>
      </c>
      <c r="Y42" s="15"/>
      <c r="Z42" s="13" t="s">
        <v>273</v>
      </c>
      <c r="AA42" s="135"/>
      <c r="AB42" s="14"/>
      <c r="AC42" s="11" t="s">
        <v>272</v>
      </c>
      <c r="AD42" s="11" t="s">
        <v>254</v>
      </c>
      <c r="AE42" s="14"/>
      <c r="AF42" s="14"/>
    </row>
    <row r="43" spans="2:32" x14ac:dyDescent="0.2">
      <c r="B43" s="11" t="s">
        <v>2073</v>
      </c>
      <c r="C43" s="11" t="s">
        <v>1623</v>
      </c>
      <c r="D43" s="11" t="s">
        <v>81</v>
      </c>
      <c r="E43" s="11" t="s">
        <v>547</v>
      </c>
      <c r="F43" s="11" t="s">
        <v>559</v>
      </c>
      <c r="G43" s="11" t="s">
        <v>549</v>
      </c>
      <c r="H43" s="11" t="s">
        <v>561</v>
      </c>
      <c r="I43" s="11" t="s">
        <v>758</v>
      </c>
      <c r="J43" s="12" t="s">
        <v>273</v>
      </c>
      <c r="K43" s="11" t="s">
        <v>759</v>
      </c>
      <c r="L43" s="12" t="s">
        <v>273</v>
      </c>
      <c r="M43" s="11" t="s">
        <v>82</v>
      </c>
      <c r="N43" s="12" t="s">
        <v>273</v>
      </c>
      <c r="O43" s="11" t="s">
        <v>833</v>
      </c>
      <c r="P43" s="12" t="s">
        <v>273</v>
      </c>
      <c r="Q43" s="12" t="s">
        <v>273</v>
      </c>
      <c r="R43" s="12" t="s">
        <v>273</v>
      </c>
      <c r="S43" s="12" t="s">
        <v>273</v>
      </c>
      <c r="T43" s="12" t="s">
        <v>273</v>
      </c>
      <c r="U43" s="12" t="s">
        <v>273</v>
      </c>
      <c r="V43" s="12" t="s">
        <v>273</v>
      </c>
      <c r="W43" s="12" t="s">
        <v>273</v>
      </c>
      <c r="X43" s="12" t="s">
        <v>273</v>
      </c>
      <c r="Y43" s="15"/>
      <c r="Z43" s="13" t="s">
        <v>273</v>
      </c>
      <c r="AA43" s="135"/>
      <c r="AB43" s="14"/>
      <c r="AC43" s="11" t="s">
        <v>272</v>
      </c>
      <c r="AD43" s="11" t="s">
        <v>254</v>
      </c>
      <c r="AE43" s="14"/>
      <c r="AF43" s="14"/>
    </row>
    <row r="44" spans="2:32" x14ac:dyDescent="0.2">
      <c r="B44" s="11" t="s">
        <v>83</v>
      </c>
      <c r="C44" s="11" t="s">
        <v>1620</v>
      </c>
      <c r="D44" s="11" t="s">
        <v>83</v>
      </c>
      <c r="E44" s="11" t="s">
        <v>540</v>
      </c>
      <c r="F44" s="11" t="s">
        <v>554</v>
      </c>
      <c r="G44" s="11" t="s">
        <v>542</v>
      </c>
      <c r="H44" s="11" t="s">
        <v>556</v>
      </c>
      <c r="I44" s="11" t="s">
        <v>760</v>
      </c>
      <c r="J44" s="12" t="s">
        <v>273</v>
      </c>
      <c r="K44" s="12" t="s">
        <v>273</v>
      </c>
      <c r="L44" s="12" t="s">
        <v>273</v>
      </c>
      <c r="M44" s="11" t="s">
        <v>84</v>
      </c>
      <c r="N44" s="12" t="s">
        <v>273</v>
      </c>
      <c r="O44" s="12" t="s">
        <v>273</v>
      </c>
      <c r="P44" s="11" t="s">
        <v>761</v>
      </c>
      <c r="Q44" s="12" t="s">
        <v>273</v>
      </c>
      <c r="R44" s="12" t="s">
        <v>273</v>
      </c>
      <c r="S44" s="12" t="s">
        <v>273</v>
      </c>
      <c r="T44" s="12" t="s">
        <v>273</v>
      </c>
      <c r="U44" s="12" t="s">
        <v>273</v>
      </c>
      <c r="V44" s="12" t="s">
        <v>273</v>
      </c>
      <c r="W44" s="12" t="s">
        <v>273</v>
      </c>
      <c r="X44" s="12" t="s">
        <v>273</v>
      </c>
      <c r="Y44" s="15"/>
      <c r="Z44" s="13" t="s">
        <v>273</v>
      </c>
      <c r="AA44" s="135"/>
      <c r="AB44" s="14"/>
      <c r="AC44" s="11" t="s">
        <v>272</v>
      </c>
      <c r="AD44" s="11" t="s">
        <v>254</v>
      </c>
      <c r="AE44" s="14"/>
      <c r="AF44" s="14"/>
    </row>
    <row r="45" spans="2:32" x14ac:dyDescent="0.2">
      <c r="B45" s="11" t="s">
        <v>85</v>
      </c>
      <c r="C45" s="11" t="s">
        <v>1626</v>
      </c>
      <c r="D45" s="11" t="s">
        <v>85</v>
      </c>
      <c r="E45" s="11" t="s">
        <v>535</v>
      </c>
      <c r="F45" s="11" t="s">
        <v>548</v>
      </c>
      <c r="G45" s="11" t="s">
        <v>537</v>
      </c>
      <c r="H45" s="11" t="s">
        <v>550</v>
      </c>
      <c r="I45" s="11" t="s">
        <v>762</v>
      </c>
      <c r="J45" s="12" t="s">
        <v>273</v>
      </c>
      <c r="K45" s="12" t="s">
        <v>273</v>
      </c>
      <c r="L45" s="12" t="s">
        <v>273</v>
      </c>
      <c r="M45" s="11" t="s">
        <v>86</v>
      </c>
      <c r="N45" s="12" t="s">
        <v>273</v>
      </c>
      <c r="O45" s="12" t="s">
        <v>273</v>
      </c>
      <c r="P45" s="11" t="s">
        <v>831</v>
      </c>
      <c r="Q45" s="12" t="s">
        <v>273</v>
      </c>
      <c r="R45" s="12" t="s">
        <v>273</v>
      </c>
      <c r="S45" s="12" t="s">
        <v>273</v>
      </c>
      <c r="T45" s="12" t="s">
        <v>273</v>
      </c>
      <c r="U45" s="12" t="s">
        <v>273</v>
      </c>
      <c r="V45" s="12" t="s">
        <v>273</v>
      </c>
      <c r="W45" s="12" t="s">
        <v>273</v>
      </c>
      <c r="X45" s="12" t="s">
        <v>273</v>
      </c>
      <c r="Y45" s="15"/>
      <c r="Z45" s="13" t="s">
        <v>273</v>
      </c>
      <c r="AA45" s="135"/>
      <c r="AB45" s="14"/>
      <c r="AC45" s="11" t="s">
        <v>272</v>
      </c>
      <c r="AD45" s="11" t="s">
        <v>254</v>
      </c>
      <c r="AE45" s="14"/>
      <c r="AF45" s="14"/>
    </row>
    <row r="46" spans="2:32" x14ac:dyDescent="0.2">
      <c r="B46" s="11" t="s">
        <v>87</v>
      </c>
      <c r="C46" s="11" t="s">
        <v>1624</v>
      </c>
      <c r="D46" s="11" t="s">
        <v>87</v>
      </c>
      <c r="E46" s="11" t="s">
        <v>702</v>
      </c>
      <c r="F46" s="11" t="s">
        <v>541</v>
      </c>
      <c r="G46" s="11" t="s">
        <v>704</v>
      </c>
      <c r="H46" s="11" t="s">
        <v>543</v>
      </c>
      <c r="I46" s="11" t="s">
        <v>764</v>
      </c>
      <c r="J46" s="11" t="s">
        <v>765</v>
      </c>
      <c r="K46" s="12" t="s">
        <v>273</v>
      </c>
      <c r="L46" s="11" t="s">
        <v>766</v>
      </c>
      <c r="M46" s="11" t="s">
        <v>88</v>
      </c>
      <c r="N46" s="12" t="s">
        <v>273</v>
      </c>
      <c r="O46" s="11" t="s">
        <v>767</v>
      </c>
      <c r="P46" s="11" t="s">
        <v>830</v>
      </c>
      <c r="Q46" s="12" t="s">
        <v>273</v>
      </c>
      <c r="R46" s="12" t="s">
        <v>273</v>
      </c>
      <c r="S46" s="12" t="s">
        <v>273</v>
      </c>
      <c r="T46" s="12" t="s">
        <v>273</v>
      </c>
      <c r="U46" s="12" t="s">
        <v>273</v>
      </c>
      <c r="V46" s="12" t="s">
        <v>273</v>
      </c>
      <c r="W46" s="12" t="s">
        <v>273</v>
      </c>
      <c r="X46" s="11" t="s">
        <v>275</v>
      </c>
      <c r="Y46" s="15"/>
      <c r="Z46" s="13" t="s">
        <v>273</v>
      </c>
      <c r="AA46" s="135" t="str">
        <f>_xlfn.IFS(AND(COUNTIF(Y46,"SCB*")=1, 'PCH272'!H68&gt;=2), "See the Notice *1", TRUE, "")</f>
        <v/>
      </c>
      <c r="AB46" s="14"/>
      <c r="AC46" s="11" t="s">
        <v>272</v>
      </c>
      <c r="AD46" s="11" t="s">
        <v>255</v>
      </c>
      <c r="AE46" s="14"/>
      <c r="AF46" s="14"/>
    </row>
    <row r="47" spans="2:32" x14ac:dyDescent="0.2">
      <c r="B47" s="11" t="s">
        <v>89</v>
      </c>
      <c r="C47" s="11" t="s">
        <v>1625</v>
      </c>
      <c r="D47" s="11" t="s">
        <v>89</v>
      </c>
      <c r="E47" s="11" t="s">
        <v>649</v>
      </c>
      <c r="F47" s="11" t="s">
        <v>721</v>
      </c>
      <c r="G47" s="11" t="s">
        <v>651</v>
      </c>
      <c r="H47" s="11" t="s">
        <v>722</v>
      </c>
      <c r="I47" s="11" t="s">
        <v>769</v>
      </c>
      <c r="J47" s="11" t="s">
        <v>770</v>
      </c>
      <c r="K47" s="11" t="s">
        <v>771</v>
      </c>
      <c r="L47" s="11" t="s">
        <v>772</v>
      </c>
      <c r="M47" s="11" t="s">
        <v>90</v>
      </c>
      <c r="N47" s="12" t="s">
        <v>273</v>
      </c>
      <c r="O47" s="12" t="s">
        <v>273</v>
      </c>
      <c r="P47" s="12" t="s">
        <v>273</v>
      </c>
      <c r="Q47" s="12" t="s">
        <v>273</v>
      </c>
      <c r="R47" s="12" t="s">
        <v>273</v>
      </c>
      <c r="S47" s="12" t="s">
        <v>273</v>
      </c>
      <c r="T47" s="12" t="s">
        <v>273</v>
      </c>
      <c r="U47" s="12" t="s">
        <v>273</v>
      </c>
      <c r="V47" s="12" t="s">
        <v>273</v>
      </c>
      <c r="W47" s="12" t="s">
        <v>273</v>
      </c>
      <c r="X47" s="11" t="s">
        <v>276</v>
      </c>
      <c r="Y47" s="15"/>
      <c r="Z47" s="13" t="s">
        <v>273</v>
      </c>
      <c r="AA47" s="135" t="str">
        <f>_xlfn.IFS(AND(COUNTIF(Y47,"SCB*")=1, 'PCH272'!H68&gt;=2), "See the Notice *1", TRUE, "")</f>
        <v/>
      </c>
      <c r="AB47" s="14"/>
      <c r="AC47" s="11" t="s">
        <v>272</v>
      </c>
      <c r="AD47" s="11" t="s">
        <v>255</v>
      </c>
      <c r="AE47" s="14"/>
      <c r="AF47" s="14"/>
    </row>
    <row r="48" spans="2:32" x14ac:dyDescent="0.2">
      <c r="B48" s="11" t="s">
        <v>91</v>
      </c>
      <c r="C48" s="11" t="s">
        <v>1627</v>
      </c>
      <c r="D48" s="11" t="s">
        <v>91</v>
      </c>
      <c r="E48" s="11" t="s">
        <v>672</v>
      </c>
      <c r="F48" s="11" t="s">
        <v>660</v>
      </c>
      <c r="G48" s="11" t="s">
        <v>674</v>
      </c>
      <c r="H48" s="11" t="s">
        <v>662</v>
      </c>
      <c r="I48" s="11" t="s">
        <v>773</v>
      </c>
      <c r="J48" s="11" t="s">
        <v>774</v>
      </c>
      <c r="K48" s="11" t="s">
        <v>775</v>
      </c>
      <c r="L48" s="11" t="s">
        <v>776</v>
      </c>
      <c r="M48" s="11" t="s">
        <v>92</v>
      </c>
      <c r="N48" s="11" t="s">
        <v>93</v>
      </c>
      <c r="O48" s="11" t="s">
        <v>829</v>
      </c>
      <c r="P48" s="12" t="s">
        <v>273</v>
      </c>
      <c r="Q48" s="12" t="s">
        <v>273</v>
      </c>
      <c r="R48" s="11" t="s">
        <v>828</v>
      </c>
      <c r="S48" s="12" t="s">
        <v>273</v>
      </c>
      <c r="T48" s="12" t="s">
        <v>273</v>
      </c>
      <c r="U48" s="12" t="s">
        <v>273</v>
      </c>
      <c r="V48" s="12" t="s">
        <v>273</v>
      </c>
      <c r="W48" s="12" t="s">
        <v>273</v>
      </c>
      <c r="X48" s="11" t="s">
        <v>277</v>
      </c>
      <c r="Y48" s="15"/>
      <c r="Z48" s="13" t="s">
        <v>273</v>
      </c>
      <c r="AA48" s="135" t="str">
        <f>_xlfn.IFS(AND(COUNTIF(Y48,"SCB*")=1, 'PCH272'!H68&gt;=2), "See the Notice *1", AND(COUNTIF(Y48,"SDHC*")=1, 'PCH272'!D257&gt;=2), "See the Notice *1", TRUE, "")</f>
        <v/>
      </c>
      <c r="AB48" s="14"/>
      <c r="AC48" s="11" t="s">
        <v>272</v>
      </c>
      <c r="AD48" s="11" t="s">
        <v>255</v>
      </c>
      <c r="AE48" s="14"/>
      <c r="AF48" s="14"/>
    </row>
    <row r="49" spans="2:32" x14ac:dyDescent="0.2">
      <c r="B49" s="11" t="s">
        <v>94</v>
      </c>
      <c r="C49" s="11" t="s">
        <v>1628</v>
      </c>
      <c r="D49" s="11" t="s">
        <v>94</v>
      </c>
      <c r="E49" s="11" t="s">
        <v>641</v>
      </c>
      <c r="F49" s="11" t="s">
        <v>703</v>
      </c>
      <c r="G49" s="11" t="s">
        <v>643</v>
      </c>
      <c r="H49" s="11" t="s">
        <v>705</v>
      </c>
      <c r="I49" s="11" t="s">
        <v>777</v>
      </c>
      <c r="J49" s="11" t="s">
        <v>778</v>
      </c>
      <c r="K49" s="12" t="s">
        <v>273</v>
      </c>
      <c r="L49" s="11" t="s">
        <v>779</v>
      </c>
      <c r="M49" s="11" t="s">
        <v>95</v>
      </c>
      <c r="N49" s="11" t="s">
        <v>96</v>
      </c>
      <c r="O49" s="12" t="s">
        <v>273</v>
      </c>
      <c r="P49" s="11" t="s">
        <v>827</v>
      </c>
      <c r="Q49" s="12" t="s">
        <v>273</v>
      </c>
      <c r="R49" s="11" t="s">
        <v>780</v>
      </c>
      <c r="S49" s="12" t="s">
        <v>273</v>
      </c>
      <c r="T49" s="11" t="s">
        <v>2667</v>
      </c>
      <c r="U49" s="12" t="s">
        <v>273</v>
      </c>
      <c r="V49" s="12" t="s">
        <v>273</v>
      </c>
      <c r="W49" s="12" t="s">
        <v>273</v>
      </c>
      <c r="X49" s="11" t="s">
        <v>278</v>
      </c>
      <c r="Y49" s="15"/>
      <c r="Z49" s="13" t="s">
        <v>273</v>
      </c>
      <c r="AA49" s="135" t="str">
        <f>_xlfn.IFS(AND(COUNTIF(Y49,"SCB*")=1, 'PCH272'!H68&gt;=2), "See the Notice *1", AND(COUNTIF(Y49,"SPIHB*")=1, 'PCH272'!D173&gt;=2), "See the Notice *1", AND(COUNTIF(Y49,"SDHC*")=1, 'PCH272'!D257&gt;=2), "See the Notice *1", TRUE, "")</f>
        <v/>
      </c>
      <c r="AB49" s="14"/>
      <c r="AC49" s="11" t="s">
        <v>272</v>
      </c>
      <c r="AD49" s="11" t="s">
        <v>255</v>
      </c>
      <c r="AE49" s="14"/>
      <c r="AF49" s="14"/>
    </row>
    <row r="50" spans="2:32" x14ac:dyDescent="0.2">
      <c r="B50" s="11" t="s">
        <v>97</v>
      </c>
      <c r="C50" s="11" t="s">
        <v>1632</v>
      </c>
      <c r="D50" s="11" t="s">
        <v>97</v>
      </c>
      <c r="E50" s="11" t="s">
        <v>666</v>
      </c>
      <c r="F50" s="11" t="s">
        <v>650</v>
      </c>
      <c r="G50" s="11" t="s">
        <v>668</v>
      </c>
      <c r="H50" s="11" t="s">
        <v>652</v>
      </c>
      <c r="I50" s="11" t="s">
        <v>781</v>
      </c>
      <c r="J50" s="12" t="s">
        <v>273</v>
      </c>
      <c r="K50" s="12" t="s">
        <v>273</v>
      </c>
      <c r="L50" s="11" t="s">
        <v>782</v>
      </c>
      <c r="M50" s="11" t="s">
        <v>98</v>
      </c>
      <c r="N50" s="12" t="s">
        <v>273</v>
      </c>
      <c r="O50" s="11" t="s">
        <v>783</v>
      </c>
      <c r="P50" s="11" t="s">
        <v>2567</v>
      </c>
      <c r="Q50" s="12" t="s">
        <v>273</v>
      </c>
      <c r="R50" s="11" t="s">
        <v>784</v>
      </c>
      <c r="S50" s="12" t="s">
        <v>273</v>
      </c>
      <c r="T50" s="12" t="s">
        <v>273</v>
      </c>
      <c r="U50" s="12" t="s">
        <v>273</v>
      </c>
      <c r="V50" s="12" t="s">
        <v>273</v>
      </c>
      <c r="W50" s="12" t="s">
        <v>273</v>
      </c>
      <c r="X50" s="11" t="s">
        <v>279</v>
      </c>
      <c r="Y50" s="15"/>
      <c r="Z50" s="13" t="s">
        <v>273</v>
      </c>
      <c r="AA50" s="135" t="str">
        <f>_xlfn.IFS(AND(COUNTIF(Y50,"SCB*")=1, 'PCH272'!H68&gt;=2), "See the Notice *1", AND(COUNTIF(Y50,"SPIHB*")=1, 'PCH272'!D173&gt;=2), "See the Notice *1", AND(COUNTIF(Y50,"SDHC*")=1, 'PCH272'!D257&gt;=2), "See the Notice *1", TRUE, "")</f>
        <v/>
      </c>
      <c r="AB50" s="14"/>
      <c r="AC50" s="11" t="s">
        <v>272</v>
      </c>
      <c r="AD50" s="11" t="s">
        <v>255</v>
      </c>
      <c r="AE50" s="14"/>
      <c r="AF50" s="14"/>
    </row>
    <row r="51" spans="2:32" x14ac:dyDescent="0.2">
      <c r="B51" s="11" t="s">
        <v>99</v>
      </c>
      <c r="C51" s="11" t="s">
        <v>1629</v>
      </c>
      <c r="D51" s="11" t="s">
        <v>99</v>
      </c>
      <c r="E51" s="11" t="s">
        <v>621</v>
      </c>
      <c r="F51" s="11" t="s">
        <v>673</v>
      </c>
      <c r="G51" s="11" t="s">
        <v>623</v>
      </c>
      <c r="H51" s="11" t="s">
        <v>675</v>
      </c>
      <c r="I51" s="11" t="s">
        <v>785</v>
      </c>
      <c r="J51" s="12" t="s">
        <v>273</v>
      </c>
      <c r="K51" s="12" t="s">
        <v>273</v>
      </c>
      <c r="L51" s="11" t="s">
        <v>786</v>
      </c>
      <c r="M51" s="11" t="s">
        <v>100</v>
      </c>
      <c r="N51" s="12" t="s">
        <v>273</v>
      </c>
      <c r="O51" s="11" t="s">
        <v>787</v>
      </c>
      <c r="P51" s="11" t="s">
        <v>826</v>
      </c>
      <c r="Q51" s="12" t="s">
        <v>273</v>
      </c>
      <c r="R51" s="11" t="s">
        <v>788</v>
      </c>
      <c r="S51" s="12" t="s">
        <v>273</v>
      </c>
      <c r="T51" s="12" t="s">
        <v>273</v>
      </c>
      <c r="U51" s="12" t="s">
        <v>273</v>
      </c>
      <c r="V51" s="12" t="s">
        <v>273</v>
      </c>
      <c r="W51" s="12" t="s">
        <v>273</v>
      </c>
      <c r="X51" s="11" t="s">
        <v>280</v>
      </c>
      <c r="Y51" s="15"/>
      <c r="Z51" s="13" t="s">
        <v>273</v>
      </c>
      <c r="AA51" s="135" t="str">
        <f>_xlfn.IFS(AND(COUNTIF(Y51,"SCB*")=1, 'PCH272'!H68&gt;=2), "See the Notice *1", AND(COUNTIF(Y51,"SPIHB*")=1, 'PCH272'!D173&gt;=2), "See the Notice *1", AND(COUNTIF(Y51,"SDHC*")=1, 'PCH272'!D257&gt;=2), "See the Notice *1", TRUE, "")</f>
        <v/>
      </c>
      <c r="AB51" s="14"/>
      <c r="AC51" s="11" t="s">
        <v>272</v>
      </c>
      <c r="AD51" s="11" t="s">
        <v>255</v>
      </c>
      <c r="AE51" s="14"/>
      <c r="AF51" s="14"/>
    </row>
    <row r="52" spans="2:32" x14ac:dyDescent="0.2">
      <c r="B52" s="11" t="s">
        <v>101</v>
      </c>
      <c r="C52" s="11" t="s">
        <v>1631</v>
      </c>
      <c r="D52" s="11" t="s">
        <v>101</v>
      </c>
      <c r="E52" s="11" t="s">
        <v>659</v>
      </c>
      <c r="F52" s="11" t="s">
        <v>642</v>
      </c>
      <c r="G52" s="11" t="s">
        <v>661</v>
      </c>
      <c r="H52" s="11" t="s">
        <v>644</v>
      </c>
      <c r="I52" s="12" t="s">
        <v>273</v>
      </c>
      <c r="J52" s="12" t="s">
        <v>273</v>
      </c>
      <c r="K52" s="12" t="s">
        <v>273</v>
      </c>
      <c r="L52" s="11" t="s">
        <v>789</v>
      </c>
      <c r="M52" s="12" t="s">
        <v>273</v>
      </c>
      <c r="N52" s="12" t="s">
        <v>273</v>
      </c>
      <c r="O52" s="12" t="s">
        <v>273</v>
      </c>
      <c r="P52" s="12" t="s">
        <v>273</v>
      </c>
      <c r="Q52" s="12" t="s">
        <v>273</v>
      </c>
      <c r="R52" s="12" t="s">
        <v>273</v>
      </c>
      <c r="S52" s="11" t="s">
        <v>102</v>
      </c>
      <c r="T52" s="12" t="s">
        <v>273</v>
      </c>
      <c r="U52" s="12" t="s">
        <v>273</v>
      </c>
      <c r="V52" s="12" t="s">
        <v>273</v>
      </c>
      <c r="W52" s="12" t="s">
        <v>273</v>
      </c>
      <c r="X52" s="11" t="s">
        <v>281</v>
      </c>
      <c r="Y52" s="15"/>
      <c r="Z52" s="13" t="s">
        <v>273</v>
      </c>
      <c r="AA52" s="135" t="str">
        <f>_xlfn.IFS(AND(COUNTIF(Y52,"SCB*")=1, 'PCH272'!H68&gt;=2), "See the Notice *1", TRUE, "")</f>
        <v/>
      </c>
      <c r="AB52" s="14"/>
      <c r="AC52" s="11" t="s">
        <v>272</v>
      </c>
      <c r="AD52" s="11" t="s">
        <v>255</v>
      </c>
      <c r="AE52" s="14"/>
      <c r="AF52" s="14"/>
    </row>
    <row r="53" spans="2:32" x14ac:dyDescent="0.2">
      <c r="B53" s="11" t="s">
        <v>103</v>
      </c>
      <c r="C53" s="11" t="s">
        <v>1630</v>
      </c>
      <c r="D53" s="11" t="s">
        <v>103</v>
      </c>
      <c r="E53" s="11" t="s">
        <v>615</v>
      </c>
      <c r="F53" s="11" t="s">
        <v>667</v>
      </c>
      <c r="G53" s="11" t="s">
        <v>617</v>
      </c>
      <c r="H53" s="11" t="s">
        <v>669</v>
      </c>
      <c r="I53" s="12" t="s">
        <v>273</v>
      </c>
      <c r="J53" s="12" t="s">
        <v>273</v>
      </c>
      <c r="K53" s="12" t="s">
        <v>273</v>
      </c>
      <c r="L53" s="12" t="s">
        <v>273</v>
      </c>
      <c r="M53" s="12" t="s">
        <v>273</v>
      </c>
      <c r="N53" s="12" t="s">
        <v>273</v>
      </c>
      <c r="O53" s="12" t="s">
        <v>273</v>
      </c>
      <c r="P53" s="12" t="s">
        <v>273</v>
      </c>
      <c r="Q53" s="12" t="s">
        <v>273</v>
      </c>
      <c r="R53" s="12" t="s">
        <v>273</v>
      </c>
      <c r="S53" s="11" t="s">
        <v>104</v>
      </c>
      <c r="T53" s="12" t="s">
        <v>273</v>
      </c>
      <c r="U53" s="12" t="s">
        <v>273</v>
      </c>
      <c r="V53" s="12" t="s">
        <v>273</v>
      </c>
      <c r="W53" s="12" t="s">
        <v>273</v>
      </c>
      <c r="X53" s="11" t="s">
        <v>282</v>
      </c>
      <c r="Y53" s="15"/>
      <c r="Z53" s="13" t="s">
        <v>273</v>
      </c>
      <c r="AA53" s="135"/>
      <c r="AB53" s="14"/>
      <c r="AC53" s="11" t="s">
        <v>272</v>
      </c>
      <c r="AD53" s="11" t="s">
        <v>255</v>
      </c>
      <c r="AE53" s="14"/>
      <c r="AF53" s="14"/>
    </row>
    <row r="54" spans="2:32" x14ac:dyDescent="0.2">
      <c r="B54" s="11" t="s">
        <v>105</v>
      </c>
      <c r="C54" s="11" t="s">
        <v>1637</v>
      </c>
      <c r="D54" s="11" t="s">
        <v>105</v>
      </c>
      <c r="E54" s="11" t="s">
        <v>790</v>
      </c>
      <c r="F54" s="11" t="s">
        <v>622</v>
      </c>
      <c r="G54" s="11" t="s">
        <v>791</v>
      </c>
      <c r="H54" s="11" t="s">
        <v>624</v>
      </c>
      <c r="I54" s="12" t="s">
        <v>273</v>
      </c>
      <c r="J54" s="11" t="s">
        <v>792</v>
      </c>
      <c r="K54" s="12" t="s">
        <v>273</v>
      </c>
      <c r="L54" s="11" t="s">
        <v>793</v>
      </c>
      <c r="M54" s="11" t="s">
        <v>95</v>
      </c>
      <c r="N54" s="12" t="s">
        <v>273</v>
      </c>
      <c r="O54" s="11" t="s">
        <v>2374</v>
      </c>
      <c r="P54" s="11" t="s">
        <v>825</v>
      </c>
      <c r="Q54" s="12" t="s">
        <v>273</v>
      </c>
      <c r="R54" s="11" t="s">
        <v>794</v>
      </c>
      <c r="S54" s="12" t="s">
        <v>273</v>
      </c>
      <c r="T54" s="12" t="s">
        <v>273</v>
      </c>
      <c r="U54" s="12" t="s">
        <v>273</v>
      </c>
      <c r="V54" s="12" t="s">
        <v>273</v>
      </c>
      <c r="W54" s="12" t="s">
        <v>273</v>
      </c>
      <c r="X54" s="11" t="s">
        <v>291</v>
      </c>
      <c r="Y54" s="15"/>
      <c r="Z54" s="13" t="s">
        <v>273</v>
      </c>
      <c r="AA54" s="135" t="str">
        <f>_xlfn.IFS(AND(COUNTIF(Y54,"SCB*")=1, 'PCH272'!I68&gt;=2), "See the Notice *1", AND(COUNTIF(Y54,"SPIHB*")=1, 'PCH272'!D173&gt;=2), "See the Notice *1", AND(COUNTIF(Y54,"SDHC*")=1, 'PCH272'!D257&gt;=2), "See the Notice *1", TRUE, "")</f>
        <v/>
      </c>
      <c r="AB54" s="14"/>
      <c r="AC54" s="11" t="s">
        <v>272</v>
      </c>
      <c r="AD54" s="11" t="s">
        <v>255</v>
      </c>
      <c r="AE54" s="14"/>
      <c r="AF54" s="14"/>
    </row>
    <row r="55" spans="2:32" x14ac:dyDescent="0.2">
      <c r="B55" s="11" t="s">
        <v>106</v>
      </c>
      <c r="C55" s="16" t="s">
        <v>1639</v>
      </c>
      <c r="D55" s="11" t="s">
        <v>106</v>
      </c>
      <c r="E55" s="11" t="s">
        <v>795</v>
      </c>
      <c r="F55" s="11" t="s">
        <v>796</v>
      </c>
      <c r="G55" s="11" t="s">
        <v>797</v>
      </c>
      <c r="H55" s="11" t="s">
        <v>798</v>
      </c>
      <c r="I55" s="12" t="s">
        <v>273</v>
      </c>
      <c r="J55" s="11" t="s">
        <v>799</v>
      </c>
      <c r="K55" s="11" t="s">
        <v>800</v>
      </c>
      <c r="L55" s="11" t="s">
        <v>801</v>
      </c>
      <c r="M55" s="11" t="s">
        <v>98</v>
      </c>
      <c r="N55" s="12" t="s">
        <v>273</v>
      </c>
      <c r="O55" s="12" t="s">
        <v>273</v>
      </c>
      <c r="P55" s="11" t="s">
        <v>824</v>
      </c>
      <c r="Q55" s="12" t="s">
        <v>273</v>
      </c>
      <c r="R55" s="11" t="s">
        <v>802</v>
      </c>
      <c r="S55" s="12" t="s">
        <v>273</v>
      </c>
      <c r="T55" s="12" t="s">
        <v>273</v>
      </c>
      <c r="U55" s="12" t="s">
        <v>273</v>
      </c>
      <c r="V55" s="12" t="s">
        <v>273</v>
      </c>
      <c r="W55" s="12" t="s">
        <v>273</v>
      </c>
      <c r="X55" s="16" t="s">
        <v>292</v>
      </c>
      <c r="Y55" s="15"/>
      <c r="Z55" s="13" t="s">
        <v>273</v>
      </c>
      <c r="AA55" s="135" t="str">
        <f>_xlfn.IFS(AND(COUNTIF(Y55,"SCB*")=1, 'PCH272'!I68&gt;=2), "See the Notice *1", AND(COUNTIF(Y55,"SPIHB*")=1, 'PCH272'!D173&gt;=2), "See the Notice *1", AND(COUNTIF(Y55,"SDHC*")=1, 'PCH272'!D257&gt;=2), "See the Notice *1", TRUE, "")</f>
        <v/>
      </c>
      <c r="AB55" s="14"/>
      <c r="AC55" s="11" t="s">
        <v>272</v>
      </c>
      <c r="AD55" s="11" t="s">
        <v>255</v>
      </c>
      <c r="AE55" s="14"/>
      <c r="AF55" s="14"/>
    </row>
    <row r="56" spans="2:32" x14ac:dyDescent="0.2">
      <c r="B56" s="11" t="s">
        <v>107</v>
      </c>
      <c r="C56" s="11" t="s">
        <v>1636</v>
      </c>
      <c r="D56" s="11" t="s">
        <v>107</v>
      </c>
      <c r="E56" s="11" t="s">
        <v>803</v>
      </c>
      <c r="F56" s="11" t="s">
        <v>804</v>
      </c>
      <c r="G56" s="11" t="s">
        <v>805</v>
      </c>
      <c r="H56" s="11" t="s">
        <v>806</v>
      </c>
      <c r="I56" s="12" t="s">
        <v>273</v>
      </c>
      <c r="J56" s="11" t="s">
        <v>807</v>
      </c>
      <c r="K56" s="11" t="s">
        <v>808</v>
      </c>
      <c r="L56" s="11" t="s">
        <v>809</v>
      </c>
      <c r="M56" s="11" t="s">
        <v>100</v>
      </c>
      <c r="N56" s="12" t="s">
        <v>273</v>
      </c>
      <c r="O56" s="11" t="s">
        <v>810</v>
      </c>
      <c r="P56" s="11" t="s">
        <v>823</v>
      </c>
      <c r="Q56" s="12" t="s">
        <v>273</v>
      </c>
      <c r="R56" s="11" t="s">
        <v>811</v>
      </c>
      <c r="S56" s="12" t="s">
        <v>273</v>
      </c>
      <c r="T56" s="12" t="s">
        <v>273</v>
      </c>
      <c r="U56" s="12" t="s">
        <v>273</v>
      </c>
      <c r="V56" s="12" t="s">
        <v>273</v>
      </c>
      <c r="W56" s="12" t="s">
        <v>273</v>
      </c>
      <c r="X56" s="11" t="s">
        <v>293</v>
      </c>
      <c r="Y56" s="15"/>
      <c r="Z56" s="13" t="s">
        <v>273</v>
      </c>
      <c r="AA56" s="135" t="str">
        <f>_xlfn.IFS(AND(COUNTIF(Y56,"SCB*")=1, 'PCH272'!I68&gt;=2), "See the Notice *1", AND(COUNTIF(Y56,"SPIHB*")=1, 'PCH272'!D173&gt;=2), "See the Notice *1", AND(COUNTIF(Y56,"SDHC*")=1, 'PCH272'!D257&gt;=2), "See the Notice *1", TRUE, "")</f>
        <v/>
      </c>
      <c r="AB56" s="14"/>
      <c r="AC56" s="11" t="s">
        <v>272</v>
      </c>
      <c r="AD56" s="11" t="s">
        <v>255</v>
      </c>
      <c r="AE56" s="14"/>
      <c r="AF56" s="14"/>
    </row>
    <row r="57" spans="2:32" x14ac:dyDescent="0.2">
      <c r="B57" s="16" t="s">
        <v>108</v>
      </c>
      <c r="C57" s="11" t="s">
        <v>1638</v>
      </c>
      <c r="D57" s="16" t="s">
        <v>108</v>
      </c>
      <c r="E57" s="16" t="s">
        <v>812</v>
      </c>
      <c r="F57" s="16" t="s">
        <v>813</v>
      </c>
      <c r="G57" s="16" t="s">
        <v>814</v>
      </c>
      <c r="H57" s="16" t="s">
        <v>815</v>
      </c>
      <c r="I57" s="12" t="s">
        <v>273</v>
      </c>
      <c r="J57" s="16" t="s">
        <v>816</v>
      </c>
      <c r="K57" s="12" t="s">
        <v>273</v>
      </c>
      <c r="L57" s="16" t="s">
        <v>817</v>
      </c>
      <c r="M57" s="12" t="s">
        <v>273</v>
      </c>
      <c r="N57" s="16" t="s">
        <v>818</v>
      </c>
      <c r="O57" s="16" t="s">
        <v>819</v>
      </c>
      <c r="P57" s="16" t="s">
        <v>822</v>
      </c>
      <c r="Q57" s="12" t="s">
        <v>273</v>
      </c>
      <c r="R57" s="16" t="s">
        <v>820</v>
      </c>
      <c r="S57" s="12" t="s">
        <v>273</v>
      </c>
      <c r="T57" s="12" t="s">
        <v>273</v>
      </c>
      <c r="U57" s="12" t="s">
        <v>273</v>
      </c>
      <c r="V57" s="12" t="s">
        <v>273</v>
      </c>
      <c r="W57" s="12" t="s">
        <v>273</v>
      </c>
      <c r="X57" s="11" t="s">
        <v>294</v>
      </c>
      <c r="Y57" s="15"/>
      <c r="Z57" s="13" t="s">
        <v>273</v>
      </c>
      <c r="AA57" s="135" t="str">
        <f>_xlfn.IFS(AND(COUNTIF(Y57,"SCB*")=1, 'PCH272'!I68&gt;=2), "See the Notice *1", AND(COUNTIF(Y57,"SPIHB*")=1, 'PCH272'!D173&gt;=2), "See the Notice *1", AND(COUNTIF(Y57,"SDHC*")=1, 'PCH272'!D257&gt;=2), "See the Notice *1", TRUE, "")</f>
        <v/>
      </c>
      <c r="AB57" s="14"/>
      <c r="AC57" s="11" t="s">
        <v>272</v>
      </c>
      <c r="AD57" s="11" t="s">
        <v>255</v>
      </c>
      <c r="AE57" s="14"/>
      <c r="AF57" s="14"/>
    </row>
    <row r="58" spans="2:32" x14ac:dyDescent="0.2">
      <c r="B58" s="11" t="s">
        <v>109</v>
      </c>
      <c r="C58" s="11" t="s">
        <v>1643</v>
      </c>
      <c r="D58" s="11" t="s">
        <v>109</v>
      </c>
      <c r="E58" s="11" t="s">
        <v>835</v>
      </c>
      <c r="F58" s="11" t="s">
        <v>836</v>
      </c>
      <c r="G58" s="11" t="s">
        <v>837</v>
      </c>
      <c r="H58" s="11" t="s">
        <v>838</v>
      </c>
      <c r="I58" s="12" t="s">
        <v>273</v>
      </c>
      <c r="J58" s="12" t="s">
        <v>273</v>
      </c>
      <c r="K58" s="12" t="s">
        <v>273</v>
      </c>
      <c r="L58" s="11" t="s">
        <v>839</v>
      </c>
      <c r="M58" s="12" t="s">
        <v>273</v>
      </c>
      <c r="N58" s="11" t="s">
        <v>840</v>
      </c>
      <c r="O58" s="11" t="s">
        <v>841</v>
      </c>
      <c r="P58" s="11" t="s">
        <v>997</v>
      </c>
      <c r="Q58" s="12" t="s">
        <v>273</v>
      </c>
      <c r="R58" s="11" t="s">
        <v>842</v>
      </c>
      <c r="S58" s="12" t="s">
        <v>273</v>
      </c>
      <c r="T58" s="12" t="s">
        <v>273</v>
      </c>
      <c r="U58" s="12" t="s">
        <v>273</v>
      </c>
      <c r="V58" s="12" t="s">
        <v>273</v>
      </c>
      <c r="W58" s="12" t="s">
        <v>273</v>
      </c>
      <c r="X58" s="11" t="s">
        <v>295</v>
      </c>
      <c r="Y58" s="15"/>
      <c r="Z58" s="13" t="s">
        <v>273</v>
      </c>
      <c r="AA58" s="135" t="str">
        <f>_xlfn.IFS(AND(COUNTIF(Y58,"SCB*")=1, 'PCH272'!I68&gt;=2), "See the Notice *1", AND(COUNTIF(Y58,"SPIHB*")=1, 'PCH272'!D173&gt;=2), "See the Notice *1", AND(COUNTIF(Y58,"SDHC*")=1, 'PCH272'!D257&gt;=2), "See the Notice *1", TRUE, "")</f>
        <v/>
      </c>
      <c r="AB58" s="14"/>
      <c r="AC58" s="11" t="s">
        <v>272</v>
      </c>
      <c r="AD58" s="11" t="s">
        <v>255</v>
      </c>
      <c r="AE58" s="14"/>
      <c r="AF58" s="14"/>
    </row>
    <row r="59" spans="2:32" x14ac:dyDescent="0.2">
      <c r="B59" s="11" t="s">
        <v>110</v>
      </c>
      <c r="C59" s="11" t="s">
        <v>1645</v>
      </c>
      <c r="D59" s="11" t="s">
        <v>110</v>
      </c>
      <c r="E59" s="11" t="s">
        <v>528</v>
      </c>
      <c r="F59" s="11" t="s">
        <v>843</v>
      </c>
      <c r="G59" s="11" t="s">
        <v>530</v>
      </c>
      <c r="H59" s="11" t="s">
        <v>844</v>
      </c>
      <c r="I59" s="12" t="s">
        <v>273</v>
      </c>
      <c r="J59" s="12" t="s">
        <v>273</v>
      </c>
      <c r="K59" s="11" t="s">
        <v>757</v>
      </c>
      <c r="L59" s="11" t="s">
        <v>845</v>
      </c>
      <c r="M59" s="12" t="s">
        <v>273</v>
      </c>
      <c r="N59" s="12" t="s">
        <v>273</v>
      </c>
      <c r="O59" s="11" t="s">
        <v>846</v>
      </c>
      <c r="P59" s="11" t="s">
        <v>996</v>
      </c>
      <c r="Q59" s="12" t="s">
        <v>273</v>
      </c>
      <c r="R59" s="11" t="s">
        <v>847</v>
      </c>
      <c r="S59" s="12" t="s">
        <v>273</v>
      </c>
      <c r="T59" s="12" t="s">
        <v>273</v>
      </c>
      <c r="U59" s="12" t="s">
        <v>273</v>
      </c>
      <c r="V59" s="12" t="s">
        <v>273</v>
      </c>
      <c r="W59" s="12" t="s">
        <v>273</v>
      </c>
      <c r="X59" s="11" t="s">
        <v>296</v>
      </c>
      <c r="Y59" s="15"/>
      <c r="Z59" s="13" t="s">
        <v>273</v>
      </c>
      <c r="AA59" s="135" t="str">
        <f>_xlfn.IFS(AND(COUNTIF(Y59,"SCB*")=1, 'PCH272'!I68&gt;=2), "See the Notice *1", AND(COUNTIF(Y59,"SPIHB*")=1, 'PCH272'!D173&gt;=2), "See the Notice *1", AND(COUNTIF(Y59,"SDHC*")=1, 'PCH272'!D257&gt;=2), "See the Notice *1", TRUE, "")</f>
        <v/>
      </c>
      <c r="AB59" s="14"/>
      <c r="AC59" s="11" t="s">
        <v>272</v>
      </c>
      <c r="AD59" s="11" t="s">
        <v>255</v>
      </c>
      <c r="AE59" s="14"/>
      <c r="AF59" s="14"/>
    </row>
    <row r="60" spans="2:32" x14ac:dyDescent="0.2">
      <c r="B60" s="11" t="s">
        <v>111</v>
      </c>
      <c r="C60" s="11" t="s">
        <v>1640</v>
      </c>
      <c r="D60" s="11" t="s">
        <v>111</v>
      </c>
      <c r="E60" s="11" t="s">
        <v>848</v>
      </c>
      <c r="F60" s="11" t="s">
        <v>536</v>
      </c>
      <c r="G60" s="11" t="s">
        <v>849</v>
      </c>
      <c r="H60" s="11" t="s">
        <v>538</v>
      </c>
      <c r="I60" s="12" t="s">
        <v>273</v>
      </c>
      <c r="J60" s="12" t="s">
        <v>273</v>
      </c>
      <c r="K60" s="11" t="s">
        <v>759</v>
      </c>
      <c r="L60" s="12" t="s">
        <v>273</v>
      </c>
      <c r="M60" s="12" t="s">
        <v>273</v>
      </c>
      <c r="N60" s="12" t="s">
        <v>273</v>
      </c>
      <c r="O60" s="12" t="s">
        <v>273</v>
      </c>
      <c r="P60" s="12" t="s">
        <v>273</v>
      </c>
      <c r="Q60" s="12" t="s">
        <v>273</v>
      </c>
      <c r="R60" s="12" t="s">
        <v>273</v>
      </c>
      <c r="S60" s="11" t="s">
        <v>112</v>
      </c>
      <c r="T60" s="12" t="s">
        <v>273</v>
      </c>
      <c r="U60" s="12" t="s">
        <v>273</v>
      </c>
      <c r="V60" s="12" t="s">
        <v>273</v>
      </c>
      <c r="W60" s="12" t="s">
        <v>273</v>
      </c>
      <c r="X60" s="11" t="s">
        <v>297</v>
      </c>
      <c r="Y60" s="15"/>
      <c r="Z60" s="13" t="s">
        <v>273</v>
      </c>
      <c r="AA60" s="135"/>
      <c r="AB60" s="14"/>
      <c r="AC60" s="11" t="s">
        <v>272</v>
      </c>
      <c r="AD60" s="11" t="s">
        <v>255</v>
      </c>
      <c r="AE60" s="14"/>
      <c r="AF60" s="14"/>
    </row>
    <row r="61" spans="2:32" x14ac:dyDescent="0.2">
      <c r="B61" s="11" t="s">
        <v>113</v>
      </c>
      <c r="C61" s="11" t="s">
        <v>1641</v>
      </c>
      <c r="D61" s="11" t="s">
        <v>113</v>
      </c>
      <c r="E61" s="11" t="s">
        <v>521</v>
      </c>
      <c r="F61" s="11" t="s">
        <v>850</v>
      </c>
      <c r="G61" s="11" t="s">
        <v>523</v>
      </c>
      <c r="H61" s="11" t="s">
        <v>851</v>
      </c>
      <c r="I61" s="12" t="s">
        <v>273</v>
      </c>
      <c r="J61" s="12" t="s">
        <v>273</v>
      </c>
      <c r="K61" s="11" t="s">
        <v>852</v>
      </c>
      <c r="L61" s="12" t="s">
        <v>273</v>
      </c>
      <c r="M61" s="12" t="s">
        <v>273</v>
      </c>
      <c r="N61" s="12" t="s">
        <v>273</v>
      </c>
      <c r="O61" s="12" t="s">
        <v>273</v>
      </c>
      <c r="P61" s="12" t="s">
        <v>273</v>
      </c>
      <c r="Q61" s="12" t="s">
        <v>273</v>
      </c>
      <c r="R61" s="12" t="s">
        <v>273</v>
      </c>
      <c r="S61" s="11" t="s">
        <v>114</v>
      </c>
      <c r="T61" s="12" t="s">
        <v>273</v>
      </c>
      <c r="U61" s="12" t="s">
        <v>273</v>
      </c>
      <c r="V61" s="12" t="s">
        <v>273</v>
      </c>
      <c r="W61" s="12" t="s">
        <v>273</v>
      </c>
      <c r="X61" s="11" t="s">
        <v>298</v>
      </c>
      <c r="Y61" s="15"/>
      <c r="Z61" s="13" t="s">
        <v>273</v>
      </c>
      <c r="AA61" s="135"/>
      <c r="AB61" s="14"/>
      <c r="AC61" s="11" t="s">
        <v>272</v>
      </c>
      <c r="AD61" s="11" t="s">
        <v>255</v>
      </c>
      <c r="AE61" s="14"/>
      <c r="AF61" s="14"/>
    </row>
    <row r="62" spans="2:32" x14ac:dyDescent="0.2">
      <c r="B62" s="11" t="s">
        <v>115</v>
      </c>
      <c r="C62" s="11" t="s">
        <v>1642</v>
      </c>
      <c r="D62" s="11" t="s">
        <v>115</v>
      </c>
      <c r="E62" s="11" t="s">
        <v>853</v>
      </c>
      <c r="F62" s="11" t="s">
        <v>529</v>
      </c>
      <c r="G62" s="11" t="s">
        <v>854</v>
      </c>
      <c r="H62" s="11" t="s">
        <v>531</v>
      </c>
      <c r="I62" s="11" t="s">
        <v>855</v>
      </c>
      <c r="J62" s="12" t="s">
        <v>273</v>
      </c>
      <c r="K62" s="12" t="s">
        <v>273</v>
      </c>
      <c r="L62" s="12" t="s">
        <v>273</v>
      </c>
      <c r="M62" s="11" t="s">
        <v>82</v>
      </c>
      <c r="N62" s="11" t="s">
        <v>39</v>
      </c>
      <c r="O62" s="11" t="s">
        <v>856</v>
      </c>
      <c r="P62" s="11" t="s">
        <v>995</v>
      </c>
      <c r="Q62" s="12" t="s">
        <v>273</v>
      </c>
      <c r="R62" s="11" t="s">
        <v>857</v>
      </c>
      <c r="S62" s="12" t="s">
        <v>273</v>
      </c>
      <c r="T62" s="12" t="s">
        <v>273</v>
      </c>
      <c r="U62" s="12" t="s">
        <v>273</v>
      </c>
      <c r="V62" s="12" t="s">
        <v>273</v>
      </c>
      <c r="W62" s="12" t="s">
        <v>273</v>
      </c>
      <c r="X62" s="13" t="s">
        <v>273</v>
      </c>
      <c r="Y62" s="15"/>
      <c r="Z62" s="13" t="s">
        <v>273</v>
      </c>
      <c r="AA62" s="135" t="str">
        <f>_xlfn.IFS(AND(COUNTIF(Y62,"SPIHB*")=1, 'PCH272'!D173&gt;=2), "See the Notice *1", AND(COUNTIF(Y62,"SDHC*")=1, 'PCH272'!D257&gt;=2), "See the Notice *1", TRUE, "")</f>
        <v/>
      </c>
      <c r="AB62" s="14"/>
      <c r="AC62" s="11" t="s">
        <v>272</v>
      </c>
      <c r="AD62" s="11" t="s">
        <v>255</v>
      </c>
      <c r="AE62" s="14"/>
      <c r="AF62" s="14"/>
    </row>
    <row r="63" spans="2:32" x14ac:dyDescent="0.2">
      <c r="B63" s="11" t="s">
        <v>116</v>
      </c>
      <c r="C63" s="11" t="s">
        <v>1650</v>
      </c>
      <c r="D63" s="11" t="s">
        <v>116</v>
      </c>
      <c r="E63" s="11" t="s">
        <v>858</v>
      </c>
      <c r="F63" s="11" t="s">
        <v>859</v>
      </c>
      <c r="G63" s="11" t="s">
        <v>860</v>
      </c>
      <c r="H63" s="11" t="s">
        <v>861</v>
      </c>
      <c r="I63" s="11" t="s">
        <v>862</v>
      </c>
      <c r="J63" s="12" t="s">
        <v>273</v>
      </c>
      <c r="K63" s="12" t="s">
        <v>273</v>
      </c>
      <c r="L63" s="12" t="s">
        <v>273</v>
      </c>
      <c r="M63" s="11" t="s">
        <v>84</v>
      </c>
      <c r="N63" s="11" t="s">
        <v>43</v>
      </c>
      <c r="O63" s="11" t="s">
        <v>863</v>
      </c>
      <c r="P63" s="11" t="s">
        <v>994</v>
      </c>
      <c r="Q63" s="12" t="s">
        <v>273</v>
      </c>
      <c r="R63" s="11" t="s">
        <v>864</v>
      </c>
      <c r="S63" s="11" t="s">
        <v>117</v>
      </c>
      <c r="T63" s="12" t="s">
        <v>273</v>
      </c>
      <c r="U63" s="12" t="s">
        <v>273</v>
      </c>
      <c r="V63" s="12" t="s">
        <v>273</v>
      </c>
      <c r="W63" s="12" t="s">
        <v>273</v>
      </c>
      <c r="X63" s="11" t="s">
        <v>1651</v>
      </c>
      <c r="Y63" s="15"/>
      <c r="Z63" s="13" t="s">
        <v>273</v>
      </c>
      <c r="AA63" s="135" t="str">
        <f>_xlfn.IFS(AND(COUNTIF(Y63,"SPIHB*")=1, 'PCH272'!D173&gt;=2), "See the Notice *1", AND(COUNTIF(Y63,"SDHC*")=1, 'PCH272'!D257&gt;=2), "See the Notice *1", TRUE, "")</f>
        <v/>
      </c>
      <c r="AB63" s="14"/>
      <c r="AC63" s="11" t="s">
        <v>272</v>
      </c>
      <c r="AD63" s="11" t="s">
        <v>255</v>
      </c>
      <c r="AE63" s="14"/>
      <c r="AF63" s="14"/>
    </row>
    <row r="64" spans="2:32" x14ac:dyDescent="0.2">
      <c r="B64" s="11" t="s">
        <v>118</v>
      </c>
      <c r="C64" s="11" t="s">
        <v>1646</v>
      </c>
      <c r="D64" s="11" t="s">
        <v>118</v>
      </c>
      <c r="E64" s="11" t="s">
        <v>865</v>
      </c>
      <c r="F64" s="11" t="s">
        <v>866</v>
      </c>
      <c r="G64" s="11" t="s">
        <v>867</v>
      </c>
      <c r="H64" s="11" t="s">
        <v>868</v>
      </c>
      <c r="I64" s="11" t="s">
        <v>869</v>
      </c>
      <c r="J64" s="12" t="s">
        <v>273</v>
      </c>
      <c r="K64" s="12" t="s">
        <v>273</v>
      </c>
      <c r="L64" s="12" t="s">
        <v>273</v>
      </c>
      <c r="M64" s="11" t="s">
        <v>86</v>
      </c>
      <c r="N64" s="12" t="s">
        <v>273</v>
      </c>
      <c r="O64" s="11" t="s">
        <v>870</v>
      </c>
      <c r="P64" s="11" t="s">
        <v>993</v>
      </c>
      <c r="Q64" s="12" t="s">
        <v>273</v>
      </c>
      <c r="R64" s="11" t="s">
        <v>871</v>
      </c>
      <c r="S64" s="11" t="s">
        <v>119</v>
      </c>
      <c r="T64" s="12" t="s">
        <v>273</v>
      </c>
      <c r="U64" s="12" t="s">
        <v>273</v>
      </c>
      <c r="V64" s="12" t="s">
        <v>273</v>
      </c>
      <c r="W64" s="12" t="s">
        <v>273</v>
      </c>
      <c r="X64" s="11" t="s">
        <v>1653</v>
      </c>
      <c r="Y64" s="15"/>
      <c r="Z64" s="13" t="s">
        <v>273</v>
      </c>
      <c r="AA64" s="135" t="str">
        <f>_xlfn.IFS(AND(COUNTIF(Y64,"SPIHB*")=1, 'PCH272'!D173&gt;=2), "See the Notice *1", AND(COUNTIF(Y64,"SDHC*")=1, 'PCH272'!D257&gt;=2), "See the Notice *1", TRUE, "")</f>
        <v/>
      </c>
      <c r="AB64" s="14"/>
      <c r="AC64" s="11" t="s">
        <v>272</v>
      </c>
      <c r="AD64" s="11" t="s">
        <v>255</v>
      </c>
      <c r="AE64" s="14"/>
      <c r="AF64" s="14"/>
    </row>
    <row r="65" spans="2:32" x14ac:dyDescent="0.2">
      <c r="B65" s="11" t="s">
        <v>120</v>
      </c>
      <c r="C65" s="11" t="s">
        <v>1652</v>
      </c>
      <c r="D65" s="11" t="s">
        <v>120</v>
      </c>
      <c r="E65" s="11" t="s">
        <v>872</v>
      </c>
      <c r="F65" s="11" t="s">
        <v>873</v>
      </c>
      <c r="G65" s="11" t="s">
        <v>874</v>
      </c>
      <c r="H65" s="11" t="s">
        <v>875</v>
      </c>
      <c r="I65" s="11" t="s">
        <v>876</v>
      </c>
      <c r="J65" s="12" t="s">
        <v>273</v>
      </c>
      <c r="K65" s="12" t="s">
        <v>273</v>
      </c>
      <c r="L65" s="12" t="s">
        <v>273</v>
      </c>
      <c r="M65" s="11" t="s">
        <v>877</v>
      </c>
      <c r="N65" s="12" t="s">
        <v>273</v>
      </c>
      <c r="O65" s="12" t="s">
        <v>273</v>
      </c>
      <c r="P65" s="12" t="s">
        <v>273</v>
      </c>
      <c r="Q65" s="12" t="s">
        <v>273</v>
      </c>
      <c r="R65" s="12" t="s">
        <v>273</v>
      </c>
      <c r="S65" s="12" t="s">
        <v>273</v>
      </c>
      <c r="T65" s="11" t="s">
        <v>697</v>
      </c>
      <c r="U65" s="12" t="s">
        <v>273</v>
      </c>
      <c r="V65" s="12" t="s">
        <v>273</v>
      </c>
      <c r="W65" s="12" t="s">
        <v>273</v>
      </c>
      <c r="X65" s="11" t="s">
        <v>1655</v>
      </c>
      <c r="Y65" s="15"/>
      <c r="Z65" s="13" t="s">
        <v>273</v>
      </c>
      <c r="AA65" s="135"/>
      <c r="AB65" s="14"/>
      <c r="AC65" s="11" t="s">
        <v>272</v>
      </c>
      <c r="AD65" s="11" t="s">
        <v>255</v>
      </c>
      <c r="AE65" s="14"/>
      <c r="AF65" s="14"/>
    </row>
    <row r="66" spans="2:32" x14ac:dyDescent="0.2">
      <c r="B66" s="11" t="s">
        <v>121</v>
      </c>
      <c r="C66" s="11" t="s">
        <v>1657</v>
      </c>
      <c r="D66" s="11" t="s">
        <v>121</v>
      </c>
      <c r="E66" s="11" t="s">
        <v>878</v>
      </c>
      <c r="F66" s="11" t="s">
        <v>522</v>
      </c>
      <c r="G66" s="11" t="s">
        <v>879</v>
      </c>
      <c r="H66" s="11" t="s">
        <v>524</v>
      </c>
      <c r="I66" s="12" t="s">
        <v>273</v>
      </c>
      <c r="J66" s="12" t="s">
        <v>273</v>
      </c>
      <c r="K66" s="12" t="s">
        <v>273</v>
      </c>
      <c r="L66" s="12" t="s">
        <v>273</v>
      </c>
      <c r="M66" s="11" t="s">
        <v>880</v>
      </c>
      <c r="N66" s="12" t="s">
        <v>273</v>
      </c>
      <c r="O66" s="12" t="s">
        <v>273</v>
      </c>
      <c r="P66" s="12" t="s">
        <v>273</v>
      </c>
      <c r="Q66" s="12" t="s">
        <v>273</v>
      </c>
      <c r="R66" s="12" t="s">
        <v>273</v>
      </c>
      <c r="S66" s="12" t="s">
        <v>273</v>
      </c>
      <c r="T66" s="11" t="s">
        <v>698</v>
      </c>
      <c r="U66" s="12" t="s">
        <v>273</v>
      </c>
      <c r="V66" s="12" t="s">
        <v>273</v>
      </c>
      <c r="W66" s="12" t="s">
        <v>273</v>
      </c>
      <c r="X66" s="11" t="s">
        <v>1658</v>
      </c>
      <c r="Y66" s="15"/>
      <c r="Z66" s="13" t="s">
        <v>273</v>
      </c>
      <c r="AA66" s="135"/>
      <c r="AB66" s="14"/>
      <c r="AC66" s="11" t="s">
        <v>272</v>
      </c>
      <c r="AD66" s="11" t="s">
        <v>255</v>
      </c>
      <c r="AE66" s="14"/>
      <c r="AF66" s="14"/>
    </row>
    <row r="67" spans="2:32" x14ac:dyDescent="0.2">
      <c r="B67" s="11" t="s">
        <v>122</v>
      </c>
      <c r="C67" s="11" t="s">
        <v>1648</v>
      </c>
      <c r="D67" s="11" t="s">
        <v>122</v>
      </c>
      <c r="E67" s="11" t="s">
        <v>881</v>
      </c>
      <c r="F67" s="11" t="s">
        <v>882</v>
      </c>
      <c r="G67" s="11" t="s">
        <v>883</v>
      </c>
      <c r="H67" s="11" t="s">
        <v>884</v>
      </c>
      <c r="I67" s="11" t="s">
        <v>885</v>
      </c>
      <c r="J67" s="12" t="s">
        <v>273</v>
      </c>
      <c r="K67" s="12" t="s">
        <v>273</v>
      </c>
      <c r="L67" s="12" t="s">
        <v>273</v>
      </c>
      <c r="M67" s="11" t="s">
        <v>886</v>
      </c>
      <c r="N67" s="12" t="s">
        <v>273</v>
      </c>
      <c r="O67" s="12" t="s">
        <v>273</v>
      </c>
      <c r="P67" s="12" t="s">
        <v>273</v>
      </c>
      <c r="Q67" s="12" t="s">
        <v>273</v>
      </c>
      <c r="R67" s="12" t="s">
        <v>273</v>
      </c>
      <c r="S67" s="12" t="s">
        <v>273</v>
      </c>
      <c r="T67" s="12" t="s">
        <v>273</v>
      </c>
      <c r="U67" s="12" t="s">
        <v>273</v>
      </c>
      <c r="V67" s="12" t="s">
        <v>273</v>
      </c>
      <c r="W67" s="12" t="s">
        <v>273</v>
      </c>
      <c r="X67" s="11" t="s">
        <v>1660</v>
      </c>
      <c r="Y67" s="15"/>
      <c r="Z67" s="13" t="s">
        <v>273</v>
      </c>
      <c r="AA67" s="135"/>
      <c r="AB67" s="14"/>
      <c r="AC67" s="11" t="s">
        <v>272</v>
      </c>
      <c r="AD67" s="11" t="s">
        <v>255</v>
      </c>
      <c r="AE67" s="14"/>
      <c r="AF67" s="14"/>
    </row>
    <row r="68" spans="2:32" x14ac:dyDescent="0.2">
      <c r="B68" s="11" t="s">
        <v>123</v>
      </c>
      <c r="C68" s="11" t="s">
        <v>1649</v>
      </c>
      <c r="D68" s="11" t="s">
        <v>123</v>
      </c>
      <c r="E68" s="11" t="s">
        <v>887</v>
      </c>
      <c r="F68" s="11" t="s">
        <v>888</v>
      </c>
      <c r="G68" s="11" t="s">
        <v>889</v>
      </c>
      <c r="H68" s="11" t="s">
        <v>890</v>
      </c>
      <c r="I68" s="11" t="s">
        <v>891</v>
      </c>
      <c r="J68" s="12" t="s">
        <v>273</v>
      </c>
      <c r="K68" s="12" t="s">
        <v>273</v>
      </c>
      <c r="L68" s="12" t="s">
        <v>273</v>
      </c>
      <c r="M68" s="12" t="s">
        <v>273</v>
      </c>
      <c r="N68" s="11" t="s">
        <v>892</v>
      </c>
      <c r="O68" s="12" t="s">
        <v>273</v>
      </c>
      <c r="P68" s="12" t="s">
        <v>273</v>
      </c>
      <c r="Q68" s="12" t="s">
        <v>273</v>
      </c>
      <c r="R68" s="12" t="s">
        <v>273</v>
      </c>
      <c r="S68" s="12" t="s">
        <v>273</v>
      </c>
      <c r="T68" s="12" t="s">
        <v>273</v>
      </c>
      <c r="U68" s="12" t="s">
        <v>273</v>
      </c>
      <c r="V68" s="12" t="s">
        <v>273</v>
      </c>
      <c r="W68" s="12" t="s">
        <v>273</v>
      </c>
      <c r="X68" s="11" t="s">
        <v>1662</v>
      </c>
      <c r="Y68" s="15"/>
      <c r="Z68" s="13" t="s">
        <v>273</v>
      </c>
      <c r="AA68" s="135"/>
      <c r="AB68" s="14"/>
      <c r="AC68" s="11" t="s">
        <v>272</v>
      </c>
      <c r="AD68" s="11" t="s">
        <v>255</v>
      </c>
      <c r="AE68" s="14"/>
      <c r="AF68" s="14"/>
    </row>
    <row r="69" spans="2:32" x14ac:dyDescent="0.2">
      <c r="B69" s="11" t="s">
        <v>124</v>
      </c>
      <c r="C69" s="11" t="s">
        <v>1654</v>
      </c>
      <c r="D69" s="11" t="s">
        <v>124</v>
      </c>
      <c r="E69" s="11" t="s">
        <v>893</v>
      </c>
      <c r="F69" s="11" t="s">
        <v>894</v>
      </c>
      <c r="G69" s="11" t="s">
        <v>895</v>
      </c>
      <c r="H69" s="11" t="s">
        <v>896</v>
      </c>
      <c r="I69" s="11" t="s">
        <v>897</v>
      </c>
      <c r="J69" s="12" t="s">
        <v>273</v>
      </c>
      <c r="K69" s="12" t="s">
        <v>273</v>
      </c>
      <c r="L69" s="12" t="s">
        <v>273</v>
      </c>
      <c r="M69" s="12" t="s">
        <v>273</v>
      </c>
      <c r="N69" s="11" t="s">
        <v>898</v>
      </c>
      <c r="O69" s="12" t="s">
        <v>273</v>
      </c>
      <c r="P69" s="12" t="s">
        <v>273</v>
      </c>
      <c r="Q69" s="12" t="s">
        <v>273</v>
      </c>
      <c r="R69" s="12" t="s">
        <v>273</v>
      </c>
      <c r="S69" s="12" t="s">
        <v>273</v>
      </c>
      <c r="T69" s="12" t="s">
        <v>273</v>
      </c>
      <c r="U69" s="12" t="s">
        <v>273</v>
      </c>
      <c r="V69" s="12" t="s">
        <v>273</v>
      </c>
      <c r="W69" s="12" t="s">
        <v>273</v>
      </c>
      <c r="X69" s="11" t="s">
        <v>1664</v>
      </c>
      <c r="Y69" s="15"/>
      <c r="Z69" s="13" t="s">
        <v>273</v>
      </c>
      <c r="AA69" s="135"/>
      <c r="AB69" s="14"/>
      <c r="AC69" s="11" t="s">
        <v>272</v>
      </c>
      <c r="AD69" s="11" t="s">
        <v>255</v>
      </c>
      <c r="AE69" s="14"/>
      <c r="AF69" s="14"/>
    </row>
    <row r="70" spans="2:32" x14ac:dyDescent="0.2">
      <c r="B70" s="11" t="s">
        <v>125</v>
      </c>
      <c r="C70" s="11" t="s">
        <v>1656</v>
      </c>
      <c r="D70" s="11" t="s">
        <v>125</v>
      </c>
      <c r="E70" s="11" t="s">
        <v>899</v>
      </c>
      <c r="F70" s="11" t="s">
        <v>900</v>
      </c>
      <c r="G70" s="11" t="s">
        <v>901</v>
      </c>
      <c r="H70" s="11" t="s">
        <v>902</v>
      </c>
      <c r="I70" s="11" t="s">
        <v>903</v>
      </c>
      <c r="J70" s="12" t="s">
        <v>273</v>
      </c>
      <c r="K70" s="12" t="s">
        <v>273</v>
      </c>
      <c r="L70" s="12" t="s">
        <v>273</v>
      </c>
      <c r="M70" s="12" t="s">
        <v>273</v>
      </c>
      <c r="N70" s="11" t="s">
        <v>904</v>
      </c>
      <c r="O70" s="12" t="s">
        <v>273</v>
      </c>
      <c r="P70" s="12" t="s">
        <v>273</v>
      </c>
      <c r="Q70" s="12" t="s">
        <v>273</v>
      </c>
      <c r="R70" s="12" t="s">
        <v>273</v>
      </c>
      <c r="S70" s="12" t="s">
        <v>273</v>
      </c>
      <c r="T70" s="12" t="s">
        <v>273</v>
      </c>
      <c r="U70" s="12" t="s">
        <v>273</v>
      </c>
      <c r="V70" s="12" t="s">
        <v>273</v>
      </c>
      <c r="W70" s="12" t="s">
        <v>273</v>
      </c>
      <c r="X70" s="11" t="s">
        <v>1666</v>
      </c>
      <c r="Y70" s="15"/>
      <c r="Z70" s="13" t="s">
        <v>273</v>
      </c>
      <c r="AA70" s="135"/>
      <c r="AB70" s="14"/>
      <c r="AC70" s="11" t="s">
        <v>272</v>
      </c>
      <c r="AD70" s="11" t="s">
        <v>255</v>
      </c>
      <c r="AE70" s="14"/>
      <c r="AF70" s="14"/>
    </row>
    <row r="71" spans="2:32" x14ac:dyDescent="0.2">
      <c r="B71" s="11" t="s">
        <v>126</v>
      </c>
      <c r="C71" s="11" t="s">
        <v>1668</v>
      </c>
      <c r="D71" s="11" t="s">
        <v>126</v>
      </c>
      <c r="E71" s="11" t="s">
        <v>905</v>
      </c>
      <c r="F71" s="11" t="s">
        <v>906</v>
      </c>
      <c r="G71" s="11" t="s">
        <v>907</v>
      </c>
      <c r="H71" s="11" t="s">
        <v>908</v>
      </c>
      <c r="I71" s="11" t="s">
        <v>746</v>
      </c>
      <c r="J71" s="11" t="s">
        <v>909</v>
      </c>
      <c r="K71" s="12" t="s">
        <v>273</v>
      </c>
      <c r="L71" s="11" t="s">
        <v>910</v>
      </c>
      <c r="M71" s="11" t="s">
        <v>76</v>
      </c>
      <c r="N71" s="12" t="s">
        <v>273</v>
      </c>
      <c r="O71" s="12" t="s">
        <v>273</v>
      </c>
      <c r="P71" s="12" t="s">
        <v>273</v>
      </c>
      <c r="Q71" s="12" t="s">
        <v>273</v>
      </c>
      <c r="R71" s="12" t="s">
        <v>273</v>
      </c>
      <c r="S71" s="11" t="s">
        <v>127</v>
      </c>
      <c r="T71" s="12" t="s">
        <v>273</v>
      </c>
      <c r="U71" s="12" t="s">
        <v>273</v>
      </c>
      <c r="V71" s="12" t="s">
        <v>273</v>
      </c>
      <c r="W71" s="12" t="s">
        <v>273</v>
      </c>
      <c r="X71" s="13" t="s">
        <v>273</v>
      </c>
      <c r="Y71" s="15"/>
      <c r="Z71" s="13" t="s">
        <v>273</v>
      </c>
      <c r="AA71" s="135" t="str">
        <f>_xlfn.IFS(AND(COUNTIF(Y71,"SCB*")=1, 'PCH272'!H68&gt;=2), "See the Notice *1", TRUE, "")</f>
        <v/>
      </c>
      <c r="AB71" s="14"/>
      <c r="AC71" s="11" t="s">
        <v>272</v>
      </c>
      <c r="AD71" s="11" t="s">
        <v>351</v>
      </c>
      <c r="AE71" s="14"/>
      <c r="AF71" s="14"/>
    </row>
    <row r="72" spans="2:32" x14ac:dyDescent="0.2">
      <c r="B72" s="11" t="s">
        <v>128</v>
      </c>
      <c r="C72" s="11" t="s">
        <v>1670</v>
      </c>
      <c r="D72" s="11" t="s">
        <v>128</v>
      </c>
      <c r="E72" s="11" t="s">
        <v>911</v>
      </c>
      <c r="F72" s="11" t="s">
        <v>912</v>
      </c>
      <c r="G72" s="11" t="s">
        <v>913</v>
      </c>
      <c r="H72" s="11" t="s">
        <v>914</v>
      </c>
      <c r="I72" s="11" t="s">
        <v>753</v>
      </c>
      <c r="J72" s="11" t="s">
        <v>915</v>
      </c>
      <c r="K72" s="11" t="s">
        <v>916</v>
      </c>
      <c r="L72" s="11" t="s">
        <v>917</v>
      </c>
      <c r="M72" s="11" t="s">
        <v>78</v>
      </c>
      <c r="N72" s="12" t="s">
        <v>273</v>
      </c>
      <c r="O72" s="12" t="s">
        <v>273</v>
      </c>
      <c r="P72" s="12" t="s">
        <v>273</v>
      </c>
      <c r="Q72" s="12" t="s">
        <v>273</v>
      </c>
      <c r="R72" s="12" t="s">
        <v>273</v>
      </c>
      <c r="S72" s="11" t="s">
        <v>129</v>
      </c>
      <c r="T72" s="12" t="s">
        <v>273</v>
      </c>
      <c r="U72" s="12" t="s">
        <v>273</v>
      </c>
      <c r="V72" s="12" t="s">
        <v>273</v>
      </c>
      <c r="W72" s="12" t="s">
        <v>273</v>
      </c>
      <c r="X72" s="13" t="s">
        <v>273</v>
      </c>
      <c r="Y72" s="15"/>
      <c r="Z72" s="13" t="s">
        <v>273</v>
      </c>
      <c r="AA72" s="135" t="str">
        <f>_xlfn.IFS(AND(COUNTIF(Y72,"SCB*")=1, 'PCH272'!H68&gt;=2), "See the Notice *1", TRUE, "")</f>
        <v/>
      </c>
      <c r="AB72" s="14"/>
      <c r="AC72" s="11" t="s">
        <v>272</v>
      </c>
      <c r="AD72" s="11" t="s">
        <v>351</v>
      </c>
      <c r="AE72" s="14"/>
      <c r="AF72" s="14"/>
    </row>
    <row r="73" spans="2:32" x14ac:dyDescent="0.2">
      <c r="B73" s="11" t="s">
        <v>130</v>
      </c>
      <c r="C73" s="11" t="s">
        <v>1672</v>
      </c>
      <c r="D73" s="11" t="s">
        <v>130</v>
      </c>
      <c r="E73" s="11" t="s">
        <v>918</v>
      </c>
      <c r="F73" s="11" t="s">
        <v>919</v>
      </c>
      <c r="G73" s="11" t="s">
        <v>920</v>
      </c>
      <c r="H73" s="11" t="s">
        <v>921</v>
      </c>
      <c r="I73" s="11" t="s">
        <v>756</v>
      </c>
      <c r="J73" s="11" t="s">
        <v>922</v>
      </c>
      <c r="K73" s="11" t="s">
        <v>923</v>
      </c>
      <c r="L73" s="11" t="s">
        <v>924</v>
      </c>
      <c r="M73" s="12" t="s">
        <v>273</v>
      </c>
      <c r="N73" s="12" t="s">
        <v>273</v>
      </c>
      <c r="O73" s="11" t="s">
        <v>575</v>
      </c>
      <c r="P73" s="12" t="s">
        <v>273</v>
      </c>
      <c r="Q73" s="12" t="s">
        <v>273</v>
      </c>
      <c r="R73" s="12" t="s">
        <v>273</v>
      </c>
      <c r="S73" s="11" t="s">
        <v>2630</v>
      </c>
      <c r="T73" s="12" t="s">
        <v>273</v>
      </c>
      <c r="U73" s="12" t="s">
        <v>273</v>
      </c>
      <c r="V73" s="12" t="s">
        <v>273</v>
      </c>
      <c r="W73" s="12" t="s">
        <v>273</v>
      </c>
      <c r="X73" s="13" t="s">
        <v>273</v>
      </c>
      <c r="Y73" s="15"/>
      <c r="Z73" s="13" t="s">
        <v>273</v>
      </c>
      <c r="AA73" s="135" t="str">
        <f>_xlfn.IFS(AND(COUNTIF(Y73,"SCB*")=1, 'PCH272'!H68&gt;=2), "See the Notice *1", TRUE, "")</f>
        <v/>
      </c>
      <c r="AB73" s="14"/>
      <c r="AC73" s="11" t="s">
        <v>272</v>
      </c>
      <c r="AD73" s="11" t="s">
        <v>351</v>
      </c>
      <c r="AE73" s="14"/>
      <c r="AF73" s="14"/>
    </row>
    <row r="74" spans="2:32" x14ac:dyDescent="0.2">
      <c r="B74" s="11" t="s">
        <v>131</v>
      </c>
      <c r="C74" s="11" t="s">
        <v>1674</v>
      </c>
      <c r="D74" s="11" t="s">
        <v>131</v>
      </c>
      <c r="E74" s="11" t="s">
        <v>925</v>
      </c>
      <c r="F74" s="11" t="s">
        <v>926</v>
      </c>
      <c r="G74" s="11" t="s">
        <v>927</v>
      </c>
      <c r="H74" s="11" t="s">
        <v>928</v>
      </c>
      <c r="I74" s="11" t="s">
        <v>758</v>
      </c>
      <c r="J74" s="11" t="s">
        <v>929</v>
      </c>
      <c r="K74" s="12" t="s">
        <v>273</v>
      </c>
      <c r="L74" s="11" t="s">
        <v>930</v>
      </c>
      <c r="M74" s="12" t="s">
        <v>273</v>
      </c>
      <c r="N74" s="12" t="s">
        <v>273</v>
      </c>
      <c r="O74" s="11" t="s">
        <v>580</v>
      </c>
      <c r="P74" s="12" t="s">
        <v>273</v>
      </c>
      <c r="Q74" s="12" t="s">
        <v>273</v>
      </c>
      <c r="R74" s="12" t="s">
        <v>273</v>
      </c>
      <c r="S74" s="11" t="s">
        <v>2631</v>
      </c>
      <c r="T74" s="12" t="s">
        <v>273</v>
      </c>
      <c r="U74" s="12" t="s">
        <v>273</v>
      </c>
      <c r="V74" s="12" t="s">
        <v>273</v>
      </c>
      <c r="W74" s="12" t="s">
        <v>273</v>
      </c>
      <c r="X74" s="13" t="s">
        <v>273</v>
      </c>
      <c r="Y74" s="15"/>
      <c r="Z74" s="13" t="s">
        <v>273</v>
      </c>
      <c r="AA74" s="135" t="str">
        <f>_xlfn.IFS(AND(COUNTIF(Y74,"SCB*")=1, 'PCH272'!H68&gt;=2), "See the Notice *1", TRUE, "")</f>
        <v/>
      </c>
      <c r="AB74" s="14"/>
      <c r="AC74" s="11" t="s">
        <v>272</v>
      </c>
      <c r="AD74" s="11" t="s">
        <v>351</v>
      </c>
      <c r="AE74" s="14"/>
      <c r="AF74" s="14"/>
    </row>
    <row r="75" spans="2:32" x14ac:dyDescent="0.2">
      <c r="B75" s="11" t="s">
        <v>132</v>
      </c>
      <c r="C75" s="11" t="s">
        <v>1676</v>
      </c>
      <c r="D75" s="11" t="s">
        <v>132</v>
      </c>
      <c r="E75" s="11" t="s">
        <v>931</v>
      </c>
      <c r="F75" s="11" t="s">
        <v>932</v>
      </c>
      <c r="G75" s="11" t="s">
        <v>933</v>
      </c>
      <c r="H75" s="11" t="s">
        <v>934</v>
      </c>
      <c r="I75" s="11" t="s">
        <v>760</v>
      </c>
      <c r="J75" s="12" t="s">
        <v>273</v>
      </c>
      <c r="K75" s="12" t="s">
        <v>273</v>
      </c>
      <c r="L75" s="11" t="s">
        <v>935</v>
      </c>
      <c r="M75" s="12" t="s">
        <v>273</v>
      </c>
      <c r="N75" s="12" t="s">
        <v>273</v>
      </c>
      <c r="O75" s="11" t="s">
        <v>585</v>
      </c>
      <c r="P75" s="12" t="s">
        <v>273</v>
      </c>
      <c r="Q75" s="12" t="s">
        <v>273</v>
      </c>
      <c r="R75" s="12" t="s">
        <v>273</v>
      </c>
      <c r="S75" s="11" t="s">
        <v>2632</v>
      </c>
      <c r="T75" s="12" t="s">
        <v>273</v>
      </c>
      <c r="U75" s="12" t="s">
        <v>273</v>
      </c>
      <c r="V75" s="12" t="s">
        <v>273</v>
      </c>
      <c r="W75" s="12" t="s">
        <v>273</v>
      </c>
      <c r="X75" s="11" t="s">
        <v>299</v>
      </c>
      <c r="Y75" s="15"/>
      <c r="Z75" s="13" t="s">
        <v>273</v>
      </c>
      <c r="AA75" s="135" t="str">
        <f>_xlfn.IFS(AND(COUNTIF(Y75,"SCB*")=1, 'PCH272'!H68&gt;=2), "See the Notice *1", TRUE, "")</f>
        <v/>
      </c>
      <c r="AB75" s="14"/>
      <c r="AC75" s="11" t="s">
        <v>272</v>
      </c>
      <c r="AD75" s="11" t="s">
        <v>351</v>
      </c>
      <c r="AE75" s="14"/>
      <c r="AF75" s="14"/>
    </row>
    <row r="76" spans="2:32" x14ac:dyDescent="0.2">
      <c r="B76" s="11" t="s">
        <v>133</v>
      </c>
      <c r="C76" s="11" t="s">
        <v>1678</v>
      </c>
      <c r="D76" s="11" t="s">
        <v>133</v>
      </c>
      <c r="E76" s="11" t="s">
        <v>936</v>
      </c>
      <c r="F76" s="11" t="s">
        <v>937</v>
      </c>
      <c r="G76" s="11" t="s">
        <v>938</v>
      </c>
      <c r="H76" s="11" t="s">
        <v>939</v>
      </c>
      <c r="I76" s="11" t="s">
        <v>762</v>
      </c>
      <c r="J76" s="12" t="s">
        <v>273</v>
      </c>
      <c r="K76" s="12" t="s">
        <v>273</v>
      </c>
      <c r="L76" s="11" t="s">
        <v>940</v>
      </c>
      <c r="M76" s="12" t="s">
        <v>273</v>
      </c>
      <c r="N76" s="11" t="s">
        <v>941</v>
      </c>
      <c r="O76" s="12" t="s">
        <v>273</v>
      </c>
      <c r="P76" s="12" t="s">
        <v>273</v>
      </c>
      <c r="Q76" s="12" t="s">
        <v>273</v>
      </c>
      <c r="R76" s="12" t="s">
        <v>273</v>
      </c>
      <c r="S76" s="11" t="s">
        <v>2633</v>
      </c>
      <c r="T76" s="12" t="s">
        <v>273</v>
      </c>
      <c r="U76" s="12" t="s">
        <v>273</v>
      </c>
      <c r="V76" s="12" t="s">
        <v>273</v>
      </c>
      <c r="W76" s="12" t="s">
        <v>273</v>
      </c>
      <c r="X76" s="11" t="s">
        <v>300</v>
      </c>
      <c r="Y76" s="15"/>
      <c r="Z76" s="13" t="s">
        <v>273</v>
      </c>
      <c r="AA76" s="135" t="str">
        <f>_xlfn.IFS(AND(COUNTIF(Y76,"SCB*")=1, 'PCH272'!H68&gt;=2), "See the Notice *1", TRUE, "")</f>
        <v/>
      </c>
      <c r="AB76" s="14"/>
      <c r="AC76" s="11" t="s">
        <v>272</v>
      </c>
      <c r="AD76" s="11" t="s">
        <v>351</v>
      </c>
      <c r="AE76" s="14"/>
      <c r="AF76" s="14"/>
    </row>
    <row r="77" spans="2:32" x14ac:dyDescent="0.2">
      <c r="B77" s="11" t="s">
        <v>134</v>
      </c>
      <c r="C77" s="11" t="s">
        <v>1680</v>
      </c>
      <c r="D77" s="11" t="s">
        <v>134</v>
      </c>
      <c r="E77" s="12" t="s">
        <v>273</v>
      </c>
      <c r="F77" s="11" t="s">
        <v>942</v>
      </c>
      <c r="G77" s="12" t="s">
        <v>273</v>
      </c>
      <c r="H77" s="11" t="s">
        <v>943</v>
      </c>
      <c r="I77" s="11" t="s">
        <v>764</v>
      </c>
      <c r="J77" s="12" t="s">
        <v>273</v>
      </c>
      <c r="K77" s="12" t="s">
        <v>273</v>
      </c>
      <c r="L77" s="11" t="s">
        <v>944</v>
      </c>
      <c r="M77" s="12" t="s">
        <v>273</v>
      </c>
      <c r="N77" s="11" t="s">
        <v>945</v>
      </c>
      <c r="O77" s="11" t="s">
        <v>946</v>
      </c>
      <c r="P77" s="12" t="s">
        <v>273</v>
      </c>
      <c r="Q77" s="12" t="s">
        <v>273</v>
      </c>
      <c r="R77" s="12" t="s">
        <v>273</v>
      </c>
      <c r="S77" s="11" t="s">
        <v>2634</v>
      </c>
      <c r="T77" s="12" t="s">
        <v>273</v>
      </c>
      <c r="U77" s="12" t="s">
        <v>273</v>
      </c>
      <c r="V77" s="12" t="s">
        <v>273</v>
      </c>
      <c r="W77" s="12" t="s">
        <v>273</v>
      </c>
      <c r="X77" s="11" t="s">
        <v>301</v>
      </c>
      <c r="Y77" s="15"/>
      <c r="Z77" s="13" t="s">
        <v>273</v>
      </c>
      <c r="AA77" s="135"/>
      <c r="AB77" s="14"/>
      <c r="AC77" s="11" t="s">
        <v>272</v>
      </c>
      <c r="AD77" s="11" t="s">
        <v>351</v>
      </c>
      <c r="AE77" s="14"/>
      <c r="AF77" s="14"/>
    </row>
    <row r="78" spans="2:32" x14ac:dyDescent="0.2">
      <c r="B78" s="11" t="s">
        <v>135</v>
      </c>
      <c r="C78" s="11" t="s">
        <v>1682</v>
      </c>
      <c r="D78" s="11" t="s">
        <v>135</v>
      </c>
      <c r="E78" s="11" t="s">
        <v>947</v>
      </c>
      <c r="F78" s="11" t="s">
        <v>948</v>
      </c>
      <c r="G78" s="11" t="s">
        <v>949</v>
      </c>
      <c r="H78" s="11" t="s">
        <v>950</v>
      </c>
      <c r="I78" s="11" t="s">
        <v>769</v>
      </c>
      <c r="J78" s="12" t="s">
        <v>273</v>
      </c>
      <c r="K78" s="12" t="s">
        <v>273</v>
      </c>
      <c r="L78" s="12" t="s">
        <v>273</v>
      </c>
      <c r="M78" s="12" t="s">
        <v>273</v>
      </c>
      <c r="N78" s="11" t="s">
        <v>951</v>
      </c>
      <c r="O78" s="12" t="s">
        <v>273</v>
      </c>
      <c r="P78" s="12" t="s">
        <v>273</v>
      </c>
      <c r="Q78" s="12" t="s">
        <v>273</v>
      </c>
      <c r="R78" s="12" t="s">
        <v>273</v>
      </c>
      <c r="S78" s="11" t="s">
        <v>2635</v>
      </c>
      <c r="T78" s="12" t="s">
        <v>273</v>
      </c>
      <c r="U78" s="12" t="s">
        <v>273</v>
      </c>
      <c r="V78" s="12" t="s">
        <v>273</v>
      </c>
      <c r="W78" s="12" t="s">
        <v>273</v>
      </c>
      <c r="X78" s="11" t="s">
        <v>302</v>
      </c>
      <c r="Y78" s="15"/>
      <c r="Z78" s="13" t="s">
        <v>273</v>
      </c>
      <c r="AA78" s="135"/>
      <c r="AB78" s="14"/>
      <c r="AC78" s="11" t="s">
        <v>272</v>
      </c>
      <c r="AD78" s="11" t="s">
        <v>351</v>
      </c>
      <c r="AE78" s="14"/>
      <c r="AF78" s="14"/>
    </row>
    <row r="79" spans="2:32" x14ac:dyDescent="0.2">
      <c r="B79" s="11" t="s">
        <v>136</v>
      </c>
      <c r="C79" s="11" t="s">
        <v>1684</v>
      </c>
      <c r="D79" s="11" t="s">
        <v>136</v>
      </c>
      <c r="E79" s="11" t="s">
        <v>952</v>
      </c>
      <c r="F79" s="11" t="s">
        <v>953</v>
      </c>
      <c r="G79" s="11" t="s">
        <v>954</v>
      </c>
      <c r="H79" s="11" t="s">
        <v>955</v>
      </c>
      <c r="I79" s="12" t="s">
        <v>273</v>
      </c>
      <c r="J79" s="12" t="s">
        <v>273</v>
      </c>
      <c r="K79" s="12" t="s">
        <v>273</v>
      </c>
      <c r="L79" s="12" t="s">
        <v>273</v>
      </c>
      <c r="M79" s="12" t="s">
        <v>273</v>
      </c>
      <c r="N79" s="12" t="s">
        <v>273</v>
      </c>
      <c r="O79" s="12" t="s">
        <v>273</v>
      </c>
      <c r="P79" s="12" t="s">
        <v>273</v>
      </c>
      <c r="Q79" s="12" t="s">
        <v>273</v>
      </c>
      <c r="R79" s="11" t="s">
        <v>956</v>
      </c>
      <c r="S79" s="12" t="s">
        <v>273</v>
      </c>
      <c r="T79" s="12" t="s">
        <v>273</v>
      </c>
      <c r="U79" s="12" t="s">
        <v>273</v>
      </c>
      <c r="V79" s="12" t="s">
        <v>273</v>
      </c>
      <c r="W79" s="12" t="s">
        <v>273</v>
      </c>
      <c r="X79" s="11" t="s">
        <v>303</v>
      </c>
      <c r="Y79" s="15"/>
      <c r="Z79" s="13" t="s">
        <v>273</v>
      </c>
      <c r="AA79" s="135"/>
      <c r="AB79" s="14"/>
      <c r="AC79" s="11" t="s">
        <v>272</v>
      </c>
      <c r="AD79" s="11" t="s">
        <v>351</v>
      </c>
      <c r="AE79" s="14"/>
      <c r="AF79" s="14"/>
    </row>
    <row r="80" spans="2:32" x14ac:dyDescent="0.2">
      <c r="B80" s="11" t="s">
        <v>137</v>
      </c>
      <c r="C80" s="11" t="s">
        <v>1686</v>
      </c>
      <c r="D80" s="11" t="s">
        <v>137</v>
      </c>
      <c r="E80" s="11" t="s">
        <v>957</v>
      </c>
      <c r="F80" s="11" t="s">
        <v>958</v>
      </c>
      <c r="G80" s="11" t="s">
        <v>959</v>
      </c>
      <c r="H80" s="11" t="s">
        <v>960</v>
      </c>
      <c r="I80" s="12" t="s">
        <v>273</v>
      </c>
      <c r="J80" s="12" t="s">
        <v>273</v>
      </c>
      <c r="K80" s="12" t="s">
        <v>273</v>
      </c>
      <c r="L80" s="12" t="s">
        <v>273</v>
      </c>
      <c r="M80" s="12" t="s">
        <v>273</v>
      </c>
      <c r="N80" s="12" t="s">
        <v>273</v>
      </c>
      <c r="O80" s="12" t="s">
        <v>273</v>
      </c>
      <c r="P80" s="12" t="s">
        <v>273</v>
      </c>
      <c r="Q80" s="12" t="s">
        <v>273</v>
      </c>
      <c r="R80" s="11" t="s">
        <v>961</v>
      </c>
      <c r="S80" s="12" t="s">
        <v>273</v>
      </c>
      <c r="T80" s="12" t="s">
        <v>273</v>
      </c>
      <c r="U80" s="12" t="s">
        <v>273</v>
      </c>
      <c r="V80" s="12" t="s">
        <v>273</v>
      </c>
      <c r="W80" s="12" t="s">
        <v>273</v>
      </c>
      <c r="X80" s="11" t="s">
        <v>304</v>
      </c>
      <c r="Y80" s="15"/>
      <c r="Z80" s="13" t="s">
        <v>273</v>
      </c>
      <c r="AA80" s="135"/>
      <c r="AB80" s="14"/>
      <c r="AC80" s="11" t="s">
        <v>272</v>
      </c>
      <c r="AD80" s="11" t="s">
        <v>351</v>
      </c>
      <c r="AE80" s="14"/>
      <c r="AF80" s="14"/>
    </row>
    <row r="81" spans="2:32" x14ac:dyDescent="0.2">
      <c r="B81" s="11" t="s">
        <v>138</v>
      </c>
      <c r="C81" s="11" t="s">
        <v>1688</v>
      </c>
      <c r="D81" s="11" t="s">
        <v>138</v>
      </c>
      <c r="E81" s="11" t="s">
        <v>962</v>
      </c>
      <c r="F81" s="11" t="s">
        <v>963</v>
      </c>
      <c r="G81" s="11" t="s">
        <v>964</v>
      </c>
      <c r="H81" s="11" t="s">
        <v>965</v>
      </c>
      <c r="I81" s="12" t="s">
        <v>273</v>
      </c>
      <c r="J81" s="12" t="s">
        <v>273</v>
      </c>
      <c r="K81" s="12" t="s">
        <v>273</v>
      </c>
      <c r="L81" s="12" t="s">
        <v>273</v>
      </c>
      <c r="M81" s="12" t="s">
        <v>273</v>
      </c>
      <c r="N81" s="12" t="s">
        <v>273</v>
      </c>
      <c r="O81" s="12" t="s">
        <v>273</v>
      </c>
      <c r="P81" s="12" t="s">
        <v>273</v>
      </c>
      <c r="Q81" s="12" t="s">
        <v>273</v>
      </c>
      <c r="R81" s="11" t="s">
        <v>966</v>
      </c>
      <c r="S81" s="12" t="s">
        <v>273</v>
      </c>
      <c r="T81" s="12" t="s">
        <v>273</v>
      </c>
      <c r="U81" s="12" t="s">
        <v>273</v>
      </c>
      <c r="V81" s="12" t="s">
        <v>273</v>
      </c>
      <c r="W81" s="12" t="s">
        <v>273</v>
      </c>
      <c r="X81" s="11" t="s">
        <v>305</v>
      </c>
      <c r="Y81" s="15"/>
      <c r="Z81" s="13" t="s">
        <v>273</v>
      </c>
      <c r="AA81" s="135"/>
      <c r="AB81" s="14"/>
      <c r="AC81" s="11" t="s">
        <v>272</v>
      </c>
      <c r="AD81" s="11" t="s">
        <v>351</v>
      </c>
      <c r="AE81" s="14"/>
      <c r="AF81" s="14"/>
    </row>
    <row r="82" spans="2:32" x14ac:dyDescent="0.2">
      <c r="B82" s="11" t="s">
        <v>139</v>
      </c>
      <c r="C82" s="11" t="s">
        <v>1675</v>
      </c>
      <c r="D82" s="11" t="s">
        <v>139</v>
      </c>
      <c r="E82" s="11" t="s">
        <v>967</v>
      </c>
      <c r="F82" s="12" t="s">
        <v>273</v>
      </c>
      <c r="G82" s="11" t="s">
        <v>968</v>
      </c>
      <c r="H82" s="12" t="s">
        <v>273</v>
      </c>
      <c r="I82" s="12" t="s">
        <v>273</v>
      </c>
      <c r="J82" s="11" t="s">
        <v>969</v>
      </c>
      <c r="K82" s="11" t="s">
        <v>970</v>
      </c>
      <c r="L82" s="11" t="s">
        <v>971</v>
      </c>
      <c r="M82" s="12" t="s">
        <v>273</v>
      </c>
      <c r="N82" s="11" t="s">
        <v>93</v>
      </c>
      <c r="O82" s="11" t="s">
        <v>972</v>
      </c>
      <c r="P82" s="11" t="s">
        <v>973</v>
      </c>
      <c r="Q82" s="12" t="s">
        <v>273</v>
      </c>
      <c r="R82" s="11" t="s">
        <v>974</v>
      </c>
      <c r="S82" s="11" t="s">
        <v>140</v>
      </c>
      <c r="T82" s="12" t="s">
        <v>273</v>
      </c>
      <c r="U82" s="12" t="s">
        <v>273</v>
      </c>
      <c r="V82" s="12" t="s">
        <v>273</v>
      </c>
      <c r="W82" s="12" t="s">
        <v>273</v>
      </c>
      <c r="X82" s="11" t="s">
        <v>306</v>
      </c>
      <c r="Y82" s="15"/>
      <c r="Z82" s="15"/>
      <c r="AA82" s="135" t="str">
        <f>_xlfn.IFS(AND(COUNTIF(Y82,"SCB*")=1, 'PCH272'!L68&gt;=2), "See the Notice *1", TRUE, "")</f>
        <v/>
      </c>
      <c r="AB82" s="14"/>
      <c r="AC82" s="11" t="s">
        <v>272</v>
      </c>
      <c r="AD82" s="11" t="s">
        <v>351</v>
      </c>
      <c r="AE82" s="14"/>
      <c r="AF82" s="14"/>
    </row>
    <row r="83" spans="2:32" x14ac:dyDescent="0.2">
      <c r="B83" s="11" t="s">
        <v>141</v>
      </c>
      <c r="C83" s="11" t="s">
        <v>1677</v>
      </c>
      <c r="D83" s="11" t="s">
        <v>141</v>
      </c>
      <c r="E83" s="11" t="s">
        <v>975</v>
      </c>
      <c r="F83" s="11" t="s">
        <v>976</v>
      </c>
      <c r="G83" s="11" t="s">
        <v>977</v>
      </c>
      <c r="H83" s="11" t="s">
        <v>978</v>
      </c>
      <c r="I83" s="12" t="s">
        <v>273</v>
      </c>
      <c r="J83" s="11" t="s">
        <v>979</v>
      </c>
      <c r="K83" s="11" t="s">
        <v>980</v>
      </c>
      <c r="L83" s="11" t="s">
        <v>981</v>
      </c>
      <c r="M83" s="11" t="s">
        <v>142</v>
      </c>
      <c r="N83" s="11" t="s">
        <v>96</v>
      </c>
      <c r="O83" s="11" t="s">
        <v>982</v>
      </c>
      <c r="P83" s="12" t="s">
        <v>273</v>
      </c>
      <c r="Q83" s="12" t="s">
        <v>273</v>
      </c>
      <c r="R83" s="11" t="s">
        <v>983</v>
      </c>
      <c r="S83" s="11" t="s">
        <v>143</v>
      </c>
      <c r="T83" s="12" t="s">
        <v>273</v>
      </c>
      <c r="U83" s="12" t="s">
        <v>273</v>
      </c>
      <c r="V83" s="12" t="s">
        <v>273</v>
      </c>
      <c r="W83" s="12" t="s">
        <v>273</v>
      </c>
      <c r="X83" s="11" t="s">
        <v>307</v>
      </c>
      <c r="Y83" s="15"/>
      <c r="Z83" s="15"/>
      <c r="AA83" s="135" t="str">
        <f>_xlfn.IFS(AND(COUNTIF(Y83,"SCB*")=1, 'PCH272'!L68&gt;=2), "See the Notice *1", TRUE, "")</f>
        <v/>
      </c>
      <c r="AB83" s="14"/>
      <c r="AC83" s="11" t="s">
        <v>272</v>
      </c>
      <c r="AD83" s="11" t="s">
        <v>351</v>
      </c>
      <c r="AE83" s="14"/>
      <c r="AF83" s="14"/>
    </row>
    <row r="84" spans="2:32" x14ac:dyDescent="0.2">
      <c r="B84" s="16" t="s">
        <v>144</v>
      </c>
      <c r="C84" s="11" t="s">
        <v>1679</v>
      </c>
      <c r="D84" s="16" t="s">
        <v>144</v>
      </c>
      <c r="E84" s="16" t="s">
        <v>984</v>
      </c>
      <c r="F84" s="16" t="s">
        <v>985</v>
      </c>
      <c r="G84" s="16" t="s">
        <v>986</v>
      </c>
      <c r="H84" s="16" t="s">
        <v>987</v>
      </c>
      <c r="I84" s="16" t="s">
        <v>145</v>
      </c>
      <c r="J84" s="16" t="s">
        <v>988</v>
      </c>
      <c r="K84" s="16" t="s">
        <v>989</v>
      </c>
      <c r="L84" s="16" t="s">
        <v>990</v>
      </c>
      <c r="M84" s="16" t="s">
        <v>146</v>
      </c>
      <c r="N84" s="12" t="s">
        <v>273</v>
      </c>
      <c r="O84" s="16" t="s">
        <v>991</v>
      </c>
      <c r="P84" s="12" t="s">
        <v>273</v>
      </c>
      <c r="Q84" s="12" t="s">
        <v>273</v>
      </c>
      <c r="R84" s="16" t="s">
        <v>992</v>
      </c>
      <c r="S84" s="12" t="s">
        <v>273</v>
      </c>
      <c r="T84" s="12" t="s">
        <v>273</v>
      </c>
      <c r="U84" s="12" t="s">
        <v>273</v>
      </c>
      <c r="V84" s="12" t="s">
        <v>273</v>
      </c>
      <c r="W84" s="12" t="s">
        <v>273</v>
      </c>
      <c r="X84" s="11" t="s">
        <v>308</v>
      </c>
      <c r="Y84" s="15"/>
      <c r="Z84" s="15"/>
      <c r="AA84" s="135" t="str">
        <f>_xlfn.IFS(AND(COUNTIF(Y84,"SCB*")=1, 'PCH272'!L68&gt;=2), "See the Notice *1", TRUE, "")</f>
        <v/>
      </c>
      <c r="AB84" s="14"/>
      <c r="AC84" s="11" t="s">
        <v>272</v>
      </c>
      <c r="AD84" s="11" t="s">
        <v>351</v>
      </c>
      <c r="AE84" s="14"/>
      <c r="AF84" s="14"/>
    </row>
    <row r="85" spans="2:32" x14ac:dyDescent="0.2">
      <c r="B85" s="11" t="s">
        <v>147</v>
      </c>
      <c r="C85" s="11" t="s">
        <v>1681</v>
      </c>
      <c r="D85" s="11" t="s">
        <v>147</v>
      </c>
      <c r="E85" s="11" t="s">
        <v>998</v>
      </c>
      <c r="F85" s="11" t="s">
        <v>999</v>
      </c>
      <c r="G85" s="11" t="s">
        <v>1000</v>
      </c>
      <c r="H85" s="11" t="s">
        <v>1001</v>
      </c>
      <c r="I85" s="11" t="s">
        <v>148</v>
      </c>
      <c r="J85" s="11" t="s">
        <v>1002</v>
      </c>
      <c r="K85" s="12" t="s">
        <v>273</v>
      </c>
      <c r="L85" s="11" t="s">
        <v>1003</v>
      </c>
      <c r="M85" s="11" t="s">
        <v>149</v>
      </c>
      <c r="N85" s="12" t="s">
        <v>273</v>
      </c>
      <c r="O85" s="11" t="s">
        <v>1004</v>
      </c>
      <c r="P85" s="12" t="s">
        <v>273</v>
      </c>
      <c r="Q85" s="12" t="s">
        <v>273</v>
      </c>
      <c r="R85" s="11" t="s">
        <v>1005</v>
      </c>
      <c r="S85" s="12" t="s">
        <v>273</v>
      </c>
      <c r="T85" s="12" t="s">
        <v>273</v>
      </c>
      <c r="U85" s="12" t="s">
        <v>273</v>
      </c>
      <c r="V85" s="12" t="s">
        <v>273</v>
      </c>
      <c r="W85" s="12" t="s">
        <v>273</v>
      </c>
      <c r="X85" s="11" t="s">
        <v>309</v>
      </c>
      <c r="Y85" s="15"/>
      <c r="Z85" s="15"/>
      <c r="AA85" s="135" t="str">
        <f>_xlfn.IFS(AND(COUNTIF(Y85,"SCB*")=1, 'PCH272'!L68&gt;=2), "See the Notice *1", TRUE, "")</f>
        <v/>
      </c>
      <c r="AB85" s="14"/>
      <c r="AC85" s="11" t="s">
        <v>272</v>
      </c>
      <c r="AD85" s="11" t="s">
        <v>351</v>
      </c>
      <c r="AE85" s="14"/>
      <c r="AF85" s="14"/>
    </row>
    <row r="86" spans="2:32" x14ac:dyDescent="0.2">
      <c r="B86" s="11" t="s">
        <v>150</v>
      </c>
      <c r="C86" s="16" t="s">
        <v>1689</v>
      </c>
      <c r="D86" s="11" t="s">
        <v>150</v>
      </c>
      <c r="E86" s="11" t="s">
        <v>1006</v>
      </c>
      <c r="F86" s="11" t="s">
        <v>1007</v>
      </c>
      <c r="G86" s="11" t="s">
        <v>1008</v>
      </c>
      <c r="H86" s="11" t="s">
        <v>1009</v>
      </c>
      <c r="I86" s="11" t="s">
        <v>151</v>
      </c>
      <c r="J86" s="12" t="s">
        <v>273</v>
      </c>
      <c r="K86" s="12" t="s">
        <v>273</v>
      </c>
      <c r="L86" s="11" t="s">
        <v>1010</v>
      </c>
      <c r="M86" s="12" t="s">
        <v>273</v>
      </c>
      <c r="N86" s="11" t="s">
        <v>191</v>
      </c>
      <c r="O86" s="11" t="s">
        <v>1011</v>
      </c>
      <c r="P86" s="12" t="s">
        <v>273</v>
      </c>
      <c r="Q86" s="12" t="s">
        <v>273</v>
      </c>
      <c r="R86" s="11" t="s">
        <v>1012</v>
      </c>
      <c r="S86" s="12" t="s">
        <v>273</v>
      </c>
      <c r="T86" s="12" t="s">
        <v>273</v>
      </c>
      <c r="U86" s="12" t="s">
        <v>273</v>
      </c>
      <c r="V86" s="12" t="s">
        <v>273</v>
      </c>
      <c r="W86" s="12" t="s">
        <v>273</v>
      </c>
      <c r="X86" s="16" t="s">
        <v>310</v>
      </c>
      <c r="Y86" s="15"/>
      <c r="Z86" s="15"/>
      <c r="AA86" s="135" t="str">
        <f>_xlfn.IFS(AND(COUNTIF(Y86,"SCB*")=1, 'PCH272'!L68&gt;=2), "See the Notice *1", TRUE, "")</f>
        <v/>
      </c>
      <c r="AB86" s="14"/>
      <c r="AC86" s="11" t="s">
        <v>272</v>
      </c>
      <c r="AD86" s="11" t="s">
        <v>351</v>
      </c>
      <c r="AE86" s="14"/>
      <c r="AF86" s="14"/>
    </row>
    <row r="87" spans="2:32" x14ac:dyDescent="0.2">
      <c r="B87" s="11" t="s">
        <v>152</v>
      </c>
      <c r="C87" s="11" t="s">
        <v>1690</v>
      </c>
      <c r="D87" s="11" t="s">
        <v>152</v>
      </c>
      <c r="E87" s="11" t="s">
        <v>1013</v>
      </c>
      <c r="F87" s="11" t="s">
        <v>1014</v>
      </c>
      <c r="G87" s="11" t="s">
        <v>1015</v>
      </c>
      <c r="H87" s="11" t="s">
        <v>1016</v>
      </c>
      <c r="I87" s="11" t="s">
        <v>153</v>
      </c>
      <c r="J87" s="12" t="s">
        <v>273</v>
      </c>
      <c r="K87" s="12" t="s">
        <v>273</v>
      </c>
      <c r="L87" s="12" t="s">
        <v>273</v>
      </c>
      <c r="M87" s="12" t="s">
        <v>273</v>
      </c>
      <c r="N87" s="11" t="s">
        <v>193</v>
      </c>
      <c r="O87" s="12" t="s">
        <v>273</v>
      </c>
      <c r="P87" s="12" t="s">
        <v>273</v>
      </c>
      <c r="Q87" s="12" t="s">
        <v>273</v>
      </c>
      <c r="R87" s="12" t="s">
        <v>273</v>
      </c>
      <c r="S87" s="12" t="s">
        <v>273</v>
      </c>
      <c r="T87" s="12" t="s">
        <v>273</v>
      </c>
      <c r="U87" s="12" t="s">
        <v>273</v>
      </c>
      <c r="V87" s="12" t="s">
        <v>273</v>
      </c>
      <c r="W87" s="12" t="s">
        <v>273</v>
      </c>
      <c r="X87" s="11" t="s">
        <v>311</v>
      </c>
      <c r="Y87" s="15"/>
      <c r="Z87" s="15"/>
      <c r="AA87" s="135"/>
      <c r="AB87" s="14"/>
      <c r="AC87" s="11" t="s">
        <v>272</v>
      </c>
      <c r="AD87" s="11" t="s">
        <v>351</v>
      </c>
      <c r="AE87" s="14"/>
      <c r="AF87" s="14"/>
    </row>
    <row r="88" spans="2:32" x14ac:dyDescent="0.2">
      <c r="B88" s="11" t="s">
        <v>154</v>
      </c>
      <c r="C88" s="11" t="s">
        <v>1691</v>
      </c>
      <c r="D88" s="11" t="s">
        <v>154</v>
      </c>
      <c r="E88" s="11" t="s">
        <v>1017</v>
      </c>
      <c r="F88" s="11" t="s">
        <v>1018</v>
      </c>
      <c r="G88" s="11" t="s">
        <v>1019</v>
      </c>
      <c r="H88" s="11" t="s">
        <v>1020</v>
      </c>
      <c r="I88" s="12" t="s">
        <v>273</v>
      </c>
      <c r="J88" s="12" t="s">
        <v>273</v>
      </c>
      <c r="K88" s="12" t="s">
        <v>273</v>
      </c>
      <c r="L88" s="12" t="s">
        <v>273</v>
      </c>
      <c r="M88" s="12" t="s">
        <v>273</v>
      </c>
      <c r="N88" s="12" t="s">
        <v>273</v>
      </c>
      <c r="O88" s="12" t="s">
        <v>273</v>
      </c>
      <c r="P88" s="12" t="s">
        <v>273</v>
      </c>
      <c r="Q88" s="12" t="s">
        <v>273</v>
      </c>
      <c r="R88" s="12" t="s">
        <v>273</v>
      </c>
      <c r="S88" s="12" t="s">
        <v>273</v>
      </c>
      <c r="T88" s="12" t="s">
        <v>273</v>
      </c>
      <c r="U88" s="12" t="s">
        <v>273</v>
      </c>
      <c r="V88" s="12" t="s">
        <v>273</v>
      </c>
      <c r="W88" s="12" t="s">
        <v>273</v>
      </c>
      <c r="X88" s="11" t="s">
        <v>312</v>
      </c>
      <c r="Y88" s="15"/>
      <c r="Z88" s="15"/>
      <c r="AA88" s="135"/>
      <c r="AB88" s="14"/>
      <c r="AC88" s="11" t="s">
        <v>272</v>
      </c>
      <c r="AD88" s="11" t="s">
        <v>351</v>
      </c>
      <c r="AE88" s="14"/>
      <c r="AF88" s="14"/>
    </row>
    <row r="89" spans="2:32" x14ac:dyDescent="0.2">
      <c r="B89" s="11" t="s">
        <v>155</v>
      </c>
      <c r="C89" s="11" t="s">
        <v>1692</v>
      </c>
      <c r="D89" s="11" t="s">
        <v>155</v>
      </c>
      <c r="E89" s="11" t="s">
        <v>1021</v>
      </c>
      <c r="F89" s="11" t="s">
        <v>1022</v>
      </c>
      <c r="G89" s="11" t="s">
        <v>1023</v>
      </c>
      <c r="H89" s="11" t="s">
        <v>1024</v>
      </c>
      <c r="I89" s="12" t="s">
        <v>273</v>
      </c>
      <c r="J89" s="12" t="s">
        <v>273</v>
      </c>
      <c r="K89" s="12" t="s">
        <v>273</v>
      </c>
      <c r="L89" s="12" t="s">
        <v>273</v>
      </c>
      <c r="M89" s="12" t="s">
        <v>273</v>
      </c>
      <c r="N89" s="12" t="s">
        <v>273</v>
      </c>
      <c r="O89" s="12" t="s">
        <v>273</v>
      </c>
      <c r="P89" s="12" t="s">
        <v>273</v>
      </c>
      <c r="Q89" s="12" t="s">
        <v>273</v>
      </c>
      <c r="R89" s="12" t="s">
        <v>273</v>
      </c>
      <c r="S89" s="12" t="s">
        <v>273</v>
      </c>
      <c r="T89" s="12" t="s">
        <v>273</v>
      </c>
      <c r="U89" s="12" t="s">
        <v>273</v>
      </c>
      <c r="V89" s="12" t="s">
        <v>273</v>
      </c>
      <c r="W89" s="12" t="s">
        <v>273</v>
      </c>
      <c r="X89" s="11" t="s">
        <v>313</v>
      </c>
      <c r="Y89" s="15"/>
      <c r="Z89" s="15"/>
      <c r="AA89" s="135"/>
      <c r="AB89" s="14"/>
      <c r="AC89" s="11" t="s">
        <v>272</v>
      </c>
      <c r="AD89" s="11" t="s">
        <v>351</v>
      </c>
      <c r="AE89" s="14"/>
      <c r="AF89" s="14"/>
    </row>
    <row r="90" spans="2:32" x14ac:dyDescent="0.2">
      <c r="B90" s="11" t="s">
        <v>156</v>
      </c>
      <c r="C90" s="11" t="s">
        <v>1695</v>
      </c>
      <c r="D90" s="11" t="s">
        <v>156</v>
      </c>
      <c r="E90" s="11" t="s">
        <v>1025</v>
      </c>
      <c r="F90" s="11" t="s">
        <v>1026</v>
      </c>
      <c r="G90" s="11" t="s">
        <v>1027</v>
      </c>
      <c r="H90" s="11" t="s">
        <v>1028</v>
      </c>
      <c r="I90" s="11" t="s">
        <v>157</v>
      </c>
      <c r="J90" s="11" t="s">
        <v>1029</v>
      </c>
      <c r="K90" s="12" t="s">
        <v>273</v>
      </c>
      <c r="L90" s="12" t="s">
        <v>273</v>
      </c>
      <c r="M90" s="11" t="s">
        <v>88</v>
      </c>
      <c r="N90" s="11" t="s">
        <v>1030</v>
      </c>
      <c r="O90" s="11" t="s">
        <v>1031</v>
      </c>
      <c r="P90" s="12" t="s">
        <v>273</v>
      </c>
      <c r="Q90" s="12" t="s">
        <v>273</v>
      </c>
      <c r="R90" s="11" t="s">
        <v>1032</v>
      </c>
      <c r="S90" s="12" t="s">
        <v>273</v>
      </c>
      <c r="T90" s="12" t="s">
        <v>273</v>
      </c>
      <c r="U90" s="12" t="s">
        <v>273</v>
      </c>
      <c r="V90" s="12" t="s">
        <v>273</v>
      </c>
      <c r="W90" s="12" t="s">
        <v>273</v>
      </c>
      <c r="X90" s="11" t="s">
        <v>314</v>
      </c>
      <c r="Y90" s="15"/>
      <c r="Z90" s="15"/>
      <c r="AA90" s="135" t="str">
        <f>_xlfn.IFS(AND(COUNTIF(Y90,"SCB*")=1, 'PCH272'!G68&gt;=2), "See the Notice *1", TRUE, "")</f>
        <v/>
      </c>
      <c r="AB90" s="14"/>
      <c r="AC90" s="11" t="s">
        <v>272</v>
      </c>
      <c r="AD90" s="11" t="s">
        <v>351</v>
      </c>
      <c r="AE90" s="14"/>
      <c r="AF90" s="14"/>
    </row>
    <row r="91" spans="2:32" x14ac:dyDescent="0.2">
      <c r="B91" s="11" t="s">
        <v>158</v>
      </c>
      <c r="C91" s="11" t="s">
        <v>1699</v>
      </c>
      <c r="D91" s="11" t="s">
        <v>158</v>
      </c>
      <c r="E91" s="11" t="s">
        <v>1033</v>
      </c>
      <c r="F91" s="11" t="s">
        <v>1034</v>
      </c>
      <c r="G91" s="11" t="s">
        <v>1035</v>
      </c>
      <c r="H91" s="11" t="s">
        <v>1036</v>
      </c>
      <c r="I91" s="11" t="s">
        <v>159</v>
      </c>
      <c r="J91" s="11" t="s">
        <v>1037</v>
      </c>
      <c r="K91" s="11" t="s">
        <v>1038</v>
      </c>
      <c r="L91" s="12" t="s">
        <v>273</v>
      </c>
      <c r="M91" s="11" t="s">
        <v>90</v>
      </c>
      <c r="N91" s="11" t="s">
        <v>1039</v>
      </c>
      <c r="O91" s="11" t="s">
        <v>1040</v>
      </c>
      <c r="P91" s="12" t="s">
        <v>273</v>
      </c>
      <c r="Q91" s="12" t="s">
        <v>273</v>
      </c>
      <c r="R91" s="11" t="s">
        <v>1041</v>
      </c>
      <c r="S91" s="12" t="s">
        <v>273</v>
      </c>
      <c r="T91" s="12" t="s">
        <v>273</v>
      </c>
      <c r="U91" s="12" t="s">
        <v>273</v>
      </c>
      <c r="V91" s="12" t="s">
        <v>273</v>
      </c>
      <c r="W91" s="12" t="s">
        <v>273</v>
      </c>
      <c r="X91" s="11" t="s">
        <v>315</v>
      </c>
      <c r="Y91" s="15"/>
      <c r="Z91" s="15"/>
      <c r="AA91" s="135" t="str">
        <f>_xlfn.IFS(AND(COUNTIF(Y91,"SCB*")=1, 'PCH272'!G68&gt;=2), "See the Notice *1", TRUE, "")</f>
        <v/>
      </c>
      <c r="AB91" s="14"/>
      <c r="AC91" s="11" t="s">
        <v>272</v>
      </c>
      <c r="AD91" s="11" t="s">
        <v>351</v>
      </c>
      <c r="AE91" s="14"/>
      <c r="AF91" s="14"/>
    </row>
    <row r="92" spans="2:32" x14ac:dyDescent="0.2">
      <c r="B92" s="11" t="s">
        <v>160</v>
      </c>
      <c r="C92" s="11" t="s">
        <v>1693</v>
      </c>
      <c r="D92" s="11" t="s">
        <v>160</v>
      </c>
      <c r="E92" s="11" t="s">
        <v>1042</v>
      </c>
      <c r="F92" s="11" t="s">
        <v>1043</v>
      </c>
      <c r="G92" s="11" t="s">
        <v>1044</v>
      </c>
      <c r="H92" s="11" t="s">
        <v>1045</v>
      </c>
      <c r="I92" s="11" t="s">
        <v>161</v>
      </c>
      <c r="J92" s="11" t="s">
        <v>1046</v>
      </c>
      <c r="K92" s="11" t="s">
        <v>1047</v>
      </c>
      <c r="L92" s="12" t="s">
        <v>273</v>
      </c>
      <c r="M92" s="11" t="s">
        <v>92</v>
      </c>
      <c r="N92" s="11" t="s">
        <v>1048</v>
      </c>
      <c r="O92" s="11" t="s">
        <v>1049</v>
      </c>
      <c r="P92" s="12" t="s">
        <v>273</v>
      </c>
      <c r="Q92" s="12" t="s">
        <v>273</v>
      </c>
      <c r="R92" s="11" t="s">
        <v>1050</v>
      </c>
      <c r="S92" s="12" t="s">
        <v>273</v>
      </c>
      <c r="T92" s="12" t="s">
        <v>273</v>
      </c>
      <c r="U92" s="12" t="s">
        <v>273</v>
      </c>
      <c r="V92" s="12" t="s">
        <v>273</v>
      </c>
      <c r="W92" s="12" t="s">
        <v>273</v>
      </c>
      <c r="X92" s="11" t="s">
        <v>316</v>
      </c>
      <c r="Y92" s="15"/>
      <c r="Z92" s="15"/>
      <c r="AA92" s="135" t="str">
        <f>_xlfn.IFS(AND(COUNTIF(Y92,"SCB*")=1, 'PCH272'!G68&gt;=2), "See the Notice *1", TRUE, "")</f>
        <v/>
      </c>
      <c r="AB92" s="14"/>
      <c r="AC92" s="11" t="s">
        <v>272</v>
      </c>
      <c r="AD92" s="11" t="s">
        <v>351</v>
      </c>
      <c r="AE92" s="14"/>
      <c r="AF92" s="14"/>
    </row>
    <row r="93" spans="2:32" x14ac:dyDescent="0.2">
      <c r="B93" s="11" t="s">
        <v>162</v>
      </c>
      <c r="C93" s="11" t="s">
        <v>1702</v>
      </c>
      <c r="D93" s="11" t="s">
        <v>162</v>
      </c>
      <c r="E93" s="11" t="s">
        <v>1051</v>
      </c>
      <c r="F93" s="11" t="s">
        <v>1052</v>
      </c>
      <c r="G93" s="11" t="s">
        <v>1053</v>
      </c>
      <c r="H93" s="11" t="s">
        <v>1054</v>
      </c>
      <c r="I93" s="11" t="s">
        <v>163</v>
      </c>
      <c r="J93" s="11" t="s">
        <v>1055</v>
      </c>
      <c r="K93" s="12" t="s">
        <v>273</v>
      </c>
      <c r="L93" s="12" t="s">
        <v>273</v>
      </c>
      <c r="M93" s="11" t="s">
        <v>82</v>
      </c>
      <c r="N93" s="11" t="s">
        <v>1056</v>
      </c>
      <c r="O93" s="12" t="s">
        <v>273</v>
      </c>
      <c r="P93" s="12" t="s">
        <v>273</v>
      </c>
      <c r="Q93" s="12" t="s">
        <v>273</v>
      </c>
      <c r="R93" s="11" t="s">
        <v>1057</v>
      </c>
      <c r="S93" s="12" t="s">
        <v>273</v>
      </c>
      <c r="T93" s="12" t="s">
        <v>273</v>
      </c>
      <c r="U93" s="12" t="s">
        <v>273</v>
      </c>
      <c r="V93" s="12" t="s">
        <v>273</v>
      </c>
      <c r="W93" s="12" t="s">
        <v>273</v>
      </c>
      <c r="X93" s="11" t="s">
        <v>317</v>
      </c>
      <c r="Y93" s="15"/>
      <c r="Z93" s="15"/>
      <c r="AA93" s="135" t="str">
        <f>_xlfn.IFS(AND(COUNTIF(Y93,"SCB*")=1, 'PCH272'!G68&gt;=2), "See the Notice *1", TRUE, "")</f>
        <v/>
      </c>
      <c r="AB93" s="14"/>
      <c r="AC93" s="11" t="s">
        <v>272</v>
      </c>
      <c r="AD93" s="11" t="s">
        <v>351</v>
      </c>
      <c r="AE93" s="14"/>
      <c r="AF93" s="14"/>
    </row>
    <row r="94" spans="2:32" x14ac:dyDescent="0.2">
      <c r="B94" s="11" t="s">
        <v>164</v>
      </c>
      <c r="C94" s="11" t="s">
        <v>1704</v>
      </c>
      <c r="D94" s="11" t="s">
        <v>164</v>
      </c>
      <c r="E94" s="11" t="s">
        <v>1173</v>
      </c>
      <c r="F94" s="11" t="s">
        <v>1170</v>
      </c>
      <c r="G94" s="11" t="s">
        <v>1059</v>
      </c>
      <c r="H94" s="11" t="s">
        <v>1060</v>
      </c>
      <c r="I94" s="11" t="s">
        <v>551</v>
      </c>
      <c r="J94" s="12" t="s">
        <v>273</v>
      </c>
      <c r="K94" s="12" t="s">
        <v>273</v>
      </c>
      <c r="L94" s="12" t="s">
        <v>273</v>
      </c>
      <c r="M94" s="11" t="s">
        <v>84</v>
      </c>
      <c r="N94" s="11" t="s">
        <v>1061</v>
      </c>
      <c r="O94" s="11" t="s">
        <v>1169</v>
      </c>
      <c r="P94" s="12" t="s">
        <v>273</v>
      </c>
      <c r="Q94" s="12" t="s">
        <v>273</v>
      </c>
      <c r="R94" s="11" t="s">
        <v>1062</v>
      </c>
      <c r="S94" s="12" t="s">
        <v>273</v>
      </c>
      <c r="T94" s="12" t="s">
        <v>273</v>
      </c>
      <c r="U94" s="12" t="s">
        <v>273</v>
      </c>
      <c r="V94" s="12" t="s">
        <v>273</v>
      </c>
      <c r="W94" s="12" t="s">
        <v>273</v>
      </c>
      <c r="X94" s="11" t="s">
        <v>318</v>
      </c>
      <c r="Y94" s="15"/>
      <c r="Z94" s="15"/>
      <c r="AA94" s="135" t="str">
        <f>_xlfn.IFS(AND(COUNTIF(Y94,"SCB*")=1, 'PCH272'!G68&gt;=2), "See the Notice *1", TRUE, "")</f>
        <v/>
      </c>
      <c r="AB94" s="14"/>
      <c r="AC94" s="11" t="s">
        <v>272</v>
      </c>
      <c r="AD94" s="11" t="s">
        <v>351</v>
      </c>
      <c r="AE94" s="14"/>
      <c r="AF94" s="14"/>
    </row>
    <row r="95" spans="2:32" x14ac:dyDescent="0.2">
      <c r="B95" s="11" t="s">
        <v>165</v>
      </c>
      <c r="C95" s="11" t="s">
        <v>1706</v>
      </c>
      <c r="D95" s="11" t="s">
        <v>165</v>
      </c>
      <c r="E95" s="11" t="s">
        <v>1063</v>
      </c>
      <c r="F95" s="11" t="s">
        <v>2389</v>
      </c>
      <c r="G95" s="11" t="s">
        <v>1064</v>
      </c>
      <c r="H95" s="11" t="s">
        <v>2705</v>
      </c>
      <c r="I95" s="11" t="s">
        <v>619</v>
      </c>
      <c r="J95" s="12" t="s">
        <v>273</v>
      </c>
      <c r="K95" s="12" t="s">
        <v>273</v>
      </c>
      <c r="L95" s="12" t="s">
        <v>273</v>
      </c>
      <c r="M95" s="12" t="s">
        <v>273</v>
      </c>
      <c r="N95" s="11" t="s">
        <v>1065</v>
      </c>
      <c r="O95" s="11" t="s">
        <v>580</v>
      </c>
      <c r="P95" s="12" t="s">
        <v>273</v>
      </c>
      <c r="Q95" s="12" t="s">
        <v>273</v>
      </c>
      <c r="R95" s="11" t="s">
        <v>1066</v>
      </c>
      <c r="S95" s="12" t="s">
        <v>273</v>
      </c>
      <c r="T95" s="12" t="s">
        <v>273</v>
      </c>
      <c r="U95" s="12" t="s">
        <v>273</v>
      </c>
      <c r="V95" s="12" t="s">
        <v>273</v>
      </c>
      <c r="W95" s="12" t="s">
        <v>273</v>
      </c>
      <c r="X95" s="11" t="s">
        <v>319</v>
      </c>
      <c r="Y95" s="15"/>
      <c r="Z95" s="15"/>
      <c r="AA95" s="135" t="str">
        <f>_xlfn.IFS(AND(COUNTIF(Y95,"SCB*")=1, 'PCH272'!G68&gt;=2), "See the Notice *1", TRUE, "")</f>
        <v/>
      </c>
      <c r="AB95" s="14"/>
      <c r="AC95" s="11" t="s">
        <v>272</v>
      </c>
      <c r="AD95" s="11" t="s">
        <v>351</v>
      </c>
      <c r="AE95" s="14"/>
      <c r="AF95" s="14"/>
    </row>
    <row r="96" spans="2:32" x14ac:dyDescent="0.2">
      <c r="B96" s="11" t="s">
        <v>166</v>
      </c>
      <c r="C96" s="11" t="s">
        <v>1708</v>
      </c>
      <c r="D96" s="11" t="s">
        <v>166</v>
      </c>
      <c r="E96" s="11" t="s">
        <v>1172</v>
      </c>
      <c r="F96" s="11" t="s">
        <v>1171</v>
      </c>
      <c r="G96" s="11" t="s">
        <v>1068</v>
      </c>
      <c r="H96" s="11" t="s">
        <v>1069</v>
      </c>
      <c r="I96" s="11" t="s">
        <v>557</v>
      </c>
      <c r="J96" s="12" t="s">
        <v>273</v>
      </c>
      <c r="K96" s="12" t="s">
        <v>273</v>
      </c>
      <c r="L96" s="12" t="s">
        <v>273</v>
      </c>
      <c r="M96" s="12" t="s">
        <v>273</v>
      </c>
      <c r="N96" s="11" t="s">
        <v>1070</v>
      </c>
      <c r="O96" s="11" t="s">
        <v>585</v>
      </c>
      <c r="P96" s="12" t="s">
        <v>273</v>
      </c>
      <c r="Q96" s="12" t="s">
        <v>273</v>
      </c>
      <c r="R96" s="11" t="s">
        <v>1071</v>
      </c>
      <c r="S96" s="11" t="s">
        <v>167</v>
      </c>
      <c r="T96" s="12" t="s">
        <v>273</v>
      </c>
      <c r="U96" s="12" t="s">
        <v>273</v>
      </c>
      <c r="V96" s="12" t="s">
        <v>273</v>
      </c>
      <c r="W96" s="12" t="s">
        <v>273</v>
      </c>
      <c r="X96" s="11" t="s">
        <v>320</v>
      </c>
      <c r="Y96" s="15"/>
      <c r="Z96" s="15"/>
      <c r="AA96" s="135" t="str">
        <f>_xlfn.IFS(AND(COUNTIF(Y96,"SCB*")=1, 'PCH272'!G68&gt;=2), "See the Notice *1", TRUE, "")</f>
        <v/>
      </c>
      <c r="AB96" s="14"/>
      <c r="AC96" s="11" t="s">
        <v>272</v>
      </c>
      <c r="AD96" s="11" t="s">
        <v>351</v>
      </c>
      <c r="AE96" s="14"/>
      <c r="AF96" s="14"/>
    </row>
    <row r="97" spans="2:32" x14ac:dyDescent="0.2">
      <c r="B97" s="11" t="s">
        <v>168</v>
      </c>
      <c r="C97" s="11" t="s">
        <v>1710</v>
      </c>
      <c r="D97" s="11" t="s">
        <v>168</v>
      </c>
      <c r="E97" s="11" t="s">
        <v>1072</v>
      </c>
      <c r="F97" s="11" t="s">
        <v>2388</v>
      </c>
      <c r="G97" s="11" t="s">
        <v>1073</v>
      </c>
      <c r="H97" s="11" t="s">
        <v>2706</v>
      </c>
      <c r="I97" s="11" t="s">
        <v>625</v>
      </c>
      <c r="J97" s="12" t="s">
        <v>273</v>
      </c>
      <c r="K97" s="12" t="s">
        <v>273</v>
      </c>
      <c r="L97" s="12" t="s">
        <v>273</v>
      </c>
      <c r="M97" s="12" t="s">
        <v>273</v>
      </c>
      <c r="N97" s="12" t="s">
        <v>273</v>
      </c>
      <c r="O97" s="12" t="s">
        <v>273</v>
      </c>
      <c r="P97" s="12" t="s">
        <v>273</v>
      </c>
      <c r="Q97" s="12" t="s">
        <v>273</v>
      </c>
      <c r="R97" s="11" t="s">
        <v>1074</v>
      </c>
      <c r="S97" s="11" t="s">
        <v>169</v>
      </c>
      <c r="T97" s="12" t="s">
        <v>273</v>
      </c>
      <c r="U97" s="12" t="s">
        <v>273</v>
      </c>
      <c r="V97" s="12" t="s">
        <v>273</v>
      </c>
      <c r="W97" s="12" t="s">
        <v>273</v>
      </c>
      <c r="X97" s="11" t="s">
        <v>321</v>
      </c>
      <c r="Y97" s="15"/>
      <c r="Z97" s="15"/>
      <c r="AA97" s="135"/>
      <c r="AB97" s="14"/>
      <c r="AC97" s="11" t="s">
        <v>272</v>
      </c>
      <c r="AD97" s="11" t="s">
        <v>351</v>
      </c>
      <c r="AE97" s="14"/>
      <c r="AF97" s="14"/>
    </row>
    <row r="98" spans="2:32" x14ac:dyDescent="0.2">
      <c r="B98" s="11" t="s">
        <v>170</v>
      </c>
      <c r="C98" s="11" t="s">
        <v>1711</v>
      </c>
      <c r="D98" s="11" t="s">
        <v>170</v>
      </c>
      <c r="E98" s="11" t="s">
        <v>1075</v>
      </c>
      <c r="F98" s="11" t="s">
        <v>1076</v>
      </c>
      <c r="G98" s="11" t="s">
        <v>1077</v>
      </c>
      <c r="H98" s="11" t="s">
        <v>1078</v>
      </c>
      <c r="I98" s="11" t="s">
        <v>562</v>
      </c>
      <c r="J98" s="11" t="s">
        <v>1079</v>
      </c>
      <c r="K98" s="12" t="s">
        <v>273</v>
      </c>
      <c r="L98" s="11" t="s">
        <v>1080</v>
      </c>
      <c r="M98" s="12" t="s">
        <v>273</v>
      </c>
      <c r="N98" s="11" t="s">
        <v>171</v>
      </c>
      <c r="O98" s="11" t="s">
        <v>1081</v>
      </c>
      <c r="P98" s="12" t="s">
        <v>273</v>
      </c>
      <c r="Q98" s="12" t="s">
        <v>273</v>
      </c>
      <c r="R98" s="11" t="s">
        <v>1082</v>
      </c>
      <c r="S98" s="12" t="s">
        <v>273</v>
      </c>
      <c r="T98" s="12" t="s">
        <v>273</v>
      </c>
      <c r="U98" s="12" t="s">
        <v>273</v>
      </c>
      <c r="V98" s="12" t="s">
        <v>273</v>
      </c>
      <c r="W98" s="12" t="s">
        <v>273</v>
      </c>
      <c r="X98" s="11" t="s">
        <v>322</v>
      </c>
      <c r="Y98" s="15"/>
      <c r="Z98" s="15"/>
      <c r="AA98" s="135" t="str">
        <f>_xlfn.IFS(AND(COUNTIF(Y98,"SCB*")=1, 'PCH272'!F68&gt;=2), "See the Notice *1", TRUE, "")</f>
        <v/>
      </c>
      <c r="AB98" s="14"/>
      <c r="AC98" s="11" t="s">
        <v>272</v>
      </c>
      <c r="AD98" s="11" t="s">
        <v>351</v>
      </c>
      <c r="AE98" s="14"/>
      <c r="AF98" s="14"/>
    </row>
    <row r="99" spans="2:32" x14ac:dyDescent="0.2">
      <c r="B99" s="11" t="s">
        <v>172</v>
      </c>
      <c r="C99" s="11" t="s">
        <v>1712</v>
      </c>
      <c r="D99" s="11" t="s">
        <v>172</v>
      </c>
      <c r="E99" s="11" t="s">
        <v>1083</v>
      </c>
      <c r="F99" s="11" t="s">
        <v>1084</v>
      </c>
      <c r="G99" s="11" t="s">
        <v>1085</v>
      </c>
      <c r="H99" s="11" t="s">
        <v>1086</v>
      </c>
      <c r="I99" s="11" t="s">
        <v>645</v>
      </c>
      <c r="J99" s="11" t="s">
        <v>1087</v>
      </c>
      <c r="K99" s="11" t="s">
        <v>1088</v>
      </c>
      <c r="L99" s="11" t="s">
        <v>1089</v>
      </c>
      <c r="M99" s="12" t="s">
        <v>273</v>
      </c>
      <c r="N99" s="11" t="s">
        <v>173</v>
      </c>
      <c r="O99" s="11" t="s">
        <v>1090</v>
      </c>
      <c r="P99" s="12" t="s">
        <v>273</v>
      </c>
      <c r="Q99" s="12" t="s">
        <v>273</v>
      </c>
      <c r="R99" s="11" t="s">
        <v>1091</v>
      </c>
      <c r="S99" s="12" t="s">
        <v>273</v>
      </c>
      <c r="T99" s="12" t="s">
        <v>273</v>
      </c>
      <c r="U99" s="12" t="s">
        <v>273</v>
      </c>
      <c r="V99" s="12" t="s">
        <v>273</v>
      </c>
      <c r="W99" s="12" t="s">
        <v>273</v>
      </c>
      <c r="X99" s="11" t="s">
        <v>323</v>
      </c>
      <c r="Y99" s="15"/>
      <c r="Z99" s="15"/>
      <c r="AA99" s="135" t="str">
        <f>_xlfn.IFS(AND(COUNTIF(Y99,"SCB*")=1, 'PCH272'!F68&gt;=2), "See the Notice *1", TRUE, "")</f>
        <v/>
      </c>
      <c r="AB99" s="14"/>
      <c r="AC99" s="11" t="s">
        <v>272</v>
      </c>
      <c r="AD99" s="11" t="s">
        <v>351</v>
      </c>
      <c r="AE99" s="14"/>
      <c r="AF99" s="14"/>
    </row>
    <row r="100" spans="2:32" x14ac:dyDescent="0.2">
      <c r="B100" s="11" t="s">
        <v>174</v>
      </c>
      <c r="C100" s="11" t="s">
        <v>1714</v>
      </c>
      <c r="D100" s="11" t="s">
        <v>174</v>
      </c>
      <c r="E100" s="11" t="s">
        <v>1092</v>
      </c>
      <c r="F100" s="11" t="s">
        <v>1093</v>
      </c>
      <c r="G100" s="11" t="s">
        <v>1094</v>
      </c>
      <c r="H100" s="11" t="s">
        <v>1095</v>
      </c>
      <c r="I100" s="11" t="s">
        <v>567</v>
      </c>
      <c r="J100" s="11" t="s">
        <v>1096</v>
      </c>
      <c r="K100" s="11" t="s">
        <v>1097</v>
      </c>
      <c r="L100" s="11" t="s">
        <v>1098</v>
      </c>
      <c r="M100" s="11" t="s">
        <v>146</v>
      </c>
      <c r="N100" s="12" t="s">
        <v>273</v>
      </c>
      <c r="O100" s="11" t="s">
        <v>1099</v>
      </c>
      <c r="P100" s="12" t="s">
        <v>273</v>
      </c>
      <c r="Q100" s="12" t="s">
        <v>273</v>
      </c>
      <c r="R100" s="12" t="s">
        <v>273</v>
      </c>
      <c r="S100" s="12" t="s">
        <v>273</v>
      </c>
      <c r="T100" s="12" t="s">
        <v>273</v>
      </c>
      <c r="U100" s="12" t="s">
        <v>273</v>
      </c>
      <c r="V100" s="12" t="s">
        <v>273</v>
      </c>
      <c r="W100" s="12" t="s">
        <v>273</v>
      </c>
      <c r="X100" s="11" t="s">
        <v>324</v>
      </c>
      <c r="Y100" s="15"/>
      <c r="Z100" s="15"/>
      <c r="AA100" s="135" t="str">
        <f>_xlfn.IFS(AND(COUNTIF(Y100,"SCB*")=1, 'PCH272'!F68&gt;=2), "See the Notice *1", TRUE, "")</f>
        <v/>
      </c>
      <c r="AB100" s="14"/>
      <c r="AC100" s="11" t="s">
        <v>272</v>
      </c>
      <c r="AD100" s="11" t="s">
        <v>351</v>
      </c>
      <c r="AE100" s="14"/>
      <c r="AF100" s="14"/>
    </row>
    <row r="101" spans="2:32" x14ac:dyDescent="0.2">
      <c r="B101" s="11" t="s">
        <v>175</v>
      </c>
      <c r="C101" s="11" t="s">
        <v>1716</v>
      </c>
      <c r="D101" s="11" t="s">
        <v>175</v>
      </c>
      <c r="E101" s="11" t="s">
        <v>1100</v>
      </c>
      <c r="F101" s="11" t="s">
        <v>1101</v>
      </c>
      <c r="G101" s="11" t="s">
        <v>1102</v>
      </c>
      <c r="H101" s="11" t="s">
        <v>1103</v>
      </c>
      <c r="I101" s="11" t="s">
        <v>653</v>
      </c>
      <c r="J101" s="11" t="s">
        <v>1104</v>
      </c>
      <c r="K101" s="12" t="s">
        <v>273</v>
      </c>
      <c r="L101" s="11" t="s">
        <v>1105</v>
      </c>
      <c r="M101" s="11" t="s">
        <v>149</v>
      </c>
      <c r="N101" s="12" t="s">
        <v>273</v>
      </c>
      <c r="O101" s="11" t="s">
        <v>1106</v>
      </c>
      <c r="P101" s="12" t="s">
        <v>273</v>
      </c>
      <c r="Q101" s="12" t="s">
        <v>273</v>
      </c>
      <c r="R101" s="12" t="s">
        <v>273</v>
      </c>
      <c r="S101" s="12" t="s">
        <v>273</v>
      </c>
      <c r="T101" s="12" t="s">
        <v>273</v>
      </c>
      <c r="U101" s="12" t="s">
        <v>273</v>
      </c>
      <c r="V101" s="12" t="s">
        <v>273</v>
      </c>
      <c r="W101" s="12" t="s">
        <v>273</v>
      </c>
      <c r="X101" s="11" t="s">
        <v>325</v>
      </c>
      <c r="Y101" s="15"/>
      <c r="Z101" s="15"/>
      <c r="AA101" s="135" t="str">
        <f>_xlfn.IFS(AND(COUNTIF(Y101,"SCB*")=1, 'PCH272'!F68&gt;=2), "See the Notice *1", TRUE, "")</f>
        <v/>
      </c>
      <c r="AB101" s="14"/>
      <c r="AC101" s="11" t="s">
        <v>272</v>
      </c>
      <c r="AD101" s="11" t="s">
        <v>351</v>
      </c>
      <c r="AE101" s="14"/>
      <c r="AF101" s="14"/>
    </row>
    <row r="102" spans="2:32" x14ac:dyDescent="0.2">
      <c r="B102" s="11" t="s">
        <v>176</v>
      </c>
      <c r="C102" s="11" t="s">
        <v>1717</v>
      </c>
      <c r="D102" s="11" t="s">
        <v>176</v>
      </c>
      <c r="E102" s="11" t="s">
        <v>1107</v>
      </c>
      <c r="F102" s="11" t="s">
        <v>1108</v>
      </c>
      <c r="G102" s="11" t="s">
        <v>1109</v>
      </c>
      <c r="H102" s="11" t="s">
        <v>1110</v>
      </c>
      <c r="I102" s="11" t="s">
        <v>590</v>
      </c>
      <c r="J102" s="11" t="s">
        <v>1174</v>
      </c>
      <c r="K102" s="12" t="s">
        <v>273</v>
      </c>
      <c r="L102" s="12" t="s">
        <v>273</v>
      </c>
      <c r="M102" s="11" t="s">
        <v>142</v>
      </c>
      <c r="N102" s="12" t="s">
        <v>273</v>
      </c>
      <c r="O102" s="12" t="s">
        <v>273</v>
      </c>
      <c r="P102" s="12" t="s">
        <v>273</v>
      </c>
      <c r="Q102" s="12" t="s">
        <v>273</v>
      </c>
      <c r="R102" s="11" t="s">
        <v>1111</v>
      </c>
      <c r="S102" s="12" t="s">
        <v>273</v>
      </c>
      <c r="T102" s="12" t="s">
        <v>273</v>
      </c>
      <c r="U102" s="12" t="s">
        <v>273</v>
      </c>
      <c r="V102" s="12" t="s">
        <v>273</v>
      </c>
      <c r="W102" s="12" t="s">
        <v>273</v>
      </c>
      <c r="X102" s="11" t="s">
        <v>326</v>
      </c>
      <c r="Y102" s="15"/>
      <c r="Z102" s="15"/>
      <c r="AA102" s="135" t="str">
        <f>_xlfn.IFS(AND(COUNTIF(Y102,"SCB*")=1, 'PCH272'!F68&gt;=2), "See the Notice *1", TRUE, "")</f>
        <v/>
      </c>
      <c r="AB102" s="14"/>
      <c r="AC102" s="11" t="s">
        <v>272</v>
      </c>
      <c r="AD102" s="11" t="s">
        <v>351</v>
      </c>
      <c r="AE102" s="14"/>
      <c r="AF102" s="14"/>
    </row>
    <row r="103" spans="2:32" x14ac:dyDescent="0.2">
      <c r="B103" s="11" t="s">
        <v>177</v>
      </c>
      <c r="C103" s="11" t="s">
        <v>1718</v>
      </c>
      <c r="D103" s="11" t="s">
        <v>177</v>
      </c>
      <c r="E103" s="11" t="s">
        <v>1112</v>
      </c>
      <c r="F103" s="11" t="s">
        <v>1113</v>
      </c>
      <c r="G103" s="11" t="s">
        <v>1114</v>
      </c>
      <c r="H103" s="11" t="s">
        <v>1115</v>
      </c>
      <c r="I103" s="11" t="s">
        <v>663</v>
      </c>
      <c r="J103" s="11" t="s">
        <v>1175</v>
      </c>
      <c r="K103" s="11" t="s">
        <v>1116</v>
      </c>
      <c r="L103" s="12" t="s">
        <v>273</v>
      </c>
      <c r="M103" s="12" t="s">
        <v>273</v>
      </c>
      <c r="N103" s="12" t="s">
        <v>273</v>
      </c>
      <c r="O103" s="12" t="s">
        <v>273</v>
      </c>
      <c r="P103" s="12" t="s">
        <v>273</v>
      </c>
      <c r="Q103" s="12" t="s">
        <v>273</v>
      </c>
      <c r="R103" s="11" t="s">
        <v>1117</v>
      </c>
      <c r="S103" s="12" t="s">
        <v>273</v>
      </c>
      <c r="T103" s="12" t="s">
        <v>273</v>
      </c>
      <c r="U103" s="12" t="s">
        <v>273</v>
      </c>
      <c r="V103" s="12" t="s">
        <v>273</v>
      </c>
      <c r="W103" s="12" t="s">
        <v>273</v>
      </c>
      <c r="X103" s="11" t="s">
        <v>327</v>
      </c>
      <c r="Y103" s="15"/>
      <c r="Z103" s="15"/>
      <c r="AA103" s="135" t="str">
        <f>_xlfn.IFS(AND(COUNTIF(Y103,"SCB*")=1, 'PCH272'!F68&gt;=2), "See the Notice *1", TRUE, "")</f>
        <v/>
      </c>
      <c r="AB103" s="14"/>
      <c r="AC103" s="11" t="s">
        <v>272</v>
      </c>
      <c r="AD103" s="11" t="s">
        <v>351</v>
      </c>
      <c r="AE103" s="14"/>
      <c r="AF103" s="14"/>
    </row>
    <row r="104" spans="2:32" x14ac:dyDescent="0.2">
      <c r="B104" s="11" t="s">
        <v>178</v>
      </c>
      <c r="C104" s="11" t="s">
        <v>1720</v>
      </c>
      <c r="D104" s="11" t="s">
        <v>178</v>
      </c>
      <c r="E104" s="11" t="s">
        <v>1118</v>
      </c>
      <c r="F104" s="11" t="s">
        <v>1119</v>
      </c>
      <c r="G104" s="11" t="s">
        <v>1120</v>
      </c>
      <c r="H104" s="11" t="s">
        <v>1121</v>
      </c>
      <c r="I104" s="11" t="s">
        <v>596</v>
      </c>
      <c r="J104" s="12" t="s">
        <v>273</v>
      </c>
      <c r="K104" s="11" t="s">
        <v>1122</v>
      </c>
      <c r="L104" s="12" t="s">
        <v>273</v>
      </c>
      <c r="M104" s="12" t="s">
        <v>273</v>
      </c>
      <c r="N104" s="12" t="s">
        <v>273</v>
      </c>
      <c r="O104" s="12" t="s">
        <v>273</v>
      </c>
      <c r="P104" s="12" t="s">
        <v>273</v>
      </c>
      <c r="Q104" s="12" t="s">
        <v>273</v>
      </c>
      <c r="R104" s="12" t="s">
        <v>273</v>
      </c>
      <c r="S104" s="11" t="s">
        <v>179</v>
      </c>
      <c r="T104" s="12" t="s">
        <v>273</v>
      </c>
      <c r="U104" s="12" t="s">
        <v>273</v>
      </c>
      <c r="V104" s="12" t="s">
        <v>273</v>
      </c>
      <c r="W104" s="12" t="s">
        <v>273</v>
      </c>
      <c r="X104" s="11" t="s">
        <v>328</v>
      </c>
      <c r="Y104" s="15"/>
      <c r="Z104" s="15"/>
      <c r="AA104" s="135"/>
      <c r="AB104" s="14"/>
      <c r="AC104" s="11" t="s">
        <v>272</v>
      </c>
      <c r="AD104" s="11" t="s">
        <v>351</v>
      </c>
      <c r="AE104" s="14"/>
      <c r="AF104" s="14"/>
    </row>
    <row r="105" spans="2:32" x14ac:dyDescent="0.2">
      <c r="B105" s="11" t="s">
        <v>180</v>
      </c>
      <c r="C105" s="11" t="s">
        <v>1719</v>
      </c>
      <c r="D105" s="11" t="s">
        <v>180</v>
      </c>
      <c r="E105" s="11" t="s">
        <v>1123</v>
      </c>
      <c r="F105" s="11" t="s">
        <v>1124</v>
      </c>
      <c r="G105" s="11" t="s">
        <v>1125</v>
      </c>
      <c r="H105" s="11" t="s">
        <v>1126</v>
      </c>
      <c r="I105" s="11" t="s">
        <v>670</v>
      </c>
      <c r="J105" s="12" t="s">
        <v>273</v>
      </c>
      <c r="K105" s="11" t="s">
        <v>1127</v>
      </c>
      <c r="L105" s="12" t="s">
        <v>273</v>
      </c>
      <c r="M105" s="12" t="s">
        <v>273</v>
      </c>
      <c r="N105" s="12" t="s">
        <v>273</v>
      </c>
      <c r="O105" s="12" t="s">
        <v>273</v>
      </c>
      <c r="P105" s="12" t="s">
        <v>273</v>
      </c>
      <c r="Q105" s="12" t="s">
        <v>273</v>
      </c>
      <c r="R105" s="12" t="s">
        <v>273</v>
      </c>
      <c r="S105" s="11" t="s">
        <v>181</v>
      </c>
      <c r="T105" s="12" t="s">
        <v>273</v>
      </c>
      <c r="U105" s="12" t="s">
        <v>273</v>
      </c>
      <c r="V105" s="12" t="s">
        <v>273</v>
      </c>
      <c r="W105" s="12" t="s">
        <v>273</v>
      </c>
      <c r="X105" s="11" t="s">
        <v>329</v>
      </c>
      <c r="Y105" s="15"/>
      <c r="Z105" s="15"/>
      <c r="AA105" s="135"/>
      <c r="AB105" s="14"/>
      <c r="AC105" s="11" t="s">
        <v>272</v>
      </c>
      <c r="AD105" s="11" t="s">
        <v>351</v>
      </c>
      <c r="AE105" s="14"/>
      <c r="AF105" s="14"/>
    </row>
    <row r="106" spans="2:32" x14ac:dyDescent="0.2">
      <c r="B106" s="11" t="s">
        <v>182</v>
      </c>
      <c r="C106" s="11" t="s">
        <v>1722</v>
      </c>
      <c r="D106" s="11" t="s">
        <v>182</v>
      </c>
      <c r="E106" s="11" t="s">
        <v>1128</v>
      </c>
      <c r="F106" s="11" t="s">
        <v>1129</v>
      </c>
      <c r="G106" s="11" t="s">
        <v>1130</v>
      </c>
      <c r="H106" s="11" t="s">
        <v>1131</v>
      </c>
      <c r="I106" s="11" t="s">
        <v>604</v>
      </c>
      <c r="J106" s="11" t="s">
        <v>1132</v>
      </c>
      <c r="K106" s="12" t="s">
        <v>273</v>
      </c>
      <c r="L106" s="11" t="s">
        <v>1133</v>
      </c>
      <c r="M106" s="12" t="s">
        <v>273</v>
      </c>
      <c r="N106" s="11" t="s">
        <v>1134</v>
      </c>
      <c r="O106" s="12" t="s">
        <v>273</v>
      </c>
      <c r="P106" s="12" t="s">
        <v>273</v>
      </c>
      <c r="Q106" s="12" t="s">
        <v>273</v>
      </c>
      <c r="R106" s="11" t="s">
        <v>1135</v>
      </c>
      <c r="S106" s="12" t="s">
        <v>273</v>
      </c>
      <c r="T106" s="12" t="s">
        <v>273</v>
      </c>
      <c r="U106" s="12" t="s">
        <v>273</v>
      </c>
      <c r="V106" s="12" t="s">
        <v>273</v>
      </c>
      <c r="W106" s="12" t="s">
        <v>273</v>
      </c>
      <c r="X106" s="11" t="s">
        <v>330</v>
      </c>
      <c r="Y106" s="15"/>
      <c r="Z106" s="15"/>
      <c r="AA106" s="135" t="str">
        <f>_xlfn.IFS(AND(COUNTIF(Y106,"SCB*")=1, 'PCH272'!M68&gt;=2), "See the Notice *1", TRUE, "")</f>
        <v/>
      </c>
      <c r="AB106" s="14"/>
      <c r="AC106" s="11" t="s">
        <v>272</v>
      </c>
      <c r="AD106" s="11" t="s">
        <v>351</v>
      </c>
      <c r="AE106" s="14"/>
      <c r="AF106" s="14"/>
    </row>
    <row r="107" spans="2:32" x14ac:dyDescent="0.2">
      <c r="B107" s="11" t="s">
        <v>183</v>
      </c>
      <c r="C107" s="11" t="s">
        <v>1724</v>
      </c>
      <c r="D107" s="11" t="s">
        <v>183</v>
      </c>
      <c r="E107" s="11" t="s">
        <v>1136</v>
      </c>
      <c r="F107" s="11" t="s">
        <v>1137</v>
      </c>
      <c r="G107" s="11" t="s">
        <v>1138</v>
      </c>
      <c r="H107" s="11" t="s">
        <v>1139</v>
      </c>
      <c r="I107" s="11" t="s">
        <v>676</v>
      </c>
      <c r="J107" s="11" t="s">
        <v>1140</v>
      </c>
      <c r="K107" s="11" t="s">
        <v>1141</v>
      </c>
      <c r="L107" s="11" t="s">
        <v>1142</v>
      </c>
      <c r="M107" s="12" t="s">
        <v>273</v>
      </c>
      <c r="N107" s="11" t="s">
        <v>1143</v>
      </c>
      <c r="O107" s="12" t="s">
        <v>273</v>
      </c>
      <c r="P107" s="12" t="s">
        <v>273</v>
      </c>
      <c r="Q107" s="12" t="s">
        <v>273</v>
      </c>
      <c r="R107" s="11" t="s">
        <v>1144</v>
      </c>
      <c r="S107" s="12" t="s">
        <v>273</v>
      </c>
      <c r="T107" s="12" t="s">
        <v>273</v>
      </c>
      <c r="U107" s="12" t="s">
        <v>273</v>
      </c>
      <c r="V107" s="12" t="s">
        <v>273</v>
      </c>
      <c r="W107" s="12" t="s">
        <v>273</v>
      </c>
      <c r="X107" s="11" t="s">
        <v>331</v>
      </c>
      <c r="Y107" s="15"/>
      <c r="Z107" s="15"/>
      <c r="AA107" s="135" t="str">
        <f>_xlfn.IFS(AND(COUNTIF(Y107,"SCB*")=1, 'PCH272'!M68&gt;=2), "See the Notice *1", TRUE, "")</f>
        <v/>
      </c>
      <c r="AB107" s="14"/>
      <c r="AC107" s="11" t="s">
        <v>272</v>
      </c>
      <c r="AD107" s="11" t="s">
        <v>351</v>
      </c>
      <c r="AE107" s="14"/>
      <c r="AF107" s="14"/>
    </row>
    <row r="108" spans="2:32" x14ac:dyDescent="0.2">
      <c r="B108" s="11" t="s">
        <v>184</v>
      </c>
      <c r="C108" s="11" t="s">
        <v>1725</v>
      </c>
      <c r="D108" s="11" t="s">
        <v>184</v>
      </c>
      <c r="E108" s="11" t="s">
        <v>1145</v>
      </c>
      <c r="F108" s="11" t="s">
        <v>1146</v>
      </c>
      <c r="G108" s="11" t="s">
        <v>1147</v>
      </c>
      <c r="H108" s="11" t="s">
        <v>1148</v>
      </c>
      <c r="I108" s="11" t="s">
        <v>612</v>
      </c>
      <c r="J108" s="11" t="s">
        <v>1149</v>
      </c>
      <c r="K108" s="11" t="s">
        <v>1150</v>
      </c>
      <c r="L108" s="11" t="s">
        <v>1151</v>
      </c>
      <c r="M108" s="12" t="s">
        <v>273</v>
      </c>
      <c r="N108" s="12" t="s">
        <v>273</v>
      </c>
      <c r="O108" s="12" t="s">
        <v>273</v>
      </c>
      <c r="P108" s="12" t="s">
        <v>273</v>
      </c>
      <c r="Q108" s="12" t="s">
        <v>273</v>
      </c>
      <c r="R108" s="11" t="s">
        <v>1152</v>
      </c>
      <c r="S108" s="12" t="s">
        <v>273</v>
      </c>
      <c r="T108" s="12" t="s">
        <v>273</v>
      </c>
      <c r="U108" s="12" t="s">
        <v>273</v>
      </c>
      <c r="V108" s="12" t="s">
        <v>273</v>
      </c>
      <c r="W108" s="12" t="s">
        <v>273</v>
      </c>
      <c r="X108" s="11" t="s">
        <v>332</v>
      </c>
      <c r="Y108" s="15"/>
      <c r="Z108" s="15"/>
      <c r="AA108" s="135" t="str">
        <f>_xlfn.IFS(AND(COUNTIF(Y108,"SCB*")=1, 'PCH272'!M68&gt;=2), "See the Notice *1", TRUE, "")</f>
        <v/>
      </c>
      <c r="AB108" s="14"/>
      <c r="AC108" s="11" t="s">
        <v>272</v>
      </c>
      <c r="AD108" s="11" t="s">
        <v>351</v>
      </c>
      <c r="AE108" s="14"/>
      <c r="AF108" s="14"/>
    </row>
    <row r="109" spans="2:32" x14ac:dyDescent="0.2">
      <c r="B109" s="11" t="s">
        <v>185</v>
      </c>
      <c r="C109" s="11" t="s">
        <v>1727</v>
      </c>
      <c r="D109" s="11" t="s">
        <v>185</v>
      </c>
      <c r="E109" s="11" t="s">
        <v>962</v>
      </c>
      <c r="F109" s="11" t="s">
        <v>1153</v>
      </c>
      <c r="G109" s="11" t="s">
        <v>964</v>
      </c>
      <c r="H109" s="11" t="s">
        <v>1154</v>
      </c>
      <c r="I109" s="11" t="s">
        <v>706</v>
      </c>
      <c r="J109" s="11" t="s">
        <v>1155</v>
      </c>
      <c r="K109" s="12" t="s">
        <v>273</v>
      </c>
      <c r="L109" s="11" t="s">
        <v>1156</v>
      </c>
      <c r="M109" s="12" t="s">
        <v>273</v>
      </c>
      <c r="N109" s="12" t="s">
        <v>273</v>
      </c>
      <c r="O109" s="12" t="s">
        <v>273</v>
      </c>
      <c r="P109" s="12" t="s">
        <v>273</v>
      </c>
      <c r="Q109" s="12" t="s">
        <v>273</v>
      </c>
      <c r="R109" s="11" t="s">
        <v>1157</v>
      </c>
      <c r="S109" s="12" t="s">
        <v>273</v>
      </c>
      <c r="T109" s="12" t="s">
        <v>273</v>
      </c>
      <c r="U109" s="12" t="s">
        <v>273</v>
      </c>
      <c r="V109" s="12" t="s">
        <v>273</v>
      </c>
      <c r="W109" s="12" t="s">
        <v>273</v>
      </c>
      <c r="X109" s="11" t="s">
        <v>333</v>
      </c>
      <c r="Y109" s="15"/>
      <c r="Z109" s="15"/>
      <c r="AA109" s="135" t="str">
        <f>_xlfn.IFS(AND(COUNTIF(Y109,"SCB*")=1, 'PCH272'!M68&gt;=2), "See the Notice *1", TRUE, "")</f>
        <v/>
      </c>
      <c r="AB109" s="14"/>
      <c r="AC109" s="11" t="s">
        <v>272</v>
      </c>
      <c r="AD109" s="11" t="s">
        <v>351</v>
      </c>
      <c r="AE109" s="14"/>
      <c r="AF109" s="14"/>
    </row>
    <row r="110" spans="2:32" x14ac:dyDescent="0.2">
      <c r="B110" s="11" t="s">
        <v>186</v>
      </c>
      <c r="C110" s="11" t="s">
        <v>1729</v>
      </c>
      <c r="D110" s="11" t="s">
        <v>186</v>
      </c>
      <c r="E110" s="11" t="s">
        <v>957</v>
      </c>
      <c r="F110" s="11" t="s">
        <v>1158</v>
      </c>
      <c r="G110" s="11" t="s">
        <v>959</v>
      </c>
      <c r="H110" s="11" t="s">
        <v>1159</v>
      </c>
      <c r="I110" s="11" t="s">
        <v>1160</v>
      </c>
      <c r="J110" s="12" t="s">
        <v>273</v>
      </c>
      <c r="K110" s="12" t="s">
        <v>273</v>
      </c>
      <c r="L110" s="11" t="s">
        <v>1161</v>
      </c>
      <c r="M110" s="11" t="s">
        <v>640</v>
      </c>
      <c r="N110" s="12" t="s">
        <v>273</v>
      </c>
      <c r="O110" s="12" t="s">
        <v>273</v>
      </c>
      <c r="P110" s="12" t="s">
        <v>273</v>
      </c>
      <c r="Q110" s="12" t="s">
        <v>273</v>
      </c>
      <c r="R110" s="12" t="s">
        <v>273</v>
      </c>
      <c r="S110" s="12" t="s">
        <v>273</v>
      </c>
      <c r="T110" s="12" t="s">
        <v>273</v>
      </c>
      <c r="U110" s="12" t="s">
        <v>273</v>
      </c>
      <c r="V110" s="12" t="s">
        <v>273</v>
      </c>
      <c r="W110" s="12" t="s">
        <v>273</v>
      </c>
      <c r="X110" s="11" t="s">
        <v>334</v>
      </c>
      <c r="Y110" s="15"/>
      <c r="Z110" s="13" t="s">
        <v>273</v>
      </c>
      <c r="AA110" s="135" t="str">
        <f>_xlfn.IFS(AND(COUNTIF(Y110,"SCB*")=1, 'PCH272'!M68&gt;=2), "See the Notice *1", TRUE, "")</f>
        <v/>
      </c>
      <c r="AB110" s="14"/>
      <c r="AC110" s="11" t="s">
        <v>272</v>
      </c>
      <c r="AD110" s="11" t="s">
        <v>254</v>
      </c>
      <c r="AE110" s="14"/>
      <c r="AF110" s="14"/>
    </row>
    <row r="111" spans="2:32" x14ac:dyDescent="0.2">
      <c r="B111" s="11" t="s">
        <v>187</v>
      </c>
      <c r="C111" s="11" t="s">
        <v>1731</v>
      </c>
      <c r="D111" s="11" t="s">
        <v>187</v>
      </c>
      <c r="E111" s="11" t="s">
        <v>952</v>
      </c>
      <c r="F111" s="11" t="s">
        <v>963</v>
      </c>
      <c r="G111" s="11" t="s">
        <v>954</v>
      </c>
      <c r="H111" s="11" t="s">
        <v>965</v>
      </c>
      <c r="I111" s="11" t="s">
        <v>1162</v>
      </c>
      <c r="J111" s="12" t="s">
        <v>273</v>
      </c>
      <c r="K111" s="12" t="s">
        <v>273</v>
      </c>
      <c r="L111" s="11" t="s">
        <v>1163</v>
      </c>
      <c r="M111" s="11" t="s">
        <v>714</v>
      </c>
      <c r="N111" s="12" t="s">
        <v>273</v>
      </c>
      <c r="O111" s="12" t="s">
        <v>273</v>
      </c>
      <c r="P111" s="12" t="s">
        <v>273</v>
      </c>
      <c r="Q111" s="12" t="s">
        <v>273</v>
      </c>
      <c r="R111" s="12" t="s">
        <v>273</v>
      </c>
      <c r="S111" s="12" t="s">
        <v>273</v>
      </c>
      <c r="T111" s="12" t="s">
        <v>273</v>
      </c>
      <c r="U111" s="12" t="s">
        <v>273</v>
      </c>
      <c r="V111" s="12" t="s">
        <v>273</v>
      </c>
      <c r="W111" s="12" t="s">
        <v>273</v>
      </c>
      <c r="X111" s="11" t="s">
        <v>335</v>
      </c>
      <c r="Y111" s="15"/>
      <c r="Z111" s="13" t="s">
        <v>273</v>
      </c>
      <c r="AA111" s="135" t="str">
        <f>_xlfn.IFS(AND(COUNTIF(Y111,"SCB*")=1, 'PCH272'!M68&gt;=2), "See the Notice *1", TRUE, "")</f>
        <v/>
      </c>
      <c r="AB111" s="14"/>
      <c r="AC111" s="11" t="s">
        <v>272</v>
      </c>
      <c r="AD111" s="11" t="s">
        <v>254</v>
      </c>
      <c r="AE111" s="14"/>
      <c r="AF111" s="14"/>
    </row>
    <row r="112" spans="2:32" x14ac:dyDescent="0.2">
      <c r="B112" s="11" t="s">
        <v>188</v>
      </c>
      <c r="C112" s="11" t="s">
        <v>1733</v>
      </c>
      <c r="D112" s="11" t="s">
        <v>188</v>
      </c>
      <c r="E112" s="11" t="s">
        <v>1164</v>
      </c>
      <c r="F112" s="11" t="s">
        <v>958</v>
      </c>
      <c r="G112" s="11" t="s">
        <v>1165</v>
      </c>
      <c r="H112" s="11" t="s">
        <v>960</v>
      </c>
      <c r="I112" s="11" t="s">
        <v>1166</v>
      </c>
      <c r="J112" s="12" t="s">
        <v>273</v>
      </c>
      <c r="K112" s="12" t="s">
        <v>273</v>
      </c>
      <c r="L112" s="11" t="s">
        <v>1167</v>
      </c>
      <c r="M112" s="11" t="s">
        <v>720</v>
      </c>
      <c r="N112" s="12" t="s">
        <v>273</v>
      </c>
      <c r="O112" s="12" t="s">
        <v>273</v>
      </c>
      <c r="P112" s="12" t="s">
        <v>273</v>
      </c>
      <c r="Q112" s="12" t="s">
        <v>273</v>
      </c>
      <c r="R112" s="12" t="s">
        <v>273</v>
      </c>
      <c r="S112" s="12" t="s">
        <v>273</v>
      </c>
      <c r="T112" s="12" t="s">
        <v>273</v>
      </c>
      <c r="U112" s="12" t="s">
        <v>273</v>
      </c>
      <c r="V112" s="12" t="s">
        <v>273</v>
      </c>
      <c r="W112" s="12" t="s">
        <v>273</v>
      </c>
      <c r="X112" s="11" t="s">
        <v>336</v>
      </c>
      <c r="Y112" s="15"/>
      <c r="Z112" s="13" t="s">
        <v>273</v>
      </c>
      <c r="AA112" s="135" t="str">
        <f>_xlfn.IFS(AND(COUNTIF(Y112,"SCB*")=1, 'PCH272'!M68&gt;=2), "See the Notice *1", TRUE, "")</f>
        <v/>
      </c>
      <c r="AB112" s="14"/>
      <c r="AC112" s="11" t="s">
        <v>272</v>
      </c>
      <c r="AD112" s="11" t="s">
        <v>254</v>
      </c>
      <c r="AE112" s="14"/>
      <c r="AF112" s="14"/>
    </row>
    <row r="113" spans="2:32" x14ac:dyDescent="0.2">
      <c r="B113" s="16" t="s">
        <v>189</v>
      </c>
      <c r="C113" s="11" t="s">
        <v>1735</v>
      </c>
      <c r="D113" s="16" t="s">
        <v>189</v>
      </c>
      <c r="E113" s="16" t="s">
        <v>1164</v>
      </c>
      <c r="F113" s="16" t="s">
        <v>953</v>
      </c>
      <c r="G113" s="16" t="s">
        <v>1165</v>
      </c>
      <c r="H113" s="16" t="s">
        <v>955</v>
      </c>
      <c r="I113" s="16" t="s">
        <v>1168</v>
      </c>
      <c r="J113" s="12" t="s">
        <v>273</v>
      </c>
      <c r="K113" s="12" t="s">
        <v>273</v>
      </c>
      <c r="L113" s="12" t="s">
        <v>273</v>
      </c>
      <c r="M113" s="12" t="s">
        <v>273</v>
      </c>
      <c r="N113" s="12" t="s">
        <v>273</v>
      </c>
      <c r="O113" s="12" t="s">
        <v>273</v>
      </c>
      <c r="P113" s="12" t="s">
        <v>273</v>
      </c>
      <c r="Q113" s="12" t="s">
        <v>273</v>
      </c>
      <c r="R113" s="12" t="s">
        <v>273</v>
      </c>
      <c r="S113" s="12" t="s">
        <v>273</v>
      </c>
      <c r="T113" s="12" t="s">
        <v>273</v>
      </c>
      <c r="U113" s="12" t="s">
        <v>273</v>
      </c>
      <c r="V113" s="12" t="s">
        <v>273</v>
      </c>
      <c r="W113" s="12" t="s">
        <v>273</v>
      </c>
      <c r="X113" s="11" t="s">
        <v>337</v>
      </c>
      <c r="Y113" s="15"/>
      <c r="Z113" s="13" t="s">
        <v>273</v>
      </c>
      <c r="AA113" s="135"/>
      <c r="AB113" s="14"/>
      <c r="AC113" s="11" t="s">
        <v>272</v>
      </c>
      <c r="AD113" s="11" t="s">
        <v>254</v>
      </c>
      <c r="AE113" s="14"/>
      <c r="AF113" s="14"/>
    </row>
    <row r="114" spans="2:32" x14ac:dyDescent="0.2">
      <c r="B114" s="11" t="s">
        <v>1176</v>
      </c>
      <c r="C114" s="11" t="s">
        <v>1736</v>
      </c>
      <c r="D114" s="11" t="s">
        <v>1176</v>
      </c>
      <c r="E114" s="11" t="s">
        <v>1177</v>
      </c>
      <c r="F114" s="11" t="s">
        <v>1178</v>
      </c>
      <c r="G114" s="11" t="s">
        <v>1179</v>
      </c>
      <c r="H114" s="11" t="s">
        <v>1180</v>
      </c>
      <c r="I114" s="12" t="s">
        <v>273</v>
      </c>
      <c r="J114" s="12" t="s">
        <v>273</v>
      </c>
      <c r="K114" s="12" t="s">
        <v>273</v>
      </c>
      <c r="L114" s="12" t="s">
        <v>273</v>
      </c>
      <c r="M114" s="12" t="s">
        <v>273</v>
      </c>
      <c r="N114" s="12" t="s">
        <v>273</v>
      </c>
      <c r="O114" s="12" t="s">
        <v>273</v>
      </c>
      <c r="P114" s="12" t="s">
        <v>273</v>
      </c>
      <c r="Q114" s="12" t="s">
        <v>273</v>
      </c>
      <c r="R114" s="12" t="s">
        <v>273</v>
      </c>
      <c r="S114" s="12" t="s">
        <v>273</v>
      </c>
      <c r="T114" s="12" t="s">
        <v>273</v>
      </c>
      <c r="U114" s="12" t="s">
        <v>273</v>
      </c>
      <c r="V114" s="12" t="s">
        <v>273</v>
      </c>
      <c r="W114" s="12" t="s">
        <v>273</v>
      </c>
      <c r="X114" s="11" t="s">
        <v>338</v>
      </c>
      <c r="Y114" s="15"/>
      <c r="Z114" s="13" t="s">
        <v>273</v>
      </c>
      <c r="AA114" s="135"/>
      <c r="AB114" s="14"/>
      <c r="AC114" s="11" t="s">
        <v>272</v>
      </c>
      <c r="AD114" s="11" t="s">
        <v>254</v>
      </c>
      <c r="AE114" s="14"/>
      <c r="AF114" s="14"/>
    </row>
    <row r="115" spans="2:32" x14ac:dyDescent="0.2">
      <c r="B115" s="11" t="s">
        <v>1181</v>
      </c>
      <c r="C115" s="11" t="s">
        <v>1738</v>
      </c>
      <c r="D115" s="11" t="s">
        <v>1181</v>
      </c>
      <c r="E115" s="11" t="s">
        <v>1182</v>
      </c>
      <c r="F115" s="11" t="s">
        <v>1183</v>
      </c>
      <c r="G115" s="11" t="s">
        <v>1184</v>
      </c>
      <c r="H115" s="11" t="s">
        <v>1185</v>
      </c>
      <c r="I115" s="12" t="s">
        <v>273</v>
      </c>
      <c r="J115" s="12" t="s">
        <v>273</v>
      </c>
      <c r="K115" s="12" t="s">
        <v>273</v>
      </c>
      <c r="L115" s="12" t="s">
        <v>273</v>
      </c>
      <c r="M115" s="12" t="s">
        <v>273</v>
      </c>
      <c r="N115" s="12" t="s">
        <v>273</v>
      </c>
      <c r="O115" s="12" t="s">
        <v>273</v>
      </c>
      <c r="P115" s="12" t="s">
        <v>273</v>
      </c>
      <c r="Q115" s="12" t="s">
        <v>273</v>
      </c>
      <c r="R115" s="12" t="s">
        <v>273</v>
      </c>
      <c r="S115" s="12" t="s">
        <v>273</v>
      </c>
      <c r="T115" s="12" t="s">
        <v>273</v>
      </c>
      <c r="U115" s="12" t="s">
        <v>273</v>
      </c>
      <c r="V115" s="12" t="s">
        <v>273</v>
      </c>
      <c r="W115" s="12" t="s">
        <v>273</v>
      </c>
      <c r="X115" s="11" t="s">
        <v>339</v>
      </c>
      <c r="Y115" s="15"/>
      <c r="Z115" s="13" t="s">
        <v>273</v>
      </c>
      <c r="AA115" s="135"/>
      <c r="AB115" s="14"/>
      <c r="AC115" s="11" t="s">
        <v>272</v>
      </c>
      <c r="AD115" s="11" t="s">
        <v>254</v>
      </c>
      <c r="AE115" s="14"/>
      <c r="AF115" s="14"/>
    </row>
    <row r="116" spans="2:32" x14ac:dyDescent="0.2">
      <c r="B116" s="11" t="s">
        <v>1186</v>
      </c>
      <c r="C116" s="11" t="s">
        <v>1740</v>
      </c>
      <c r="D116" s="11" t="s">
        <v>1186</v>
      </c>
      <c r="E116" s="11" t="s">
        <v>1187</v>
      </c>
      <c r="F116" s="11" t="s">
        <v>1188</v>
      </c>
      <c r="G116" s="11" t="s">
        <v>1189</v>
      </c>
      <c r="H116" s="11" t="s">
        <v>1190</v>
      </c>
      <c r="I116" s="12" t="s">
        <v>273</v>
      </c>
      <c r="J116" s="12" t="s">
        <v>273</v>
      </c>
      <c r="K116" s="12" t="s">
        <v>273</v>
      </c>
      <c r="L116" s="12" t="s">
        <v>273</v>
      </c>
      <c r="M116" s="12" t="s">
        <v>273</v>
      </c>
      <c r="N116" s="12" t="s">
        <v>273</v>
      </c>
      <c r="O116" s="12" t="s">
        <v>273</v>
      </c>
      <c r="P116" s="12" t="s">
        <v>273</v>
      </c>
      <c r="Q116" s="12" t="s">
        <v>273</v>
      </c>
      <c r="R116" s="12" t="s">
        <v>273</v>
      </c>
      <c r="S116" s="12" t="s">
        <v>273</v>
      </c>
      <c r="T116" s="12" t="s">
        <v>273</v>
      </c>
      <c r="U116" s="12" t="s">
        <v>273</v>
      </c>
      <c r="V116" s="12" t="s">
        <v>273</v>
      </c>
      <c r="W116" s="12" t="s">
        <v>273</v>
      </c>
      <c r="X116" s="11" t="s">
        <v>340</v>
      </c>
      <c r="Y116" s="15"/>
      <c r="Z116" s="13" t="s">
        <v>273</v>
      </c>
      <c r="AA116" s="135"/>
      <c r="AB116" s="14"/>
      <c r="AC116" s="11" t="s">
        <v>272</v>
      </c>
      <c r="AD116" s="11" t="s">
        <v>254</v>
      </c>
      <c r="AE116" s="14"/>
      <c r="AF116" s="14"/>
    </row>
    <row r="117" spans="2:32" x14ac:dyDescent="0.2">
      <c r="B117" s="11" t="s">
        <v>1191</v>
      </c>
      <c r="C117" s="11" t="s">
        <v>1742</v>
      </c>
      <c r="D117" s="11" t="s">
        <v>1191</v>
      </c>
      <c r="E117" s="11" t="s">
        <v>1192</v>
      </c>
      <c r="F117" s="11" t="s">
        <v>1193</v>
      </c>
      <c r="G117" s="11" t="s">
        <v>1194</v>
      </c>
      <c r="H117" s="11" t="s">
        <v>1195</v>
      </c>
      <c r="I117" s="12" t="s">
        <v>273</v>
      </c>
      <c r="J117" s="12" t="s">
        <v>273</v>
      </c>
      <c r="K117" s="12" t="s">
        <v>273</v>
      </c>
      <c r="L117" s="12" t="s">
        <v>273</v>
      </c>
      <c r="M117" s="12" t="s">
        <v>273</v>
      </c>
      <c r="N117" s="12" t="s">
        <v>273</v>
      </c>
      <c r="O117" s="12" t="s">
        <v>273</v>
      </c>
      <c r="P117" s="12" t="s">
        <v>273</v>
      </c>
      <c r="Q117" s="12" t="s">
        <v>273</v>
      </c>
      <c r="R117" s="12" t="s">
        <v>273</v>
      </c>
      <c r="S117" s="12" t="s">
        <v>273</v>
      </c>
      <c r="T117" s="12" t="s">
        <v>273</v>
      </c>
      <c r="U117" s="12" t="s">
        <v>273</v>
      </c>
      <c r="V117" s="12" t="s">
        <v>273</v>
      </c>
      <c r="W117" s="12" t="s">
        <v>273</v>
      </c>
      <c r="X117" s="11" t="s">
        <v>341</v>
      </c>
      <c r="Y117" s="15"/>
      <c r="Z117" s="13" t="s">
        <v>273</v>
      </c>
      <c r="AA117" s="135"/>
      <c r="AB117" s="14"/>
      <c r="AC117" s="11" t="s">
        <v>272</v>
      </c>
      <c r="AD117" s="11" t="s">
        <v>254</v>
      </c>
      <c r="AE117" s="14"/>
      <c r="AF117" s="14"/>
    </row>
    <row r="118" spans="2:32" x14ac:dyDescent="0.2">
      <c r="B118" s="11" t="s">
        <v>190</v>
      </c>
      <c r="C118" s="11" t="s">
        <v>1744</v>
      </c>
      <c r="D118" s="11" t="s">
        <v>190</v>
      </c>
      <c r="E118" s="11" t="s">
        <v>952</v>
      </c>
      <c r="F118" s="11" t="s">
        <v>953</v>
      </c>
      <c r="G118" s="11" t="s">
        <v>954</v>
      </c>
      <c r="H118" s="11" t="s">
        <v>955</v>
      </c>
      <c r="I118" s="12" t="s">
        <v>273</v>
      </c>
      <c r="J118" s="12" t="s">
        <v>273</v>
      </c>
      <c r="K118" s="12" t="s">
        <v>273</v>
      </c>
      <c r="L118" s="12" t="s">
        <v>273</v>
      </c>
      <c r="M118" s="11" t="s">
        <v>640</v>
      </c>
      <c r="N118" s="11" t="s">
        <v>191</v>
      </c>
      <c r="O118" s="12" t="s">
        <v>273</v>
      </c>
      <c r="P118" s="12" t="s">
        <v>273</v>
      </c>
      <c r="Q118" s="12" t="s">
        <v>273</v>
      </c>
      <c r="R118" s="12" t="s">
        <v>273</v>
      </c>
      <c r="S118" s="12" t="s">
        <v>273</v>
      </c>
      <c r="T118" s="12" t="s">
        <v>273</v>
      </c>
      <c r="U118" s="12" t="s">
        <v>273</v>
      </c>
      <c r="V118" s="12" t="s">
        <v>273</v>
      </c>
      <c r="W118" s="12" t="s">
        <v>273</v>
      </c>
      <c r="X118" s="11" t="s">
        <v>1745</v>
      </c>
      <c r="Y118" s="15"/>
      <c r="Z118" s="15"/>
      <c r="AA118" s="135"/>
      <c r="AB118" s="14"/>
      <c r="AC118" s="11" t="s">
        <v>272</v>
      </c>
      <c r="AD118" s="11" t="s">
        <v>254</v>
      </c>
      <c r="AE118" s="14"/>
      <c r="AF118" s="14"/>
    </row>
    <row r="119" spans="2:32" x14ac:dyDescent="0.2">
      <c r="B119" s="11" t="s">
        <v>192</v>
      </c>
      <c r="C119" s="11" t="s">
        <v>1746</v>
      </c>
      <c r="D119" s="11" t="s">
        <v>192</v>
      </c>
      <c r="E119" s="11" t="s">
        <v>957</v>
      </c>
      <c r="F119" s="11" t="s">
        <v>958</v>
      </c>
      <c r="G119" s="11" t="s">
        <v>959</v>
      </c>
      <c r="H119" s="11" t="s">
        <v>960</v>
      </c>
      <c r="I119" s="12" t="s">
        <v>273</v>
      </c>
      <c r="J119" s="11" t="s">
        <v>1196</v>
      </c>
      <c r="K119" s="12" t="s">
        <v>273</v>
      </c>
      <c r="L119" s="12" t="s">
        <v>273</v>
      </c>
      <c r="M119" s="11" t="s">
        <v>714</v>
      </c>
      <c r="N119" s="11" t="s">
        <v>193</v>
      </c>
      <c r="O119" s="12" t="s">
        <v>273</v>
      </c>
      <c r="P119" s="12" t="s">
        <v>273</v>
      </c>
      <c r="Q119" s="12" t="s">
        <v>273</v>
      </c>
      <c r="R119" s="12" t="s">
        <v>273</v>
      </c>
      <c r="S119" s="12" t="s">
        <v>273</v>
      </c>
      <c r="T119" s="12" t="s">
        <v>273</v>
      </c>
      <c r="U119" s="12" t="s">
        <v>273</v>
      </c>
      <c r="V119" s="12" t="s">
        <v>273</v>
      </c>
      <c r="W119" s="12" t="s">
        <v>273</v>
      </c>
      <c r="X119" s="11" t="s">
        <v>1747</v>
      </c>
      <c r="Y119" s="15"/>
      <c r="Z119" s="15"/>
      <c r="AA119" s="135" t="str">
        <f>_xlfn.IFS(AND(COUNTIF(Y119,"SCB*")=1, 'PCH272'!G68&gt;=2), "See the Notice *1", TRUE, "")</f>
        <v/>
      </c>
      <c r="AB119" s="14"/>
      <c r="AC119" s="11" t="s">
        <v>272</v>
      </c>
      <c r="AD119" s="11" t="s">
        <v>254</v>
      </c>
      <c r="AE119" s="14"/>
      <c r="AF119" s="14"/>
    </row>
    <row r="120" spans="2:32" x14ac:dyDescent="0.2">
      <c r="B120" s="11" t="s">
        <v>194</v>
      </c>
      <c r="C120" s="11" t="s">
        <v>1748</v>
      </c>
      <c r="D120" s="11" t="s">
        <v>194</v>
      </c>
      <c r="E120" s="11" t="s">
        <v>962</v>
      </c>
      <c r="F120" s="11" t="s">
        <v>963</v>
      </c>
      <c r="G120" s="11" t="s">
        <v>964</v>
      </c>
      <c r="H120" s="11" t="s">
        <v>965</v>
      </c>
      <c r="I120" s="12" t="s">
        <v>273</v>
      </c>
      <c r="J120" s="11" t="s">
        <v>1197</v>
      </c>
      <c r="K120" s="11" t="s">
        <v>1198</v>
      </c>
      <c r="L120" s="12" t="s">
        <v>273</v>
      </c>
      <c r="M120" s="11" t="s">
        <v>2333</v>
      </c>
      <c r="N120" s="12" t="s">
        <v>273</v>
      </c>
      <c r="O120" s="12" t="s">
        <v>273</v>
      </c>
      <c r="P120" s="12" t="s">
        <v>273</v>
      </c>
      <c r="Q120" s="12" t="s">
        <v>273</v>
      </c>
      <c r="R120" s="12" t="s">
        <v>273</v>
      </c>
      <c r="S120" s="12" t="s">
        <v>273</v>
      </c>
      <c r="T120" s="12" t="s">
        <v>273</v>
      </c>
      <c r="U120" s="12" t="s">
        <v>273</v>
      </c>
      <c r="V120" s="12" t="s">
        <v>273</v>
      </c>
      <c r="W120" s="12" t="s">
        <v>273</v>
      </c>
      <c r="X120" s="11" t="s">
        <v>1749</v>
      </c>
      <c r="Y120" s="15"/>
      <c r="Z120" s="15"/>
      <c r="AA120" s="135" t="str">
        <f>_xlfn.IFS(AND(COUNTIF(Y120,"SCB*")=1, 'PCH272'!G68&gt;=2), "See the Notice *1", TRUE, "")</f>
        <v/>
      </c>
      <c r="AB120" s="14"/>
      <c r="AC120" s="11" t="s">
        <v>272</v>
      </c>
      <c r="AD120" s="11" t="s">
        <v>254</v>
      </c>
      <c r="AE120" s="14"/>
      <c r="AF120" s="14"/>
    </row>
    <row r="121" spans="2:32" x14ac:dyDescent="0.2">
      <c r="B121" s="11" t="s">
        <v>195</v>
      </c>
      <c r="C121" s="11" t="s">
        <v>1751</v>
      </c>
      <c r="D121" s="11" t="s">
        <v>195</v>
      </c>
      <c r="E121" s="11" t="s">
        <v>1145</v>
      </c>
      <c r="F121" s="11" t="s">
        <v>1158</v>
      </c>
      <c r="G121" s="11" t="s">
        <v>1147</v>
      </c>
      <c r="H121" s="11" t="s">
        <v>1159</v>
      </c>
      <c r="I121" s="11" t="s">
        <v>1199</v>
      </c>
      <c r="J121" s="11" t="s">
        <v>1200</v>
      </c>
      <c r="K121" s="11" t="s">
        <v>1201</v>
      </c>
      <c r="L121" s="12" t="s">
        <v>273</v>
      </c>
      <c r="M121" s="12" t="s">
        <v>273</v>
      </c>
      <c r="N121" s="11" t="s">
        <v>1202</v>
      </c>
      <c r="O121" s="12" t="s">
        <v>273</v>
      </c>
      <c r="P121" s="12" t="s">
        <v>273</v>
      </c>
      <c r="Q121" s="12" t="s">
        <v>273</v>
      </c>
      <c r="R121" s="12" t="s">
        <v>273</v>
      </c>
      <c r="S121" s="11" t="s">
        <v>196</v>
      </c>
      <c r="T121" s="12" t="s">
        <v>273</v>
      </c>
      <c r="U121" s="12" t="s">
        <v>273</v>
      </c>
      <c r="V121" s="12" t="s">
        <v>273</v>
      </c>
      <c r="W121" s="12" t="s">
        <v>273</v>
      </c>
      <c r="X121" s="11" t="s">
        <v>1752</v>
      </c>
      <c r="Y121" s="15"/>
      <c r="Z121" s="15"/>
      <c r="AA121" s="135" t="str">
        <f>_xlfn.IFS(AND(COUNTIF(Y121,"SCB*")=1, 'PCH272'!G68&gt;=2), "See the Notice *1", TRUE, "")</f>
        <v/>
      </c>
      <c r="AB121" s="14"/>
      <c r="AC121" s="11" t="s">
        <v>272</v>
      </c>
      <c r="AD121" s="11" t="s">
        <v>254</v>
      </c>
      <c r="AE121" s="14"/>
      <c r="AF121" s="14"/>
    </row>
    <row r="122" spans="2:32" x14ac:dyDescent="0.2">
      <c r="B122" s="11" t="s">
        <v>197</v>
      </c>
      <c r="C122" s="11" t="s">
        <v>1754</v>
      </c>
      <c r="D122" s="11" t="s">
        <v>197</v>
      </c>
      <c r="E122" s="11" t="s">
        <v>1136</v>
      </c>
      <c r="F122" s="11" t="s">
        <v>1153</v>
      </c>
      <c r="G122" s="11" t="s">
        <v>1138</v>
      </c>
      <c r="H122" s="11" t="s">
        <v>1154</v>
      </c>
      <c r="I122" s="11" t="s">
        <v>1203</v>
      </c>
      <c r="J122" s="11" t="s">
        <v>1204</v>
      </c>
      <c r="K122" s="12" t="s">
        <v>273</v>
      </c>
      <c r="L122" s="12" t="s">
        <v>273</v>
      </c>
      <c r="M122" s="12" t="s">
        <v>273</v>
      </c>
      <c r="N122" s="11" t="s">
        <v>1205</v>
      </c>
      <c r="O122" s="12" t="s">
        <v>273</v>
      </c>
      <c r="P122" s="12" t="s">
        <v>273</v>
      </c>
      <c r="Q122" s="12" t="s">
        <v>273</v>
      </c>
      <c r="R122" s="12" t="s">
        <v>273</v>
      </c>
      <c r="S122" s="11" t="s">
        <v>198</v>
      </c>
      <c r="T122" s="12" t="s">
        <v>273</v>
      </c>
      <c r="U122" s="12" t="s">
        <v>273</v>
      </c>
      <c r="V122" s="12" t="s">
        <v>273</v>
      </c>
      <c r="W122" s="12" t="s">
        <v>273</v>
      </c>
      <c r="X122" s="11" t="s">
        <v>1755</v>
      </c>
      <c r="Y122" s="15"/>
      <c r="Z122" s="15"/>
      <c r="AA122" s="135" t="str">
        <f>_xlfn.IFS(AND(COUNTIF(Y122,"SCB*")=1, 'PCH272'!G68&gt;=2), "See the Notice *1", TRUE, "")</f>
        <v/>
      </c>
      <c r="AB122" s="14"/>
      <c r="AC122" s="11" t="s">
        <v>272</v>
      </c>
      <c r="AD122" s="11" t="s">
        <v>254</v>
      </c>
      <c r="AE122" s="14"/>
      <c r="AF122" s="14"/>
    </row>
    <row r="123" spans="2:32" x14ac:dyDescent="0.2">
      <c r="B123" s="11" t="s">
        <v>199</v>
      </c>
      <c r="C123" s="11" t="s">
        <v>1757</v>
      </c>
      <c r="D123" s="11" t="s">
        <v>199</v>
      </c>
      <c r="E123" s="11" t="s">
        <v>1128</v>
      </c>
      <c r="F123" s="11" t="s">
        <v>1146</v>
      </c>
      <c r="G123" s="11" t="s">
        <v>1130</v>
      </c>
      <c r="H123" s="11" t="s">
        <v>1148</v>
      </c>
      <c r="I123" s="11" t="s">
        <v>1206</v>
      </c>
      <c r="J123" s="12" t="s">
        <v>273</v>
      </c>
      <c r="K123" s="11" t="s">
        <v>733</v>
      </c>
      <c r="L123" s="12" t="s">
        <v>273</v>
      </c>
      <c r="M123" s="12" t="s">
        <v>273</v>
      </c>
      <c r="N123" s="11" t="s">
        <v>1207</v>
      </c>
      <c r="O123" s="12" t="s">
        <v>273</v>
      </c>
      <c r="P123" s="12" t="s">
        <v>273</v>
      </c>
      <c r="Q123" s="12" t="s">
        <v>273</v>
      </c>
      <c r="R123" s="12" t="s">
        <v>273</v>
      </c>
      <c r="S123" s="12" t="s">
        <v>273</v>
      </c>
      <c r="T123" s="12" t="s">
        <v>273</v>
      </c>
      <c r="U123" s="12" t="s">
        <v>273</v>
      </c>
      <c r="V123" s="12" t="s">
        <v>273</v>
      </c>
      <c r="W123" s="12" t="s">
        <v>273</v>
      </c>
      <c r="X123" s="11" t="s">
        <v>1758</v>
      </c>
      <c r="Y123" s="15"/>
      <c r="Z123" s="15"/>
      <c r="AA123" s="135" t="str">
        <f>_xlfn.IFS(AND(COUNTIF(Y123,"SCB*")=1, 'PCH272'!G68&gt;=2), "See the Notice *1", TRUE, "")</f>
        <v/>
      </c>
      <c r="AB123" s="14"/>
      <c r="AC123" s="11" t="s">
        <v>272</v>
      </c>
      <c r="AD123" s="11" t="s">
        <v>254</v>
      </c>
      <c r="AE123" s="14"/>
      <c r="AF123" s="14"/>
    </row>
    <row r="124" spans="2:32" x14ac:dyDescent="0.2">
      <c r="B124" s="11" t="s">
        <v>200</v>
      </c>
      <c r="C124" s="11" t="s">
        <v>1760</v>
      </c>
      <c r="D124" s="11" t="s">
        <v>200</v>
      </c>
      <c r="E124" s="11" t="s">
        <v>790</v>
      </c>
      <c r="F124" s="11" t="s">
        <v>1137</v>
      </c>
      <c r="G124" s="11" t="s">
        <v>791</v>
      </c>
      <c r="H124" s="11" t="s">
        <v>1139</v>
      </c>
      <c r="I124" s="11" t="s">
        <v>1208</v>
      </c>
      <c r="J124" s="12" t="s">
        <v>273</v>
      </c>
      <c r="K124" s="11" t="s">
        <v>747</v>
      </c>
      <c r="L124" s="12" t="s">
        <v>273</v>
      </c>
      <c r="M124" s="12" t="s">
        <v>273</v>
      </c>
      <c r="N124" s="11" t="s">
        <v>1209</v>
      </c>
      <c r="O124" s="12" t="s">
        <v>273</v>
      </c>
      <c r="P124" s="12" t="s">
        <v>273</v>
      </c>
      <c r="Q124" s="13" t="s">
        <v>273</v>
      </c>
      <c r="R124" s="13" t="s">
        <v>273</v>
      </c>
      <c r="S124" s="13" t="s">
        <v>273</v>
      </c>
      <c r="T124" s="13" t="s">
        <v>273</v>
      </c>
      <c r="U124" s="13" t="s">
        <v>273</v>
      </c>
      <c r="V124" s="13" t="s">
        <v>273</v>
      </c>
      <c r="W124" s="13" t="s">
        <v>273</v>
      </c>
      <c r="X124" s="11" t="s">
        <v>1761</v>
      </c>
      <c r="Y124" s="15"/>
      <c r="Z124" s="15"/>
      <c r="AA124" s="135" t="str">
        <f>_xlfn.IFS(AND(COUNTIF(Y124,"SCB*")=1, 'PCH272'!G68&gt;=2), "See the Notice *1", TRUE, "")</f>
        <v/>
      </c>
      <c r="AB124" s="14"/>
      <c r="AC124" s="11" t="s">
        <v>272</v>
      </c>
      <c r="AD124" s="11" t="s">
        <v>254</v>
      </c>
      <c r="AE124" s="14"/>
      <c r="AF124" s="14"/>
    </row>
    <row r="125" spans="2:32" x14ac:dyDescent="0.2">
      <c r="B125" s="11" t="s">
        <v>201</v>
      </c>
      <c r="C125" s="11" t="s">
        <v>1763</v>
      </c>
      <c r="D125" s="11" t="s">
        <v>201</v>
      </c>
      <c r="E125" s="11" t="s">
        <v>803</v>
      </c>
      <c r="F125" s="11" t="s">
        <v>796</v>
      </c>
      <c r="G125" s="11" t="s">
        <v>805</v>
      </c>
      <c r="H125" s="11" t="s">
        <v>798</v>
      </c>
      <c r="I125" s="12" t="s">
        <v>273</v>
      </c>
      <c r="J125" s="12" t="s">
        <v>273</v>
      </c>
      <c r="K125" s="11" t="s">
        <v>1210</v>
      </c>
      <c r="L125" s="12" t="s">
        <v>273</v>
      </c>
      <c r="M125" s="12" t="s">
        <v>273</v>
      </c>
      <c r="N125" s="11" t="s">
        <v>892</v>
      </c>
      <c r="O125" s="12" t="s">
        <v>273</v>
      </c>
      <c r="P125" s="12" t="s">
        <v>273</v>
      </c>
      <c r="Q125" s="13" t="s">
        <v>273</v>
      </c>
      <c r="R125" s="13" t="s">
        <v>273</v>
      </c>
      <c r="S125" s="13" t="s">
        <v>273</v>
      </c>
      <c r="T125" s="13" t="s">
        <v>273</v>
      </c>
      <c r="U125" s="13" t="s">
        <v>273</v>
      </c>
      <c r="V125" s="13" t="s">
        <v>273</v>
      </c>
      <c r="W125" s="13" t="s">
        <v>273</v>
      </c>
      <c r="X125" s="11" t="s">
        <v>1764</v>
      </c>
      <c r="Y125" s="15"/>
      <c r="Z125" s="15"/>
      <c r="AA125" s="135"/>
      <c r="AB125" s="14"/>
      <c r="AC125" s="11" t="s">
        <v>272</v>
      </c>
      <c r="AD125" s="11" t="s">
        <v>254</v>
      </c>
      <c r="AE125" s="14"/>
      <c r="AF125" s="14"/>
    </row>
    <row r="126" spans="2:32" x14ac:dyDescent="0.2">
      <c r="B126" s="11" t="s">
        <v>202</v>
      </c>
      <c r="C126" s="11" t="s">
        <v>1765</v>
      </c>
      <c r="D126" s="11" t="s">
        <v>202</v>
      </c>
      <c r="E126" s="11" t="s">
        <v>835</v>
      </c>
      <c r="F126" s="11" t="s">
        <v>813</v>
      </c>
      <c r="G126" s="11" t="s">
        <v>837</v>
      </c>
      <c r="H126" s="11" t="s">
        <v>815</v>
      </c>
      <c r="I126" s="11" t="s">
        <v>1160</v>
      </c>
      <c r="J126" s="11" t="s">
        <v>1211</v>
      </c>
      <c r="K126" s="12" t="s">
        <v>273</v>
      </c>
      <c r="L126" s="11" t="s">
        <v>1212</v>
      </c>
      <c r="M126" s="12" t="s">
        <v>273</v>
      </c>
      <c r="N126" s="11" t="s">
        <v>898</v>
      </c>
      <c r="O126" s="12" t="s">
        <v>273</v>
      </c>
      <c r="P126" s="12" t="s">
        <v>273</v>
      </c>
      <c r="Q126" s="11" t="s">
        <v>1261</v>
      </c>
      <c r="R126" s="13" t="s">
        <v>273</v>
      </c>
      <c r="S126" s="13" t="s">
        <v>273</v>
      </c>
      <c r="T126" s="11" t="s">
        <v>2677</v>
      </c>
      <c r="U126" s="13" t="s">
        <v>273</v>
      </c>
      <c r="V126" s="13" t="s">
        <v>273</v>
      </c>
      <c r="W126" s="13" t="s">
        <v>273</v>
      </c>
      <c r="X126" s="11" t="s">
        <v>1766</v>
      </c>
      <c r="Y126" s="15"/>
      <c r="Z126" s="13" t="s">
        <v>273</v>
      </c>
      <c r="AA126" s="135" t="str">
        <f>_xlfn.IFS(AND(COUNTIF(Y126,"SCB*")=1, 'PCH272'!E68&gt;=2), "See the Notice *1", TRUE, "")</f>
        <v/>
      </c>
      <c r="AB126" s="14"/>
      <c r="AC126" s="11" t="s">
        <v>272</v>
      </c>
      <c r="AD126" s="11" t="s">
        <v>254</v>
      </c>
      <c r="AE126" s="14"/>
      <c r="AF126" s="14"/>
    </row>
    <row r="127" spans="2:32" x14ac:dyDescent="0.2">
      <c r="B127" s="11" t="s">
        <v>203</v>
      </c>
      <c r="C127" s="11" t="s">
        <v>1768</v>
      </c>
      <c r="D127" s="11" t="s">
        <v>203</v>
      </c>
      <c r="E127" s="11" t="s">
        <v>848</v>
      </c>
      <c r="F127" s="11" t="s">
        <v>843</v>
      </c>
      <c r="G127" s="11" t="s">
        <v>849</v>
      </c>
      <c r="H127" s="11" t="s">
        <v>844</v>
      </c>
      <c r="I127" s="11" t="s">
        <v>1162</v>
      </c>
      <c r="J127" s="11" t="s">
        <v>1213</v>
      </c>
      <c r="K127" s="11" t="s">
        <v>1214</v>
      </c>
      <c r="L127" s="11" t="s">
        <v>1215</v>
      </c>
      <c r="M127" s="12" t="s">
        <v>273</v>
      </c>
      <c r="N127" s="11" t="s">
        <v>1216</v>
      </c>
      <c r="O127" s="12" t="s">
        <v>273</v>
      </c>
      <c r="P127" s="12" t="s">
        <v>273</v>
      </c>
      <c r="Q127" s="11" t="s">
        <v>1217</v>
      </c>
      <c r="R127" s="13" t="s">
        <v>273</v>
      </c>
      <c r="S127" s="13" t="s">
        <v>273</v>
      </c>
      <c r="T127" s="11" t="s">
        <v>2679</v>
      </c>
      <c r="U127" s="13" t="s">
        <v>273</v>
      </c>
      <c r="V127" s="13" t="s">
        <v>273</v>
      </c>
      <c r="W127" s="13" t="s">
        <v>273</v>
      </c>
      <c r="X127" s="11" t="s">
        <v>1769</v>
      </c>
      <c r="Y127" s="15"/>
      <c r="Z127" s="13" t="s">
        <v>273</v>
      </c>
      <c r="AA127" s="135" t="str">
        <f>_xlfn.IFS(AND(COUNTIF(Y127,"SCB*")=1, 'PCH272'!E68&gt;=2), "See the Notice *1", TRUE, "")</f>
        <v/>
      </c>
      <c r="AB127" s="14"/>
      <c r="AC127" s="11" t="s">
        <v>272</v>
      </c>
      <c r="AD127" s="11" t="s">
        <v>254</v>
      </c>
      <c r="AE127" s="14"/>
      <c r="AF127" s="14"/>
    </row>
    <row r="128" spans="2:32" x14ac:dyDescent="0.2">
      <c r="B128" s="11" t="s">
        <v>204</v>
      </c>
      <c r="C128" s="11" t="s">
        <v>1771</v>
      </c>
      <c r="D128" s="11" t="s">
        <v>204</v>
      </c>
      <c r="E128" s="11" t="s">
        <v>1123</v>
      </c>
      <c r="F128" s="11" t="s">
        <v>850</v>
      </c>
      <c r="G128" s="11" t="s">
        <v>1125</v>
      </c>
      <c r="H128" s="11" t="s">
        <v>851</v>
      </c>
      <c r="I128" s="11" t="s">
        <v>1166</v>
      </c>
      <c r="J128" s="11" t="s">
        <v>1218</v>
      </c>
      <c r="K128" s="11" t="s">
        <v>1219</v>
      </c>
      <c r="L128" s="11" t="s">
        <v>1220</v>
      </c>
      <c r="M128" s="12" t="s">
        <v>273</v>
      </c>
      <c r="N128" s="11" t="s">
        <v>1221</v>
      </c>
      <c r="O128" s="12" t="s">
        <v>273</v>
      </c>
      <c r="P128" s="12" t="s">
        <v>273</v>
      </c>
      <c r="Q128" s="11" t="s">
        <v>1222</v>
      </c>
      <c r="R128" s="13" t="s">
        <v>273</v>
      </c>
      <c r="S128" s="13" t="s">
        <v>273</v>
      </c>
      <c r="T128" s="13" t="s">
        <v>273</v>
      </c>
      <c r="U128" s="13" t="s">
        <v>273</v>
      </c>
      <c r="V128" s="13" t="s">
        <v>273</v>
      </c>
      <c r="W128" s="13" t="s">
        <v>273</v>
      </c>
      <c r="X128" s="11" t="s">
        <v>1772</v>
      </c>
      <c r="Y128" s="15"/>
      <c r="Z128" s="13" t="s">
        <v>273</v>
      </c>
      <c r="AA128" s="135" t="str">
        <f>_xlfn.IFS(AND(COUNTIF(Y128,"SCB*")=1, 'PCH272'!E68&gt;=2), "See the Notice *1", TRUE, "")</f>
        <v/>
      </c>
      <c r="AB128" s="14"/>
      <c r="AC128" s="11" t="s">
        <v>272</v>
      </c>
      <c r="AD128" s="11" t="s">
        <v>254</v>
      </c>
      <c r="AE128" s="14"/>
      <c r="AF128" s="14"/>
    </row>
    <row r="129" spans="2:32" x14ac:dyDescent="0.2">
      <c r="B129" s="11" t="s">
        <v>205</v>
      </c>
      <c r="C129" s="11" t="s">
        <v>1774</v>
      </c>
      <c r="D129" s="11" t="s">
        <v>205</v>
      </c>
      <c r="E129" s="11" t="s">
        <v>1118</v>
      </c>
      <c r="F129" s="11" t="s">
        <v>1129</v>
      </c>
      <c r="G129" s="11" t="s">
        <v>1120</v>
      </c>
      <c r="H129" s="11" t="s">
        <v>1131</v>
      </c>
      <c r="I129" s="11" t="s">
        <v>1168</v>
      </c>
      <c r="J129" s="11" t="s">
        <v>1223</v>
      </c>
      <c r="K129" s="12" t="s">
        <v>273</v>
      </c>
      <c r="L129" s="11" t="s">
        <v>1224</v>
      </c>
      <c r="M129" s="12" t="s">
        <v>273</v>
      </c>
      <c r="N129" s="11" t="s">
        <v>1225</v>
      </c>
      <c r="O129" s="12" t="s">
        <v>273</v>
      </c>
      <c r="P129" s="12" t="s">
        <v>273</v>
      </c>
      <c r="Q129" s="11" t="s">
        <v>1263</v>
      </c>
      <c r="R129" s="13" t="s">
        <v>273</v>
      </c>
      <c r="S129" s="13" t="s">
        <v>273</v>
      </c>
      <c r="T129" s="11" t="s">
        <v>1262</v>
      </c>
      <c r="U129" s="13" t="s">
        <v>273</v>
      </c>
      <c r="V129" s="13" t="s">
        <v>273</v>
      </c>
      <c r="W129" s="13" t="s">
        <v>273</v>
      </c>
      <c r="X129" s="11" t="s">
        <v>1775</v>
      </c>
      <c r="Y129" s="15"/>
      <c r="Z129" s="13" t="s">
        <v>273</v>
      </c>
      <c r="AA129" s="135" t="str">
        <f>_xlfn.IFS(AND(COUNTIF(Y129,"SCB*")=1, 'PCH272'!E68&gt;=2), "See the Notice *1", TRUE, "")</f>
        <v/>
      </c>
      <c r="AB129" s="14"/>
      <c r="AC129" s="11" t="s">
        <v>272</v>
      </c>
      <c r="AD129" s="11" t="s">
        <v>254</v>
      </c>
      <c r="AE129" s="14"/>
      <c r="AF129" s="14"/>
    </row>
    <row r="130" spans="2:32" x14ac:dyDescent="0.2">
      <c r="B130" s="11" t="s">
        <v>206</v>
      </c>
      <c r="C130" s="11" t="s">
        <v>1777</v>
      </c>
      <c r="D130" s="11" t="s">
        <v>206</v>
      </c>
      <c r="E130" s="11" t="s">
        <v>1112</v>
      </c>
      <c r="F130" s="11" t="s">
        <v>1124</v>
      </c>
      <c r="G130" s="11" t="s">
        <v>1114</v>
      </c>
      <c r="H130" s="11" t="s">
        <v>1126</v>
      </c>
      <c r="I130" s="11" t="s">
        <v>1206</v>
      </c>
      <c r="J130" s="12" t="s">
        <v>273</v>
      </c>
      <c r="K130" s="12" t="s">
        <v>273</v>
      </c>
      <c r="L130" s="11" t="s">
        <v>1226</v>
      </c>
      <c r="M130" s="12" t="s">
        <v>273</v>
      </c>
      <c r="N130" s="11" t="s">
        <v>1227</v>
      </c>
      <c r="O130" s="11" t="s">
        <v>1228</v>
      </c>
      <c r="P130" s="12" t="s">
        <v>273</v>
      </c>
      <c r="Q130" s="11" t="s">
        <v>1229</v>
      </c>
      <c r="R130" s="13" t="s">
        <v>273</v>
      </c>
      <c r="S130" s="13" t="s">
        <v>273</v>
      </c>
      <c r="T130" s="11" t="s">
        <v>1264</v>
      </c>
      <c r="U130" s="13" t="s">
        <v>273</v>
      </c>
      <c r="V130" s="13" t="s">
        <v>273</v>
      </c>
      <c r="W130" s="13" t="s">
        <v>273</v>
      </c>
      <c r="X130" s="11" t="s">
        <v>1778</v>
      </c>
      <c r="Y130" s="15"/>
      <c r="Z130" s="13" t="s">
        <v>273</v>
      </c>
      <c r="AA130" s="135" t="str">
        <f>_xlfn.IFS(AND(COUNTIF(Y130,"SCB*")=1, 'PCH272'!E68&gt;=2), "See the Notice *1", TRUE, "")</f>
        <v/>
      </c>
      <c r="AB130" s="14"/>
      <c r="AC130" s="11" t="s">
        <v>272</v>
      </c>
      <c r="AD130" s="11" t="s">
        <v>254</v>
      </c>
      <c r="AE130" s="14"/>
      <c r="AF130" s="14"/>
    </row>
    <row r="131" spans="2:32" x14ac:dyDescent="0.2">
      <c r="B131" s="11" t="s">
        <v>207</v>
      </c>
      <c r="C131" s="11" t="s">
        <v>1779</v>
      </c>
      <c r="D131" s="11" t="s">
        <v>207</v>
      </c>
      <c r="E131" s="11" t="s">
        <v>1107</v>
      </c>
      <c r="F131" s="11" t="s">
        <v>1119</v>
      </c>
      <c r="G131" s="11" t="s">
        <v>1109</v>
      </c>
      <c r="H131" s="11" t="s">
        <v>1121</v>
      </c>
      <c r="I131" s="11" t="s">
        <v>1208</v>
      </c>
      <c r="J131" s="12" t="s">
        <v>273</v>
      </c>
      <c r="K131" s="12" t="s">
        <v>273</v>
      </c>
      <c r="L131" s="11" t="s">
        <v>1230</v>
      </c>
      <c r="M131" s="12" t="s">
        <v>273</v>
      </c>
      <c r="N131" s="12" t="s">
        <v>273</v>
      </c>
      <c r="O131" s="11" t="s">
        <v>1231</v>
      </c>
      <c r="P131" s="12" t="s">
        <v>273</v>
      </c>
      <c r="Q131" s="11" t="s">
        <v>1232</v>
      </c>
      <c r="R131" s="13" t="s">
        <v>273</v>
      </c>
      <c r="S131" s="13" t="s">
        <v>273</v>
      </c>
      <c r="T131" s="11" t="s">
        <v>1265</v>
      </c>
      <c r="U131" s="13" t="s">
        <v>273</v>
      </c>
      <c r="V131" s="13" t="s">
        <v>273</v>
      </c>
      <c r="W131" s="13" t="s">
        <v>273</v>
      </c>
      <c r="X131" s="11" t="s">
        <v>1780</v>
      </c>
      <c r="Y131" s="15"/>
      <c r="Z131" s="13" t="s">
        <v>273</v>
      </c>
      <c r="AA131" s="135" t="str">
        <f>_xlfn.IFS(AND(COUNTIF(Y131,"SCB*")=1, 'PCH272'!E68&gt;=2), "See the Notice *1", TRUE, "")</f>
        <v/>
      </c>
      <c r="AB131" s="14"/>
      <c r="AC131" s="11" t="s">
        <v>272</v>
      </c>
      <c r="AD131" s="11" t="s">
        <v>254</v>
      </c>
      <c r="AE131" s="14"/>
      <c r="AF131" s="14"/>
    </row>
    <row r="132" spans="2:32" x14ac:dyDescent="0.2">
      <c r="B132" s="11" t="s">
        <v>208</v>
      </c>
      <c r="C132" s="11" t="s">
        <v>1781</v>
      </c>
      <c r="D132" s="11" t="s">
        <v>208</v>
      </c>
      <c r="E132" s="11" t="s">
        <v>1100</v>
      </c>
      <c r="F132" s="11" t="s">
        <v>1113</v>
      </c>
      <c r="G132" s="11" t="s">
        <v>1102</v>
      </c>
      <c r="H132" s="11" t="s">
        <v>1115</v>
      </c>
      <c r="I132" s="11" t="s">
        <v>1199</v>
      </c>
      <c r="J132" s="12" t="s">
        <v>273</v>
      </c>
      <c r="K132" s="12" t="s">
        <v>273</v>
      </c>
      <c r="L132" s="11" t="s">
        <v>1233</v>
      </c>
      <c r="M132" s="12" t="s">
        <v>273</v>
      </c>
      <c r="N132" s="11" t="s">
        <v>209</v>
      </c>
      <c r="O132" s="11" t="s">
        <v>1234</v>
      </c>
      <c r="P132" s="12" t="s">
        <v>273</v>
      </c>
      <c r="Q132" s="11" t="s">
        <v>1235</v>
      </c>
      <c r="R132" s="13" t="s">
        <v>273</v>
      </c>
      <c r="S132" s="13" t="s">
        <v>273</v>
      </c>
      <c r="T132" s="11" t="s">
        <v>1266</v>
      </c>
      <c r="U132" s="13" t="s">
        <v>273</v>
      </c>
      <c r="V132" s="13" t="s">
        <v>273</v>
      </c>
      <c r="W132" s="13" t="s">
        <v>273</v>
      </c>
      <c r="X132" s="11" t="s">
        <v>1782</v>
      </c>
      <c r="Y132" s="15"/>
      <c r="Z132" s="13" t="s">
        <v>273</v>
      </c>
      <c r="AA132" s="135" t="str">
        <f>_xlfn.IFS(AND(COUNTIF(Y132,"SCB*")=1, 'PCH272'!E68&gt;=2), "See the Notice *1", TRUE, "")</f>
        <v/>
      </c>
      <c r="AB132" s="14"/>
      <c r="AC132" s="11" t="s">
        <v>272</v>
      </c>
      <c r="AD132" s="11" t="s">
        <v>254</v>
      </c>
      <c r="AE132" s="14"/>
      <c r="AF132" s="14"/>
    </row>
    <row r="133" spans="2:32" x14ac:dyDescent="0.2">
      <c r="B133" s="11" t="s">
        <v>210</v>
      </c>
      <c r="C133" s="11" t="s">
        <v>1783</v>
      </c>
      <c r="D133" s="11" t="s">
        <v>210</v>
      </c>
      <c r="E133" s="11" t="s">
        <v>1092</v>
      </c>
      <c r="F133" s="11" t="s">
        <v>1108</v>
      </c>
      <c r="G133" s="11" t="s">
        <v>1094</v>
      </c>
      <c r="H133" s="11" t="s">
        <v>1110</v>
      </c>
      <c r="I133" s="11" t="s">
        <v>1203</v>
      </c>
      <c r="J133" s="12" t="s">
        <v>273</v>
      </c>
      <c r="K133" s="12" t="s">
        <v>273</v>
      </c>
      <c r="L133" s="12" t="s">
        <v>273</v>
      </c>
      <c r="M133" s="12" t="s">
        <v>273</v>
      </c>
      <c r="N133" s="11" t="s">
        <v>211</v>
      </c>
      <c r="O133" s="11" t="s">
        <v>1236</v>
      </c>
      <c r="P133" s="12" t="s">
        <v>273</v>
      </c>
      <c r="Q133" s="11" t="s">
        <v>1237</v>
      </c>
      <c r="R133" s="13" t="s">
        <v>273</v>
      </c>
      <c r="S133" s="13" t="s">
        <v>273</v>
      </c>
      <c r="T133" s="11" t="s">
        <v>1267</v>
      </c>
      <c r="U133" s="13" t="s">
        <v>273</v>
      </c>
      <c r="V133" s="13" t="s">
        <v>273</v>
      </c>
      <c r="W133" s="13" t="s">
        <v>273</v>
      </c>
      <c r="X133" s="11" t="s">
        <v>1784</v>
      </c>
      <c r="Y133" s="15"/>
      <c r="Z133" s="13" t="s">
        <v>273</v>
      </c>
      <c r="AA133" s="135"/>
      <c r="AB133" s="14"/>
      <c r="AC133" s="11" t="s">
        <v>272</v>
      </c>
      <c r="AD133" s="11" t="s">
        <v>254</v>
      </c>
      <c r="AE133" s="14"/>
      <c r="AF133" s="14"/>
    </row>
    <row r="134" spans="2:32" x14ac:dyDescent="0.2">
      <c r="B134" s="11" t="s">
        <v>212</v>
      </c>
      <c r="C134" s="11" t="s">
        <v>1786</v>
      </c>
      <c r="D134" s="11" t="s">
        <v>212</v>
      </c>
      <c r="E134" s="11" t="s">
        <v>659</v>
      </c>
      <c r="F134" s="11" t="s">
        <v>1101</v>
      </c>
      <c r="G134" s="11" t="s">
        <v>661</v>
      </c>
      <c r="H134" s="11" t="s">
        <v>1103</v>
      </c>
      <c r="I134" s="11" t="s">
        <v>1238</v>
      </c>
      <c r="J134" s="11" t="s">
        <v>1239</v>
      </c>
      <c r="K134" s="12" t="s">
        <v>273</v>
      </c>
      <c r="L134" s="11" t="s">
        <v>1240</v>
      </c>
      <c r="M134" s="12" t="s">
        <v>273</v>
      </c>
      <c r="N134" s="11" t="s">
        <v>1134</v>
      </c>
      <c r="O134" s="12" t="s">
        <v>273</v>
      </c>
      <c r="P134" s="12" t="s">
        <v>273</v>
      </c>
      <c r="Q134" s="11" t="s">
        <v>1241</v>
      </c>
      <c r="R134" s="13" t="s">
        <v>273</v>
      </c>
      <c r="S134" s="13" t="s">
        <v>273</v>
      </c>
      <c r="T134" s="11" t="s">
        <v>2680</v>
      </c>
      <c r="U134" s="13" t="s">
        <v>273</v>
      </c>
      <c r="V134" s="13" t="s">
        <v>273</v>
      </c>
      <c r="W134" s="13" t="s">
        <v>273</v>
      </c>
      <c r="X134" s="11" t="s">
        <v>1787</v>
      </c>
      <c r="Y134" s="15"/>
      <c r="Z134" s="13" t="s">
        <v>273</v>
      </c>
      <c r="AA134" s="135" t="str">
        <f>_xlfn.IFS(AND(COUNTIF(Y134,"SCB*")=1, 'PCH272'!F68&gt;=2), "See the Notice *1", TRUE, "")</f>
        <v/>
      </c>
      <c r="AB134" s="14"/>
      <c r="AC134" s="11" t="s">
        <v>272</v>
      </c>
      <c r="AD134" s="11" t="s">
        <v>254</v>
      </c>
      <c r="AE134" s="14"/>
      <c r="AF134" s="14"/>
    </row>
    <row r="135" spans="2:32" x14ac:dyDescent="0.2">
      <c r="B135" s="11" t="s">
        <v>213</v>
      </c>
      <c r="C135" s="11" t="s">
        <v>1789</v>
      </c>
      <c r="D135" s="11" t="s">
        <v>213</v>
      </c>
      <c r="E135" s="11" t="s">
        <v>893</v>
      </c>
      <c r="F135" s="11" t="s">
        <v>667</v>
      </c>
      <c r="G135" s="11" t="s">
        <v>895</v>
      </c>
      <c r="H135" s="11" t="s">
        <v>669</v>
      </c>
      <c r="I135" s="11" t="s">
        <v>1242</v>
      </c>
      <c r="J135" s="11" t="s">
        <v>1243</v>
      </c>
      <c r="K135" s="17" t="s">
        <v>2687</v>
      </c>
      <c r="L135" s="11" t="s">
        <v>1244</v>
      </c>
      <c r="M135" s="12" t="s">
        <v>273</v>
      </c>
      <c r="N135" s="11" t="s">
        <v>1143</v>
      </c>
      <c r="O135" s="12" t="s">
        <v>273</v>
      </c>
      <c r="P135" s="12" t="s">
        <v>273</v>
      </c>
      <c r="Q135" s="11" t="s">
        <v>1245</v>
      </c>
      <c r="R135" s="13" t="s">
        <v>273</v>
      </c>
      <c r="S135" s="13" t="s">
        <v>273</v>
      </c>
      <c r="T135" s="11" t="s">
        <v>2682</v>
      </c>
      <c r="U135" s="13" t="s">
        <v>273</v>
      </c>
      <c r="V135" s="13" t="s">
        <v>273</v>
      </c>
      <c r="W135" s="13" t="s">
        <v>273</v>
      </c>
      <c r="X135" s="11" t="s">
        <v>1790</v>
      </c>
      <c r="Y135" s="15"/>
      <c r="Z135" s="13" t="s">
        <v>273</v>
      </c>
      <c r="AA135" s="135" t="str">
        <f>_xlfn.IFS(AND(COUNTIF(Y135,"SCB*")=1, 'PCH272'!F68&gt;=2), "See the Notice *1", TRUE, "")</f>
        <v/>
      </c>
      <c r="AB135" s="14"/>
      <c r="AC135" s="11" t="s">
        <v>272</v>
      </c>
      <c r="AD135" s="11" t="s">
        <v>254</v>
      </c>
      <c r="AE135" s="14"/>
      <c r="AF135" s="14"/>
    </row>
    <row r="136" spans="2:32" x14ac:dyDescent="0.2">
      <c r="B136" s="11" t="s">
        <v>214</v>
      </c>
      <c r="C136" s="11" t="s">
        <v>1792</v>
      </c>
      <c r="D136" s="11" t="s">
        <v>214</v>
      </c>
      <c r="E136" s="11" t="s">
        <v>899</v>
      </c>
      <c r="F136" s="11" t="s">
        <v>900</v>
      </c>
      <c r="G136" s="11" t="s">
        <v>901</v>
      </c>
      <c r="H136" s="11" t="s">
        <v>902</v>
      </c>
      <c r="I136" s="11" t="s">
        <v>1246</v>
      </c>
      <c r="J136" s="11" t="s">
        <v>1247</v>
      </c>
      <c r="K136" s="11" t="s">
        <v>1248</v>
      </c>
      <c r="L136" s="11" t="s">
        <v>1249</v>
      </c>
      <c r="M136" s="12" t="s">
        <v>273</v>
      </c>
      <c r="N136" s="12" t="s">
        <v>273</v>
      </c>
      <c r="O136" s="12" t="s">
        <v>273</v>
      </c>
      <c r="P136" s="12" t="s">
        <v>273</v>
      </c>
      <c r="Q136" s="11" t="s">
        <v>1250</v>
      </c>
      <c r="R136" s="13" t="s">
        <v>273</v>
      </c>
      <c r="S136" s="11" t="s">
        <v>215</v>
      </c>
      <c r="T136" s="13" t="s">
        <v>273</v>
      </c>
      <c r="U136" s="13" t="s">
        <v>273</v>
      </c>
      <c r="V136" s="13" t="s">
        <v>273</v>
      </c>
      <c r="W136" s="13" t="s">
        <v>273</v>
      </c>
      <c r="X136" s="11" t="s">
        <v>1793</v>
      </c>
      <c r="Y136" s="15"/>
      <c r="Z136" s="13" t="s">
        <v>273</v>
      </c>
      <c r="AA136" s="135" t="str">
        <f>_xlfn.IFS(AND(COUNTIF(Y136,"SCB*")=1, 'PCH272'!F68&gt;=2), "See the Notice *1", TRUE, "")</f>
        <v/>
      </c>
      <c r="AB136" s="14"/>
      <c r="AC136" s="11" t="s">
        <v>272</v>
      </c>
      <c r="AD136" s="11" t="s">
        <v>254</v>
      </c>
      <c r="AE136" s="14"/>
      <c r="AF136" s="14"/>
    </row>
    <row r="137" spans="2:32" x14ac:dyDescent="0.2">
      <c r="B137" s="11" t="s">
        <v>216</v>
      </c>
      <c r="C137" s="11" t="s">
        <v>1791</v>
      </c>
      <c r="D137" s="11" t="s">
        <v>216</v>
      </c>
      <c r="E137" s="11" t="s">
        <v>905</v>
      </c>
      <c r="F137" s="11" t="s">
        <v>906</v>
      </c>
      <c r="G137" s="11" t="s">
        <v>907</v>
      </c>
      <c r="H137" s="11" t="s">
        <v>908</v>
      </c>
      <c r="I137" s="11" t="s">
        <v>1251</v>
      </c>
      <c r="J137" s="11" t="s">
        <v>1252</v>
      </c>
      <c r="K137" s="12" t="s">
        <v>273</v>
      </c>
      <c r="L137" s="11" t="s">
        <v>1253</v>
      </c>
      <c r="M137" s="12" t="s">
        <v>273</v>
      </c>
      <c r="N137" s="12" t="s">
        <v>273</v>
      </c>
      <c r="O137" s="12" t="s">
        <v>273</v>
      </c>
      <c r="P137" s="12" t="s">
        <v>273</v>
      </c>
      <c r="Q137" s="11" t="s">
        <v>1254</v>
      </c>
      <c r="R137" s="13" t="s">
        <v>273</v>
      </c>
      <c r="S137" s="11" t="s">
        <v>217</v>
      </c>
      <c r="T137" s="13" t="s">
        <v>273</v>
      </c>
      <c r="U137" s="13" t="s">
        <v>273</v>
      </c>
      <c r="V137" s="13" t="s">
        <v>273</v>
      </c>
      <c r="W137" s="13" t="s">
        <v>273</v>
      </c>
      <c r="X137" s="11" t="s">
        <v>1794</v>
      </c>
      <c r="Y137" s="15"/>
      <c r="Z137" s="13" t="s">
        <v>273</v>
      </c>
      <c r="AA137" s="135" t="str">
        <f>_xlfn.IFS(AND(COUNTIF(Y137,"SCB*")=1, 'PCH272'!F68&gt;=2), "See the Notice *1", TRUE, "")</f>
        <v/>
      </c>
      <c r="AB137" s="14"/>
      <c r="AC137" s="11" t="s">
        <v>272</v>
      </c>
      <c r="AD137" s="11" t="s">
        <v>254</v>
      </c>
      <c r="AE137" s="14"/>
      <c r="AF137" s="14"/>
    </row>
    <row r="138" spans="2:32" x14ac:dyDescent="0.2">
      <c r="B138" s="11" t="s">
        <v>218</v>
      </c>
      <c r="C138" s="11" t="s">
        <v>1796</v>
      </c>
      <c r="D138" s="11" t="s">
        <v>218</v>
      </c>
      <c r="E138" s="11" t="s">
        <v>911</v>
      </c>
      <c r="F138" s="11" t="s">
        <v>912</v>
      </c>
      <c r="G138" s="11" t="s">
        <v>913</v>
      </c>
      <c r="H138" s="11" t="s">
        <v>914</v>
      </c>
      <c r="I138" s="11" t="s">
        <v>1255</v>
      </c>
      <c r="J138" s="11" t="s">
        <v>1256</v>
      </c>
      <c r="K138" s="12" t="s">
        <v>273</v>
      </c>
      <c r="L138" s="12" t="s">
        <v>273</v>
      </c>
      <c r="M138" s="12" t="s">
        <v>273</v>
      </c>
      <c r="N138" s="12" t="s">
        <v>273</v>
      </c>
      <c r="O138" s="12" t="s">
        <v>273</v>
      </c>
      <c r="P138" s="12" t="s">
        <v>273</v>
      </c>
      <c r="Q138" s="13" t="s">
        <v>273</v>
      </c>
      <c r="R138" s="13" t="s">
        <v>273</v>
      </c>
      <c r="S138" s="13" t="s">
        <v>273</v>
      </c>
      <c r="T138" s="13" t="s">
        <v>273</v>
      </c>
      <c r="U138" s="13" t="s">
        <v>273</v>
      </c>
      <c r="V138" s="13" t="s">
        <v>273</v>
      </c>
      <c r="W138" s="13" t="s">
        <v>273</v>
      </c>
      <c r="X138" s="11" t="s">
        <v>1797</v>
      </c>
      <c r="Y138" s="15"/>
      <c r="Z138" s="13" t="s">
        <v>273</v>
      </c>
      <c r="AA138" s="135" t="str">
        <f>_xlfn.IFS(AND(COUNTIF(Y138,"SCB*")=1, 'PCH272'!F68&gt;=2), "See the Notice *1", TRUE, "")</f>
        <v/>
      </c>
      <c r="AB138" s="14"/>
      <c r="AC138" s="11" t="s">
        <v>272</v>
      </c>
      <c r="AD138" s="11" t="s">
        <v>254</v>
      </c>
      <c r="AE138" s="14"/>
      <c r="AF138" s="14"/>
    </row>
    <row r="139" spans="2:32" x14ac:dyDescent="0.2">
      <c r="B139" s="11" t="s">
        <v>219</v>
      </c>
      <c r="C139" s="11" t="s">
        <v>1795</v>
      </c>
      <c r="D139" s="11" t="s">
        <v>219</v>
      </c>
      <c r="E139" s="11" t="s">
        <v>918</v>
      </c>
      <c r="F139" s="11" t="s">
        <v>919</v>
      </c>
      <c r="G139" s="11" t="s">
        <v>920</v>
      </c>
      <c r="H139" s="11" t="s">
        <v>921</v>
      </c>
      <c r="I139" s="11" t="s">
        <v>1257</v>
      </c>
      <c r="J139" s="11" t="s">
        <v>1258</v>
      </c>
      <c r="K139" s="12" t="s">
        <v>273</v>
      </c>
      <c r="L139" s="12" t="s">
        <v>273</v>
      </c>
      <c r="M139" s="11" t="s">
        <v>49</v>
      </c>
      <c r="N139" s="12" t="s">
        <v>273</v>
      </c>
      <c r="O139" s="12" t="s">
        <v>273</v>
      </c>
      <c r="P139" s="12" t="s">
        <v>273</v>
      </c>
      <c r="Q139" s="13" t="s">
        <v>273</v>
      </c>
      <c r="R139" s="13" t="s">
        <v>273</v>
      </c>
      <c r="S139" s="13" t="s">
        <v>273</v>
      </c>
      <c r="T139" s="13" t="s">
        <v>273</v>
      </c>
      <c r="U139" s="13" t="s">
        <v>273</v>
      </c>
      <c r="V139" s="13" t="s">
        <v>273</v>
      </c>
      <c r="W139" s="13" t="s">
        <v>273</v>
      </c>
      <c r="X139" s="11" t="s">
        <v>1799</v>
      </c>
      <c r="Y139" s="15"/>
      <c r="Z139" s="13" t="s">
        <v>273</v>
      </c>
      <c r="AA139" s="135" t="str">
        <f>_xlfn.IFS(AND(COUNTIF(Y139,"SCB*")=1, 'PCH272'!F68&gt;=2), "See the Notice *1", TRUE, "")</f>
        <v/>
      </c>
      <c r="AB139" s="14"/>
      <c r="AC139" s="11" t="s">
        <v>272</v>
      </c>
      <c r="AD139" s="11" t="s">
        <v>254</v>
      </c>
      <c r="AE139" s="14"/>
      <c r="AF139" s="14"/>
    </row>
    <row r="140" spans="2:32" x14ac:dyDescent="0.2">
      <c r="B140" s="11" t="s">
        <v>220</v>
      </c>
      <c r="C140" s="11" t="s">
        <v>1801</v>
      </c>
      <c r="D140" s="11" t="s">
        <v>220</v>
      </c>
      <c r="E140" s="11" t="s">
        <v>1083</v>
      </c>
      <c r="F140" s="11" t="s">
        <v>926</v>
      </c>
      <c r="G140" s="11" t="s">
        <v>1085</v>
      </c>
      <c r="H140" s="11" t="s">
        <v>928</v>
      </c>
      <c r="I140" s="11" t="s">
        <v>1259</v>
      </c>
      <c r="J140" s="12" t="s">
        <v>273</v>
      </c>
      <c r="K140" s="12" t="s">
        <v>273</v>
      </c>
      <c r="L140" s="12" t="s">
        <v>273</v>
      </c>
      <c r="M140" s="11" t="s">
        <v>52</v>
      </c>
      <c r="N140" s="12" t="s">
        <v>273</v>
      </c>
      <c r="O140" s="12" t="s">
        <v>273</v>
      </c>
      <c r="P140" s="12" t="s">
        <v>273</v>
      </c>
      <c r="Q140" s="13" t="s">
        <v>273</v>
      </c>
      <c r="R140" s="13" t="s">
        <v>273</v>
      </c>
      <c r="S140" s="13" t="s">
        <v>273</v>
      </c>
      <c r="T140" s="13" t="s">
        <v>273</v>
      </c>
      <c r="U140" s="13" t="s">
        <v>273</v>
      </c>
      <c r="V140" s="13" t="s">
        <v>273</v>
      </c>
      <c r="W140" s="13" t="s">
        <v>273</v>
      </c>
      <c r="X140" s="11" t="s">
        <v>1802</v>
      </c>
      <c r="Y140" s="15"/>
      <c r="Z140" s="13" t="s">
        <v>273</v>
      </c>
      <c r="AA140" s="135"/>
      <c r="AB140" s="14"/>
      <c r="AC140" s="11" t="s">
        <v>272</v>
      </c>
      <c r="AD140" s="11" t="s">
        <v>254</v>
      </c>
      <c r="AE140" s="14"/>
      <c r="AF140" s="14"/>
    </row>
    <row r="141" spans="2:32" x14ac:dyDescent="0.2">
      <c r="B141" s="16" t="s">
        <v>221</v>
      </c>
      <c r="C141" s="11" t="s">
        <v>1803</v>
      </c>
      <c r="D141" s="16" t="s">
        <v>221</v>
      </c>
      <c r="E141" s="16" t="s">
        <v>1075</v>
      </c>
      <c r="F141" s="16" t="s">
        <v>1093</v>
      </c>
      <c r="G141" s="16" t="s">
        <v>1077</v>
      </c>
      <c r="H141" s="16" t="s">
        <v>1095</v>
      </c>
      <c r="I141" s="16" t="s">
        <v>1260</v>
      </c>
      <c r="J141" s="12" t="s">
        <v>273</v>
      </c>
      <c r="K141" s="12" t="s">
        <v>273</v>
      </c>
      <c r="L141" s="12" t="s">
        <v>273</v>
      </c>
      <c r="M141" s="16" t="s">
        <v>55</v>
      </c>
      <c r="N141" s="12" t="s">
        <v>273</v>
      </c>
      <c r="O141" s="12" t="s">
        <v>273</v>
      </c>
      <c r="P141" s="12" t="s">
        <v>273</v>
      </c>
      <c r="Q141" s="13" t="s">
        <v>273</v>
      </c>
      <c r="R141" s="13" t="s">
        <v>273</v>
      </c>
      <c r="S141" s="13" t="s">
        <v>273</v>
      </c>
      <c r="T141" s="13" t="s">
        <v>273</v>
      </c>
      <c r="U141" s="13" t="s">
        <v>273</v>
      </c>
      <c r="V141" s="13" t="s">
        <v>273</v>
      </c>
      <c r="W141" s="13" t="s">
        <v>273</v>
      </c>
      <c r="X141" s="11" t="s">
        <v>1804</v>
      </c>
      <c r="Y141" s="15"/>
      <c r="Z141" s="13" t="s">
        <v>273</v>
      </c>
      <c r="AA141" s="135"/>
      <c r="AB141" s="14"/>
      <c r="AC141" s="11" t="s">
        <v>272</v>
      </c>
      <c r="AD141" s="11" t="s">
        <v>254</v>
      </c>
      <c r="AE141" s="14"/>
      <c r="AF141" s="14"/>
    </row>
    <row r="142" spans="2:32" x14ac:dyDescent="0.2">
      <c r="B142" s="11" t="s">
        <v>222</v>
      </c>
      <c r="C142" s="11" t="s">
        <v>1806</v>
      </c>
      <c r="D142" s="11" t="s">
        <v>222</v>
      </c>
      <c r="E142" s="11" t="s">
        <v>1072</v>
      </c>
      <c r="F142" s="11" t="s">
        <v>1084</v>
      </c>
      <c r="G142" s="11" t="s">
        <v>1073</v>
      </c>
      <c r="H142" s="11" t="s">
        <v>1086</v>
      </c>
      <c r="I142" s="12" t="s">
        <v>273</v>
      </c>
      <c r="J142" s="11" t="s">
        <v>1268</v>
      </c>
      <c r="K142" s="12" t="s">
        <v>273</v>
      </c>
      <c r="L142" s="11" t="s">
        <v>1269</v>
      </c>
      <c r="M142" s="12" t="s">
        <v>273</v>
      </c>
      <c r="N142" s="11" t="s">
        <v>209</v>
      </c>
      <c r="O142" s="12" t="s">
        <v>273</v>
      </c>
      <c r="P142" s="12" t="s">
        <v>273</v>
      </c>
      <c r="Q142" s="13" t="s">
        <v>273</v>
      </c>
      <c r="R142" s="13" t="s">
        <v>273</v>
      </c>
      <c r="S142" s="13" t="s">
        <v>273</v>
      </c>
      <c r="T142" s="13" t="s">
        <v>273</v>
      </c>
      <c r="U142" s="13" t="s">
        <v>273</v>
      </c>
      <c r="V142" s="13" t="s">
        <v>273</v>
      </c>
      <c r="W142" s="13" t="s">
        <v>273</v>
      </c>
      <c r="X142" s="13" t="s">
        <v>273</v>
      </c>
      <c r="Y142" s="15"/>
      <c r="Z142" s="13" t="s">
        <v>273</v>
      </c>
      <c r="AA142" s="135" t="str">
        <f>_xlfn.IFS(AND(COUNTIF(Y142,"SCB*")=1, 'PCH272'!E68&gt;=2), "See the Notice *1", TRUE, "")</f>
        <v/>
      </c>
      <c r="AB142" s="14"/>
      <c r="AC142" s="11" t="s">
        <v>272</v>
      </c>
      <c r="AD142" s="11" t="s">
        <v>254</v>
      </c>
      <c r="AE142" s="14"/>
      <c r="AF142" s="14"/>
    </row>
    <row r="143" spans="2:32" x14ac:dyDescent="0.2">
      <c r="B143" s="11" t="s">
        <v>223</v>
      </c>
      <c r="C143" s="11" t="s">
        <v>1808</v>
      </c>
      <c r="D143" s="11" t="s">
        <v>223</v>
      </c>
      <c r="E143" s="11" t="s">
        <v>1063</v>
      </c>
      <c r="F143" s="11" t="s">
        <v>1076</v>
      </c>
      <c r="G143" s="11" t="s">
        <v>1064</v>
      </c>
      <c r="H143" s="11" t="s">
        <v>1078</v>
      </c>
      <c r="I143" s="12" t="s">
        <v>273</v>
      </c>
      <c r="J143" s="11" t="s">
        <v>1270</v>
      </c>
      <c r="K143" s="11" t="s">
        <v>1271</v>
      </c>
      <c r="L143" s="11" t="s">
        <v>1272</v>
      </c>
      <c r="M143" s="12" t="s">
        <v>273</v>
      </c>
      <c r="N143" s="11" t="s">
        <v>211</v>
      </c>
      <c r="O143" s="12" t="s">
        <v>273</v>
      </c>
      <c r="P143" s="12" t="s">
        <v>273</v>
      </c>
      <c r="Q143" s="13" t="s">
        <v>273</v>
      </c>
      <c r="R143" s="13" t="s">
        <v>273</v>
      </c>
      <c r="S143" s="13" t="s">
        <v>273</v>
      </c>
      <c r="T143" s="13" t="s">
        <v>273</v>
      </c>
      <c r="U143" s="13" t="s">
        <v>273</v>
      </c>
      <c r="V143" s="13" t="s">
        <v>273</v>
      </c>
      <c r="W143" s="13" t="s">
        <v>273</v>
      </c>
      <c r="X143" s="13" t="s">
        <v>273</v>
      </c>
      <c r="Y143" s="15"/>
      <c r="Z143" s="13" t="s">
        <v>273</v>
      </c>
      <c r="AA143" s="135" t="str">
        <f>_xlfn.IFS(AND(COUNTIF(Y143,"SCB*")=1, 'PCH272'!E68&gt;=2), "See the Notice *1", TRUE, "")</f>
        <v/>
      </c>
      <c r="AB143" s="14"/>
      <c r="AC143" s="11" t="s">
        <v>272</v>
      </c>
      <c r="AD143" s="11" t="s">
        <v>254</v>
      </c>
      <c r="AE143" s="14"/>
      <c r="AF143" s="14"/>
    </row>
    <row r="144" spans="2:32" x14ac:dyDescent="0.2">
      <c r="B144" s="11" t="s">
        <v>224</v>
      </c>
      <c r="C144" s="11" t="s">
        <v>1809</v>
      </c>
      <c r="D144" s="11" t="s">
        <v>224</v>
      </c>
      <c r="E144" s="11" t="s">
        <v>1051</v>
      </c>
      <c r="F144" s="11" t="s">
        <v>1067</v>
      </c>
      <c r="G144" s="11" t="s">
        <v>1053</v>
      </c>
      <c r="H144" s="11" t="s">
        <v>1069</v>
      </c>
      <c r="I144" s="12" t="s">
        <v>273</v>
      </c>
      <c r="J144" s="11" t="s">
        <v>1273</v>
      </c>
      <c r="K144" s="11" t="s">
        <v>1274</v>
      </c>
      <c r="L144" s="11" t="s">
        <v>1275</v>
      </c>
      <c r="M144" s="12" t="s">
        <v>273</v>
      </c>
      <c r="N144" s="12" t="s">
        <v>273</v>
      </c>
      <c r="O144" s="12" t="s">
        <v>273</v>
      </c>
      <c r="P144" s="12" t="s">
        <v>273</v>
      </c>
      <c r="Q144" s="13" t="s">
        <v>273</v>
      </c>
      <c r="R144" s="13" t="s">
        <v>273</v>
      </c>
      <c r="S144" s="13" t="s">
        <v>273</v>
      </c>
      <c r="T144" s="13" t="s">
        <v>273</v>
      </c>
      <c r="U144" s="13" t="s">
        <v>273</v>
      </c>
      <c r="V144" s="13" t="s">
        <v>273</v>
      </c>
      <c r="W144" s="13" t="s">
        <v>273</v>
      </c>
      <c r="X144" s="13" t="s">
        <v>273</v>
      </c>
      <c r="Y144" s="15"/>
      <c r="Z144" s="13" t="s">
        <v>273</v>
      </c>
      <c r="AA144" s="135" t="str">
        <f>_xlfn.IFS(AND(COUNTIF(Y144,"SCB*")=1, 'PCH272'!E68&gt;=2), "See the Notice *1", TRUE, "")</f>
        <v/>
      </c>
      <c r="AB144" s="14"/>
      <c r="AC144" s="11" t="s">
        <v>272</v>
      </c>
      <c r="AD144" s="11" t="s">
        <v>254</v>
      </c>
      <c r="AE144" s="14"/>
      <c r="AF144" s="14"/>
    </row>
    <row r="145" spans="2:32" x14ac:dyDescent="0.2">
      <c r="B145" s="11" t="s">
        <v>225</v>
      </c>
      <c r="C145" s="11" t="s">
        <v>1810</v>
      </c>
      <c r="D145" s="11" t="s">
        <v>225</v>
      </c>
      <c r="E145" s="11" t="s">
        <v>1033</v>
      </c>
      <c r="F145" s="11" t="s">
        <v>1058</v>
      </c>
      <c r="G145" s="11" t="s">
        <v>1035</v>
      </c>
      <c r="H145" s="11" t="s">
        <v>1060</v>
      </c>
      <c r="I145" s="12" t="s">
        <v>273</v>
      </c>
      <c r="J145" s="11" t="s">
        <v>1276</v>
      </c>
      <c r="K145" s="12" t="s">
        <v>273</v>
      </c>
      <c r="L145" s="11" t="s">
        <v>1277</v>
      </c>
      <c r="M145" s="12" t="s">
        <v>273</v>
      </c>
      <c r="N145" s="11" t="s">
        <v>1278</v>
      </c>
      <c r="O145" s="12" t="s">
        <v>273</v>
      </c>
      <c r="P145" s="12" t="s">
        <v>273</v>
      </c>
      <c r="Q145" s="13" t="s">
        <v>273</v>
      </c>
      <c r="R145" s="13" t="s">
        <v>273</v>
      </c>
      <c r="S145" s="13" t="s">
        <v>273</v>
      </c>
      <c r="T145" s="13" t="s">
        <v>273</v>
      </c>
      <c r="U145" s="13" t="s">
        <v>273</v>
      </c>
      <c r="V145" s="13" t="s">
        <v>273</v>
      </c>
      <c r="W145" s="13" t="s">
        <v>273</v>
      </c>
      <c r="X145" s="13" t="s">
        <v>273</v>
      </c>
      <c r="Y145" s="15"/>
      <c r="Z145" s="13" t="s">
        <v>273</v>
      </c>
      <c r="AA145" s="135" t="str">
        <f>_xlfn.IFS(AND(COUNTIF(Y145,"SCB*")=1, 'PCH272'!E68&gt;=2), "See the Notice *1", TRUE, "")</f>
        <v/>
      </c>
      <c r="AB145" s="14"/>
      <c r="AC145" s="11" t="s">
        <v>272</v>
      </c>
      <c r="AD145" s="11" t="s">
        <v>254</v>
      </c>
      <c r="AE145" s="14"/>
      <c r="AF145" s="14"/>
    </row>
    <row r="146" spans="2:32" x14ac:dyDescent="0.2">
      <c r="B146" s="11" t="s">
        <v>226</v>
      </c>
      <c r="C146" s="11" t="s">
        <v>1812</v>
      </c>
      <c r="D146" s="11" t="s">
        <v>226</v>
      </c>
      <c r="E146" s="11" t="s">
        <v>1021</v>
      </c>
      <c r="F146" s="11" t="s">
        <v>1043</v>
      </c>
      <c r="G146" s="11" t="s">
        <v>1023</v>
      </c>
      <c r="H146" s="11" t="s">
        <v>1045</v>
      </c>
      <c r="I146" s="12" t="s">
        <v>273</v>
      </c>
      <c r="J146" s="12" t="s">
        <v>273</v>
      </c>
      <c r="K146" s="12" t="s">
        <v>273</v>
      </c>
      <c r="L146" s="11" t="s">
        <v>1279</v>
      </c>
      <c r="M146" s="12" t="s">
        <v>273</v>
      </c>
      <c r="N146" s="11" t="s">
        <v>1280</v>
      </c>
      <c r="O146" s="12" t="s">
        <v>273</v>
      </c>
      <c r="P146" s="12" t="s">
        <v>273</v>
      </c>
      <c r="Q146" s="13" t="s">
        <v>273</v>
      </c>
      <c r="R146" s="13" t="s">
        <v>273</v>
      </c>
      <c r="S146" s="13" t="s">
        <v>273</v>
      </c>
      <c r="T146" s="13" t="s">
        <v>273</v>
      </c>
      <c r="U146" s="13" t="s">
        <v>273</v>
      </c>
      <c r="V146" s="13" t="s">
        <v>273</v>
      </c>
      <c r="W146" s="13" t="s">
        <v>273</v>
      </c>
      <c r="X146" s="13" t="s">
        <v>273</v>
      </c>
      <c r="Y146" s="15"/>
      <c r="Z146" s="13" t="s">
        <v>273</v>
      </c>
      <c r="AA146" s="135" t="str">
        <f>_xlfn.IFS(AND(COUNTIF(Y146,"SCB*")=1, 'PCH272'!E68&gt;=2), "See the Notice *1", TRUE, "")</f>
        <v/>
      </c>
      <c r="AB146" s="14"/>
      <c r="AC146" s="11" t="s">
        <v>272</v>
      </c>
      <c r="AD146" s="11" t="s">
        <v>254</v>
      </c>
      <c r="AE146" s="14"/>
      <c r="AF146" s="14"/>
    </row>
    <row r="147" spans="2:32" x14ac:dyDescent="0.2">
      <c r="B147" s="11" t="s">
        <v>227</v>
      </c>
      <c r="C147" s="11" t="s">
        <v>1814</v>
      </c>
      <c r="D147" s="11" t="s">
        <v>227</v>
      </c>
      <c r="E147" s="11" t="s">
        <v>1017</v>
      </c>
      <c r="F147" s="11" t="s">
        <v>1026</v>
      </c>
      <c r="G147" s="11" t="s">
        <v>1019</v>
      </c>
      <c r="H147" s="11" t="s">
        <v>1028</v>
      </c>
      <c r="I147" s="12" t="s">
        <v>273</v>
      </c>
      <c r="J147" s="12" t="s">
        <v>273</v>
      </c>
      <c r="K147" s="12" t="s">
        <v>273</v>
      </c>
      <c r="L147" s="11" t="s">
        <v>1281</v>
      </c>
      <c r="M147" s="12" t="s">
        <v>273</v>
      </c>
      <c r="N147" s="12" t="s">
        <v>273</v>
      </c>
      <c r="O147" s="12" t="s">
        <v>273</v>
      </c>
      <c r="P147" s="12" t="s">
        <v>273</v>
      </c>
      <c r="Q147" s="13" t="s">
        <v>273</v>
      </c>
      <c r="R147" s="13" t="s">
        <v>273</v>
      </c>
      <c r="S147" s="13" t="s">
        <v>273</v>
      </c>
      <c r="T147" s="13" t="s">
        <v>273</v>
      </c>
      <c r="U147" s="13" t="s">
        <v>273</v>
      </c>
      <c r="V147" s="13" t="s">
        <v>273</v>
      </c>
      <c r="W147" s="13" t="s">
        <v>273</v>
      </c>
      <c r="X147" s="11" t="s">
        <v>345</v>
      </c>
      <c r="Y147" s="15"/>
      <c r="Z147" s="13" t="s">
        <v>273</v>
      </c>
      <c r="AA147" s="135" t="str">
        <f>_xlfn.IFS(AND(COUNTIF(Y147,"SCB*")=1, 'PCH272'!E68&gt;=2), "See the Notice *1", TRUE, "")</f>
        <v/>
      </c>
      <c r="AB147" s="14"/>
      <c r="AC147" s="11" t="s">
        <v>272</v>
      </c>
      <c r="AD147" s="11" t="s">
        <v>254</v>
      </c>
      <c r="AE147" s="14"/>
      <c r="AF147" s="14"/>
    </row>
    <row r="148" spans="2:32" x14ac:dyDescent="0.2">
      <c r="B148" s="11" t="s">
        <v>228</v>
      </c>
      <c r="C148" s="16" t="s">
        <v>1798</v>
      </c>
      <c r="D148" s="11" t="s">
        <v>228</v>
      </c>
      <c r="E148" s="11" t="s">
        <v>1013</v>
      </c>
      <c r="F148" s="11" t="s">
        <v>1022</v>
      </c>
      <c r="G148" s="11" t="s">
        <v>1015</v>
      </c>
      <c r="H148" s="11" t="s">
        <v>1024</v>
      </c>
      <c r="I148" s="12" t="s">
        <v>273</v>
      </c>
      <c r="J148" s="12" t="s">
        <v>273</v>
      </c>
      <c r="K148" s="12" t="s">
        <v>273</v>
      </c>
      <c r="L148" s="12" t="s">
        <v>273</v>
      </c>
      <c r="M148" s="12" t="s">
        <v>273</v>
      </c>
      <c r="N148" s="12" t="s">
        <v>273</v>
      </c>
      <c r="O148" s="12" t="s">
        <v>273</v>
      </c>
      <c r="P148" s="12" t="s">
        <v>273</v>
      </c>
      <c r="Q148" s="13" t="s">
        <v>273</v>
      </c>
      <c r="R148" s="13" t="s">
        <v>273</v>
      </c>
      <c r="S148" s="13" t="s">
        <v>273</v>
      </c>
      <c r="T148" s="13" t="s">
        <v>273</v>
      </c>
      <c r="U148" s="13" t="s">
        <v>273</v>
      </c>
      <c r="V148" s="13" t="s">
        <v>273</v>
      </c>
      <c r="W148" s="13" t="s">
        <v>273</v>
      </c>
      <c r="X148" s="16" t="s">
        <v>346</v>
      </c>
      <c r="Y148" s="15"/>
      <c r="Z148" s="13" t="s">
        <v>273</v>
      </c>
      <c r="AA148" s="135"/>
      <c r="AB148" s="14"/>
      <c r="AC148" s="11" t="s">
        <v>272</v>
      </c>
      <c r="AD148" s="11" t="s">
        <v>254</v>
      </c>
      <c r="AE148" s="14"/>
      <c r="AF148" s="14"/>
    </row>
    <row r="149" spans="2:32" x14ac:dyDescent="0.2">
      <c r="B149" s="11" t="s">
        <v>229</v>
      </c>
      <c r="C149" s="11" t="s">
        <v>1817</v>
      </c>
      <c r="D149" s="11" t="s">
        <v>229</v>
      </c>
      <c r="E149" s="11" t="s">
        <v>1006</v>
      </c>
      <c r="F149" s="11" t="s">
        <v>1018</v>
      </c>
      <c r="G149" s="11" t="s">
        <v>1008</v>
      </c>
      <c r="H149" s="11" t="s">
        <v>1020</v>
      </c>
      <c r="I149" s="12" t="s">
        <v>273</v>
      </c>
      <c r="J149" s="12" t="s">
        <v>273</v>
      </c>
      <c r="K149" s="12" t="s">
        <v>273</v>
      </c>
      <c r="L149" s="12" t="s">
        <v>273</v>
      </c>
      <c r="M149" s="12" t="s">
        <v>273</v>
      </c>
      <c r="N149" s="12" t="s">
        <v>273</v>
      </c>
      <c r="O149" s="11" t="s">
        <v>230</v>
      </c>
      <c r="P149" s="12" t="s">
        <v>273</v>
      </c>
      <c r="Q149" s="13" t="s">
        <v>273</v>
      </c>
      <c r="R149" s="13" t="s">
        <v>273</v>
      </c>
      <c r="S149" s="13" t="s">
        <v>273</v>
      </c>
      <c r="T149" s="11" t="s">
        <v>698</v>
      </c>
      <c r="U149" s="13" t="s">
        <v>273</v>
      </c>
      <c r="V149" s="13" t="s">
        <v>273</v>
      </c>
      <c r="W149" s="13" t="s">
        <v>273</v>
      </c>
      <c r="X149" s="11" t="s">
        <v>347</v>
      </c>
      <c r="Y149" s="15"/>
      <c r="Z149" s="13" t="s">
        <v>273</v>
      </c>
      <c r="AA149" s="135"/>
      <c r="AB149" s="14"/>
      <c r="AC149" s="11" t="s">
        <v>272</v>
      </c>
      <c r="AD149" s="11" t="s">
        <v>254</v>
      </c>
      <c r="AE149" s="14"/>
      <c r="AF149" s="14"/>
    </row>
    <row r="150" spans="2:32" x14ac:dyDescent="0.2">
      <c r="B150" s="11" t="s">
        <v>231</v>
      </c>
      <c r="C150" s="11" t="s">
        <v>1800</v>
      </c>
      <c r="D150" s="11" t="s">
        <v>231</v>
      </c>
      <c r="E150" s="11" t="s">
        <v>998</v>
      </c>
      <c r="F150" s="11" t="s">
        <v>1014</v>
      </c>
      <c r="G150" s="11" t="s">
        <v>1000</v>
      </c>
      <c r="H150" s="11" t="s">
        <v>1016</v>
      </c>
      <c r="I150" s="12" t="s">
        <v>273</v>
      </c>
      <c r="J150" s="12" t="s">
        <v>273</v>
      </c>
      <c r="K150" s="12" t="s">
        <v>273</v>
      </c>
      <c r="L150" s="12" t="s">
        <v>273</v>
      </c>
      <c r="M150" s="12" t="s">
        <v>273</v>
      </c>
      <c r="N150" s="12" t="s">
        <v>273</v>
      </c>
      <c r="O150" s="12" t="s">
        <v>273</v>
      </c>
      <c r="P150" s="12" t="s">
        <v>273</v>
      </c>
      <c r="Q150" s="13" t="s">
        <v>273</v>
      </c>
      <c r="R150" s="13" t="s">
        <v>273</v>
      </c>
      <c r="S150" s="13" t="s">
        <v>273</v>
      </c>
      <c r="T150" s="13" t="s">
        <v>273</v>
      </c>
      <c r="U150" s="13" t="s">
        <v>273</v>
      </c>
      <c r="V150" s="13" t="s">
        <v>273</v>
      </c>
      <c r="W150" s="13" t="s">
        <v>273</v>
      </c>
      <c r="X150" s="11" t="s">
        <v>348</v>
      </c>
      <c r="Y150" s="15"/>
      <c r="Z150" s="13" t="s">
        <v>273</v>
      </c>
      <c r="AA150" s="135"/>
      <c r="AB150" s="14"/>
      <c r="AC150" s="11" t="s">
        <v>272</v>
      </c>
      <c r="AD150" s="11" t="s">
        <v>254</v>
      </c>
      <c r="AE150" s="14"/>
      <c r="AF150" s="14"/>
    </row>
    <row r="151" spans="2:32" x14ac:dyDescent="0.2">
      <c r="B151" s="11" t="s">
        <v>232</v>
      </c>
      <c r="C151" s="11" t="s">
        <v>1820</v>
      </c>
      <c r="D151" s="11" t="s">
        <v>232</v>
      </c>
      <c r="E151" s="11" t="s">
        <v>984</v>
      </c>
      <c r="F151" s="11" t="s">
        <v>1007</v>
      </c>
      <c r="G151" s="11" t="s">
        <v>986</v>
      </c>
      <c r="H151" s="11" t="s">
        <v>1009</v>
      </c>
      <c r="I151" s="12" t="s">
        <v>273</v>
      </c>
      <c r="J151" s="12" t="s">
        <v>273</v>
      </c>
      <c r="K151" s="12" t="s">
        <v>273</v>
      </c>
      <c r="L151" s="12" t="s">
        <v>273</v>
      </c>
      <c r="M151" s="12" t="s">
        <v>273</v>
      </c>
      <c r="N151" s="12" t="s">
        <v>273</v>
      </c>
      <c r="O151" s="12" t="s">
        <v>273</v>
      </c>
      <c r="P151" s="12" t="s">
        <v>273</v>
      </c>
      <c r="Q151" s="13" t="s">
        <v>273</v>
      </c>
      <c r="R151" s="13" t="s">
        <v>273</v>
      </c>
      <c r="S151" s="13" t="s">
        <v>273</v>
      </c>
      <c r="T151" s="13" t="s">
        <v>273</v>
      </c>
      <c r="U151" s="13" t="s">
        <v>273</v>
      </c>
      <c r="V151" s="13" t="s">
        <v>273</v>
      </c>
      <c r="W151" s="13" t="s">
        <v>273</v>
      </c>
      <c r="X151" s="11" t="s">
        <v>350</v>
      </c>
      <c r="Y151" s="15"/>
      <c r="Z151" s="13" t="s">
        <v>273</v>
      </c>
      <c r="AA151" s="135"/>
      <c r="AB151" s="14"/>
      <c r="AC151" s="11" t="s">
        <v>272</v>
      </c>
      <c r="AD151" s="11" t="s">
        <v>254</v>
      </c>
      <c r="AE151" s="14"/>
      <c r="AF151" s="14"/>
    </row>
    <row r="152" spans="2:32" x14ac:dyDescent="0.2">
      <c r="B152" s="11" t="s">
        <v>233</v>
      </c>
      <c r="C152" s="11" t="s">
        <v>1822</v>
      </c>
      <c r="D152" s="11" t="s">
        <v>233</v>
      </c>
      <c r="E152" s="11" t="s">
        <v>975</v>
      </c>
      <c r="F152" s="11" t="s">
        <v>999</v>
      </c>
      <c r="G152" s="11" t="s">
        <v>977</v>
      </c>
      <c r="H152" s="11" t="s">
        <v>1001</v>
      </c>
      <c r="I152" s="12" t="s">
        <v>273</v>
      </c>
      <c r="J152" s="12" t="s">
        <v>273</v>
      </c>
      <c r="K152" s="11" t="s">
        <v>970</v>
      </c>
      <c r="L152" s="11" t="s">
        <v>944</v>
      </c>
      <c r="M152" s="11" t="s">
        <v>38</v>
      </c>
      <c r="N152" s="11" t="s">
        <v>191</v>
      </c>
      <c r="O152" s="11" t="s">
        <v>946</v>
      </c>
      <c r="P152" s="11" t="s">
        <v>973</v>
      </c>
      <c r="Q152" s="11" t="s">
        <v>1282</v>
      </c>
      <c r="R152" s="13" t="s">
        <v>273</v>
      </c>
      <c r="S152" s="13" t="s">
        <v>273</v>
      </c>
      <c r="T152" s="11" t="s">
        <v>1310</v>
      </c>
      <c r="U152" s="13" t="s">
        <v>273</v>
      </c>
      <c r="V152" s="13" t="s">
        <v>273</v>
      </c>
      <c r="W152" s="13" t="s">
        <v>273</v>
      </c>
      <c r="X152" s="13" t="s">
        <v>273</v>
      </c>
      <c r="Y152" s="15"/>
      <c r="Z152" s="13" t="s">
        <v>273</v>
      </c>
      <c r="AA152" s="135"/>
      <c r="AB152" s="14"/>
      <c r="AC152" s="11" t="s">
        <v>272</v>
      </c>
      <c r="AD152" s="11" t="s">
        <v>254</v>
      </c>
      <c r="AE152" s="14"/>
      <c r="AF152" s="14"/>
    </row>
    <row r="153" spans="2:32" x14ac:dyDescent="0.2">
      <c r="B153" s="11" t="s">
        <v>234</v>
      </c>
      <c r="C153" s="11" t="s">
        <v>1824</v>
      </c>
      <c r="D153" s="11" t="s">
        <v>234</v>
      </c>
      <c r="E153" s="11" t="s">
        <v>967</v>
      </c>
      <c r="F153" s="11" t="s">
        <v>985</v>
      </c>
      <c r="G153" s="11" t="s">
        <v>968</v>
      </c>
      <c r="H153" s="11" t="s">
        <v>987</v>
      </c>
      <c r="I153" s="12" t="s">
        <v>273</v>
      </c>
      <c r="J153" s="12" t="s">
        <v>273</v>
      </c>
      <c r="K153" s="12" t="s">
        <v>273</v>
      </c>
      <c r="L153" s="12" t="s">
        <v>273</v>
      </c>
      <c r="M153" s="11" t="s">
        <v>42</v>
      </c>
      <c r="N153" s="11" t="s">
        <v>941</v>
      </c>
      <c r="O153" s="12" t="s">
        <v>273</v>
      </c>
      <c r="P153" s="12" t="s">
        <v>273</v>
      </c>
      <c r="Q153" s="13" t="s">
        <v>273</v>
      </c>
      <c r="R153" s="13" t="s">
        <v>273</v>
      </c>
      <c r="S153" s="13" t="s">
        <v>273</v>
      </c>
      <c r="T153" s="13" t="s">
        <v>273</v>
      </c>
      <c r="U153" s="13" t="s">
        <v>273</v>
      </c>
      <c r="V153" s="13" t="s">
        <v>273</v>
      </c>
      <c r="W153" s="13" t="s">
        <v>273</v>
      </c>
      <c r="X153" s="13" t="s">
        <v>273</v>
      </c>
      <c r="Y153" s="15"/>
      <c r="Z153" s="13" t="s">
        <v>273</v>
      </c>
      <c r="AA153" s="135"/>
      <c r="AB153" s="14"/>
      <c r="AC153" s="11" t="s">
        <v>272</v>
      </c>
      <c r="AD153" s="11" t="s">
        <v>254</v>
      </c>
      <c r="AE153" s="14"/>
      <c r="AF153" s="14"/>
    </row>
    <row r="154" spans="2:32" x14ac:dyDescent="0.2">
      <c r="B154" s="11" t="s">
        <v>235</v>
      </c>
      <c r="C154" s="11" t="s">
        <v>1811</v>
      </c>
      <c r="D154" s="11" t="s">
        <v>235</v>
      </c>
      <c r="E154" s="11" t="s">
        <v>947</v>
      </c>
      <c r="F154" s="11" t="s">
        <v>976</v>
      </c>
      <c r="G154" s="11" t="s">
        <v>949</v>
      </c>
      <c r="H154" s="11" t="s">
        <v>978</v>
      </c>
      <c r="I154" s="12" t="s">
        <v>273</v>
      </c>
      <c r="J154" s="11" t="s">
        <v>1283</v>
      </c>
      <c r="K154" s="12" t="s">
        <v>273</v>
      </c>
      <c r="L154" s="11" t="s">
        <v>1284</v>
      </c>
      <c r="M154" s="11" t="s">
        <v>46</v>
      </c>
      <c r="N154" s="11" t="s">
        <v>945</v>
      </c>
      <c r="O154" s="12" t="s">
        <v>273</v>
      </c>
      <c r="P154" s="12" t="s">
        <v>273</v>
      </c>
      <c r="Q154" s="13" t="s">
        <v>273</v>
      </c>
      <c r="R154" s="13" t="s">
        <v>273</v>
      </c>
      <c r="S154" s="13" t="s">
        <v>273</v>
      </c>
      <c r="T154" s="11" t="s">
        <v>2668</v>
      </c>
      <c r="U154" s="13" t="s">
        <v>273</v>
      </c>
      <c r="V154" s="11" t="s">
        <v>2381</v>
      </c>
      <c r="W154" s="13" t="s">
        <v>273</v>
      </c>
      <c r="X154" s="13" t="s">
        <v>273</v>
      </c>
      <c r="Y154" s="15"/>
      <c r="Z154" s="13" t="s">
        <v>273</v>
      </c>
      <c r="AA154" s="135" t="str">
        <f>_xlfn.IFS(AND(COUNTIF(Y154,"SCB*")=1, 'PCH272'!J68&gt;=2), "See the Notice *1", TRUE, "")</f>
        <v/>
      </c>
      <c r="AB154" s="14"/>
      <c r="AC154" s="11" t="s">
        <v>272</v>
      </c>
      <c r="AD154" s="11" t="s">
        <v>254</v>
      </c>
      <c r="AE154" s="14"/>
      <c r="AF154" s="14"/>
    </row>
    <row r="155" spans="2:32" x14ac:dyDescent="0.2">
      <c r="B155" s="11" t="s">
        <v>236</v>
      </c>
      <c r="C155" s="11" t="s">
        <v>1825</v>
      </c>
      <c r="D155" s="11" t="s">
        <v>236</v>
      </c>
      <c r="E155" s="11" t="s">
        <v>936</v>
      </c>
      <c r="F155" s="11" t="s">
        <v>948</v>
      </c>
      <c r="G155" s="11" t="s">
        <v>938</v>
      </c>
      <c r="H155" s="11" t="s">
        <v>950</v>
      </c>
      <c r="I155" s="12" t="s">
        <v>273</v>
      </c>
      <c r="J155" s="11" t="s">
        <v>1285</v>
      </c>
      <c r="K155" s="11" t="s">
        <v>1286</v>
      </c>
      <c r="L155" s="11" t="s">
        <v>1287</v>
      </c>
      <c r="M155" s="12" t="s">
        <v>273</v>
      </c>
      <c r="N155" s="11" t="s">
        <v>193</v>
      </c>
      <c r="O155" s="12" t="s">
        <v>273</v>
      </c>
      <c r="P155" s="12" t="s">
        <v>273</v>
      </c>
      <c r="Q155" s="13" t="s">
        <v>273</v>
      </c>
      <c r="R155" s="13" t="s">
        <v>273</v>
      </c>
      <c r="S155" s="13" t="s">
        <v>273</v>
      </c>
      <c r="T155" s="11" t="s">
        <v>1311</v>
      </c>
      <c r="U155" s="13" t="s">
        <v>273</v>
      </c>
      <c r="V155" s="13" t="s">
        <v>273</v>
      </c>
      <c r="W155" s="13" t="s">
        <v>273</v>
      </c>
      <c r="X155" s="11" t="s">
        <v>1856</v>
      </c>
      <c r="Y155" s="15"/>
      <c r="Z155" s="13" t="s">
        <v>273</v>
      </c>
      <c r="AA155" s="135" t="str">
        <f>_xlfn.IFS(AND(COUNTIF(Y155,"SCB*")=1, 'PCH272'!J68&gt;=2), "See the Notice *1", TRUE, "")</f>
        <v/>
      </c>
      <c r="AB155" s="14"/>
      <c r="AC155" s="11" t="s">
        <v>272</v>
      </c>
      <c r="AD155" s="11" t="s">
        <v>254</v>
      </c>
      <c r="AE155" s="14"/>
      <c r="AF155" s="14"/>
    </row>
    <row r="156" spans="2:32" x14ac:dyDescent="0.2">
      <c r="B156" s="11" t="s">
        <v>237</v>
      </c>
      <c r="C156" s="11" t="s">
        <v>1828</v>
      </c>
      <c r="D156" s="11" t="s">
        <v>237</v>
      </c>
      <c r="E156" s="11" t="s">
        <v>931</v>
      </c>
      <c r="F156" s="11" t="s">
        <v>942</v>
      </c>
      <c r="G156" s="11" t="s">
        <v>933</v>
      </c>
      <c r="H156" s="11" t="s">
        <v>943</v>
      </c>
      <c r="I156" s="12" t="s">
        <v>273</v>
      </c>
      <c r="J156" s="11" t="s">
        <v>1288</v>
      </c>
      <c r="K156" s="11" t="s">
        <v>1289</v>
      </c>
      <c r="L156" s="11" t="s">
        <v>1290</v>
      </c>
      <c r="M156" s="12" t="s">
        <v>273</v>
      </c>
      <c r="N156" s="12" t="s">
        <v>273</v>
      </c>
      <c r="O156" s="12" t="s">
        <v>273</v>
      </c>
      <c r="P156" s="12" t="s">
        <v>273</v>
      </c>
      <c r="Q156" s="13" t="s">
        <v>273</v>
      </c>
      <c r="R156" s="13" t="s">
        <v>273</v>
      </c>
      <c r="S156" s="13" t="s">
        <v>273</v>
      </c>
      <c r="T156" s="11" t="s">
        <v>1312</v>
      </c>
      <c r="U156" s="13" t="s">
        <v>273</v>
      </c>
      <c r="V156" s="13" t="s">
        <v>273</v>
      </c>
      <c r="W156" s="13" t="s">
        <v>273</v>
      </c>
      <c r="X156" s="11" t="s">
        <v>1857</v>
      </c>
      <c r="Y156" s="15"/>
      <c r="Z156" s="13" t="s">
        <v>273</v>
      </c>
      <c r="AA156" s="135" t="str">
        <f>_xlfn.IFS(AND(COUNTIF(Y156,"SCB*")=1, 'PCH272'!J68&gt;=2), "See the Notice *1", TRUE, "")</f>
        <v/>
      </c>
      <c r="AB156" s="14"/>
      <c r="AC156" s="11" t="s">
        <v>272</v>
      </c>
      <c r="AD156" s="11" t="s">
        <v>254</v>
      </c>
      <c r="AE156" s="14"/>
      <c r="AF156" s="14"/>
    </row>
    <row r="157" spans="2:32" x14ac:dyDescent="0.2">
      <c r="B157" s="11" t="s">
        <v>238</v>
      </c>
      <c r="C157" s="11" t="s">
        <v>1830</v>
      </c>
      <c r="D157" s="11" t="s">
        <v>238</v>
      </c>
      <c r="E157" s="11" t="s">
        <v>925</v>
      </c>
      <c r="F157" s="11" t="s">
        <v>937</v>
      </c>
      <c r="G157" s="11" t="s">
        <v>927</v>
      </c>
      <c r="H157" s="11" t="s">
        <v>939</v>
      </c>
      <c r="I157" s="12" t="s">
        <v>273</v>
      </c>
      <c r="J157" s="11" t="s">
        <v>1291</v>
      </c>
      <c r="K157" s="12" t="s">
        <v>273</v>
      </c>
      <c r="L157" s="11" t="s">
        <v>1292</v>
      </c>
      <c r="M157" s="12" t="s">
        <v>273</v>
      </c>
      <c r="N157" s="12" t="s">
        <v>273</v>
      </c>
      <c r="O157" s="12" t="s">
        <v>273</v>
      </c>
      <c r="P157" s="12" t="s">
        <v>273</v>
      </c>
      <c r="Q157" s="13" t="s">
        <v>273</v>
      </c>
      <c r="R157" s="13" t="s">
        <v>273</v>
      </c>
      <c r="S157" s="13" t="s">
        <v>273</v>
      </c>
      <c r="T157" s="11" t="s">
        <v>1313</v>
      </c>
      <c r="U157" s="13" t="s">
        <v>273</v>
      </c>
      <c r="V157" s="13" t="s">
        <v>273</v>
      </c>
      <c r="W157" s="13" t="s">
        <v>273</v>
      </c>
      <c r="X157" s="11" t="s">
        <v>1858</v>
      </c>
      <c r="Y157" s="15"/>
      <c r="Z157" s="13" t="s">
        <v>273</v>
      </c>
      <c r="AA157" s="135" t="str">
        <f>_xlfn.IFS(AND(COUNTIF(Y157,"SCB*")=1, 'PCH272'!J68&gt;=2), "See the Notice *1", TRUE, "")</f>
        <v/>
      </c>
      <c r="AB157" s="14"/>
      <c r="AC157" s="11" t="s">
        <v>272</v>
      </c>
      <c r="AD157" s="11" t="s">
        <v>254</v>
      </c>
      <c r="AE157" s="14"/>
      <c r="AF157" s="14"/>
    </row>
    <row r="158" spans="2:32" x14ac:dyDescent="0.2">
      <c r="B158" s="11" t="s">
        <v>239</v>
      </c>
      <c r="C158" s="11" t="s">
        <v>1832</v>
      </c>
      <c r="D158" s="11" t="s">
        <v>239</v>
      </c>
      <c r="E158" s="11" t="s">
        <v>918</v>
      </c>
      <c r="F158" s="11" t="s">
        <v>932</v>
      </c>
      <c r="G158" s="11" t="s">
        <v>920</v>
      </c>
      <c r="H158" s="11" t="s">
        <v>934</v>
      </c>
      <c r="I158" s="12" t="s">
        <v>273</v>
      </c>
      <c r="J158" s="12" t="s">
        <v>273</v>
      </c>
      <c r="K158" s="12" t="s">
        <v>273</v>
      </c>
      <c r="L158" s="11" t="s">
        <v>1293</v>
      </c>
      <c r="M158" s="12" t="s">
        <v>273</v>
      </c>
      <c r="N158" s="12" t="s">
        <v>273</v>
      </c>
      <c r="O158" s="12" t="s">
        <v>273</v>
      </c>
      <c r="P158" s="12" t="s">
        <v>273</v>
      </c>
      <c r="Q158" s="13" t="s">
        <v>273</v>
      </c>
      <c r="R158" s="13" t="s">
        <v>273</v>
      </c>
      <c r="S158" s="13" t="s">
        <v>273</v>
      </c>
      <c r="T158" s="11" t="s">
        <v>1314</v>
      </c>
      <c r="U158" s="13" t="s">
        <v>273</v>
      </c>
      <c r="V158" s="13" t="s">
        <v>273</v>
      </c>
      <c r="W158" s="13" t="s">
        <v>273</v>
      </c>
      <c r="X158" s="13" t="s">
        <v>273</v>
      </c>
      <c r="Y158" s="15"/>
      <c r="Z158" s="13" t="s">
        <v>273</v>
      </c>
      <c r="AA158" s="135" t="str">
        <f>_xlfn.IFS(AND(COUNTIF(Y158,"SCB*")=1, 'PCH272'!J68&gt;=2), "See the Notice *1", TRUE, "")</f>
        <v/>
      </c>
      <c r="AB158" s="14"/>
      <c r="AC158" s="11" t="s">
        <v>272</v>
      </c>
      <c r="AD158" s="11" t="s">
        <v>254</v>
      </c>
      <c r="AE158" s="14"/>
      <c r="AF158" s="14"/>
    </row>
    <row r="159" spans="2:32" x14ac:dyDescent="0.2">
      <c r="B159" s="11" t="s">
        <v>240</v>
      </c>
      <c r="C159" s="11" t="s">
        <v>1833</v>
      </c>
      <c r="D159" s="11" t="s">
        <v>240</v>
      </c>
      <c r="E159" s="11" t="s">
        <v>911</v>
      </c>
      <c r="F159" s="11" t="s">
        <v>926</v>
      </c>
      <c r="G159" s="11" t="s">
        <v>913</v>
      </c>
      <c r="H159" s="11" t="s">
        <v>928</v>
      </c>
      <c r="I159" s="11" t="s">
        <v>855</v>
      </c>
      <c r="J159" s="12" t="s">
        <v>273</v>
      </c>
      <c r="K159" s="12" t="s">
        <v>273</v>
      </c>
      <c r="L159" s="11" t="s">
        <v>1294</v>
      </c>
      <c r="M159" s="11" t="s">
        <v>76</v>
      </c>
      <c r="N159" s="12" t="s">
        <v>273</v>
      </c>
      <c r="O159" s="12" t="s">
        <v>273</v>
      </c>
      <c r="P159" s="12" t="s">
        <v>273</v>
      </c>
      <c r="Q159" s="13" t="s">
        <v>273</v>
      </c>
      <c r="R159" s="13" t="s">
        <v>273</v>
      </c>
      <c r="S159" s="13" t="s">
        <v>273</v>
      </c>
      <c r="T159" s="13" t="s">
        <v>273</v>
      </c>
      <c r="U159" s="13" t="s">
        <v>273</v>
      </c>
      <c r="V159" s="13" t="s">
        <v>273</v>
      </c>
      <c r="W159" s="13" t="s">
        <v>273</v>
      </c>
      <c r="X159" s="13" t="s">
        <v>273</v>
      </c>
      <c r="Y159" s="15"/>
      <c r="Z159" s="13" t="s">
        <v>273</v>
      </c>
      <c r="AA159" s="135" t="str">
        <f>_xlfn.IFS(AND(COUNTIF(Y159,"SCB*")=1, 'PCH272'!J68&gt;=2), "See the Notice *1", TRUE, "")</f>
        <v/>
      </c>
      <c r="AB159" s="14"/>
      <c r="AC159" s="11" t="s">
        <v>272</v>
      </c>
      <c r="AD159" s="11" t="s">
        <v>254</v>
      </c>
      <c r="AE159" s="14"/>
      <c r="AF159" s="14"/>
    </row>
    <row r="160" spans="2:32" x14ac:dyDescent="0.2">
      <c r="B160" s="11" t="s">
        <v>241</v>
      </c>
      <c r="C160" s="11" t="s">
        <v>1834</v>
      </c>
      <c r="D160" s="11" t="s">
        <v>241</v>
      </c>
      <c r="E160" s="11" t="s">
        <v>905</v>
      </c>
      <c r="F160" s="11" t="s">
        <v>919</v>
      </c>
      <c r="G160" s="11" t="s">
        <v>907</v>
      </c>
      <c r="H160" s="11" t="s">
        <v>921</v>
      </c>
      <c r="I160" s="11" t="s">
        <v>862</v>
      </c>
      <c r="J160" s="12" t="s">
        <v>273</v>
      </c>
      <c r="K160" s="12" t="s">
        <v>273</v>
      </c>
      <c r="L160" s="12" t="s">
        <v>273</v>
      </c>
      <c r="M160" s="11" t="s">
        <v>78</v>
      </c>
      <c r="N160" s="12" t="s">
        <v>273</v>
      </c>
      <c r="O160" s="12" t="s">
        <v>273</v>
      </c>
      <c r="P160" s="12" t="s">
        <v>273</v>
      </c>
      <c r="Q160" s="13" t="s">
        <v>273</v>
      </c>
      <c r="R160" s="13" t="s">
        <v>273</v>
      </c>
      <c r="S160" s="13" t="s">
        <v>273</v>
      </c>
      <c r="T160" s="13" t="s">
        <v>273</v>
      </c>
      <c r="U160" s="13" t="s">
        <v>273</v>
      </c>
      <c r="V160" s="13" t="s">
        <v>273</v>
      </c>
      <c r="W160" s="13" t="s">
        <v>273</v>
      </c>
      <c r="X160" s="13" t="s">
        <v>273</v>
      </c>
      <c r="Y160" s="15"/>
      <c r="Z160" s="13" t="s">
        <v>273</v>
      </c>
      <c r="AA160" s="135"/>
      <c r="AB160" s="14"/>
      <c r="AC160" s="11" t="s">
        <v>272</v>
      </c>
      <c r="AD160" s="11" t="s">
        <v>254</v>
      </c>
      <c r="AE160" s="14"/>
      <c r="AF160" s="14"/>
    </row>
    <row r="161" spans="2:32" x14ac:dyDescent="0.2">
      <c r="B161" s="11" t="s">
        <v>242</v>
      </c>
      <c r="C161" s="11" t="s">
        <v>1836</v>
      </c>
      <c r="D161" s="11" t="s">
        <v>242</v>
      </c>
      <c r="E161" s="11" t="s">
        <v>899</v>
      </c>
      <c r="F161" s="11" t="s">
        <v>912</v>
      </c>
      <c r="G161" s="11" t="s">
        <v>901</v>
      </c>
      <c r="H161" s="11" t="s">
        <v>914</v>
      </c>
      <c r="I161" s="11" t="s">
        <v>869</v>
      </c>
      <c r="J161" s="12" t="s">
        <v>273</v>
      </c>
      <c r="K161" s="11" t="s">
        <v>1116</v>
      </c>
      <c r="L161" s="12" t="s">
        <v>273</v>
      </c>
      <c r="M161" s="11" t="s">
        <v>80</v>
      </c>
      <c r="N161" s="12" t="s">
        <v>273</v>
      </c>
      <c r="O161" s="12" t="s">
        <v>273</v>
      </c>
      <c r="P161" s="12" t="s">
        <v>273</v>
      </c>
      <c r="Q161" s="13" t="s">
        <v>273</v>
      </c>
      <c r="R161" s="13" t="s">
        <v>273</v>
      </c>
      <c r="S161" s="13" t="s">
        <v>273</v>
      </c>
      <c r="T161" s="13" t="s">
        <v>273</v>
      </c>
      <c r="U161" s="13" t="s">
        <v>273</v>
      </c>
      <c r="V161" s="13" t="s">
        <v>273</v>
      </c>
      <c r="W161" s="13" t="s">
        <v>273</v>
      </c>
      <c r="X161" s="13" t="s">
        <v>273</v>
      </c>
      <c r="Y161" s="15"/>
      <c r="Z161" s="13" t="s">
        <v>273</v>
      </c>
      <c r="AA161" s="135"/>
      <c r="AB161" s="14"/>
      <c r="AC161" s="11" t="s">
        <v>272</v>
      </c>
      <c r="AD161" s="11" t="s">
        <v>254</v>
      </c>
      <c r="AE161" s="14"/>
      <c r="AF161" s="14"/>
    </row>
    <row r="162" spans="2:32" x14ac:dyDescent="0.2">
      <c r="B162" s="11" t="s">
        <v>243</v>
      </c>
      <c r="C162" s="11" t="s">
        <v>1835</v>
      </c>
      <c r="D162" s="11" t="s">
        <v>243</v>
      </c>
      <c r="E162" s="11" t="s">
        <v>1025</v>
      </c>
      <c r="F162" s="11" t="s">
        <v>906</v>
      </c>
      <c r="G162" s="11" t="s">
        <v>1027</v>
      </c>
      <c r="H162" s="11" t="s">
        <v>908</v>
      </c>
      <c r="I162" s="11" t="s">
        <v>876</v>
      </c>
      <c r="J162" s="11" t="s">
        <v>1295</v>
      </c>
      <c r="K162" s="11" t="s">
        <v>1122</v>
      </c>
      <c r="L162" s="11" t="s">
        <v>1296</v>
      </c>
      <c r="M162" s="12" t="s">
        <v>273</v>
      </c>
      <c r="N162" s="11" t="s">
        <v>171</v>
      </c>
      <c r="O162" s="12" t="s">
        <v>273</v>
      </c>
      <c r="P162" s="12" t="s">
        <v>273</v>
      </c>
      <c r="Q162" s="13" t="s">
        <v>273</v>
      </c>
      <c r="R162" s="13" t="s">
        <v>273</v>
      </c>
      <c r="S162" s="13" t="s">
        <v>273</v>
      </c>
      <c r="T162" s="11" t="s">
        <v>2677</v>
      </c>
      <c r="U162" s="13" t="s">
        <v>273</v>
      </c>
      <c r="V162" s="13" t="s">
        <v>273</v>
      </c>
      <c r="W162" s="13" t="s">
        <v>273</v>
      </c>
      <c r="X162" s="13" t="s">
        <v>273</v>
      </c>
      <c r="Y162" s="15"/>
      <c r="Z162" s="13" t="s">
        <v>273</v>
      </c>
      <c r="AA162" s="135" t="str">
        <f>_xlfn.IFS(AND(COUNTIF(Y162,"SCB*")=1, 'PCH272'!K68&gt;=2), "See the Notice *1", TRUE, "")</f>
        <v/>
      </c>
      <c r="AB162" s="14"/>
      <c r="AC162" s="11" t="s">
        <v>272</v>
      </c>
      <c r="AD162" s="11" t="s">
        <v>254</v>
      </c>
      <c r="AE162" s="14"/>
      <c r="AF162" s="14"/>
    </row>
    <row r="163" spans="2:32" x14ac:dyDescent="0.2">
      <c r="B163" s="11" t="s">
        <v>244</v>
      </c>
      <c r="C163" s="11" t="s">
        <v>1838</v>
      </c>
      <c r="D163" s="11" t="s">
        <v>244</v>
      </c>
      <c r="E163" s="11" t="s">
        <v>1042</v>
      </c>
      <c r="F163" s="11" t="s">
        <v>1034</v>
      </c>
      <c r="G163" s="11" t="s">
        <v>1044</v>
      </c>
      <c r="H163" s="11" t="s">
        <v>1036</v>
      </c>
      <c r="I163" s="12" t="s">
        <v>273</v>
      </c>
      <c r="J163" s="11" t="s">
        <v>1297</v>
      </c>
      <c r="K163" s="11" t="s">
        <v>1298</v>
      </c>
      <c r="L163" s="11" t="s">
        <v>1299</v>
      </c>
      <c r="M163" s="12" t="s">
        <v>273</v>
      </c>
      <c r="N163" s="11" t="s">
        <v>173</v>
      </c>
      <c r="O163" s="12" t="s">
        <v>273</v>
      </c>
      <c r="P163" s="12" t="s">
        <v>273</v>
      </c>
      <c r="Q163" s="13" t="s">
        <v>273</v>
      </c>
      <c r="R163" s="13" t="s">
        <v>273</v>
      </c>
      <c r="S163" s="13" t="s">
        <v>273</v>
      </c>
      <c r="T163" s="11" t="s">
        <v>2679</v>
      </c>
      <c r="U163" s="13" t="s">
        <v>273</v>
      </c>
      <c r="V163" s="13" t="s">
        <v>273</v>
      </c>
      <c r="W163" s="13" t="s">
        <v>273</v>
      </c>
      <c r="X163" s="13" t="s">
        <v>273</v>
      </c>
      <c r="Y163" s="15"/>
      <c r="Z163" s="13" t="s">
        <v>273</v>
      </c>
      <c r="AA163" s="135" t="str">
        <f>_xlfn.IFS(AND(COUNTIF(Y163,"SCB*")=1, 'PCH272'!K68&gt;=2), "See the Notice *1", TRUE, "")</f>
        <v/>
      </c>
      <c r="AB163" s="14"/>
      <c r="AC163" s="11" t="s">
        <v>272</v>
      </c>
      <c r="AD163" s="11" t="s">
        <v>254</v>
      </c>
      <c r="AE163" s="14"/>
      <c r="AF163" s="14"/>
    </row>
    <row r="164" spans="2:32" x14ac:dyDescent="0.2">
      <c r="B164" s="11" t="s">
        <v>245</v>
      </c>
      <c r="C164" s="11" t="s">
        <v>1840</v>
      </c>
      <c r="D164" s="11" t="s">
        <v>245</v>
      </c>
      <c r="E164" s="11" t="s">
        <v>2665</v>
      </c>
      <c r="F164" s="11" t="s">
        <v>1052</v>
      </c>
      <c r="G164" s="11" t="s">
        <v>1059</v>
      </c>
      <c r="H164" s="11" t="s">
        <v>1054</v>
      </c>
      <c r="I164" s="12" t="s">
        <v>273</v>
      </c>
      <c r="J164" s="11" t="s">
        <v>1300</v>
      </c>
      <c r="K164" s="11" t="s">
        <v>1301</v>
      </c>
      <c r="L164" s="11" t="s">
        <v>1302</v>
      </c>
      <c r="M164" s="11" t="s">
        <v>146</v>
      </c>
      <c r="N164" s="12" t="s">
        <v>273</v>
      </c>
      <c r="O164" s="12" t="s">
        <v>273</v>
      </c>
      <c r="P164" s="12" t="s">
        <v>273</v>
      </c>
      <c r="Q164" s="13" t="s">
        <v>273</v>
      </c>
      <c r="R164" s="13" t="s">
        <v>273</v>
      </c>
      <c r="S164" s="13" t="s">
        <v>273</v>
      </c>
      <c r="T164" s="11" t="s">
        <v>2680</v>
      </c>
      <c r="U164" s="13" t="s">
        <v>273</v>
      </c>
      <c r="V164" s="13" t="s">
        <v>273</v>
      </c>
      <c r="W164" s="13" t="s">
        <v>273</v>
      </c>
      <c r="X164" s="13" t="s">
        <v>273</v>
      </c>
      <c r="Y164" s="15"/>
      <c r="Z164" s="13" t="s">
        <v>273</v>
      </c>
      <c r="AA164" s="135" t="str">
        <f>_xlfn.IFS(AND(COUNTIF(Y164,"SCB*")=1, 'PCH272'!K68&gt;=2), "See the Notice *1", TRUE, "")</f>
        <v/>
      </c>
      <c r="AB164" s="14"/>
      <c r="AC164" s="11" t="s">
        <v>272</v>
      </c>
      <c r="AD164" s="11" t="s">
        <v>254</v>
      </c>
      <c r="AE164" s="14"/>
      <c r="AF164" s="14"/>
    </row>
    <row r="165" spans="2:32" x14ac:dyDescent="0.2">
      <c r="B165" s="11" t="s">
        <v>246</v>
      </c>
      <c r="C165" s="11" t="s">
        <v>1842</v>
      </c>
      <c r="D165" s="11" t="s">
        <v>246</v>
      </c>
      <c r="E165" s="11" t="s">
        <v>2666</v>
      </c>
      <c r="F165" s="11" t="s">
        <v>2663</v>
      </c>
      <c r="G165" s="11" t="s">
        <v>1068</v>
      </c>
      <c r="H165" s="11" t="s">
        <v>2661</v>
      </c>
      <c r="I165" s="12" t="s">
        <v>273</v>
      </c>
      <c r="J165" s="11" t="s">
        <v>1303</v>
      </c>
      <c r="K165" s="12" t="s">
        <v>273</v>
      </c>
      <c r="L165" s="11" t="s">
        <v>1939</v>
      </c>
      <c r="M165" s="11" t="s">
        <v>149</v>
      </c>
      <c r="N165" s="12" t="s">
        <v>273</v>
      </c>
      <c r="O165" s="12" t="s">
        <v>273</v>
      </c>
      <c r="P165" s="12" t="s">
        <v>273</v>
      </c>
      <c r="Q165" s="11" t="s">
        <v>1304</v>
      </c>
      <c r="R165" s="13" t="s">
        <v>273</v>
      </c>
      <c r="S165" s="11" t="s">
        <v>247</v>
      </c>
      <c r="T165" s="11" t="s">
        <v>2682</v>
      </c>
      <c r="U165" s="13" t="s">
        <v>273</v>
      </c>
      <c r="V165" s="13" t="s">
        <v>273</v>
      </c>
      <c r="W165" s="13" t="s">
        <v>273</v>
      </c>
      <c r="X165" s="13" t="s">
        <v>273</v>
      </c>
      <c r="Y165" s="15"/>
      <c r="Z165" s="13" t="s">
        <v>273</v>
      </c>
      <c r="AA165" s="135" t="str">
        <f>_xlfn.IFS(AND(COUNTIF(Y165,"SCB*")=1, 'PCH272'!K68&gt;=2), "See the Notice *1", TRUE, "")</f>
        <v/>
      </c>
      <c r="AB165" s="14"/>
      <c r="AC165" s="11" t="s">
        <v>272</v>
      </c>
      <c r="AD165" s="11" t="s">
        <v>254</v>
      </c>
      <c r="AE165" s="14"/>
      <c r="AF165" s="14"/>
    </row>
    <row r="166" spans="2:32" x14ac:dyDescent="0.2">
      <c r="B166" s="11" t="s">
        <v>248</v>
      </c>
      <c r="C166" s="11" t="s">
        <v>1844</v>
      </c>
      <c r="D166" s="11" t="s">
        <v>248</v>
      </c>
      <c r="E166" s="11" t="s">
        <v>887</v>
      </c>
      <c r="F166" s="11" t="s">
        <v>2664</v>
      </c>
      <c r="G166" s="11" t="s">
        <v>889</v>
      </c>
      <c r="H166" s="11" t="s">
        <v>2662</v>
      </c>
      <c r="I166" s="11" t="s">
        <v>885</v>
      </c>
      <c r="J166" s="11" t="s">
        <v>1305</v>
      </c>
      <c r="K166" s="12" t="s">
        <v>273</v>
      </c>
      <c r="L166" s="11" t="s">
        <v>1306</v>
      </c>
      <c r="M166" s="12" t="s">
        <v>273</v>
      </c>
      <c r="N166" s="12" t="s">
        <v>273</v>
      </c>
      <c r="O166" s="12" t="s">
        <v>273</v>
      </c>
      <c r="P166" s="12" t="s">
        <v>273</v>
      </c>
      <c r="Q166" s="13" t="s">
        <v>273</v>
      </c>
      <c r="R166" s="13" t="s">
        <v>273</v>
      </c>
      <c r="S166" s="11" t="s">
        <v>249</v>
      </c>
      <c r="T166" s="11" t="s">
        <v>697</v>
      </c>
      <c r="U166" s="13" t="s">
        <v>273</v>
      </c>
      <c r="V166" s="11" t="s">
        <v>1859</v>
      </c>
      <c r="W166" s="13" t="s">
        <v>273</v>
      </c>
      <c r="X166" s="13" t="s">
        <v>273</v>
      </c>
      <c r="Y166" s="15"/>
      <c r="Z166" s="13" t="s">
        <v>273</v>
      </c>
      <c r="AA166" s="135" t="str">
        <f>_xlfn.IFS(AND(COUNTIF(Y166,"SCB2*")=1, 'PCH272'!F68&gt;=2), "See the Notice *1", AND(COUNTIF(Y166,"SCB7*")=1, 'PCH272'!K68&gt;=2), "See the Notice *1", TRUE, "")</f>
        <v/>
      </c>
      <c r="AB166" s="14"/>
      <c r="AC166" s="11" t="s">
        <v>272</v>
      </c>
      <c r="AD166" s="11" t="s">
        <v>254</v>
      </c>
      <c r="AE166" s="14"/>
      <c r="AF166" s="14"/>
    </row>
    <row r="167" spans="2:32" x14ac:dyDescent="0.2">
      <c r="B167" s="11" t="s">
        <v>250</v>
      </c>
      <c r="C167" s="11" t="s">
        <v>1846</v>
      </c>
      <c r="D167" s="11" t="s">
        <v>250</v>
      </c>
      <c r="E167" s="11" t="s">
        <v>881</v>
      </c>
      <c r="F167" s="11" t="s">
        <v>894</v>
      </c>
      <c r="G167" s="11" t="s">
        <v>883</v>
      </c>
      <c r="H167" s="11" t="s">
        <v>896</v>
      </c>
      <c r="I167" s="11" t="s">
        <v>891</v>
      </c>
      <c r="J167" s="11" t="s">
        <v>1307</v>
      </c>
      <c r="K167" s="12" t="s">
        <v>273</v>
      </c>
      <c r="L167" s="11" t="s">
        <v>1308</v>
      </c>
      <c r="M167" s="12" t="s">
        <v>273</v>
      </c>
      <c r="N167" s="12" t="s">
        <v>273</v>
      </c>
      <c r="O167" s="12" t="s">
        <v>273</v>
      </c>
      <c r="P167" s="11" t="s">
        <v>761</v>
      </c>
      <c r="Q167" s="13" t="s">
        <v>273</v>
      </c>
      <c r="R167" s="13" t="s">
        <v>273</v>
      </c>
      <c r="S167" s="13" t="s">
        <v>273</v>
      </c>
      <c r="T167" s="13" t="s">
        <v>273</v>
      </c>
      <c r="U167" s="13" t="s">
        <v>273</v>
      </c>
      <c r="V167" s="11" t="s">
        <v>1860</v>
      </c>
      <c r="W167" s="13" t="s">
        <v>273</v>
      </c>
      <c r="X167" s="13" t="s">
        <v>273</v>
      </c>
      <c r="Y167" s="15"/>
      <c r="Z167" s="13" t="s">
        <v>273</v>
      </c>
      <c r="AA167" s="135" t="str">
        <f>_xlfn.IFS(AND(COUNTIF(Y167,"SCB2*")=1, 'PCH272'!F68&gt;=2), "See the Notice *1", AND(COUNTIF(Y167,"SCB7*")=1, 'PCH272'!K68&gt;=2), "See the Notice *1", TRUE, "")</f>
        <v/>
      </c>
      <c r="AB167" s="14"/>
      <c r="AC167" s="11" t="s">
        <v>272</v>
      </c>
      <c r="AD167" s="11" t="s">
        <v>254</v>
      </c>
      <c r="AE167" s="14"/>
      <c r="AF167" s="14"/>
    </row>
    <row r="168" spans="2:32" x14ac:dyDescent="0.2">
      <c r="B168" s="16" t="s">
        <v>251</v>
      </c>
      <c r="C168" s="11" t="s">
        <v>1843</v>
      </c>
      <c r="D168" s="16" t="s">
        <v>251</v>
      </c>
      <c r="E168" s="16" t="s">
        <v>878</v>
      </c>
      <c r="F168" s="16" t="s">
        <v>888</v>
      </c>
      <c r="G168" s="16" t="s">
        <v>879</v>
      </c>
      <c r="H168" s="16" t="s">
        <v>890</v>
      </c>
      <c r="I168" s="16" t="s">
        <v>897</v>
      </c>
      <c r="J168" s="16" t="s">
        <v>1309</v>
      </c>
      <c r="K168" s="12" t="s">
        <v>273</v>
      </c>
      <c r="L168" s="12" t="s">
        <v>273</v>
      </c>
      <c r="M168" s="12" t="s">
        <v>273</v>
      </c>
      <c r="N168" s="12" t="s">
        <v>273</v>
      </c>
      <c r="O168" s="12" t="s">
        <v>273</v>
      </c>
      <c r="P168" s="16" t="s">
        <v>763</v>
      </c>
      <c r="Q168" s="13" t="s">
        <v>273</v>
      </c>
      <c r="R168" s="13" t="s">
        <v>273</v>
      </c>
      <c r="S168" s="13" t="s">
        <v>273</v>
      </c>
      <c r="T168" s="13" t="s">
        <v>273</v>
      </c>
      <c r="U168" s="13" t="s">
        <v>273</v>
      </c>
      <c r="V168" s="11" t="s">
        <v>1861</v>
      </c>
      <c r="W168" s="13" t="s">
        <v>273</v>
      </c>
      <c r="X168" s="13" t="s">
        <v>273</v>
      </c>
      <c r="Y168" s="15"/>
      <c r="Z168" s="13" t="s">
        <v>273</v>
      </c>
      <c r="AA168" s="135" t="str">
        <f>_xlfn.IFS(AND(COUNTIF(Y168,"SCB*")=1, 'PCH272'!F68&gt;=2), "See the Notice *1", TRUE, "")</f>
        <v/>
      </c>
      <c r="AB168" s="14"/>
      <c r="AC168" s="11" t="s">
        <v>272</v>
      </c>
      <c r="AD168" s="11" t="s">
        <v>254</v>
      </c>
      <c r="AE168" s="14"/>
      <c r="AF168" s="14"/>
    </row>
    <row r="169" spans="2:32" x14ac:dyDescent="0.2">
      <c r="B169" s="11" t="s">
        <v>252</v>
      </c>
      <c r="C169" s="11" t="s">
        <v>1847</v>
      </c>
      <c r="D169" s="11" t="s">
        <v>252</v>
      </c>
      <c r="E169" s="11" t="s">
        <v>872</v>
      </c>
      <c r="F169" s="11" t="s">
        <v>882</v>
      </c>
      <c r="G169" s="11" t="s">
        <v>874</v>
      </c>
      <c r="H169" s="11" t="s">
        <v>884</v>
      </c>
      <c r="I169" s="11" t="s">
        <v>903</v>
      </c>
      <c r="J169" s="11" t="s">
        <v>1315</v>
      </c>
      <c r="K169" s="12" t="s">
        <v>273</v>
      </c>
      <c r="L169" s="12" t="s">
        <v>273</v>
      </c>
      <c r="M169" s="12" t="s">
        <v>273</v>
      </c>
      <c r="N169" s="12" t="s">
        <v>273</v>
      </c>
      <c r="O169" s="11" t="s">
        <v>230</v>
      </c>
      <c r="P169" s="11" t="s">
        <v>768</v>
      </c>
      <c r="Q169" s="13" t="s">
        <v>273</v>
      </c>
      <c r="R169" s="13" t="s">
        <v>273</v>
      </c>
      <c r="S169" s="13" t="s">
        <v>273</v>
      </c>
      <c r="T169" s="11" t="s">
        <v>2668</v>
      </c>
      <c r="U169" s="13" t="s">
        <v>273</v>
      </c>
      <c r="V169" s="11" t="s">
        <v>1862</v>
      </c>
      <c r="W169" s="13" t="s">
        <v>273</v>
      </c>
      <c r="X169" s="11" t="s">
        <v>349</v>
      </c>
      <c r="Y169" s="15"/>
      <c r="Z169" s="13" t="s">
        <v>273</v>
      </c>
      <c r="AA169" s="135" t="str">
        <f>_xlfn.IFS(AND(COUNTIF(Y169,"SCB*")=1, 'PCH272'!F68&gt;=2), "See the Notice *1", TRUE, "")</f>
        <v/>
      </c>
      <c r="AB169" s="14"/>
      <c r="AC169" s="11" t="s">
        <v>272</v>
      </c>
      <c r="AD169" s="11" t="s">
        <v>254</v>
      </c>
      <c r="AE169" s="14"/>
      <c r="AF169" s="14"/>
    </row>
    <row r="170" spans="2:32" x14ac:dyDescent="0.2">
      <c r="B170" s="11" t="s">
        <v>1316</v>
      </c>
      <c r="C170" s="11" t="s">
        <v>1663</v>
      </c>
      <c r="D170" s="11" t="s">
        <v>1316</v>
      </c>
      <c r="E170" s="12" t="s">
        <v>273</v>
      </c>
      <c r="F170" s="12" t="s">
        <v>273</v>
      </c>
      <c r="G170" s="12" t="s">
        <v>273</v>
      </c>
      <c r="H170" s="12" t="s">
        <v>273</v>
      </c>
      <c r="I170" s="12" t="s">
        <v>273</v>
      </c>
      <c r="J170" s="12" t="s">
        <v>273</v>
      </c>
      <c r="K170" s="12" t="s">
        <v>273</v>
      </c>
      <c r="L170" s="12" t="s">
        <v>273</v>
      </c>
      <c r="M170" s="11" t="s">
        <v>877</v>
      </c>
      <c r="N170" s="12" t="s">
        <v>273</v>
      </c>
      <c r="O170" s="11" t="s">
        <v>230</v>
      </c>
      <c r="P170" s="12" t="s">
        <v>273</v>
      </c>
      <c r="Q170" s="13" t="s">
        <v>273</v>
      </c>
      <c r="R170" s="11" t="s">
        <v>1317</v>
      </c>
      <c r="S170" s="13" t="s">
        <v>273</v>
      </c>
      <c r="T170" s="13" t="s">
        <v>273</v>
      </c>
      <c r="U170" s="13" t="s">
        <v>273</v>
      </c>
      <c r="V170" s="13" t="s">
        <v>273</v>
      </c>
      <c r="W170" s="13" t="s">
        <v>273</v>
      </c>
      <c r="X170" s="13" t="s">
        <v>273</v>
      </c>
      <c r="Y170" s="15"/>
      <c r="Z170" s="13" t="s">
        <v>273</v>
      </c>
      <c r="AA170" s="135" t="str">
        <f>_xlfn.IFS(AND(COUNTIF(Y170,"SDHC*")=1, 'PCH272'!D257&gt;=2), "See the Notice *1", TRUE, "")</f>
        <v/>
      </c>
      <c r="AB170" s="14"/>
      <c r="AC170" s="11" t="s">
        <v>1848</v>
      </c>
      <c r="AD170" s="11" t="s">
        <v>1933</v>
      </c>
      <c r="AE170" s="14"/>
      <c r="AF170" s="14"/>
    </row>
    <row r="171" spans="2:32" x14ac:dyDescent="0.2">
      <c r="B171" s="11" t="s">
        <v>1318</v>
      </c>
      <c r="C171" s="11" t="s">
        <v>1851</v>
      </c>
      <c r="D171" s="11" t="s">
        <v>1318</v>
      </c>
      <c r="E171" s="12" t="s">
        <v>273</v>
      </c>
      <c r="F171" s="12" t="s">
        <v>273</v>
      </c>
      <c r="G171" s="12" t="s">
        <v>273</v>
      </c>
      <c r="H171" s="12" t="s">
        <v>273</v>
      </c>
      <c r="I171" s="12" t="s">
        <v>273</v>
      </c>
      <c r="J171" s="12" t="s">
        <v>273</v>
      </c>
      <c r="K171" s="12" t="s">
        <v>273</v>
      </c>
      <c r="L171" s="12" t="s">
        <v>273</v>
      </c>
      <c r="M171" s="12" t="s">
        <v>273</v>
      </c>
      <c r="N171" s="12" t="s">
        <v>273</v>
      </c>
      <c r="O171" s="12" t="s">
        <v>273</v>
      </c>
      <c r="P171" s="11" t="s">
        <v>1351</v>
      </c>
      <c r="Q171" s="13" t="s">
        <v>273</v>
      </c>
      <c r="R171" s="11" t="s">
        <v>1362</v>
      </c>
      <c r="S171" s="13" t="s">
        <v>273</v>
      </c>
      <c r="T171" s="13" t="s">
        <v>273</v>
      </c>
      <c r="U171" s="13" t="s">
        <v>273</v>
      </c>
      <c r="V171" s="13" t="s">
        <v>273</v>
      </c>
      <c r="W171" s="13" t="s">
        <v>273</v>
      </c>
      <c r="X171" s="13" t="s">
        <v>273</v>
      </c>
      <c r="Y171" s="15"/>
      <c r="Z171" s="13" t="s">
        <v>273</v>
      </c>
      <c r="AA171" s="135" t="str">
        <f>_xlfn.IFS(AND(COUNTIF(Y171,"SPIHB*")=1, 'PCH272'!D173&gt;=2), "See the Notice *1", AND(COUNTIF(Y171,"SDHC*")=1, 'PCH272'!D257&gt;=2), "See the Notice *1", TRUE, "")</f>
        <v/>
      </c>
      <c r="AB171" s="14"/>
      <c r="AC171" s="11" t="s">
        <v>1848</v>
      </c>
      <c r="AD171" s="11" t="s">
        <v>1933</v>
      </c>
      <c r="AE171" s="14"/>
      <c r="AF171" s="14"/>
    </row>
    <row r="172" spans="2:32" x14ac:dyDescent="0.2">
      <c r="B172" s="11" t="s">
        <v>1319</v>
      </c>
      <c r="C172" s="11" t="s">
        <v>1659</v>
      </c>
      <c r="D172" s="11" t="s">
        <v>1319</v>
      </c>
      <c r="E172" s="12" t="s">
        <v>273</v>
      </c>
      <c r="F172" s="12" t="s">
        <v>273</v>
      </c>
      <c r="G172" s="12" t="s">
        <v>273</v>
      </c>
      <c r="H172" s="12" t="s">
        <v>273</v>
      </c>
      <c r="I172" s="12" t="s">
        <v>273</v>
      </c>
      <c r="J172" s="12" t="s">
        <v>273</v>
      </c>
      <c r="K172" s="12" t="s">
        <v>273</v>
      </c>
      <c r="L172" s="12" t="s">
        <v>273</v>
      </c>
      <c r="M172" s="12" t="s">
        <v>273</v>
      </c>
      <c r="N172" s="12" t="s">
        <v>273</v>
      </c>
      <c r="O172" s="12" t="s">
        <v>273</v>
      </c>
      <c r="P172" s="11" t="s">
        <v>2568</v>
      </c>
      <c r="Q172" s="13" t="s">
        <v>273</v>
      </c>
      <c r="R172" s="11" t="s">
        <v>1320</v>
      </c>
      <c r="S172" s="13" t="s">
        <v>273</v>
      </c>
      <c r="T172" s="13" t="s">
        <v>273</v>
      </c>
      <c r="U172" s="13" t="s">
        <v>273</v>
      </c>
      <c r="V172" s="13" t="s">
        <v>273</v>
      </c>
      <c r="W172" s="13" t="s">
        <v>273</v>
      </c>
      <c r="X172" s="13" t="s">
        <v>273</v>
      </c>
      <c r="Y172" s="15"/>
      <c r="Z172" s="13" t="s">
        <v>273</v>
      </c>
      <c r="AA172" s="135" t="str">
        <f>_xlfn.IFS(AND(COUNTIF(Y172,"SPIHB*")=1, 'PCH272'!D173&gt;=2), "See the Notice *1", AND(COUNTIF(Y172,"SDHC*")=1, 'PCH272'!D257&gt;=2), "See the Notice *1", TRUE, "")</f>
        <v/>
      </c>
      <c r="AB172" s="14"/>
      <c r="AC172" s="11" t="s">
        <v>1848</v>
      </c>
      <c r="AD172" s="11" t="s">
        <v>1933</v>
      </c>
      <c r="AE172" s="14"/>
      <c r="AF172" s="14"/>
    </row>
    <row r="173" spans="2:32" x14ac:dyDescent="0.2">
      <c r="B173" s="11" t="s">
        <v>1321</v>
      </c>
      <c r="C173" s="11" t="s">
        <v>1661</v>
      </c>
      <c r="D173" s="11" t="s">
        <v>1321</v>
      </c>
      <c r="E173" s="12" t="s">
        <v>273</v>
      </c>
      <c r="F173" s="12" t="s">
        <v>273</v>
      </c>
      <c r="G173" s="12" t="s">
        <v>273</v>
      </c>
      <c r="H173" s="12" t="s">
        <v>273</v>
      </c>
      <c r="I173" s="12" t="s">
        <v>273</v>
      </c>
      <c r="J173" s="12" t="s">
        <v>273</v>
      </c>
      <c r="K173" s="12" t="s">
        <v>273</v>
      </c>
      <c r="L173" s="12" t="s">
        <v>273</v>
      </c>
      <c r="M173" s="11" t="s">
        <v>880</v>
      </c>
      <c r="N173" s="12" t="s">
        <v>273</v>
      </c>
      <c r="O173" s="12" t="s">
        <v>273</v>
      </c>
      <c r="P173" s="11" t="s">
        <v>1352</v>
      </c>
      <c r="Q173" s="13" t="s">
        <v>273</v>
      </c>
      <c r="R173" s="11" t="s">
        <v>1322</v>
      </c>
      <c r="S173" s="13" t="s">
        <v>273</v>
      </c>
      <c r="T173" s="13" t="s">
        <v>273</v>
      </c>
      <c r="U173" s="13" t="s">
        <v>273</v>
      </c>
      <c r="V173" s="13" t="s">
        <v>273</v>
      </c>
      <c r="W173" s="13" t="s">
        <v>273</v>
      </c>
      <c r="X173" s="13" t="s">
        <v>273</v>
      </c>
      <c r="Y173" s="15"/>
      <c r="Z173" s="13" t="s">
        <v>273</v>
      </c>
      <c r="AA173" s="135" t="str">
        <f>_xlfn.IFS(AND(COUNTIF(Y173,"SPIHB*")=1, 'PCH272'!D173&gt;=2), "See the Notice *1", AND(COUNTIF(Y173,"SDHC*")=1, 'PCH272'!D257&gt;=2), "See the Notice *1", TRUE, "")</f>
        <v/>
      </c>
      <c r="AB173" s="14"/>
      <c r="AC173" s="11" t="s">
        <v>1848</v>
      </c>
      <c r="AD173" s="11" t="s">
        <v>1933</v>
      </c>
      <c r="AE173" s="14"/>
      <c r="AF173" s="14"/>
    </row>
    <row r="174" spans="2:32" x14ac:dyDescent="0.2">
      <c r="B174" s="11" t="s">
        <v>1323</v>
      </c>
      <c r="C174" s="11" t="s">
        <v>1849</v>
      </c>
      <c r="D174" s="11" t="s">
        <v>1323</v>
      </c>
      <c r="E174" s="12" t="s">
        <v>273</v>
      </c>
      <c r="F174" s="12" t="s">
        <v>273</v>
      </c>
      <c r="G174" s="12" t="s">
        <v>273</v>
      </c>
      <c r="H174" s="12" t="s">
        <v>273</v>
      </c>
      <c r="I174" s="12" t="s">
        <v>273</v>
      </c>
      <c r="J174" s="12" t="s">
        <v>273</v>
      </c>
      <c r="K174" s="12" t="s">
        <v>273</v>
      </c>
      <c r="L174" s="12" t="s">
        <v>273</v>
      </c>
      <c r="M174" s="11" t="s">
        <v>886</v>
      </c>
      <c r="N174" s="12" t="s">
        <v>273</v>
      </c>
      <c r="O174" s="12" t="s">
        <v>273</v>
      </c>
      <c r="P174" s="11" t="s">
        <v>1353</v>
      </c>
      <c r="Q174" s="13" t="s">
        <v>273</v>
      </c>
      <c r="R174" s="11" t="s">
        <v>1324</v>
      </c>
      <c r="S174" s="13" t="s">
        <v>273</v>
      </c>
      <c r="T174" s="13" t="s">
        <v>273</v>
      </c>
      <c r="U174" s="13" t="s">
        <v>273</v>
      </c>
      <c r="V174" s="13" t="s">
        <v>273</v>
      </c>
      <c r="W174" s="13" t="s">
        <v>273</v>
      </c>
      <c r="X174" s="13" t="s">
        <v>273</v>
      </c>
      <c r="Y174" s="15"/>
      <c r="Z174" s="13" t="s">
        <v>273</v>
      </c>
      <c r="AA174" s="135" t="str">
        <f>_xlfn.IFS(AND(COUNTIF(Y174,"SPIHB*")=1, 'PCH272'!D173&gt;=2), "See the Notice *1", AND(COUNTIF(Y174,"SDHC*")=1, 'PCH272'!D257&gt;=2), "See the Notice *1", TRUE, "")</f>
        <v/>
      </c>
      <c r="AB174" s="14"/>
      <c r="AC174" s="11" t="s">
        <v>1848</v>
      </c>
      <c r="AD174" s="11" t="s">
        <v>1933</v>
      </c>
      <c r="AE174" s="14"/>
      <c r="AF174" s="14"/>
    </row>
    <row r="175" spans="2:32" x14ac:dyDescent="0.2">
      <c r="B175" s="11" t="s">
        <v>1325</v>
      </c>
      <c r="C175" s="16" t="s">
        <v>1855</v>
      </c>
      <c r="D175" s="11" t="s">
        <v>1325</v>
      </c>
      <c r="E175" s="12" t="s">
        <v>273</v>
      </c>
      <c r="F175" s="12" t="s">
        <v>273</v>
      </c>
      <c r="G175" s="12" t="s">
        <v>273</v>
      </c>
      <c r="H175" s="12" t="s">
        <v>273</v>
      </c>
      <c r="I175" s="12" t="s">
        <v>273</v>
      </c>
      <c r="J175" s="12" t="s">
        <v>273</v>
      </c>
      <c r="K175" s="12" t="s">
        <v>273</v>
      </c>
      <c r="L175" s="12" t="s">
        <v>273</v>
      </c>
      <c r="M175" s="12" t="s">
        <v>273</v>
      </c>
      <c r="N175" s="12" t="s">
        <v>273</v>
      </c>
      <c r="O175" s="12" t="s">
        <v>273</v>
      </c>
      <c r="P175" s="11" t="s">
        <v>1354</v>
      </c>
      <c r="Q175" s="13" t="s">
        <v>273</v>
      </c>
      <c r="R175" s="11" t="s">
        <v>1326</v>
      </c>
      <c r="S175" s="13" t="s">
        <v>273</v>
      </c>
      <c r="T175" s="13" t="s">
        <v>273</v>
      </c>
      <c r="U175" s="13" t="s">
        <v>273</v>
      </c>
      <c r="V175" s="13" t="s">
        <v>273</v>
      </c>
      <c r="W175" s="13" t="s">
        <v>273</v>
      </c>
      <c r="X175" s="13" t="s">
        <v>273</v>
      </c>
      <c r="Y175" s="15"/>
      <c r="Z175" s="13" t="s">
        <v>273</v>
      </c>
      <c r="AA175" s="135" t="str">
        <f>_xlfn.IFS(AND(COUNTIF(Y175,"SPIHB*")=1, 'PCH272'!D173&gt;=2), "See the Notice *1", AND(COUNTIF(Y175,"SDHC*")=1, 'PCH272'!D257&gt;=2), "See the Notice *1", TRUE, "")</f>
        <v/>
      </c>
      <c r="AB175" s="14"/>
      <c r="AC175" s="11" t="s">
        <v>1848</v>
      </c>
      <c r="AD175" s="11" t="s">
        <v>1933</v>
      </c>
      <c r="AE175" s="14"/>
      <c r="AF175" s="14"/>
    </row>
    <row r="176" spans="2:32" x14ac:dyDescent="0.2">
      <c r="B176" s="11" t="s">
        <v>1327</v>
      </c>
      <c r="C176" s="11" t="s">
        <v>1850</v>
      </c>
      <c r="D176" s="11" t="s">
        <v>1327</v>
      </c>
      <c r="E176" s="12" t="s">
        <v>273</v>
      </c>
      <c r="F176" s="12" t="s">
        <v>273</v>
      </c>
      <c r="G176" s="12" t="s">
        <v>273</v>
      </c>
      <c r="H176" s="12" t="s">
        <v>273</v>
      </c>
      <c r="I176" s="12" t="s">
        <v>273</v>
      </c>
      <c r="J176" s="12" t="s">
        <v>273</v>
      </c>
      <c r="K176" s="12" t="s">
        <v>273</v>
      </c>
      <c r="L176" s="12" t="s">
        <v>273</v>
      </c>
      <c r="M176" s="12" t="s">
        <v>273</v>
      </c>
      <c r="N176" s="12" t="s">
        <v>273</v>
      </c>
      <c r="O176" s="12" t="s">
        <v>273</v>
      </c>
      <c r="P176" s="11" t="s">
        <v>1355</v>
      </c>
      <c r="Q176" s="13" t="s">
        <v>273</v>
      </c>
      <c r="R176" s="11" t="s">
        <v>1328</v>
      </c>
      <c r="S176" s="13" t="s">
        <v>273</v>
      </c>
      <c r="T176" s="13" t="s">
        <v>273</v>
      </c>
      <c r="U176" s="13" t="s">
        <v>273</v>
      </c>
      <c r="V176" s="13" t="s">
        <v>273</v>
      </c>
      <c r="W176" s="13" t="s">
        <v>273</v>
      </c>
      <c r="X176" s="13" t="s">
        <v>273</v>
      </c>
      <c r="Y176" s="15"/>
      <c r="Z176" s="13" t="s">
        <v>273</v>
      </c>
      <c r="AA176" s="135" t="str">
        <f>_xlfn.IFS(AND(COUNTIF(Y176,"SPIHB*")=1, 'PCH272'!D173&gt;=2), "See the Notice *1", AND(COUNTIF(Y176,"SDHC*")=1, 'PCH272'!D257&gt;=2), "See the Notice *1", TRUE, "")</f>
        <v/>
      </c>
      <c r="AB176" s="14"/>
      <c r="AC176" s="11" t="s">
        <v>1848</v>
      </c>
      <c r="AD176" s="11" t="s">
        <v>1933</v>
      </c>
      <c r="AE176" s="14"/>
      <c r="AF176" s="14"/>
    </row>
    <row r="177" spans="2:32" x14ac:dyDescent="0.2">
      <c r="B177" s="11" t="s">
        <v>1329</v>
      </c>
      <c r="C177" s="11" t="s">
        <v>1852</v>
      </c>
      <c r="D177" s="11" t="s">
        <v>1329</v>
      </c>
      <c r="E177" s="12" t="s">
        <v>273</v>
      </c>
      <c r="F177" s="12" t="s">
        <v>273</v>
      </c>
      <c r="G177" s="12" t="s">
        <v>273</v>
      </c>
      <c r="H177" s="12" t="s">
        <v>273</v>
      </c>
      <c r="I177" s="12" t="s">
        <v>273</v>
      </c>
      <c r="J177" s="12" t="s">
        <v>273</v>
      </c>
      <c r="K177" s="12" t="s">
        <v>273</v>
      </c>
      <c r="L177" s="12" t="s">
        <v>273</v>
      </c>
      <c r="M177" s="12" t="s">
        <v>273</v>
      </c>
      <c r="N177" s="12" t="s">
        <v>273</v>
      </c>
      <c r="O177" s="12" t="s">
        <v>273</v>
      </c>
      <c r="P177" s="11" t="s">
        <v>1356</v>
      </c>
      <c r="Q177" s="13" t="s">
        <v>273</v>
      </c>
      <c r="R177" s="11" t="s">
        <v>1330</v>
      </c>
      <c r="S177" s="13" t="s">
        <v>273</v>
      </c>
      <c r="T177" s="13" t="s">
        <v>273</v>
      </c>
      <c r="U177" s="13" t="s">
        <v>273</v>
      </c>
      <c r="V177" s="13" t="s">
        <v>273</v>
      </c>
      <c r="W177" s="13" t="s">
        <v>273</v>
      </c>
      <c r="X177" s="13" t="s">
        <v>273</v>
      </c>
      <c r="Y177" s="15"/>
      <c r="Z177" s="13" t="s">
        <v>273</v>
      </c>
      <c r="AA177" s="135" t="str">
        <f>_xlfn.IFS(AND(COUNTIF(Y177,"SPIHB*")=1, 'PCH272'!D173&gt;=2), "See the Notice *1", AND(COUNTIF(Y177,"SDHC*")=1, 'PCH272'!D257&gt;=2), "See the Notice *1", TRUE, "")</f>
        <v/>
      </c>
      <c r="AB177" s="14"/>
      <c r="AC177" s="11" t="s">
        <v>1848</v>
      </c>
      <c r="AD177" s="11" t="s">
        <v>1933</v>
      </c>
      <c r="AE177" s="14"/>
      <c r="AF177" s="14"/>
    </row>
    <row r="178" spans="2:32" x14ac:dyDescent="0.2">
      <c r="B178" s="11" t="s">
        <v>1331</v>
      </c>
      <c r="C178" s="11" t="s">
        <v>1853</v>
      </c>
      <c r="D178" s="11" t="s">
        <v>1331</v>
      </c>
      <c r="E178" s="12" t="s">
        <v>273</v>
      </c>
      <c r="F178" s="12" t="s">
        <v>273</v>
      </c>
      <c r="G178" s="12" t="s">
        <v>273</v>
      </c>
      <c r="H178" s="12" t="s">
        <v>273</v>
      </c>
      <c r="I178" s="12" t="s">
        <v>273</v>
      </c>
      <c r="J178" s="12" t="s">
        <v>273</v>
      </c>
      <c r="K178" s="12" t="s">
        <v>273</v>
      </c>
      <c r="L178" s="12" t="s">
        <v>273</v>
      </c>
      <c r="M178" s="12" t="s">
        <v>273</v>
      </c>
      <c r="N178" s="12" t="s">
        <v>273</v>
      </c>
      <c r="O178" s="12" t="s">
        <v>273</v>
      </c>
      <c r="P178" s="11" t="s">
        <v>1357</v>
      </c>
      <c r="Q178" s="13" t="s">
        <v>273</v>
      </c>
      <c r="R178" s="11" t="s">
        <v>1332</v>
      </c>
      <c r="S178" s="13" t="s">
        <v>273</v>
      </c>
      <c r="T178" s="13" t="s">
        <v>273</v>
      </c>
      <c r="U178" s="13" t="s">
        <v>273</v>
      </c>
      <c r="V178" s="13" t="s">
        <v>273</v>
      </c>
      <c r="W178" s="13" t="s">
        <v>273</v>
      </c>
      <c r="X178" s="13" t="s">
        <v>273</v>
      </c>
      <c r="Y178" s="15"/>
      <c r="Z178" s="13" t="s">
        <v>273</v>
      </c>
      <c r="AA178" s="135" t="str">
        <f>_xlfn.IFS(AND(COUNTIF(Y178,"SPIHB*")=1, 'PCH272'!D173&gt;=2), "See the Notice *1", AND(COUNTIF(Y178,"SDHC*")=1, 'PCH272'!D257&gt;=2), "See the Notice *1", TRUE, "")</f>
        <v/>
      </c>
      <c r="AB178" s="14"/>
      <c r="AC178" s="11" t="s">
        <v>1848</v>
      </c>
      <c r="AD178" s="11" t="s">
        <v>1933</v>
      </c>
      <c r="AE178" s="14"/>
      <c r="AF178" s="14"/>
    </row>
    <row r="179" spans="2:32" x14ac:dyDescent="0.2">
      <c r="B179" s="11" t="s">
        <v>1333</v>
      </c>
      <c r="C179" s="11" t="s">
        <v>1864</v>
      </c>
      <c r="D179" s="11" t="s">
        <v>1333</v>
      </c>
      <c r="E179" s="12" t="s">
        <v>273</v>
      </c>
      <c r="F179" s="12" t="s">
        <v>273</v>
      </c>
      <c r="G179" s="12" t="s">
        <v>273</v>
      </c>
      <c r="H179" s="12" t="s">
        <v>273</v>
      </c>
      <c r="I179" s="12" t="s">
        <v>273</v>
      </c>
      <c r="J179" s="12" t="s">
        <v>273</v>
      </c>
      <c r="K179" s="12" t="s">
        <v>273</v>
      </c>
      <c r="L179" s="12" t="s">
        <v>273</v>
      </c>
      <c r="M179" s="12" t="s">
        <v>273</v>
      </c>
      <c r="N179" s="12" t="s">
        <v>273</v>
      </c>
      <c r="O179" s="12" t="s">
        <v>273</v>
      </c>
      <c r="P179" s="11" t="s">
        <v>1358</v>
      </c>
      <c r="Q179" s="13" t="s">
        <v>273</v>
      </c>
      <c r="R179" s="11" t="s">
        <v>1334</v>
      </c>
      <c r="S179" s="13" t="s">
        <v>273</v>
      </c>
      <c r="T179" s="13" t="s">
        <v>273</v>
      </c>
      <c r="U179" s="13" t="s">
        <v>273</v>
      </c>
      <c r="V179" s="13" t="s">
        <v>273</v>
      </c>
      <c r="W179" s="13" t="s">
        <v>273</v>
      </c>
      <c r="X179" s="13" t="s">
        <v>273</v>
      </c>
      <c r="Y179" s="15"/>
      <c r="Z179" s="13" t="s">
        <v>273</v>
      </c>
      <c r="AA179" s="135" t="str">
        <f>_xlfn.IFS(AND(COUNTIF(Y179,"SPIHB*")=1, 'PCH272'!D173&gt;=2), "See the Notice *1", AND(COUNTIF(Y179,"SDHC*")=1, 'PCH272'!D257&gt;=2), "See the Notice *1", TRUE, "")</f>
        <v/>
      </c>
      <c r="AB179" s="14"/>
      <c r="AC179" s="11" t="s">
        <v>1848</v>
      </c>
      <c r="AD179" s="11" t="s">
        <v>1933</v>
      </c>
      <c r="AE179" s="14"/>
      <c r="AF179" s="14"/>
    </row>
    <row r="180" spans="2:32" x14ac:dyDescent="0.2">
      <c r="B180" s="11" t="s">
        <v>1335</v>
      </c>
      <c r="C180" s="11" t="s">
        <v>1854</v>
      </c>
      <c r="D180" s="11" t="s">
        <v>1335</v>
      </c>
      <c r="E180" s="12" t="s">
        <v>273</v>
      </c>
      <c r="F180" s="12" t="s">
        <v>273</v>
      </c>
      <c r="G180" s="12" t="s">
        <v>273</v>
      </c>
      <c r="H180" s="12" t="s">
        <v>273</v>
      </c>
      <c r="I180" s="12" t="s">
        <v>273</v>
      </c>
      <c r="J180" s="12" t="s">
        <v>273</v>
      </c>
      <c r="K180" s="12" t="s">
        <v>273</v>
      </c>
      <c r="L180" s="12" t="s">
        <v>273</v>
      </c>
      <c r="M180" s="12" t="s">
        <v>273</v>
      </c>
      <c r="N180" s="12" t="s">
        <v>273</v>
      </c>
      <c r="O180" s="12" t="s">
        <v>273</v>
      </c>
      <c r="P180" s="11" t="s">
        <v>1359</v>
      </c>
      <c r="Q180" s="13" t="s">
        <v>273</v>
      </c>
      <c r="R180" s="11" t="s">
        <v>1336</v>
      </c>
      <c r="S180" s="13" t="s">
        <v>273</v>
      </c>
      <c r="T180" s="13" t="s">
        <v>273</v>
      </c>
      <c r="U180" s="13" t="s">
        <v>273</v>
      </c>
      <c r="V180" s="13" t="s">
        <v>273</v>
      </c>
      <c r="W180" s="13" t="s">
        <v>273</v>
      </c>
      <c r="X180" s="13" t="s">
        <v>273</v>
      </c>
      <c r="Y180" s="15"/>
      <c r="Z180" s="13" t="s">
        <v>273</v>
      </c>
      <c r="AA180" s="135" t="str">
        <f>_xlfn.IFS(AND(COUNTIF(Y180,"SPIHB*")=1, 'PCH272'!D173&gt;=2), "See the Notice *1", AND(COUNTIF(Y180,"SDHC*")=1, 'PCH272'!D257&gt;=2), "See the Notice *1", TRUE, "")</f>
        <v/>
      </c>
      <c r="AB180" s="14"/>
      <c r="AC180" s="11" t="s">
        <v>1848</v>
      </c>
      <c r="AD180" s="11" t="s">
        <v>1933</v>
      </c>
      <c r="AE180" s="14"/>
      <c r="AF180" s="14"/>
    </row>
    <row r="181" spans="2:32" x14ac:dyDescent="0.2">
      <c r="B181" s="11" t="s">
        <v>1337</v>
      </c>
      <c r="C181" s="11" t="s">
        <v>1863</v>
      </c>
      <c r="D181" s="11" t="s">
        <v>1337</v>
      </c>
      <c r="E181" s="12" t="s">
        <v>273</v>
      </c>
      <c r="F181" s="12" t="s">
        <v>273</v>
      </c>
      <c r="G181" s="12" t="s">
        <v>273</v>
      </c>
      <c r="H181" s="12" t="s">
        <v>273</v>
      </c>
      <c r="I181" s="12" t="s">
        <v>273</v>
      </c>
      <c r="J181" s="12" t="s">
        <v>273</v>
      </c>
      <c r="K181" s="12" t="s">
        <v>273</v>
      </c>
      <c r="L181" s="12" t="s">
        <v>273</v>
      </c>
      <c r="M181" s="12" t="s">
        <v>273</v>
      </c>
      <c r="N181" s="12" t="s">
        <v>273</v>
      </c>
      <c r="O181" s="12" t="s">
        <v>273</v>
      </c>
      <c r="P181" s="11" t="s">
        <v>1360</v>
      </c>
      <c r="Q181" s="13" t="s">
        <v>273</v>
      </c>
      <c r="R181" s="11" t="s">
        <v>1338</v>
      </c>
      <c r="S181" s="13" t="s">
        <v>273</v>
      </c>
      <c r="T181" s="13" t="s">
        <v>273</v>
      </c>
      <c r="U181" s="13" t="s">
        <v>273</v>
      </c>
      <c r="V181" s="13" t="s">
        <v>273</v>
      </c>
      <c r="W181" s="13" t="s">
        <v>273</v>
      </c>
      <c r="X181" s="13" t="s">
        <v>273</v>
      </c>
      <c r="Y181" s="15"/>
      <c r="Z181" s="13" t="s">
        <v>273</v>
      </c>
      <c r="AA181" s="135" t="str">
        <f>_xlfn.IFS(AND(COUNTIF(Y181,"SPIHB*")=1, 'PCH272'!D173&gt;=2), "See the Notice *1", AND(COUNTIF(Y181,"SDHC*")=1, 'PCH272'!D257&gt;=2), "See the Notice *1", TRUE, "")</f>
        <v/>
      </c>
      <c r="AB181" s="14"/>
      <c r="AC181" s="11" t="s">
        <v>1848</v>
      </c>
      <c r="AD181" s="11" t="s">
        <v>1933</v>
      </c>
      <c r="AE181" s="14"/>
      <c r="AF181" s="14"/>
    </row>
    <row r="182" spans="2:32" x14ac:dyDescent="0.2">
      <c r="B182" s="11" t="s">
        <v>1339</v>
      </c>
      <c r="C182" s="11" t="s">
        <v>1865</v>
      </c>
      <c r="D182" s="11" t="s">
        <v>1339</v>
      </c>
      <c r="E182" s="12" t="s">
        <v>273</v>
      </c>
      <c r="F182" s="12" t="s">
        <v>273</v>
      </c>
      <c r="G182" s="12" t="s">
        <v>273</v>
      </c>
      <c r="H182" s="12" t="s">
        <v>273</v>
      </c>
      <c r="I182" s="12" t="s">
        <v>273</v>
      </c>
      <c r="J182" s="12" t="s">
        <v>273</v>
      </c>
      <c r="K182" s="12" t="s">
        <v>273</v>
      </c>
      <c r="L182" s="12" t="s">
        <v>273</v>
      </c>
      <c r="M182" s="12" t="s">
        <v>273</v>
      </c>
      <c r="N182" s="12" t="s">
        <v>273</v>
      </c>
      <c r="O182" s="12" t="s">
        <v>273</v>
      </c>
      <c r="P182" s="11" t="s">
        <v>1361</v>
      </c>
      <c r="Q182" s="13" t="s">
        <v>273</v>
      </c>
      <c r="R182" s="11" t="s">
        <v>1340</v>
      </c>
      <c r="S182" s="13" t="s">
        <v>273</v>
      </c>
      <c r="T182" s="13" t="s">
        <v>273</v>
      </c>
      <c r="U182" s="13" t="s">
        <v>273</v>
      </c>
      <c r="V182" s="13" t="s">
        <v>273</v>
      </c>
      <c r="W182" s="13" t="s">
        <v>273</v>
      </c>
      <c r="X182" s="13" t="s">
        <v>273</v>
      </c>
      <c r="Y182" s="15"/>
      <c r="Z182" s="13" t="s">
        <v>273</v>
      </c>
      <c r="AA182" s="135" t="str">
        <f>_xlfn.IFS(AND(COUNTIF(Y182,"SPIHB*")=1, 'PCH272'!D173&gt;=2), "See the Notice *1", AND(COUNTIF(Y182,"SDHC*")=1, 'PCH272'!D257&gt;=2), "See the Notice *1", TRUE, "")</f>
        <v/>
      </c>
      <c r="AB182" s="14"/>
      <c r="AC182" s="11" t="s">
        <v>1848</v>
      </c>
      <c r="AD182" s="11" t="s">
        <v>1933</v>
      </c>
      <c r="AE182" s="14"/>
      <c r="AF182" s="14"/>
    </row>
    <row r="183" spans="2:32" x14ac:dyDescent="0.2">
      <c r="B183" s="11" t="s">
        <v>1341</v>
      </c>
      <c r="C183" s="11" t="s">
        <v>1726</v>
      </c>
      <c r="D183" s="11" t="s">
        <v>1341</v>
      </c>
      <c r="E183" s="12" t="s">
        <v>273</v>
      </c>
      <c r="F183" s="12" t="s">
        <v>273</v>
      </c>
      <c r="G183" s="12" t="s">
        <v>273</v>
      </c>
      <c r="H183" s="12" t="s">
        <v>273</v>
      </c>
      <c r="I183" s="12" t="s">
        <v>273</v>
      </c>
      <c r="J183" s="12" t="s">
        <v>273</v>
      </c>
      <c r="K183" s="12" t="s">
        <v>273</v>
      </c>
      <c r="L183" s="12" t="s">
        <v>273</v>
      </c>
      <c r="M183" s="12" t="s">
        <v>273</v>
      </c>
      <c r="N183" s="12" t="s">
        <v>273</v>
      </c>
      <c r="O183" s="12" t="s">
        <v>273</v>
      </c>
      <c r="P183" s="12" t="s">
        <v>273</v>
      </c>
      <c r="Q183" s="13" t="s">
        <v>273</v>
      </c>
      <c r="R183" s="13" t="s">
        <v>273</v>
      </c>
      <c r="S183" s="13" t="s">
        <v>273</v>
      </c>
      <c r="T183" s="11" t="s">
        <v>1363</v>
      </c>
      <c r="U183" s="13" t="s">
        <v>273</v>
      </c>
      <c r="V183" s="13" t="s">
        <v>273</v>
      </c>
      <c r="W183" s="13" t="s">
        <v>273</v>
      </c>
      <c r="X183" s="13" t="s">
        <v>273</v>
      </c>
      <c r="Y183" s="15"/>
      <c r="Z183" s="13" t="s">
        <v>273</v>
      </c>
      <c r="AA183" s="135"/>
      <c r="AB183" s="14"/>
      <c r="AC183" s="11" t="s">
        <v>1848</v>
      </c>
      <c r="AD183" s="11" t="s">
        <v>1932</v>
      </c>
      <c r="AE183" s="14"/>
      <c r="AF183" s="14"/>
    </row>
    <row r="184" spans="2:32" x14ac:dyDescent="0.2">
      <c r="B184" s="11" t="s">
        <v>1342</v>
      </c>
      <c r="C184" s="11" t="s">
        <v>1868</v>
      </c>
      <c r="D184" s="11" t="s">
        <v>1342</v>
      </c>
      <c r="E184" s="12" t="s">
        <v>273</v>
      </c>
      <c r="F184" s="12" t="s">
        <v>273</v>
      </c>
      <c r="G184" s="12" t="s">
        <v>273</v>
      </c>
      <c r="H184" s="12" t="s">
        <v>273</v>
      </c>
      <c r="I184" s="12" t="s">
        <v>273</v>
      </c>
      <c r="J184" s="12" t="s">
        <v>273</v>
      </c>
      <c r="K184" s="12" t="s">
        <v>273</v>
      </c>
      <c r="L184" s="12" t="s">
        <v>273</v>
      </c>
      <c r="M184" s="12" t="s">
        <v>273</v>
      </c>
      <c r="N184" s="12" t="s">
        <v>273</v>
      </c>
      <c r="O184" s="12" t="s">
        <v>273</v>
      </c>
      <c r="P184" s="12" t="s">
        <v>273</v>
      </c>
      <c r="Q184" s="13" t="s">
        <v>273</v>
      </c>
      <c r="R184" s="13" t="s">
        <v>273</v>
      </c>
      <c r="S184" s="13" t="s">
        <v>273</v>
      </c>
      <c r="T184" s="11" t="s">
        <v>1364</v>
      </c>
      <c r="U184" s="13" t="s">
        <v>273</v>
      </c>
      <c r="V184" s="13" t="s">
        <v>273</v>
      </c>
      <c r="W184" s="13" t="s">
        <v>273</v>
      </c>
      <c r="X184" s="13" t="s">
        <v>273</v>
      </c>
      <c r="Y184" s="15"/>
      <c r="Z184" s="13" t="s">
        <v>273</v>
      </c>
      <c r="AA184" s="135"/>
      <c r="AB184" s="14"/>
      <c r="AC184" s="11" t="s">
        <v>1848</v>
      </c>
      <c r="AD184" s="11" t="s">
        <v>1932</v>
      </c>
      <c r="AE184" s="14"/>
      <c r="AF184" s="14"/>
    </row>
    <row r="185" spans="2:32" x14ac:dyDescent="0.2">
      <c r="B185" s="11" t="s">
        <v>1343</v>
      </c>
      <c r="C185" s="11" t="s">
        <v>1869</v>
      </c>
      <c r="D185" s="11" t="s">
        <v>1343</v>
      </c>
      <c r="E185" s="12" t="s">
        <v>273</v>
      </c>
      <c r="F185" s="12" t="s">
        <v>273</v>
      </c>
      <c r="G185" s="12" t="s">
        <v>273</v>
      </c>
      <c r="H185" s="12" t="s">
        <v>273</v>
      </c>
      <c r="I185" s="12" t="s">
        <v>273</v>
      </c>
      <c r="J185" s="12" t="s">
        <v>273</v>
      </c>
      <c r="K185" s="12" t="s">
        <v>273</v>
      </c>
      <c r="L185" s="12" t="s">
        <v>273</v>
      </c>
      <c r="M185" s="12" t="s">
        <v>273</v>
      </c>
      <c r="N185" s="12" t="s">
        <v>273</v>
      </c>
      <c r="O185" s="12" t="s">
        <v>273</v>
      </c>
      <c r="P185" s="12" t="s">
        <v>273</v>
      </c>
      <c r="Q185" s="13" t="s">
        <v>273</v>
      </c>
      <c r="R185" s="13" t="s">
        <v>273</v>
      </c>
      <c r="S185" s="13" t="s">
        <v>273</v>
      </c>
      <c r="T185" s="11" t="s">
        <v>1365</v>
      </c>
      <c r="U185" s="13" t="s">
        <v>273</v>
      </c>
      <c r="V185" s="13" t="s">
        <v>273</v>
      </c>
      <c r="W185" s="13" t="s">
        <v>273</v>
      </c>
      <c r="X185" s="13" t="s">
        <v>273</v>
      </c>
      <c r="Y185" s="15"/>
      <c r="Z185" s="13" t="s">
        <v>273</v>
      </c>
      <c r="AA185" s="135"/>
      <c r="AB185" s="14"/>
      <c r="AC185" s="11" t="s">
        <v>1848</v>
      </c>
      <c r="AD185" s="11" t="s">
        <v>1932</v>
      </c>
      <c r="AE185" s="14"/>
      <c r="AF185" s="14"/>
    </row>
    <row r="186" spans="2:32" x14ac:dyDescent="0.2">
      <c r="B186" s="11" t="s">
        <v>1344</v>
      </c>
      <c r="C186" s="11" t="s">
        <v>1871</v>
      </c>
      <c r="D186" s="11" t="s">
        <v>1344</v>
      </c>
      <c r="E186" s="12" t="s">
        <v>273</v>
      </c>
      <c r="F186" s="12" t="s">
        <v>273</v>
      </c>
      <c r="G186" s="12" t="s">
        <v>273</v>
      </c>
      <c r="H186" s="12" t="s">
        <v>273</v>
      </c>
      <c r="I186" s="12" t="s">
        <v>273</v>
      </c>
      <c r="J186" s="12" t="s">
        <v>273</v>
      </c>
      <c r="K186" s="12" t="s">
        <v>273</v>
      </c>
      <c r="L186" s="12" t="s">
        <v>273</v>
      </c>
      <c r="M186" s="12" t="s">
        <v>273</v>
      </c>
      <c r="N186" s="12" t="s">
        <v>273</v>
      </c>
      <c r="O186" s="12" t="s">
        <v>273</v>
      </c>
      <c r="P186" s="12" t="s">
        <v>273</v>
      </c>
      <c r="Q186" s="13" t="s">
        <v>273</v>
      </c>
      <c r="R186" s="13" t="s">
        <v>273</v>
      </c>
      <c r="S186" s="13" t="s">
        <v>273</v>
      </c>
      <c r="T186" s="11" t="s">
        <v>1366</v>
      </c>
      <c r="U186" s="13" t="s">
        <v>273</v>
      </c>
      <c r="V186" s="13" t="s">
        <v>273</v>
      </c>
      <c r="W186" s="13" t="s">
        <v>273</v>
      </c>
      <c r="X186" s="13" t="s">
        <v>273</v>
      </c>
      <c r="Y186" s="15"/>
      <c r="Z186" s="13" t="s">
        <v>273</v>
      </c>
      <c r="AA186" s="135"/>
      <c r="AB186" s="14"/>
      <c r="AC186" s="11" t="s">
        <v>1848</v>
      </c>
      <c r="AD186" s="11" t="s">
        <v>1932</v>
      </c>
      <c r="AE186" s="14"/>
      <c r="AF186" s="14"/>
    </row>
    <row r="187" spans="2:32" x14ac:dyDescent="0.2">
      <c r="B187" s="11" t="s">
        <v>1345</v>
      </c>
      <c r="C187" s="11" t="s">
        <v>1728</v>
      </c>
      <c r="D187" s="11" t="s">
        <v>1345</v>
      </c>
      <c r="E187" s="12" t="s">
        <v>273</v>
      </c>
      <c r="F187" s="12" t="s">
        <v>273</v>
      </c>
      <c r="G187" s="12" t="s">
        <v>273</v>
      </c>
      <c r="H187" s="12" t="s">
        <v>273</v>
      </c>
      <c r="I187" s="12" t="s">
        <v>273</v>
      </c>
      <c r="J187" s="12" t="s">
        <v>273</v>
      </c>
      <c r="K187" s="12" t="s">
        <v>273</v>
      </c>
      <c r="L187" s="12" t="s">
        <v>273</v>
      </c>
      <c r="M187" s="12" t="s">
        <v>273</v>
      </c>
      <c r="N187" s="12" t="s">
        <v>273</v>
      </c>
      <c r="O187" s="12" t="s">
        <v>273</v>
      </c>
      <c r="P187" s="12" t="s">
        <v>273</v>
      </c>
      <c r="Q187" s="13" t="s">
        <v>273</v>
      </c>
      <c r="R187" s="13" t="s">
        <v>273</v>
      </c>
      <c r="S187" s="13" t="s">
        <v>273</v>
      </c>
      <c r="T187" s="11" t="s">
        <v>1367</v>
      </c>
      <c r="U187" s="13" t="s">
        <v>273</v>
      </c>
      <c r="V187" s="13" t="s">
        <v>273</v>
      </c>
      <c r="W187" s="13" t="s">
        <v>273</v>
      </c>
      <c r="X187" s="13" t="s">
        <v>273</v>
      </c>
      <c r="Y187" s="15"/>
      <c r="Z187" s="13" t="s">
        <v>273</v>
      </c>
      <c r="AA187" s="135"/>
      <c r="AB187" s="14"/>
      <c r="AC187" s="11" t="s">
        <v>1848</v>
      </c>
      <c r="AD187" s="11" t="s">
        <v>1932</v>
      </c>
      <c r="AE187" s="14"/>
      <c r="AF187" s="14"/>
    </row>
    <row r="188" spans="2:32" x14ac:dyDescent="0.2">
      <c r="B188" s="11" t="s">
        <v>1346</v>
      </c>
      <c r="C188" s="11" t="s">
        <v>1873</v>
      </c>
      <c r="D188" s="11" t="s">
        <v>1346</v>
      </c>
      <c r="E188" s="12" t="s">
        <v>273</v>
      </c>
      <c r="F188" s="12" t="s">
        <v>273</v>
      </c>
      <c r="G188" s="12" t="s">
        <v>273</v>
      </c>
      <c r="H188" s="12" t="s">
        <v>273</v>
      </c>
      <c r="I188" s="12" t="s">
        <v>273</v>
      </c>
      <c r="J188" s="12" t="s">
        <v>273</v>
      </c>
      <c r="K188" s="12" t="s">
        <v>273</v>
      </c>
      <c r="L188" s="12" t="s">
        <v>273</v>
      </c>
      <c r="M188" s="12" t="s">
        <v>273</v>
      </c>
      <c r="N188" s="12" t="s">
        <v>273</v>
      </c>
      <c r="O188" s="12" t="s">
        <v>273</v>
      </c>
      <c r="P188" s="12" t="s">
        <v>273</v>
      </c>
      <c r="Q188" s="13" t="s">
        <v>273</v>
      </c>
      <c r="R188" s="13" t="s">
        <v>273</v>
      </c>
      <c r="S188" s="13" t="s">
        <v>273</v>
      </c>
      <c r="T188" s="11" t="s">
        <v>1368</v>
      </c>
      <c r="U188" s="13" t="s">
        <v>273</v>
      </c>
      <c r="V188" s="13" t="s">
        <v>273</v>
      </c>
      <c r="W188" s="13" t="s">
        <v>273</v>
      </c>
      <c r="X188" s="13" t="s">
        <v>273</v>
      </c>
      <c r="Y188" s="15"/>
      <c r="Z188" s="13" t="s">
        <v>273</v>
      </c>
      <c r="AA188" s="135"/>
      <c r="AB188" s="14"/>
      <c r="AC188" s="11" t="s">
        <v>1848</v>
      </c>
      <c r="AD188" s="11" t="s">
        <v>1932</v>
      </c>
      <c r="AE188" s="14"/>
      <c r="AF188" s="14"/>
    </row>
    <row r="189" spans="2:32" x14ac:dyDescent="0.2">
      <c r="B189" s="11" t="s">
        <v>1347</v>
      </c>
      <c r="C189" s="11" t="s">
        <v>1875</v>
      </c>
      <c r="D189" s="11" t="s">
        <v>1347</v>
      </c>
      <c r="E189" s="12" t="s">
        <v>273</v>
      </c>
      <c r="F189" s="12" t="s">
        <v>273</v>
      </c>
      <c r="G189" s="12" t="s">
        <v>273</v>
      </c>
      <c r="H189" s="12" t="s">
        <v>273</v>
      </c>
      <c r="I189" s="12" t="s">
        <v>273</v>
      </c>
      <c r="J189" s="12" t="s">
        <v>273</v>
      </c>
      <c r="K189" s="12" t="s">
        <v>273</v>
      </c>
      <c r="L189" s="12" t="s">
        <v>273</v>
      </c>
      <c r="M189" s="12" t="s">
        <v>273</v>
      </c>
      <c r="N189" s="12" t="s">
        <v>273</v>
      </c>
      <c r="O189" s="12" t="s">
        <v>273</v>
      </c>
      <c r="P189" s="12" t="s">
        <v>273</v>
      </c>
      <c r="Q189" s="13" t="s">
        <v>273</v>
      </c>
      <c r="R189" s="13" t="s">
        <v>273</v>
      </c>
      <c r="S189" s="13" t="s">
        <v>273</v>
      </c>
      <c r="T189" s="11" t="s">
        <v>1369</v>
      </c>
      <c r="U189" s="13" t="s">
        <v>273</v>
      </c>
      <c r="V189" s="13" t="s">
        <v>273</v>
      </c>
      <c r="W189" s="13" t="s">
        <v>273</v>
      </c>
      <c r="X189" s="13" t="s">
        <v>273</v>
      </c>
      <c r="Y189" s="15"/>
      <c r="Z189" s="13" t="s">
        <v>273</v>
      </c>
      <c r="AA189" s="135"/>
      <c r="AB189" s="14"/>
      <c r="AC189" s="11" t="s">
        <v>1848</v>
      </c>
      <c r="AD189" s="11" t="s">
        <v>1932</v>
      </c>
      <c r="AE189" s="14"/>
      <c r="AF189" s="14"/>
    </row>
    <row r="190" spans="2:32" x14ac:dyDescent="0.2">
      <c r="B190" s="11" t="s">
        <v>1348</v>
      </c>
      <c r="C190" s="11" t="s">
        <v>1877</v>
      </c>
      <c r="D190" s="11" t="s">
        <v>1348</v>
      </c>
      <c r="E190" s="12" t="s">
        <v>273</v>
      </c>
      <c r="F190" s="12" t="s">
        <v>273</v>
      </c>
      <c r="G190" s="12" t="s">
        <v>273</v>
      </c>
      <c r="H190" s="12" t="s">
        <v>273</v>
      </c>
      <c r="I190" s="12" t="s">
        <v>273</v>
      </c>
      <c r="J190" s="12" t="s">
        <v>273</v>
      </c>
      <c r="K190" s="12" t="s">
        <v>273</v>
      </c>
      <c r="L190" s="12" t="s">
        <v>273</v>
      </c>
      <c r="M190" s="12" t="s">
        <v>273</v>
      </c>
      <c r="N190" s="12" t="s">
        <v>273</v>
      </c>
      <c r="O190" s="12" t="s">
        <v>273</v>
      </c>
      <c r="P190" s="12" t="s">
        <v>273</v>
      </c>
      <c r="Q190" s="13" t="s">
        <v>273</v>
      </c>
      <c r="R190" s="13" t="s">
        <v>273</v>
      </c>
      <c r="S190" s="13" t="s">
        <v>273</v>
      </c>
      <c r="T190" s="11" t="s">
        <v>1370</v>
      </c>
      <c r="U190" s="13" t="s">
        <v>273</v>
      </c>
      <c r="V190" s="13" t="s">
        <v>273</v>
      </c>
      <c r="W190" s="13" t="s">
        <v>273</v>
      </c>
      <c r="X190" s="13" t="s">
        <v>273</v>
      </c>
      <c r="Y190" s="15"/>
      <c r="Z190" s="13" t="s">
        <v>273</v>
      </c>
      <c r="AA190" s="135"/>
      <c r="AB190" s="14"/>
      <c r="AC190" s="11" t="s">
        <v>1848</v>
      </c>
      <c r="AD190" s="11" t="s">
        <v>1932</v>
      </c>
      <c r="AE190" s="14"/>
      <c r="AF190" s="14"/>
    </row>
    <row r="191" spans="2:32" x14ac:dyDescent="0.2">
      <c r="B191" s="11" t="s">
        <v>1349</v>
      </c>
      <c r="C191" s="11" t="s">
        <v>1730</v>
      </c>
      <c r="D191" s="11" t="s">
        <v>1349</v>
      </c>
      <c r="E191" s="12" t="s">
        <v>273</v>
      </c>
      <c r="F191" s="12" t="s">
        <v>273</v>
      </c>
      <c r="G191" s="12" t="s">
        <v>273</v>
      </c>
      <c r="H191" s="12" t="s">
        <v>273</v>
      </c>
      <c r="I191" s="12" t="s">
        <v>273</v>
      </c>
      <c r="J191" s="12" t="s">
        <v>273</v>
      </c>
      <c r="K191" s="12" t="s">
        <v>273</v>
      </c>
      <c r="L191" s="12" t="s">
        <v>273</v>
      </c>
      <c r="M191" s="12" t="s">
        <v>273</v>
      </c>
      <c r="N191" s="12" t="s">
        <v>273</v>
      </c>
      <c r="O191" s="12" t="s">
        <v>273</v>
      </c>
      <c r="P191" s="12" t="s">
        <v>273</v>
      </c>
      <c r="Q191" s="13" t="s">
        <v>273</v>
      </c>
      <c r="R191" s="13" t="s">
        <v>273</v>
      </c>
      <c r="S191" s="13" t="s">
        <v>273</v>
      </c>
      <c r="T191" s="11" t="s">
        <v>1371</v>
      </c>
      <c r="U191" s="13" t="s">
        <v>273</v>
      </c>
      <c r="V191" s="13" t="s">
        <v>273</v>
      </c>
      <c r="W191" s="13" t="s">
        <v>273</v>
      </c>
      <c r="X191" s="13" t="s">
        <v>273</v>
      </c>
      <c r="Y191" s="15"/>
      <c r="Z191" s="13" t="s">
        <v>273</v>
      </c>
      <c r="AA191" s="135"/>
      <c r="AB191" s="14"/>
      <c r="AC191" s="11" t="s">
        <v>1848</v>
      </c>
      <c r="AD191" s="11" t="s">
        <v>1932</v>
      </c>
      <c r="AE191" s="14"/>
      <c r="AF191" s="14"/>
    </row>
    <row r="192" spans="2:32" x14ac:dyDescent="0.2">
      <c r="B192" s="11" t="s">
        <v>1350</v>
      </c>
      <c r="C192" s="11" t="s">
        <v>1879</v>
      </c>
      <c r="D192" s="11" t="s">
        <v>1350</v>
      </c>
      <c r="E192" s="12" t="s">
        <v>273</v>
      </c>
      <c r="F192" s="12" t="s">
        <v>273</v>
      </c>
      <c r="G192" s="12" t="s">
        <v>273</v>
      </c>
      <c r="H192" s="12" t="s">
        <v>273</v>
      </c>
      <c r="I192" s="12" t="s">
        <v>273</v>
      </c>
      <c r="J192" s="12" t="s">
        <v>273</v>
      </c>
      <c r="K192" s="12" t="s">
        <v>273</v>
      </c>
      <c r="L192" s="12" t="s">
        <v>273</v>
      </c>
      <c r="M192" s="12" t="s">
        <v>273</v>
      </c>
      <c r="N192" s="12" t="s">
        <v>273</v>
      </c>
      <c r="O192" s="12" t="s">
        <v>273</v>
      </c>
      <c r="P192" s="12" t="s">
        <v>273</v>
      </c>
      <c r="Q192" s="13" t="s">
        <v>273</v>
      </c>
      <c r="R192" s="13" t="s">
        <v>273</v>
      </c>
      <c r="S192" s="13" t="s">
        <v>273</v>
      </c>
      <c r="T192" s="16" t="s">
        <v>1372</v>
      </c>
      <c r="U192" s="13" t="s">
        <v>273</v>
      </c>
      <c r="V192" s="13" t="s">
        <v>273</v>
      </c>
      <c r="W192" s="13" t="s">
        <v>273</v>
      </c>
      <c r="X192" s="13" t="s">
        <v>273</v>
      </c>
      <c r="Y192" s="15"/>
      <c r="Z192" s="13" t="s">
        <v>273</v>
      </c>
      <c r="AA192" s="135"/>
      <c r="AB192" s="14"/>
      <c r="AC192" s="11" t="s">
        <v>1848</v>
      </c>
      <c r="AD192" s="11" t="s">
        <v>1932</v>
      </c>
      <c r="AE192" s="14"/>
      <c r="AF192" s="14"/>
    </row>
    <row r="193" spans="2:32" x14ac:dyDescent="0.2">
      <c r="B193" s="11" t="s">
        <v>1373</v>
      </c>
      <c r="C193" s="11" t="s">
        <v>1881</v>
      </c>
      <c r="D193" s="11" t="s">
        <v>1373</v>
      </c>
      <c r="E193" s="12" t="s">
        <v>273</v>
      </c>
      <c r="F193" s="12" t="s">
        <v>273</v>
      </c>
      <c r="G193" s="12" t="s">
        <v>273</v>
      </c>
      <c r="H193" s="12" t="s">
        <v>273</v>
      </c>
      <c r="I193" s="12" t="s">
        <v>273</v>
      </c>
      <c r="J193" s="12" t="s">
        <v>273</v>
      </c>
      <c r="K193" s="12" t="s">
        <v>273</v>
      </c>
      <c r="L193" s="12" t="s">
        <v>273</v>
      </c>
      <c r="M193" s="12" t="s">
        <v>273</v>
      </c>
      <c r="N193" s="12" t="s">
        <v>273</v>
      </c>
      <c r="O193" s="12" t="s">
        <v>273</v>
      </c>
      <c r="P193" s="12" t="s">
        <v>273</v>
      </c>
      <c r="Q193" s="13" t="s">
        <v>273</v>
      </c>
      <c r="R193" s="13" t="s">
        <v>273</v>
      </c>
      <c r="S193" s="13" t="s">
        <v>273</v>
      </c>
      <c r="T193" s="11" t="s">
        <v>1480</v>
      </c>
      <c r="U193" s="13" t="s">
        <v>273</v>
      </c>
      <c r="V193" s="13" t="s">
        <v>273</v>
      </c>
      <c r="W193" s="13" t="s">
        <v>273</v>
      </c>
      <c r="X193" s="13" t="s">
        <v>273</v>
      </c>
      <c r="Y193" s="15"/>
      <c r="Z193" s="13" t="s">
        <v>273</v>
      </c>
      <c r="AA193" s="135"/>
      <c r="AB193" s="14"/>
      <c r="AC193" s="11" t="s">
        <v>1848</v>
      </c>
      <c r="AD193" s="11" t="s">
        <v>1932</v>
      </c>
      <c r="AE193" s="14"/>
      <c r="AF193" s="14"/>
    </row>
    <row r="194" spans="2:32" x14ac:dyDescent="0.2">
      <c r="B194" s="11" t="s">
        <v>1374</v>
      </c>
      <c r="C194" s="11" t="s">
        <v>1882</v>
      </c>
      <c r="D194" s="11" t="s">
        <v>1374</v>
      </c>
      <c r="E194" s="12" t="s">
        <v>273</v>
      </c>
      <c r="F194" s="12" t="s">
        <v>273</v>
      </c>
      <c r="G194" s="12" t="s">
        <v>273</v>
      </c>
      <c r="H194" s="12" t="s">
        <v>273</v>
      </c>
      <c r="I194" s="12" t="s">
        <v>273</v>
      </c>
      <c r="J194" s="12" t="s">
        <v>273</v>
      </c>
      <c r="K194" s="12" t="s">
        <v>273</v>
      </c>
      <c r="L194" s="12" t="s">
        <v>273</v>
      </c>
      <c r="M194" s="12" t="s">
        <v>273</v>
      </c>
      <c r="N194" s="12" t="s">
        <v>273</v>
      </c>
      <c r="O194" s="12" t="s">
        <v>273</v>
      </c>
      <c r="P194" s="12" t="s">
        <v>273</v>
      </c>
      <c r="Q194" s="13" t="s">
        <v>273</v>
      </c>
      <c r="R194" s="13" t="s">
        <v>273</v>
      </c>
      <c r="S194" s="13" t="s">
        <v>273</v>
      </c>
      <c r="T194" s="11" t="s">
        <v>1481</v>
      </c>
      <c r="U194" s="13" t="s">
        <v>273</v>
      </c>
      <c r="V194" s="13" t="s">
        <v>273</v>
      </c>
      <c r="W194" s="13" t="s">
        <v>273</v>
      </c>
      <c r="X194" s="13" t="s">
        <v>273</v>
      </c>
      <c r="Y194" s="15"/>
      <c r="Z194" s="13" t="s">
        <v>273</v>
      </c>
      <c r="AA194" s="135"/>
      <c r="AB194" s="14"/>
      <c r="AC194" s="11" t="s">
        <v>1848</v>
      </c>
      <c r="AD194" s="11" t="s">
        <v>1932</v>
      </c>
      <c r="AE194" s="14"/>
      <c r="AF194" s="14"/>
    </row>
    <row r="195" spans="2:32" x14ac:dyDescent="0.2">
      <c r="B195" s="11" t="s">
        <v>1375</v>
      </c>
      <c r="C195" s="11" t="s">
        <v>1732</v>
      </c>
      <c r="D195" s="11" t="s">
        <v>1375</v>
      </c>
      <c r="E195" s="12" t="s">
        <v>273</v>
      </c>
      <c r="F195" s="12" t="s">
        <v>273</v>
      </c>
      <c r="G195" s="12" t="s">
        <v>273</v>
      </c>
      <c r="H195" s="12" t="s">
        <v>273</v>
      </c>
      <c r="I195" s="12" t="s">
        <v>273</v>
      </c>
      <c r="J195" s="12" t="s">
        <v>273</v>
      </c>
      <c r="K195" s="12" t="s">
        <v>273</v>
      </c>
      <c r="L195" s="12" t="s">
        <v>273</v>
      </c>
      <c r="M195" s="12" t="s">
        <v>273</v>
      </c>
      <c r="N195" s="12" t="s">
        <v>273</v>
      </c>
      <c r="O195" s="12" t="s">
        <v>273</v>
      </c>
      <c r="P195" s="12" t="s">
        <v>273</v>
      </c>
      <c r="Q195" s="13" t="s">
        <v>273</v>
      </c>
      <c r="R195" s="13" t="s">
        <v>273</v>
      </c>
      <c r="S195" s="13" t="s">
        <v>273</v>
      </c>
      <c r="T195" s="11" t="s">
        <v>1482</v>
      </c>
      <c r="U195" s="13" t="s">
        <v>273</v>
      </c>
      <c r="V195" s="13" t="s">
        <v>273</v>
      </c>
      <c r="W195" s="13" t="s">
        <v>273</v>
      </c>
      <c r="X195" s="13" t="s">
        <v>273</v>
      </c>
      <c r="Y195" s="15"/>
      <c r="Z195" s="13" t="s">
        <v>273</v>
      </c>
      <c r="AA195" s="135"/>
      <c r="AB195" s="14"/>
      <c r="AC195" s="11" t="s">
        <v>1848</v>
      </c>
      <c r="AD195" s="11" t="s">
        <v>1932</v>
      </c>
      <c r="AE195" s="14"/>
      <c r="AF195" s="14"/>
    </row>
    <row r="196" spans="2:32" x14ac:dyDescent="0.2">
      <c r="B196" s="11" t="s">
        <v>1376</v>
      </c>
      <c r="C196" s="11" t="s">
        <v>1884</v>
      </c>
      <c r="D196" s="11" t="s">
        <v>1376</v>
      </c>
      <c r="E196" s="12" t="s">
        <v>273</v>
      </c>
      <c r="F196" s="12" t="s">
        <v>273</v>
      </c>
      <c r="G196" s="12" t="s">
        <v>273</v>
      </c>
      <c r="H196" s="12" t="s">
        <v>273</v>
      </c>
      <c r="I196" s="12" t="s">
        <v>273</v>
      </c>
      <c r="J196" s="12" t="s">
        <v>273</v>
      </c>
      <c r="K196" s="12" t="s">
        <v>273</v>
      </c>
      <c r="L196" s="12" t="s">
        <v>273</v>
      </c>
      <c r="M196" s="12" t="s">
        <v>273</v>
      </c>
      <c r="N196" s="12" t="s">
        <v>273</v>
      </c>
      <c r="O196" s="12" t="s">
        <v>273</v>
      </c>
      <c r="P196" s="12" t="s">
        <v>273</v>
      </c>
      <c r="Q196" s="13" t="s">
        <v>273</v>
      </c>
      <c r="R196" s="13" t="s">
        <v>273</v>
      </c>
      <c r="S196" s="13" t="s">
        <v>273</v>
      </c>
      <c r="T196" s="11" t="s">
        <v>1483</v>
      </c>
      <c r="U196" s="13" t="s">
        <v>273</v>
      </c>
      <c r="V196" s="13" t="s">
        <v>273</v>
      </c>
      <c r="W196" s="13" t="s">
        <v>273</v>
      </c>
      <c r="X196" s="13" t="s">
        <v>273</v>
      </c>
      <c r="Y196" s="15"/>
      <c r="Z196" s="13" t="s">
        <v>273</v>
      </c>
      <c r="AA196" s="135"/>
      <c r="AB196" s="14"/>
      <c r="AC196" s="11" t="s">
        <v>1848</v>
      </c>
      <c r="AD196" s="11" t="s">
        <v>1932</v>
      </c>
      <c r="AE196" s="14"/>
      <c r="AF196" s="14"/>
    </row>
    <row r="197" spans="2:32" x14ac:dyDescent="0.2">
      <c r="B197" s="11" t="s">
        <v>1377</v>
      </c>
      <c r="C197" s="11" t="s">
        <v>1734</v>
      </c>
      <c r="D197" s="11" t="s">
        <v>1377</v>
      </c>
      <c r="E197" s="12" t="s">
        <v>273</v>
      </c>
      <c r="F197" s="12" t="s">
        <v>273</v>
      </c>
      <c r="G197" s="12" t="s">
        <v>273</v>
      </c>
      <c r="H197" s="12" t="s">
        <v>273</v>
      </c>
      <c r="I197" s="12" t="s">
        <v>273</v>
      </c>
      <c r="J197" s="12" t="s">
        <v>273</v>
      </c>
      <c r="K197" s="12" t="s">
        <v>273</v>
      </c>
      <c r="L197" s="12" t="s">
        <v>273</v>
      </c>
      <c r="M197" s="12" t="s">
        <v>273</v>
      </c>
      <c r="N197" s="12" t="s">
        <v>273</v>
      </c>
      <c r="O197" s="12" t="s">
        <v>273</v>
      </c>
      <c r="P197" s="12" t="s">
        <v>273</v>
      </c>
      <c r="Q197" s="13" t="s">
        <v>273</v>
      </c>
      <c r="R197" s="13" t="s">
        <v>273</v>
      </c>
      <c r="S197" s="13" t="s">
        <v>273</v>
      </c>
      <c r="T197" s="11" t="s">
        <v>1484</v>
      </c>
      <c r="U197" s="13" t="s">
        <v>273</v>
      </c>
      <c r="V197" s="13" t="s">
        <v>273</v>
      </c>
      <c r="W197" s="13" t="s">
        <v>273</v>
      </c>
      <c r="X197" s="13" t="s">
        <v>273</v>
      </c>
      <c r="Y197" s="15"/>
      <c r="Z197" s="13" t="s">
        <v>273</v>
      </c>
      <c r="AA197" s="135"/>
      <c r="AB197" s="14"/>
      <c r="AC197" s="11" t="s">
        <v>1848</v>
      </c>
      <c r="AD197" s="11" t="s">
        <v>1932</v>
      </c>
      <c r="AE197" s="14"/>
      <c r="AF197" s="14"/>
    </row>
    <row r="198" spans="2:32" x14ac:dyDescent="0.2">
      <c r="B198" s="11" t="s">
        <v>1980</v>
      </c>
      <c r="C198" s="11" t="s">
        <v>1886</v>
      </c>
      <c r="D198" s="11" t="s">
        <v>1980</v>
      </c>
      <c r="E198" s="12" t="s">
        <v>273</v>
      </c>
      <c r="F198" s="12" t="s">
        <v>273</v>
      </c>
      <c r="G198" s="12" t="s">
        <v>273</v>
      </c>
      <c r="H198" s="12" t="s">
        <v>273</v>
      </c>
      <c r="I198" s="12" t="s">
        <v>273</v>
      </c>
      <c r="J198" s="12" t="s">
        <v>273</v>
      </c>
      <c r="K198" s="12" t="s">
        <v>273</v>
      </c>
      <c r="L198" s="12" t="s">
        <v>273</v>
      </c>
      <c r="M198" s="12" t="s">
        <v>273</v>
      </c>
      <c r="N198" s="12" t="s">
        <v>273</v>
      </c>
      <c r="O198" s="12" t="s">
        <v>273</v>
      </c>
      <c r="P198" s="12" t="s">
        <v>273</v>
      </c>
      <c r="Q198" s="13" t="s">
        <v>273</v>
      </c>
      <c r="R198" s="13" t="s">
        <v>273</v>
      </c>
      <c r="S198" s="13" t="s">
        <v>273</v>
      </c>
      <c r="T198" s="11" t="s">
        <v>1485</v>
      </c>
      <c r="U198" s="13" t="s">
        <v>273</v>
      </c>
      <c r="V198" s="13" t="s">
        <v>273</v>
      </c>
      <c r="W198" s="13" t="s">
        <v>273</v>
      </c>
      <c r="X198" s="13" t="s">
        <v>273</v>
      </c>
      <c r="Y198" s="15"/>
      <c r="Z198" s="13" t="s">
        <v>273</v>
      </c>
      <c r="AA198" s="135"/>
      <c r="AB198" s="14"/>
      <c r="AC198" s="11" t="s">
        <v>1848</v>
      </c>
      <c r="AD198" s="11" t="s">
        <v>1932</v>
      </c>
      <c r="AE198" s="14"/>
      <c r="AF198" s="14"/>
    </row>
    <row r="199" spans="2:32" x14ac:dyDescent="0.2">
      <c r="B199" s="11" t="s">
        <v>1378</v>
      </c>
      <c r="C199" s="11" t="s">
        <v>1887</v>
      </c>
      <c r="D199" s="11" t="s">
        <v>1378</v>
      </c>
      <c r="E199" s="17" t="s">
        <v>1379</v>
      </c>
      <c r="F199" s="11" t="s">
        <v>1380</v>
      </c>
      <c r="G199" s="11" t="s">
        <v>1381</v>
      </c>
      <c r="H199" s="11" t="s">
        <v>1382</v>
      </c>
      <c r="I199" s="11" t="s">
        <v>773</v>
      </c>
      <c r="J199" s="11" t="s">
        <v>1383</v>
      </c>
      <c r="K199" s="12" t="s">
        <v>273</v>
      </c>
      <c r="L199" s="11" t="s">
        <v>1384</v>
      </c>
      <c r="M199" s="12" t="s">
        <v>273</v>
      </c>
      <c r="N199" s="12" t="s">
        <v>273</v>
      </c>
      <c r="O199" s="12" t="s">
        <v>273</v>
      </c>
      <c r="P199" s="12" t="s">
        <v>273</v>
      </c>
      <c r="Q199" s="13" t="s">
        <v>273</v>
      </c>
      <c r="R199" s="13" t="s">
        <v>273</v>
      </c>
      <c r="S199" s="13" t="s">
        <v>273</v>
      </c>
      <c r="T199" s="13" t="s">
        <v>273</v>
      </c>
      <c r="U199" s="13" t="s">
        <v>273</v>
      </c>
      <c r="V199" s="13" t="s">
        <v>273</v>
      </c>
      <c r="W199" s="13" t="s">
        <v>273</v>
      </c>
      <c r="X199" s="13" t="s">
        <v>273</v>
      </c>
      <c r="Y199" s="15"/>
      <c r="Z199" s="13" t="s">
        <v>273</v>
      </c>
      <c r="AA199" s="135" t="str">
        <f>_xlfn.IFS(AND(COUNTIF(Y199,"SCB*")=1, 'PCH272'!N68&gt;=2), "See the Notice *1", TRUE, "")</f>
        <v/>
      </c>
      <c r="AB199" s="14"/>
      <c r="AC199" s="11" t="s">
        <v>272</v>
      </c>
      <c r="AD199" s="11" t="s">
        <v>254</v>
      </c>
      <c r="AE199" s="14"/>
      <c r="AF199" s="14"/>
    </row>
    <row r="200" spans="2:32" x14ac:dyDescent="0.2">
      <c r="B200" s="11" t="s">
        <v>1385</v>
      </c>
      <c r="C200" s="11" t="s">
        <v>1582</v>
      </c>
      <c r="D200" s="11" t="s">
        <v>1385</v>
      </c>
      <c r="E200" s="17" t="s">
        <v>1386</v>
      </c>
      <c r="F200" s="11" t="s">
        <v>1387</v>
      </c>
      <c r="G200" s="11" t="s">
        <v>1388</v>
      </c>
      <c r="H200" s="11" t="s">
        <v>1389</v>
      </c>
      <c r="I200" s="11" t="s">
        <v>777</v>
      </c>
      <c r="J200" s="11" t="s">
        <v>1390</v>
      </c>
      <c r="K200" s="11" t="s">
        <v>1486</v>
      </c>
      <c r="L200" s="11" t="s">
        <v>1391</v>
      </c>
      <c r="M200" s="11" t="s">
        <v>1392</v>
      </c>
      <c r="N200" s="12" t="s">
        <v>273</v>
      </c>
      <c r="O200" s="12" t="s">
        <v>273</v>
      </c>
      <c r="P200" s="12" t="s">
        <v>273</v>
      </c>
      <c r="Q200" s="13" t="s">
        <v>273</v>
      </c>
      <c r="R200" s="13" t="s">
        <v>273</v>
      </c>
      <c r="S200" s="13" t="s">
        <v>273</v>
      </c>
      <c r="T200" s="13" t="s">
        <v>273</v>
      </c>
      <c r="U200" s="13" t="s">
        <v>273</v>
      </c>
      <c r="V200" s="13" t="s">
        <v>273</v>
      </c>
      <c r="W200" s="13" t="s">
        <v>273</v>
      </c>
      <c r="X200" s="13" t="s">
        <v>273</v>
      </c>
      <c r="Y200" s="15"/>
      <c r="Z200" s="13" t="s">
        <v>273</v>
      </c>
      <c r="AA200" s="135" t="str">
        <f>_xlfn.IFS(AND(COUNTIF(Y200,"SCB*")=1, 'PCH272'!N68&gt;=2), "See the Notice *1", TRUE, "")</f>
        <v/>
      </c>
      <c r="AB200" s="14"/>
      <c r="AC200" s="11" t="s">
        <v>272</v>
      </c>
      <c r="AD200" s="11" t="s">
        <v>254</v>
      </c>
      <c r="AE200" s="14"/>
      <c r="AF200" s="14"/>
    </row>
    <row r="201" spans="2:32" x14ac:dyDescent="0.2">
      <c r="B201" s="11" t="s">
        <v>1393</v>
      </c>
      <c r="C201" s="11" t="s">
        <v>1889</v>
      </c>
      <c r="D201" s="11" t="s">
        <v>1393</v>
      </c>
      <c r="E201" s="17" t="s">
        <v>1192</v>
      </c>
      <c r="F201" s="11" t="s">
        <v>1394</v>
      </c>
      <c r="G201" s="11" t="s">
        <v>1194</v>
      </c>
      <c r="H201" s="11" t="s">
        <v>1395</v>
      </c>
      <c r="I201" s="11" t="s">
        <v>781</v>
      </c>
      <c r="J201" s="11" t="s">
        <v>1396</v>
      </c>
      <c r="K201" s="11" t="s">
        <v>1397</v>
      </c>
      <c r="L201" s="11" t="s">
        <v>1398</v>
      </c>
      <c r="M201" s="11" t="s">
        <v>1399</v>
      </c>
      <c r="N201" s="12" t="s">
        <v>273</v>
      </c>
      <c r="O201" s="12" t="s">
        <v>273</v>
      </c>
      <c r="P201" s="12" t="s">
        <v>273</v>
      </c>
      <c r="Q201" s="13" t="s">
        <v>273</v>
      </c>
      <c r="R201" s="13" t="s">
        <v>273</v>
      </c>
      <c r="S201" s="13" t="s">
        <v>273</v>
      </c>
      <c r="T201" s="13" t="s">
        <v>273</v>
      </c>
      <c r="U201" s="13" t="s">
        <v>273</v>
      </c>
      <c r="V201" s="13" t="s">
        <v>273</v>
      </c>
      <c r="W201" s="13" t="s">
        <v>273</v>
      </c>
      <c r="X201" s="13" t="s">
        <v>273</v>
      </c>
      <c r="Y201" s="15"/>
      <c r="Z201" s="13" t="s">
        <v>273</v>
      </c>
      <c r="AA201" s="135" t="str">
        <f>_xlfn.IFS(AND(COUNTIF(Y201,"SCB*")=1, 'PCH272'!N68&gt;=2), "See the Notice *1", TRUE, "")</f>
        <v/>
      </c>
      <c r="AB201" s="14"/>
      <c r="AC201" s="11" t="s">
        <v>272</v>
      </c>
      <c r="AD201" s="11" t="s">
        <v>254</v>
      </c>
      <c r="AE201" s="14"/>
      <c r="AF201" s="14"/>
    </row>
    <row r="202" spans="2:32" x14ac:dyDescent="0.2">
      <c r="B202" s="11" t="s">
        <v>1400</v>
      </c>
      <c r="C202" s="11" t="s">
        <v>1891</v>
      </c>
      <c r="D202" s="11" t="s">
        <v>1400</v>
      </c>
      <c r="E202" s="17" t="s">
        <v>1187</v>
      </c>
      <c r="F202" s="11" t="s">
        <v>1380</v>
      </c>
      <c r="G202" s="11" t="s">
        <v>1189</v>
      </c>
      <c r="H202" s="11" t="s">
        <v>1382</v>
      </c>
      <c r="I202" s="11" t="s">
        <v>785</v>
      </c>
      <c r="J202" s="11" t="s">
        <v>1401</v>
      </c>
      <c r="K202" s="13" t="s">
        <v>273</v>
      </c>
      <c r="L202" s="11" t="s">
        <v>1402</v>
      </c>
      <c r="M202" s="11" t="s">
        <v>1403</v>
      </c>
      <c r="N202" s="12" t="s">
        <v>273</v>
      </c>
      <c r="O202" s="12" t="s">
        <v>273</v>
      </c>
      <c r="P202" s="12" t="s">
        <v>273</v>
      </c>
      <c r="Q202" s="13" t="s">
        <v>273</v>
      </c>
      <c r="R202" s="13" t="s">
        <v>273</v>
      </c>
      <c r="S202" s="13" t="s">
        <v>273</v>
      </c>
      <c r="T202" s="13" t="s">
        <v>273</v>
      </c>
      <c r="U202" s="13" t="s">
        <v>273</v>
      </c>
      <c r="V202" s="13" t="s">
        <v>273</v>
      </c>
      <c r="W202" s="13" t="s">
        <v>273</v>
      </c>
      <c r="X202" s="13" t="s">
        <v>273</v>
      </c>
      <c r="Y202" s="15"/>
      <c r="Z202" s="13" t="s">
        <v>273</v>
      </c>
      <c r="AA202" s="135" t="str">
        <f>_xlfn.IFS(AND(COUNTIF(Y202,"SCB*")=1, 'PCH272'!N68&gt;=2), "See the Notice *1", TRUE, "")</f>
        <v/>
      </c>
      <c r="AB202" s="14"/>
      <c r="AC202" s="11" t="s">
        <v>272</v>
      </c>
      <c r="AD202" s="11" t="s">
        <v>254</v>
      </c>
      <c r="AE202" s="14"/>
      <c r="AF202" s="14"/>
    </row>
    <row r="203" spans="2:32" x14ac:dyDescent="0.2">
      <c r="B203" s="11" t="s">
        <v>1404</v>
      </c>
      <c r="C203" s="11" t="s">
        <v>1893</v>
      </c>
      <c r="D203" s="11" t="s">
        <v>1404</v>
      </c>
      <c r="E203" s="17" t="s">
        <v>1182</v>
      </c>
      <c r="F203" s="11" t="s">
        <v>1193</v>
      </c>
      <c r="G203" s="11" t="s">
        <v>1184</v>
      </c>
      <c r="H203" s="11" t="s">
        <v>1195</v>
      </c>
      <c r="I203" s="13" t="s">
        <v>273</v>
      </c>
      <c r="J203" s="13" t="s">
        <v>273</v>
      </c>
      <c r="K203" s="13" t="s">
        <v>273</v>
      </c>
      <c r="L203" s="11" t="s">
        <v>1405</v>
      </c>
      <c r="M203" s="11" t="s">
        <v>1406</v>
      </c>
      <c r="N203" s="12" t="s">
        <v>273</v>
      </c>
      <c r="O203" s="12" t="s">
        <v>273</v>
      </c>
      <c r="P203" s="12" t="s">
        <v>273</v>
      </c>
      <c r="Q203" s="13" t="s">
        <v>273</v>
      </c>
      <c r="R203" s="13" t="s">
        <v>273</v>
      </c>
      <c r="S203" s="13" t="s">
        <v>273</v>
      </c>
      <c r="T203" s="13" t="s">
        <v>273</v>
      </c>
      <c r="U203" s="13" t="s">
        <v>273</v>
      </c>
      <c r="V203" s="13" t="s">
        <v>273</v>
      </c>
      <c r="W203" s="13" t="s">
        <v>273</v>
      </c>
      <c r="X203" s="13" t="s">
        <v>273</v>
      </c>
      <c r="Y203" s="15"/>
      <c r="Z203" s="13" t="s">
        <v>273</v>
      </c>
      <c r="AA203" s="135" t="str">
        <f>_xlfn.IFS(AND(COUNTIF(Y203,"SCB*")=1, 'PCH272'!N68&gt;=2), "See the Notice *1", TRUE, "")</f>
        <v/>
      </c>
      <c r="AB203" s="14"/>
      <c r="AC203" s="11" t="s">
        <v>272</v>
      </c>
      <c r="AD203" s="11" t="s">
        <v>254</v>
      </c>
      <c r="AE203" s="14"/>
      <c r="AF203" s="14"/>
    </row>
    <row r="204" spans="2:32" x14ac:dyDescent="0.2">
      <c r="B204" s="11" t="s">
        <v>1407</v>
      </c>
      <c r="C204" s="11" t="s">
        <v>1895</v>
      </c>
      <c r="D204" s="11" t="s">
        <v>1407</v>
      </c>
      <c r="E204" s="17" t="s">
        <v>1177</v>
      </c>
      <c r="F204" s="11" t="s">
        <v>1188</v>
      </c>
      <c r="G204" s="11" t="s">
        <v>1179</v>
      </c>
      <c r="H204" s="11" t="s">
        <v>1190</v>
      </c>
      <c r="I204" s="13" t="s">
        <v>273</v>
      </c>
      <c r="J204" s="13" t="s">
        <v>273</v>
      </c>
      <c r="K204" s="13" t="s">
        <v>273</v>
      </c>
      <c r="L204" s="11" t="s">
        <v>1408</v>
      </c>
      <c r="M204" s="11" t="s">
        <v>1409</v>
      </c>
      <c r="N204" s="12" t="s">
        <v>273</v>
      </c>
      <c r="O204" s="12" t="s">
        <v>273</v>
      </c>
      <c r="P204" s="12" t="s">
        <v>273</v>
      </c>
      <c r="Q204" s="13" t="s">
        <v>273</v>
      </c>
      <c r="R204" s="13" t="s">
        <v>273</v>
      </c>
      <c r="S204" s="13" t="s">
        <v>273</v>
      </c>
      <c r="T204" s="13" t="s">
        <v>273</v>
      </c>
      <c r="U204" s="13" t="s">
        <v>273</v>
      </c>
      <c r="V204" s="13" t="s">
        <v>273</v>
      </c>
      <c r="W204" s="13" t="s">
        <v>273</v>
      </c>
      <c r="X204" s="13" t="s">
        <v>273</v>
      </c>
      <c r="Y204" s="15"/>
      <c r="Z204" s="13" t="s">
        <v>273</v>
      </c>
      <c r="AA204" s="135" t="str">
        <f>_xlfn.IFS(AND(COUNTIF(Y204,"SCB*")=1, 'PCH272'!N68&gt;=2), "See the Notice *1", TRUE, "")</f>
        <v/>
      </c>
      <c r="AB204" s="14"/>
      <c r="AC204" s="11" t="s">
        <v>272</v>
      </c>
      <c r="AD204" s="11" t="s">
        <v>254</v>
      </c>
      <c r="AE204" s="14"/>
      <c r="AF204" s="14"/>
    </row>
    <row r="205" spans="2:32" x14ac:dyDescent="0.2">
      <c r="B205" s="11" t="s">
        <v>1410</v>
      </c>
      <c r="C205" s="11" t="s">
        <v>1566</v>
      </c>
      <c r="D205" s="11" t="s">
        <v>1410</v>
      </c>
      <c r="E205" s="17" t="s">
        <v>1411</v>
      </c>
      <c r="F205" s="11" t="s">
        <v>1183</v>
      </c>
      <c r="G205" s="11" t="s">
        <v>1412</v>
      </c>
      <c r="H205" s="11" t="s">
        <v>1185</v>
      </c>
      <c r="I205" s="13" t="s">
        <v>273</v>
      </c>
      <c r="J205" s="13" t="s">
        <v>273</v>
      </c>
      <c r="K205" s="13" t="s">
        <v>273</v>
      </c>
      <c r="L205" s="11" t="s">
        <v>1413</v>
      </c>
      <c r="M205" s="11" t="s">
        <v>1414</v>
      </c>
      <c r="N205" s="12" t="s">
        <v>273</v>
      </c>
      <c r="O205" s="12" t="s">
        <v>273</v>
      </c>
      <c r="P205" s="12" t="s">
        <v>273</v>
      </c>
      <c r="Q205" s="13" t="s">
        <v>273</v>
      </c>
      <c r="R205" s="13" t="s">
        <v>273</v>
      </c>
      <c r="S205" s="13" t="s">
        <v>273</v>
      </c>
      <c r="T205" s="13" t="s">
        <v>273</v>
      </c>
      <c r="U205" s="13" t="s">
        <v>273</v>
      </c>
      <c r="V205" s="13" t="s">
        <v>273</v>
      </c>
      <c r="W205" s="13" t="s">
        <v>273</v>
      </c>
      <c r="X205" s="13" t="s">
        <v>273</v>
      </c>
      <c r="Y205" s="15"/>
      <c r="Z205" s="13" t="s">
        <v>273</v>
      </c>
      <c r="AA205" s="135" t="str">
        <f>_xlfn.IFS(AND(COUNTIF(Y205,"SCB*")=1, 'PCH272'!N68&gt;=2), "See the Notice *1", TRUE, "")</f>
        <v/>
      </c>
      <c r="AB205" s="14"/>
      <c r="AC205" s="11" t="s">
        <v>272</v>
      </c>
      <c r="AD205" s="11" t="s">
        <v>254</v>
      </c>
      <c r="AE205" s="14"/>
      <c r="AF205" s="14"/>
    </row>
    <row r="206" spans="2:32" x14ac:dyDescent="0.2">
      <c r="B206" s="11" t="s">
        <v>1415</v>
      </c>
      <c r="C206" s="16" t="s">
        <v>1578</v>
      </c>
      <c r="D206" s="11" t="s">
        <v>1415</v>
      </c>
      <c r="E206" s="17" t="s">
        <v>1416</v>
      </c>
      <c r="F206" s="11" t="s">
        <v>1178</v>
      </c>
      <c r="G206" s="11" t="s">
        <v>1417</v>
      </c>
      <c r="H206" s="11" t="s">
        <v>1180</v>
      </c>
      <c r="I206" s="13" t="s">
        <v>273</v>
      </c>
      <c r="J206" s="13" t="s">
        <v>273</v>
      </c>
      <c r="K206" s="13" t="s">
        <v>273</v>
      </c>
      <c r="L206" s="13" t="s">
        <v>273</v>
      </c>
      <c r="M206" s="11" t="s">
        <v>1418</v>
      </c>
      <c r="N206" s="12" t="s">
        <v>273</v>
      </c>
      <c r="O206" s="12" t="s">
        <v>273</v>
      </c>
      <c r="P206" s="12" t="s">
        <v>273</v>
      </c>
      <c r="Q206" s="13" t="s">
        <v>273</v>
      </c>
      <c r="R206" s="13" t="s">
        <v>273</v>
      </c>
      <c r="S206" s="13" t="s">
        <v>273</v>
      </c>
      <c r="T206" s="13" t="s">
        <v>273</v>
      </c>
      <c r="U206" s="13" t="s">
        <v>273</v>
      </c>
      <c r="V206" s="13" t="s">
        <v>273</v>
      </c>
      <c r="W206" s="13" t="s">
        <v>273</v>
      </c>
      <c r="X206" s="13" t="s">
        <v>273</v>
      </c>
      <c r="Y206" s="15"/>
      <c r="Z206" s="13" t="s">
        <v>273</v>
      </c>
      <c r="AA206" s="135"/>
      <c r="AB206" s="14"/>
      <c r="AC206" s="11" t="s">
        <v>272</v>
      </c>
      <c r="AD206" s="11" t="s">
        <v>254</v>
      </c>
      <c r="AE206" s="14"/>
      <c r="AF206" s="14"/>
    </row>
    <row r="207" spans="2:32" x14ac:dyDescent="0.2">
      <c r="B207" s="11" t="s">
        <v>1419</v>
      </c>
      <c r="C207" s="11" t="s">
        <v>1898</v>
      </c>
      <c r="D207" s="11" t="s">
        <v>1419</v>
      </c>
      <c r="E207" s="17" t="s">
        <v>1420</v>
      </c>
      <c r="F207" s="11" t="s">
        <v>1421</v>
      </c>
      <c r="G207" s="11" t="s">
        <v>1422</v>
      </c>
      <c r="H207" s="11" t="s">
        <v>1423</v>
      </c>
      <c r="I207" s="13" t="s">
        <v>273</v>
      </c>
      <c r="J207" s="13" t="s">
        <v>273</v>
      </c>
      <c r="K207" s="13" t="s">
        <v>273</v>
      </c>
      <c r="L207" s="13" t="s">
        <v>273</v>
      </c>
      <c r="M207" s="11" t="s">
        <v>1424</v>
      </c>
      <c r="N207" s="12" t="s">
        <v>273</v>
      </c>
      <c r="O207" s="12" t="s">
        <v>273</v>
      </c>
      <c r="P207" s="12" t="s">
        <v>273</v>
      </c>
      <c r="Q207" s="13" t="s">
        <v>273</v>
      </c>
      <c r="R207" s="13" t="s">
        <v>273</v>
      </c>
      <c r="S207" s="13" t="s">
        <v>273</v>
      </c>
      <c r="T207" s="13" t="s">
        <v>273</v>
      </c>
      <c r="U207" s="13" t="s">
        <v>273</v>
      </c>
      <c r="V207" s="13" t="s">
        <v>273</v>
      </c>
      <c r="W207" s="13" t="s">
        <v>273</v>
      </c>
      <c r="X207" s="13" t="s">
        <v>273</v>
      </c>
      <c r="Y207" s="15"/>
      <c r="Z207" s="13" t="s">
        <v>273</v>
      </c>
      <c r="AA207" s="135"/>
      <c r="AB207" s="14"/>
      <c r="AC207" s="11" t="s">
        <v>272</v>
      </c>
      <c r="AD207" s="11" t="s">
        <v>254</v>
      </c>
      <c r="AE207" s="14"/>
      <c r="AF207" s="14"/>
    </row>
    <row r="208" spans="2:32" x14ac:dyDescent="0.2">
      <c r="B208" s="11" t="s">
        <v>1425</v>
      </c>
      <c r="C208" s="11" t="s">
        <v>1899</v>
      </c>
      <c r="D208" s="11" t="s">
        <v>1425</v>
      </c>
      <c r="E208" s="17" t="s">
        <v>1426</v>
      </c>
      <c r="F208" s="11" t="s">
        <v>1427</v>
      </c>
      <c r="G208" s="11" t="s">
        <v>1428</v>
      </c>
      <c r="H208" s="11" t="s">
        <v>1429</v>
      </c>
      <c r="I208" s="13" t="s">
        <v>273</v>
      </c>
      <c r="J208" s="13" t="s">
        <v>273</v>
      </c>
      <c r="K208" s="13" t="s">
        <v>273</v>
      </c>
      <c r="L208" s="13" t="s">
        <v>273</v>
      </c>
      <c r="M208" s="11" t="s">
        <v>1430</v>
      </c>
      <c r="N208" s="12" t="s">
        <v>273</v>
      </c>
      <c r="O208" s="12" t="s">
        <v>273</v>
      </c>
      <c r="P208" s="12" t="s">
        <v>273</v>
      </c>
      <c r="Q208" s="13" t="s">
        <v>273</v>
      </c>
      <c r="R208" s="13" t="s">
        <v>273</v>
      </c>
      <c r="S208" s="13" t="s">
        <v>273</v>
      </c>
      <c r="T208" s="13" t="s">
        <v>273</v>
      </c>
      <c r="U208" s="13" t="s">
        <v>273</v>
      </c>
      <c r="V208" s="13" t="s">
        <v>273</v>
      </c>
      <c r="W208" s="13" t="s">
        <v>273</v>
      </c>
      <c r="X208" s="13" t="s">
        <v>273</v>
      </c>
      <c r="Y208" s="15"/>
      <c r="Z208" s="13" t="s">
        <v>273</v>
      </c>
      <c r="AA208" s="135"/>
      <c r="AB208" s="14"/>
      <c r="AC208" s="11" t="s">
        <v>272</v>
      </c>
      <c r="AD208" s="11" t="s">
        <v>254</v>
      </c>
      <c r="AE208" s="14"/>
      <c r="AF208" s="14"/>
    </row>
    <row r="209" spans="2:32" x14ac:dyDescent="0.2">
      <c r="B209" s="11" t="s">
        <v>1431</v>
      </c>
      <c r="C209" s="11" t="s">
        <v>1900</v>
      </c>
      <c r="D209" s="11" t="s">
        <v>1431</v>
      </c>
      <c r="E209" s="17" t="s">
        <v>1432</v>
      </c>
      <c r="F209" s="11" t="s">
        <v>1433</v>
      </c>
      <c r="G209" s="11" t="s">
        <v>1434</v>
      </c>
      <c r="H209" s="11" t="s">
        <v>1435</v>
      </c>
      <c r="I209" s="13" t="s">
        <v>273</v>
      </c>
      <c r="J209" s="13" t="s">
        <v>273</v>
      </c>
      <c r="K209" s="13" t="s">
        <v>273</v>
      </c>
      <c r="L209" s="13" t="s">
        <v>273</v>
      </c>
      <c r="M209" s="13" t="s">
        <v>273</v>
      </c>
      <c r="N209" s="12" t="s">
        <v>273</v>
      </c>
      <c r="O209" s="12" t="s">
        <v>273</v>
      </c>
      <c r="P209" s="12" t="s">
        <v>273</v>
      </c>
      <c r="Q209" s="13" t="s">
        <v>273</v>
      </c>
      <c r="R209" s="13" t="s">
        <v>273</v>
      </c>
      <c r="S209" s="13" t="s">
        <v>273</v>
      </c>
      <c r="T209" s="13" t="s">
        <v>273</v>
      </c>
      <c r="U209" s="13" t="s">
        <v>273</v>
      </c>
      <c r="V209" s="13" t="s">
        <v>273</v>
      </c>
      <c r="W209" s="13" t="s">
        <v>273</v>
      </c>
      <c r="X209" s="13" t="s">
        <v>273</v>
      </c>
      <c r="Y209" s="15"/>
      <c r="Z209" s="13" t="s">
        <v>273</v>
      </c>
      <c r="AA209" s="135"/>
      <c r="AB209" s="14"/>
      <c r="AC209" s="11" t="s">
        <v>272</v>
      </c>
      <c r="AD209" s="11" t="s">
        <v>254</v>
      </c>
      <c r="AE209" s="14"/>
      <c r="AF209" s="14"/>
    </row>
    <row r="210" spans="2:32" x14ac:dyDescent="0.2">
      <c r="B210" s="11" t="s">
        <v>1436</v>
      </c>
      <c r="C210" s="11" t="s">
        <v>1901</v>
      </c>
      <c r="D210" s="11" t="s">
        <v>1436</v>
      </c>
      <c r="E210" s="17" t="s">
        <v>1437</v>
      </c>
      <c r="F210" s="11" t="s">
        <v>1438</v>
      </c>
      <c r="G210" s="11" t="s">
        <v>1439</v>
      </c>
      <c r="H210" s="11" t="s">
        <v>1440</v>
      </c>
      <c r="I210" s="13" t="s">
        <v>273</v>
      </c>
      <c r="J210" s="13" t="s">
        <v>273</v>
      </c>
      <c r="K210" s="13" t="s">
        <v>273</v>
      </c>
      <c r="L210" s="13" t="s">
        <v>273</v>
      </c>
      <c r="M210" s="13" t="s">
        <v>273</v>
      </c>
      <c r="N210" s="12" t="s">
        <v>273</v>
      </c>
      <c r="O210" s="12" t="s">
        <v>273</v>
      </c>
      <c r="P210" s="12" t="s">
        <v>273</v>
      </c>
      <c r="Q210" s="13" t="s">
        <v>273</v>
      </c>
      <c r="R210" s="13" t="s">
        <v>273</v>
      </c>
      <c r="S210" s="13" t="s">
        <v>273</v>
      </c>
      <c r="T210" s="13" t="s">
        <v>273</v>
      </c>
      <c r="U210" s="13" t="s">
        <v>273</v>
      </c>
      <c r="V210" s="13" t="s">
        <v>273</v>
      </c>
      <c r="W210" s="13" t="s">
        <v>273</v>
      </c>
      <c r="X210" s="13" t="s">
        <v>273</v>
      </c>
      <c r="Y210" s="15"/>
      <c r="Z210" s="13" t="s">
        <v>273</v>
      </c>
      <c r="AA210" s="135"/>
      <c r="AB210" s="14"/>
      <c r="AC210" s="11" t="s">
        <v>272</v>
      </c>
      <c r="AD210" s="11" t="s">
        <v>254</v>
      </c>
      <c r="AE210" s="14"/>
      <c r="AF210" s="14"/>
    </row>
    <row r="211" spans="2:32" x14ac:dyDescent="0.2">
      <c r="B211" s="11" t="s">
        <v>1441</v>
      </c>
      <c r="C211" s="11" t="s">
        <v>1903</v>
      </c>
      <c r="D211" s="11" t="s">
        <v>1441</v>
      </c>
      <c r="E211" s="17" t="s">
        <v>1442</v>
      </c>
      <c r="F211" s="11" t="s">
        <v>1443</v>
      </c>
      <c r="G211" s="11" t="s">
        <v>1444</v>
      </c>
      <c r="H211" s="11" t="s">
        <v>1445</v>
      </c>
      <c r="I211" s="13" t="s">
        <v>273</v>
      </c>
      <c r="J211" s="13" t="s">
        <v>273</v>
      </c>
      <c r="K211" s="13" t="s">
        <v>273</v>
      </c>
      <c r="L211" s="13" t="s">
        <v>273</v>
      </c>
      <c r="M211" s="13" t="s">
        <v>273</v>
      </c>
      <c r="N211" s="12" t="s">
        <v>273</v>
      </c>
      <c r="O211" s="12" t="s">
        <v>273</v>
      </c>
      <c r="P211" s="12" t="s">
        <v>273</v>
      </c>
      <c r="Q211" s="13" t="s">
        <v>273</v>
      </c>
      <c r="R211" s="13" t="s">
        <v>273</v>
      </c>
      <c r="S211" s="13" t="s">
        <v>273</v>
      </c>
      <c r="T211" s="13" t="s">
        <v>273</v>
      </c>
      <c r="U211" s="13" t="s">
        <v>273</v>
      </c>
      <c r="V211" s="13" t="s">
        <v>273</v>
      </c>
      <c r="W211" s="13" t="s">
        <v>273</v>
      </c>
      <c r="X211" s="13" t="s">
        <v>273</v>
      </c>
      <c r="Y211" s="15"/>
      <c r="Z211" s="13" t="s">
        <v>273</v>
      </c>
      <c r="AA211" s="135"/>
      <c r="AB211" s="14"/>
      <c r="AC211" s="11" t="s">
        <v>272</v>
      </c>
      <c r="AD211" s="11" t="s">
        <v>254</v>
      </c>
      <c r="AE211" s="14"/>
      <c r="AF211" s="14"/>
    </row>
    <row r="212" spans="2:32" x14ac:dyDescent="0.2">
      <c r="B212" s="11" t="s">
        <v>1446</v>
      </c>
      <c r="C212" s="11" t="s">
        <v>1608</v>
      </c>
      <c r="D212" s="11" t="s">
        <v>1446</v>
      </c>
      <c r="E212" s="17" t="s">
        <v>1447</v>
      </c>
      <c r="F212" s="11" t="s">
        <v>1448</v>
      </c>
      <c r="G212" s="11" t="s">
        <v>1449</v>
      </c>
      <c r="H212" s="11" t="s">
        <v>1450</v>
      </c>
      <c r="I212" s="13" t="s">
        <v>273</v>
      </c>
      <c r="J212" s="13" t="s">
        <v>273</v>
      </c>
      <c r="K212" s="13" t="s">
        <v>273</v>
      </c>
      <c r="L212" s="13" t="s">
        <v>273</v>
      </c>
      <c r="M212" s="13" t="s">
        <v>273</v>
      </c>
      <c r="N212" s="12" t="s">
        <v>273</v>
      </c>
      <c r="O212" s="12" t="s">
        <v>273</v>
      </c>
      <c r="P212" s="12" t="s">
        <v>273</v>
      </c>
      <c r="Q212" s="13" t="s">
        <v>273</v>
      </c>
      <c r="R212" s="13" t="s">
        <v>273</v>
      </c>
      <c r="S212" s="13" t="s">
        <v>273</v>
      </c>
      <c r="T212" s="13" t="s">
        <v>273</v>
      </c>
      <c r="U212" s="13" t="s">
        <v>273</v>
      </c>
      <c r="V212" s="13" t="s">
        <v>273</v>
      </c>
      <c r="W212" s="13" t="s">
        <v>273</v>
      </c>
      <c r="X212" s="13" t="s">
        <v>273</v>
      </c>
      <c r="Y212" s="15"/>
      <c r="Z212" s="13" t="s">
        <v>273</v>
      </c>
      <c r="AA212" s="135"/>
      <c r="AB212" s="14"/>
      <c r="AC212" s="11" t="s">
        <v>272</v>
      </c>
      <c r="AD212" s="11" t="s">
        <v>254</v>
      </c>
      <c r="AE212" s="14"/>
      <c r="AF212" s="14"/>
    </row>
    <row r="213" spans="2:32" x14ac:dyDescent="0.2">
      <c r="B213" s="11" t="s">
        <v>1451</v>
      </c>
      <c r="C213" s="11" t="s">
        <v>1904</v>
      </c>
      <c r="D213" s="11" t="s">
        <v>1451</v>
      </c>
      <c r="E213" s="17" t="s">
        <v>1452</v>
      </c>
      <c r="F213" s="11" t="s">
        <v>1453</v>
      </c>
      <c r="G213" s="11" t="s">
        <v>1454</v>
      </c>
      <c r="H213" s="11" t="s">
        <v>1455</v>
      </c>
      <c r="I213" s="13" t="s">
        <v>273</v>
      </c>
      <c r="J213" s="13" t="s">
        <v>273</v>
      </c>
      <c r="K213" s="13" t="s">
        <v>273</v>
      </c>
      <c r="L213" s="13" t="s">
        <v>273</v>
      </c>
      <c r="M213" s="13" t="s">
        <v>273</v>
      </c>
      <c r="N213" s="12" t="s">
        <v>273</v>
      </c>
      <c r="O213" s="12" t="s">
        <v>273</v>
      </c>
      <c r="P213" s="12" t="s">
        <v>273</v>
      </c>
      <c r="Q213" s="13" t="s">
        <v>273</v>
      </c>
      <c r="R213" s="13" t="s">
        <v>273</v>
      </c>
      <c r="S213" s="13" t="s">
        <v>273</v>
      </c>
      <c r="T213" s="13" t="s">
        <v>273</v>
      </c>
      <c r="U213" s="13" t="s">
        <v>273</v>
      </c>
      <c r="V213" s="13" t="s">
        <v>273</v>
      </c>
      <c r="W213" s="13" t="s">
        <v>273</v>
      </c>
      <c r="X213" s="13" t="s">
        <v>273</v>
      </c>
      <c r="Y213" s="15"/>
      <c r="Z213" s="13" t="s">
        <v>273</v>
      </c>
      <c r="AA213" s="135"/>
      <c r="AB213" s="14"/>
      <c r="AC213" s="11" t="s">
        <v>272</v>
      </c>
      <c r="AD213" s="11" t="s">
        <v>254</v>
      </c>
      <c r="AE213" s="14"/>
      <c r="AF213" s="14"/>
    </row>
    <row r="214" spans="2:32" x14ac:dyDescent="0.2">
      <c r="B214" s="11" t="s">
        <v>1456</v>
      </c>
      <c r="C214" s="11" t="s">
        <v>1905</v>
      </c>
      <c r="D214" s="11" t="s">
        <v>1456</v>
      </c>
      <c r="E214" s="17" t="s">
        <v>1457</v>
      </c>
      <c r="F214" s="11" t="s">
        <v>1458</v>
      </c>
      <c r="G214" s="11" t="s">
        <v>1459</v>
      </c>
      <c r="H214" s="11" t="s">
        <v>1460</v>
      </c>
      <c r="I214" s="13" t="s">
        <v>273</v>
      </c>
      <c r="J214" s="13" t="s">
        <v>273</v>
      </c>
      <c r="K214" s="13" t="s">
        <v>273</v>
      </c>
      <c r="L214" s="13" t="s">
        <v>273</v>
      </c>
      <c r="M214" s="13" t="s">
        <v>273</v>
      </c>
      <c r="N214" s="12" t="s">
        <v>273</v>
      </c>
      <c r="O214" s="12" t="s">
        <v>273</v>
      </c>
      <c r="P214" s="12" t="s">
        <v>273</v>
      </c>
      <c r="Q214" s="13" t="s">
        <v>273</v>
      </c>
      <c r="R214" s="13" t="s">
        <v>273</v>
      </c>
      <c r="S214" s="13" t="s">
        <v>273</v>
      </c>
      <c r="T214" s="13" t="s">
        <v>273</v>
      </c>
      <c r="U214" s="13" t="s">
        <v>273</v>
      </c>
      <c r="V214" s="13" t="s">
        <v>273</v>
      </c>
      <c r="W214" s="13" t="s">
        <v>273</v>
      </c>
      <c r="X214" s="13" t="s">
        <v>273</v>
      </c>
      <c r="Y214" s="15"/>
      <c r="Z214" s="13" t="s">
        <v>273</v>
      </c>
      <c r="AA214" s="135"/>
      <c r="AB214" s="14"/>
      <c r="AC214" s="11" t="s">
        <v>272</v>
      </c>
      <c r="AD214" s="11" t="s">
        <v>254</v>
      </c>
      <c r="AE214" s="14"/>
      <c r="AF214" s="14"/>
    </row>
    <row r="215" spans="2:32" x14ac:dyDescent="0.2">
      <c r="B215" s="11" t="s">
        <v>1461</v>
      </c>
      <c r="C215" s="11" t="s">
        <v>1615</v>
      </c>
      <c r="D215" s="11" t="s">
        <v>1461</v>
      </c>
      <c r="E215" s="17" t="s">
        <v>1457</v>
      </c>
      <c r="F215" s="11" t="s">
        <v>1462</v>
      </c>
      <c r="G215" s="11" t="s">
        <v>1459</v>
      </c>
      <c r="H215" s="11" t="s">
        <v>1463</v>
      </c>
      <c r="I215" s="13" t="s">
        <v>273</v>
      </c>
      <c r="J215" s="11" t="s">
        <v>1464</v>
      </c>
      <c r="K215" s="11" t="s">
        <v>1465</v>
      </c>
      <c r="L215" s="11" t="s">
        <v>1466</v>
      </c>
      <c r="M215" s="13" t="s">
        <v>273</v>
      </c>
      <c r="N215" s="12" t="s">
        <v>273</v>
      </c>
      <c r="O215" s="12" t="s">
        <v>273</v>
      </c>
      <c r="P215" s="12" t="s">
        <v>273</v>
      </c>
      <c r="Q215" s="13" t="s">
        <v>273</v>
      </c>
      <c r="R215" s="13" t="s">
        <v>273</v>
      </c>
      <c r="S215" s="11" t="s">
        <v>1467</v>
      </c>
      <c r="T215" s="13" t="s">
        <v>273</v>
      </c>
      <c r="U215" s="13" t="s">
        <v>273</v>
      </c>
      <c r="V215" s="13" t="s">
        <v>273</v>
      </c>
      <c r="W215" s="13" t="s">
        <v>273</v>
      </c>
      <c r="X215" s="13" t="s">
        <v>273</v>
      </c>
      <c r="Y215" s="15"/>
      <c r="Z215" s="13" t="s">
        <v>273</v>
      </c>
      <c r="AA215" s="135" t="str">
        <f>_xlfn.IFS(AND(COUNTIF(Y215,"SCB*")=1, 'PCH272'!M68&gt;=2), "See the Notice *1", TRUE, "")</f>
        <v/>
      </c>
      <c r="AB215" s="14"/>
      <c r="AC215" s="11" t="s">
        <v>272</v>
      </c>
      <c r="AD215" s="11" t="s">
        <v>254</v>
      </c>
      <c r="AE215" s="14"/>
      <c r="AF215" s="14"/>
    </row>
    <row r="216" spans="2:32" x14ac:dyDescent="0.2">
      <c r="B216" s="11" t="s">
        <v>1468</v>
      </c>
      <c r="C216" s="11" t="s">
        <v>1907</v>
      </c>
      <c r="D216" s="11" t="s">
        <v>1468</v>
      </c>
      <c r="E216" s="17" t="s">
        <v>1452</v>
      </c>
      <c r="F216" s="11" t="s">
        <v>1462</v>
      </c>
      <c r="G216" s="11" t="s">
        <v>1454</v>
      </c>
      <c r="H216" s="11" t="s">
        <v>1463</v>
      </c>
      <c r="I216" s="13" t="s">
        <v>273</v>
      </c>
      <c r="J216" s="11" t="s">
        <v>1469</v>
      </c>
      <c r="K216" s="13" t="s">
        <v>273</v>
      </c>
      <c r="L216" s="11" t="s">
        <v>1470</v>
      </c>
      <c r="M216" s="11" t="s">
        <v>877</v>
      </c>
      <c r="N216" s="12" t="s">
        <v>273</v>
      </c>
      <c r="O216" s="12" t="s">
        <v>273</v>
      </c>
      <c r="P216" s="12" t="s">
        <v>273</v>
      </c>
      <c r="Q216" s="13" t="s">
        <v>273</v>
      </c>
      <c r="R216" s="13" t="s">
        <v>273</v>
      </c>
      <c r="S216" s="11" t="s">
        <v>1471</v>
      </c>
      <c r="T216" s="13" t="s">
        <v>273</v>
      </c>
      <c r="U216" s="13" t="s">
        <v>273</v>
      </c>
      <c r="V216" s="13" t="s">
        <v>273</v>
      </c>
      <c r="W216" s="13" t="s">
        <v>273</v>
      </c>
      <c r="X216" s="13" t="s">
        <v>273</v>
      </c>
      <c r="Y216" s="15"/>
      <c r="Z216" s="13" t="s">
        <v>273</v>
      </c>
      <c r="AA216" s="135" t="str">
        <f>_xlfn.IFS(AND(COUNTIF(Y216,"SCB*")=1, 'PCH272'!M68&gt;=2), "See the Notice *1", TRUE, "")</f>
        <v/>
      </c>
      <c r="AB216" s="14"/>
      <c r="AC216" s="11" t="s">
        <v>272</v>
      </c>
      <c r="AD216" s="11" t="s">
        <v>254</v>
      </c>
      <c r="AE216" s="14"/>
      <c r="AF216" s="14"/>
    </row>
    <row r="217" spans="2:32" x14ac:dyDescent="0.2">
      <c r="B217" s="11" t="s">
        <v>1472</v>
      </c>
      <c r="C217" s="11" t="s">
        <v>1908</v>
      </c>
      <c r="D217" s="11" t="s">
        <v>1472</v>
      </c>
      <c r="E217" s="17" t="s">
        <v>1447</v>
      </c>
      <c r="F217" s="11" t="s">
        <v>1458</v>
      </c>
      <c r="G217" s="11" t="s">
        <v>1449</v>
      </c>
      <c r="H217" s="11" t="s">
        <v>1460</v>
      </c>
      <c r="I217" s="13" t="s">
        <v>273</v>
      </c>
      <c r="J217" s="13" t="s">
        <v>273</v>
      </c>
      <c r="K217" s="13" t="s">
        <v>273</v>
      </c>
      <c r="L217" s="11" t="s">
        <v>1473</v>
      </c>
      <c r="M217" s="11" t="s">
        <v>880</v>
      </c>
      <c r="N217" s="11" t="s">
        <v>1134</v>
      </c>
      <c r="O217" s="12" t="s">
        <v>273</v>
      </c>
      <c r="P217" s="12" t="s">
        <v>273</v>
      </c>
      <c r="Q217" s="13" t="s">
        <v>273</v>
      </c>
      <c r="R217" s="13" t="s">
        <v>273</v>
      </c>
      <c r="S217" s="11" t="s">
        <v>1474</v>
      </c>
      <c r="T217" s="13" t="s">
        <v>273</v>
      </c>
      <c r="U217" s="13" t="s">
        <v>273</v>
      </c>
      <c r="V217" s="13" t="s">
        <v>273</v>
      </c>
      <c r="W217" s="13" t="s">
        <v>273</v>
      </c>
      <c r="X217" s="13" t="s">
        <v>273</v>
      </c>
      <c r="Y217" s="15"/>
      <c r="Z217" s="13" t="s">
        <v>273</v>
      </c>
      <c r="AA217" s="135" t="str">
        <f>_xlfn.IFS(AND(COUNTIF(Y217,"SCB*")=1, 'PCH272'!M68&gt;=2), "See the Notice *1", TRUE, "")</f>
        <v/>
      </c>
      <c r="AB217" s="14"/>
      <c r="AC217" s="11" t="s">
        <v>272</v>
      </c>
      <c r="AD217" s="11" t="s">
        <v>254</v>
      </c>
      <c r="AE217" s="14"/>
      <c r="AF217" s="14"/>
    </row>
    <row r="218" spans="2:32" x14ac:dyDescent="0.2">
      <c r="B218" s="11" t="s">
        <v>1475</v>
      </c>
      <c r="C218" s="11" t="s">
        <v>1909</v>
      </c>
      <c r="D218" s="11" t="s">
        <v>1475</v>
      </c>
      <c r="E218" s="17" t="s">
        <v>1442</v>
      </c>
      <c r="F218" s="11" t="s">
        <v>1453</v>
      </c>
      <c r="G218" s="11" t="s">
        <v>1444</v>
      </c>
      <c r="H218" s="11" t="s">
        <v>1455</v>
      </c>
      <c r="I218" s="13" t="s">
        <v>273</v>
      </c>
      <c r="J218" s="13" t="s">
        <v>273</v>
      </c>
      <c r="K218" s="13" t="s">
        <v>273</v>
      </c>
      <c r="L218" s="11" t="s">
        <v>1476</v>
      </c>
      <c r="M218" s="11" t="s">
        <v>886</v>
      </c>
      <c r="N218" s="11" t="s">
        <v>1143</v>
      </c>
      <c r="O218" s="12" t="s">
        <v>273</v>
      </c>
      <c r="P218" s="12" t="s">
        <v>273</v>
      </c>
      <c r="Q218" s="13" t="s">
        <v>273</v>
      </c>
      <c r="R218" s="13" t="s">
        <v>273</v>
      </c>
      <c r="S218" s="11" t="s">
        <v>1477</v>
      </c>
      <c r="T218" s="13" t="s">
        <v>273</v>
      </c>
      <c r="U218" s="13" t="s">
        <v>273</v>
      </c>
      <c r="V218" s="13" t="s">
        <v>273</v>
      </c>
      <c r="W218" s="13" t="s">
        <v>273</v>
      </c>
      <c r="X218" s="13" t="s">
        <v>273</v>
      </c>
      <c r="Y218" s="15"/>
      <c r="Z218" s="13" t="s">
        <v>273</v>
      </c>
      <c r="AA218" s="135" t="str">
        <f>_xlfn.IFS(AND(COUNTIF(Y218,"SCB*")=1, 'PCH272'!M68&gt;=2), "See the Notice *1", TRUE, "")</f>
        <v/>
      </c>
      <c r="AB218" s="14"/>
      <c r="AC218" s="11" t="s">
        <v>272</v>
      </c>
      <c r="AD218" s="11" t="s">
        <v>254</v>
      </c>
      <c r="AE218" s="14"/>
      <c r="AF218" s="14"/>
    </row>
    <row r="219" spans="2:32" x14ac:dyDescent="0.2">
      <c r="B219" s="11" t="s">
        <v>1478</v>
      </c>
      <c r="C219" s="11" t="s">
        <v>1616</v>
      </c>
      <c r="D219" s="11" t="s">
        <v>1478</v>
      </c>
      <c r="E219" s="17" t="s">
        <v>1437</v>
      </c>
      <c r="F219" s="11" t="s">
        <v>1448</v>
      </c>
      <c r="G219" s="11" t="s">
        <v>1439</v>
      </c>
      <c r="H219" s="11" t="s">
        <v>1450</v>
      </c>
      <c r="I219" s="13" t="s">
        <v>273</v>
      </c>
      <c r="J219" s="13" t="s">
        <v>273</v>
      </c>
      <c r="K219" s="13" t="s">
        <v>273</v>
      </c>
      <c r="L219" s="13" t="s">
        <v>273</v>
      </c>
      <c r="M219" s="11" t="s">
        <v>1392</v>
      </c>
      <c r="N219" s="12" t="s">
        <v>273</v>
      </c>
      <c r="O219" s="12" t="s">
        <v>273</v>
      </c>
      <c r="P219" s="12" t="s">
        <v>273</v>
      </c>
      <c r="Q219" s="13" t="s">
        <v>273</v>
      </c>
      <c r="R219" s="13" t="s">
        <v>273</v>
      </c>
      <c r="S219" s="13" t="s">
        <v>273</v>
      </c>
      <c r="T219" s="13" t="s">
        <v>273</v>
      </c>
      <c r="U219" s="13" t="s">
        <v>273</v>
      </c>
      <c r="V219" s="13" t="s">
        <v>273</v>
      </c>
      <c r="W219" s="13" t="s">
        <v>273</v>
      </c>
      <c r="X219" s="13" t="s">
        <v>273</v>
      </c>
      <c r="Y219" s="15"/>
      <c r="Z219" s="13" t="s">
        <v>273</v>
      </c>
      <c r="AA219" s="135"/>
      <c r="AB219" s="14"/>
      <c r="AC219" s="11" t="s">
        <v>272</v>
      </c>
      <c r="AD219" s="11" t="s">
        <v>254</v>
      </c>
      <c r="AE219" s="14"/>
      <c r="AF219" s="14"/>
    </row>
    <row r="220" spans="2:32" x14ac:dyDescent="0.2">
      <c r="B220" s="11" t="s">
        <v>1479</v>
      </c>
      <c r="C220" s="11" t="s">
        <v>1618</v>
      </c>
      <c r="D220" s="11" t="s">
        <v>1479</v>
      </c>
      <c r="E220" s="18" t="s">
        <v>1432</v>
      </c>
      <c r="F220" s="16" t="s">
        <v>1443</v>
      </c>
      <c r="G220" s="16" t="s">
        <v>1434</v>
      </c>
      <c r="H220" s="16" t="s">
        <v>1445</v>
      </c>
      <c r="I220" s="13" t="s">
        <v>273</v>
      </c>
      <c r="J220" s="13" t="s">
        <v>273</v>
      </c>
      <c r="K220" s="13" t="s">
        <v>273</v>
      </c>
      <c r="L220" s="13" t="s">
        <v>273</v>
      </c>
      <c r="M220" s="16" t="s">
        <v>1399</v>
      </c>
      <c r="N220" s="12" t="s">
        <v>273</v>
      </c>
      <c r="O220" s="12" t="s">
        <v>273</v>
      </c>
      <c r="P220" s="12" t="s">
        <v>273</v>
      </c>
      <c r="Q220" s="13" t="s">
        <v>273</v>
      </c>
      <c r="R220" s="13" t="s">
        <v>273</v>
      </c>
      <c r="S220" s="13" t="s">
        <v>273</v>
      </c>
      <c r="T220" s="13" t="s">
        <v>273</v>
      </c>
      <c r="U220" s="13" t="s">
        <v>273</v>
      </c>
      <c r="V220" s="13" t="s">
        <v>273</v>
      </c>
      <c r="W220" s="13" t="s">
        <v>273</v>
      </c>
      <c r="X220" s="13" t="s">
        <v>273</v>
      </c>
      <c r="Y220" s="15"/>
      <c r="Z220" s="13" t="s">
        <v>273</v>
      </c>
      <c r="AA220" s="135"/>
      <c r="AB220" s="14"/>
      <c r="AC220" s="11" t="s">
        <v>272</v>
      </c>
      <c r="AD220" s="11" t="s">
        <v>254</v>
      </c>
      <c r="AE220" s="14"/>
      <c r="AF220" s="14"/>
    </row>
    <row r="221" spans="2:32" x14ac:dyDescent="0.2">
      <c r="B221" s="11" t="s">
        <v>1487</v>
      </c>
      <c r="C221" s="11" t="s">
        <v>1622</v>
      </c>
      <c r="D221" s="11" t="s">
        <v>1487</v>
      </c>
      <c r="E221" s="17" t="s">
        <v>1426</v>
      </c>
      <c r="F221" s="11" t="s">
        <v>1438</v>
      </c>
      <c r="G221" s="11" t="s">
        <v>1428</v>
      </c>
      <c r="H221" s="11" t="s">
        <v>1440</v>
      </c>
      <c r="I221" s="13" t="s">
        <v>273</v>
      </c>
      <c r="J221" s="13" t="s">
        <v>273</v>
      </c>
      <c r="K221" s="13" t="s">
        <v>273</v>
      </c>
      <c r="L221" s="13" t="s">
        <v>273</v>
      </c>
      <c r="M221" s="11" t="s">
        <v>1403</v>
      </c>
      <c r="N221" s="12" t="s">
        <v>273</v>
      </c>
      <c r="O221" s="12" t="s">
        <v>273</v>
      </c>
      <c r="P221" s="12" t="s">
        <v>273</v>
      </c>
      <c r="Q221" s="13" t="s">
        <v>273</v>
      </c>
      <c r="R221" s="13" t="s">
        <v>273</v>
      </c>
      <c r="S221" s="13" t="s">
        <v>273</v>
      </c>
      <c r="T221" s="13" t="s">
        <v>273</v>
      </c>
      <c r="U221" s="13" t="s">
        <v>273</v>
      </c>
      <c r="V221" s="13" t="s">
        <v>273</v>
      </c>
      <c r="W221" s="13" t="s">
        <v>273</v>
      </c>
      <c r="X221" s="13" t="s">
        <v>273</v>
      </c>
      <c r="Y221" s="15"/>
      <c r="Z221" s="13" t="s">
        <v>273</v>
      </c>
      <c r="AA221" s="135"/>
      <c r="AB221" s="14"/>
      <c r="AC221" s="11" t="s">
        <v>272</v>
      </c>
      <c r="AD221" s="11" t="s">
        <v>254</v>
      </c>
      <c r="AE221" s="14"/>
      <c r="AF221" s="14"/>
    </row>
    <row r="222" spans="2:32" x14ac:dyDescent="0.2">
      <c r="B222" s="11" t="s">
        <v>1488</v>
      </c>
      <c r="C222" s="11" t="s">
        <v>1633</v>
      </c>
      <c r="D222" s="11" t="s">
        <v>1488</v>
      </c>
      <c r="E222" s="17" t="s">
        <v>1420</v>
      </c>
      <c r="F222" s="11" t="s">
        <v>1433</v>
      </c>
      <c r="G222" s="11" t="s">
        <v>1422</v>
      </c>
      <c r="H222" s="11" t="s">
        <v>1435</v>
      </c>
      <c r="I222" s="13" t="s">
        <v>273</v>
      </c>
      <c r="J222" s="11" t="s">
        <v>1489</v>
      </c>
      <c r="K222" s="13" t="s">
        <v>273</v>
      </c>
      <c r="L222" s="11" t="s">
        <v>1490</v>
      </c>
      <c r="M222" s="12" t="s">
        <v>273</v>
      </c>
      <c r="N222" s="12" t="s">
        <v>273</v>
      </c>
      <c r="O222" s="12" t="s">
        <v>273</v>
      </c>
      <c r="P222" s="12" t="s">
        <v>273</v>
      </c>
      <c r="Q222" s="13" t="s">
        <v>273</v>
      </c>
      <c r="R222" s="13" t="s">
        <v>273</v>
      </c>
      <c r="S222" s="11" t="s">
        <v>1491</v>
      </c>
      <c r="T222" s="13" t="s">
        <v>273</v>
      </c>
      <c r="U222" s="13" t="s">
        <v>273</v>
      </c>
      <c r="V222" s="13" t="s">
        <v>273</v>
      </c>
      <c r="W222" s="13" t="s">
        <v>273</v>
      </c>
      <c r="X222" s="11" t="s">
        <v>283</v>
      </c>
      <c r="Y222" s="15"/>
      <c r="Z222" s="13" t="s">
        <v>273</v>
      </c>
      <c r="AA222" s="135" t="str">
        <f>_xlfn.IFS(AND(COUNTIF(Y222,"SCB*")=1, 'PCH272'!N68&gt;=2), "See the Notice *1", TRUE, "")</f>
        <v/>
      </c>
      <c r="AB222" s="14"/>
      <c r="AC222" s="11" t="s">
        <v>272</v>
      </c>
      <c r="AD222" s="11" t="s">
        <v>255</v>
      </c>
      <c r="AE222" s="14"/>
      <c r="AF222" s="14"/>
    </row>
    <row r="223" spans="2:32" x14ac:dyDescent="0.2">
      <c r="B223" s="11" t="s">
        <v>1492</v>
      </c>
      <c r="C223" s="11" t="s">
        <v>1634</v>
      </c>
      <c r="D223" s="11" t="s">
        <v>1492</v>
      </c>
      <c r="E223" s="17" t="s">
        <v>716</v>
      </c>
      <c r="F223" s="11" t="s">
        <v>1427</v>
      </c>
      <c r="G223" s="11" t="s">
        <v>718</v>
      </c>
      <c r="H223" s="11" t="s">
        <v>1429</v>
      </c>
      <c r="I223" s="13" t="s">
        <v>273</v>
      </c>
      <c r="J223" s="11" t="s">
        <v>1493</v>
      </c>
      <c r="K223" s="11" t="s">
        <v>1494</v>
      </c>
      <c r="L223" s="11" t="s">
        <v>1495</v>
      </c>
      <c r="M223" s="12" t="s">
        <v>273</v>
      </c>
      <c r="N223" s="12" t="s">
        <v>273</v>
      </c>
      <c r="O223" s="12" t="s">
        <v>273</v>
      </c>
      <c r="P223" s="12" t="s">
        <v>273</v>
      </c>
      <c r="Q223" s="13" t="s">
        <v>273</v>
      </c>
      <c r="R223" s="13" t="s">
        <v>273</v>
      </c>
      <c r="S223" s="11" t="s">
        <v>1496</v>
      </c>
      <c r="T223" s="13" t="s">
        <v>273</v>
      </c>
      <c r="U223" s="13" t="s">
        <v>273</v>
      </c>
      <c r="V223" s="13" t="s">
        <v>273</v>
      </c>
      <c r="W223" s="13" t="s">
        <v>273</v>
      </c>
      <c r="X223" s="11" t="s">
        <v>284</v>
      </c>
      <c r="Y223" s="15"/>
      <c r="Z223" s="13" t="s">
        <v>273</v>
      </c>
      <c r="AA223" s="135" t="str">
        <f>_xlfn.IFS(AND(COUNTIF(Y223,"SCB*")=1, 'PCH272'!N68&gt;=2), "See the Notice *1", TRUE, "")</f>
        <v/>
      </c>
      <c r="AB223" s="14"/>
      <c r="AC223" s="11" t="s">
        <v>272</v>
      </c>
      <c r="AD223" s="11" t="s">
        <v>255</v>
      </c>
      <c r="AE223" s="14"/>
      <c r="AF223" s="14"/>
    </row>
    <row r="224" spans="2:32" x14ac:dyDescent="0.2">
      <c r="B224" s="11" t="s">
        <v>1497</v>
      </c>
      <c r="C224" s="11" t="s">
        <v>1635</v>
      </c>
      <c r="D224" s="11" t="s">
        <v>1497</v>
      </c>
      <c r="E224" s="17" t="s">
        <v>709</v>
      </c>
      <c r="F224" s="11" t="s">
        <v>1421</v>
      </c>
      <c r="G224" s="11" t="s">
        <v>711</v>
      </c>
      <c r="H224" s="11" t="s">
        <v>1423</v>
      </c>
      <c r="I224" s="13" t="s">
        <v>273</v>
      </c>
      <c r="J224" s="11" t="s">
        <v>1498</v>
      </c>
      <c r="K224" s="11" t="s">
        <v>1499</v>
      </c>
      <c r="L224" s="11" t="s">
        <v>1500</v>
      </c>
      <c r="M224" s="11" t="s">
        <v>1406</v>
      </c>
      <c r="N224" s="12" t="s">
        <v>273</v>
      </c>
      <c r="O224" s="13" t="s">
        <v>273</v>
      </c>
      <c r="P224" s="12" t="s">
        <v>273</v>
      </c>
      <c r="Q224" s="13" t="s">
        <v>273</v>
      </c>
      <c r="R224" s="13" t="s">
        <v>273</v>
      </c>
      <c r="S224" s="11" t="s">
        <v>1501</v>
      </c>
      <c r="T224" s="13" t="s">
        <v>273</v>
      </c>
      <c r="U224" s="13" t="s">
        <v>273</v>
      </c>
      <c r="V224" s="13" t="s">
        <v>273</v>
      </c>
      <c r="W224" s="13" t="s">
        <v>273</v>
      </c>
      <c r="X224" s="11" t="s">
        <v>285</v>
      </c>
      <c r="Y224" s="15"/>
      <c r="Z224" s="13" t="s">
        <v>273</v>
      </c>
      <c r="AA224" s="135" t="str">
        <f>_xlfn.IFS(AND(COUNTIF(Y224,"SCB*")=1, 'PCH272'!N68&gt;=2), "See the Notice *1", TRUE, "")</f>
        <v/>
      </c>
      <c r="AB224" s="14"/>
      <c r="AC224" s="11" t="s">
        <v>272</v>
      </c>
      <c r="AD224" s="11" t="s">
        <v>255</v>
      </c>
      <c r="AE224" s="14"/>
      <c r="AF224" s="14"/>
    </row>
    <row r="225" spans="2:32" x14ac:dyDescent="0.2">
      <c r="B225" s="11" t="s">
        <v>1502</v>
      </c>
      <c r="C225" s="11" t="s">
        <v>1912</v>
      </c>
      <c r="D225" s="11" t="s">
        <v>1502</v>
      </c>
      <c r="E225" s="17" t="s">
        <v>635</v>
      </c>
      <c r="F225" s="11" t="s">
        <v>717</v>
      </c>
      <c r="G225" s="11" t="s">
        <v>637</v>
      </c>
      <c r="H225" s="11" t="s">
        <v>719</v>
      </c>
      <c r="I225" s="13" t="s">
        <v>273</v>
      </c>
      <c r="J225" s="11" t="s">
        <v>1503</v>
      </c>
      <c r="K225" s="13" t="s">
        <v>273</v>
      </c>
      <c r="L225" s="11" t="s">
        <v>1504</v>
      </c>
      <c r="M225" s="11" t="s">
        <v>1409</v>
      </c>
      <c r="N225" s="12" t="s">
        <v>273</v>
      </c>
      <c r="O225" s="13" t="s">
        <v>273</v>
      </c>
      <c r="P225" s="12" t="s">
        <v>273</v>
      </c>
      <c r="Q225" s="13" t="s">
        <v>273</v>
      </c>
      <c r="R225" s="13" t="s">
        <v>273</v>
      </c>
      <c r="S225" s="11" t="s">
        <v>1505</v>
      </c>
      <c r="T225" s="13" t="s">
        <v>273</v>
      </c>
      <c r="U225" s="13" t="s">
        <v>273</v>
      </c>
      <c r="V225" s="13" t="s">
        <v>273</v>
      </c>
      <c r="W225" s="13" t="s">
        <v>273</v>
      </c>
      <c r="X225" s="11" t="s">
        <v>286</v>
      </c>
      <c r="Y225" s="15"/>
      <c r="Z225" s="13" t="s">
        <v>273</v>
      </c>
      <c r="AA225" s="135" t="str">
        <f>_xlfn.IFS(AND(COUNTIF(Y225,"SCB*")=1, 'PCH272'!N68&gt;=2), "See the Notice *1", TRUE, "")</f>
        <v/>
      </c>
      <c r="AB225" s="14"/>
      <c r="AC225" s="11" t="s">
        <v>272</v>
      </c>
      <c r="AD225" s="11" t="s">
        <v>255</v>
      </c>
      <c r="AE225" s="14"/>
      <c r="AF225" s="14"/>
    </row>
    <row r="226" spans="2:32" x14ac:dyDescent="0.2">
      <c r="B226" s="11" t="s">
        <v>1506</v>
      </c>
      <c r="C226" s="11" t="s">
        <v>1913</v>
      </c>
      <c r="D226" s="11" t="s">
        <v>1506</v>
      </c>
      <c r="E226" s="17" t="s">
        <v>628</v>
      </c>
      <c r="F226" s="11" t="s">
        <v>710</v>
      </c>
      <c r="G226" s="11" t="s">
        <v>630</v>
      </c>
      <c r="H226" s="11" t="s">
        <v>712</v>
      </c>
      <c r="I226" s="13" t="s">
        <v>273</v>
      </c>
      <c r="J226" s="13" t="s">
        <v>273</v>
      </c>
      <c r="K226" s="11" t="s">
        <v>757</v>
      </c>
      <c r="L226" s="11" t="s">
        <v>1507</v>
      </c>
      <c r="M226" s="11" t="s">
        <v>1414</v>
      </c>
      <c r="N226" s="12" t="s">
        <v>273</v>
      </c>
      <c r="O226" s="13" t="s">
        <v>273</v>
      </c>
      <c r="P226" s="12" t="s">
        <v>273</v>
      </c>
      <c r="Q226" s="13" t="s">
        <v>273</v>
      </c>
      <c r="R226" s="13" t="s">
        <v>273</v>
      </c>
      <c r="S226" s="11" t="s">
        <v>1508</v>
      </c>
      <c r="T226" s="13" t="s">
        <v>273</v>
      </c>
      <c r="U226" s="13" t="s">
        <v>273</v>
      </c>
      <c r="V226" s="13" t="s">
        <v>273</v>
      </c>
      <c r="W226" s="13" t="s">
        <v>273</v>
      </c>
      <c r="X226" s="11" t="s">
        <v>287</v>
      </c>
      <c r="Y226" s="15"/>
      <c r="Z226" s="13" t="s">
        <v>273</v>
      </c>
      <c r="AA226" s="135" t="str">
        <f>_xlfn.IFS(AND(COUNTIF(Y226,"SCB*")=1, 'PCH272'!N68&gt;=2), "See the Notice *1", TRUE, "")</f>
        <v/>
      </c>
      <c r="AB226" s="14"/>
      <c r="AC226" s="11" t="s">
        <v>272</v>
      </c>
      <c r="AD226" s="11" t="s">
        <v>255</v>
      </c>
      <c r="AE226" s="14"/>
      <c r="AF226" s="14"/>
    </row>
    <row r="227" spans="2:32" x14ac:dyDescent="0.2">
      <c r="B227" s="11" t="s">
        <v>1509</v>
      </c>
      <c r="C227" s="11" t="s">
        <v>1916</v>
      </c>
      <c r="D227" s="11" t="s">
        <v>1509</v>
      </c>
      <c r="E227" s="17" t="s">
        <v>569</v>
      </c>
      <c r="F227" s="11" t="s">
        <v>636</v>
      </c>
      <c r="G227" s="11" t="s">
        <v>571</v>
      </c>
      <c r="H227" s="11" t="s">
        <v>638</v>
      </c>
      <c r="I227" s="13" t="s">
        <v>273</v>
      </c>
      <c r="J227" s="13" t="s">
        <v>273</v>
      </c>
      <c r="K227" s="11" t="s">
        <v>759</v>
      </c>
      <c r="L227" s="11" t="s">
        <v>1510</v>
      </c>
      <c r="M227" s="11" t="s">
        <v>1418</v>
      </c>
      <c r="N227" s="12" t="s">
        <v>273</v>
      </c>
      <c r="O227" s="13" t="s">
        <v>273</v>
      </c>
      <c r="P227" s="12" t="s">
        <v>273</v>
      </c>
      <c r="Q227" s="13" t="s">
        <v>273</v>
      </c>
      <c r="R227" s="13" t="s">
        <v>273</v>
      </c>
      <c r="S227" s="11" t="s">
        <v>1511</v>
      </c>
      <c r="T227" s="13" t="s">
        <v>273</v>
      </c>
      <c r="U227" s="13" t="s">
        <v>273</v>
      </c>
      <c r="V227" s="13" t="s">
        <v>273</v>
      </c>
      <c r="W227" s="13" t="s">
        <v>273</v>
      </c>
      <c r="X227" s="11" t="s">
        <v>288</v>
      </c>
      <c r="Y227" s="15"/>
      <c r="Z227" s="13" t="s">
        <v>273</v>
      </c>
      <c r="AA227" s="135" t="str">
        <f>_xlfn.IFS(AND(COUNTIF(Y227,"SCB*")=1, 'PCH272'!N68&gt;=2), "See the Notice *1", TRUE, "")</f>
        <v/>
      </c>
      <c r="AB227" s="14"/>
      <c r="AC227" s="11" t="s">
        <v>272</v>
      </c>
      <c r="AD227" s="11" t="s">
        <v>255</v>
      </c>
      <c r="AE227" s="14"/>
      <c r="AF227" s="14"/>
    </row>
    <row r="228" spans="2:32" x14ac:dyDescent="0.2">
      <c r="B228" s="11" t="s">
        <v>1512</v>
      </c>
      <c r="C228" s="11" t="s">
        <v>1915</v>
      </c>
      <c r="D228" s="11" t="s">
        <v>1512</v>
      </c>
      <c r="E228" s="17" t="s">
        <v>1416</v>
      </c>
      <c r="F228" s="11" t="s">
        <v>629</v>
      </c>
      <c r="G228" s="11" t="s">
        <v>1417</v>
      </c>
      <c r="H228" s="11" t="s">
        <v>631</v>
      </c>
      <c r="I228" s="13" t="s">
        <v>273</v>
      </c>
      <c r="J228" s="13" t="s">
        <v>273</v>
      </c>
      <c r="K228" s="11" t="s">
        <v>852</v>
      </c>
      <c r="L228" s="11" t="s">
        <v>1513</v>
      </c>
      <c r="M228" s="11" t="s">
        <v>1424</v>
      </c>
      <c r="N228" s="11" t="s">
        <v>2295</v>
      </c>
      <c r="O228" s="13" t="s">
        <v>273</v>
      </c>
      <c r="P228" s="12" t="s">
        <v>273</v>
      </c>
      <c r="Q228" s="13" t="s">
        <v>273</v>
      </c>
      <c r="R228" s="13" t="s">
        <v>273</v>
      </c>
      <c r="S228" s="11" t="s">
        <v>1514</v>
      </c>
      <c r="T228" s="13" t="s">
        <v>273</v>
      </c>
      <c r="U228" s="13" t="s">
        <v>273</v>
      </c>
      <c r="V228" s="13" t="s">
        <v>273</v>
      </c>
      <c r="W228" s="13" t="s">
        <v>273</v>
      </c>
      <c r="X228" s="11" t="s">
        <v>289</v>
      </c>
      <c r="Y228" s="15"/>
      <c r="Z228" s="13" t="s">
        <v>273</v>
      </c>
      <c r="AA228" s="135" t="str">
        <f>_xlfn.IFS(AND(COUNTIF(Y228,"SCB*")=1, 'PCH272'!N68&gt;=2), "See the Notice *1", TRUE, "")</f>
        <v/>
      </c>
      <c r="AB228" s="14"/>
      <c r="AC228" s="11" t="s">
        <v>272</v>
      </c>
      <c r="AD228" s="11" t="s">
        <v>255</v>
      </c>
      <c r="AE228" s="14"/>
      <c r="AF228" s="14"/>
    </row>
    <row r="229" spans="2:32" x14ac:dyDescent="0.2">
      <c r="B229" s="11" t="s">
        <v>1515</v>
      </c>
      <c r="C229" s="11" t="s">
        <v>1918</v>
      </c>
      <c r="D229" s="11" t="s">
        <v>1515</v>
      </c>
      <c r="E229" s="17" t="s">
        <v>1411</v>
      </c>
      <c r="F229" s="11" t="s">
        <v>570</v>
      </c>
      <c r="G229" s="11" t="s">
        <v>1412</v>
      </c>
      <c r="H229" s="11" t="s">
        <v>572</v>
      </c>
      <c r="I229" s="13" t="s">
        <v>273</v>
      </c>
      <c r="J229" s="13" t="s">
        <v>273</v>
      </c>
      <c r="K229" s="13" t="s">
        <v>273</v>
      </c>
      <c r="L229" s="13" t="s">
        <v>273</v>
      </c>
      <c r="M229" s="11" t="s">
        <v>1430</v>
      </c>
      <c r="N229" s="11" t="s">
        <v>1280</v>
      </c>
      <c r="O229" s="13" t="s">
        <v>273</v>
      </c>
      <c r="P229" s="12" t="s">
        <v>273</v>
      </c>
      <c r="Q229" s="13" t="s">
        <v>273</v>
      </c>
      <c r="R229" s="13" t="s">
        <v>273</v>
      </c>
      <c r="S229" s="11" t="s">
        <v>1516</v>
      </c>
      <c r="T229" s="13" t="s">
        <v>273</v>
      </c>
      <c r="U229" s="13" t="s">
        <v>273</v>
      </c>
      <c r="V229" s="13" t="s">
        <v>273</v>
      </c>
      <c r="W229" s="13" t="s">
        <v>273</v>
      </c>
      <c r="X229" s="11" t="s">
        <v>290</v>
      </c>
      <c r="Y229" s="15"/>
      <c r="Z229" s="13" t="s">
        <v>273</v>
      </c>
      <c r="AA229" s="135"/>
      <c r="AB229" s="14"/>
      <c r="AC229" s="11" t="s">
        <v>272</v>
      </c>
      <c r="AD229" s="11" t="s">
        <v>255</v>
      </c>
      <c r="AE229" s="14"/>
      <c r="AF229" s="14"/>
    </row>
    <row r="230" spans="2:32" x14ac:dyDescent="0.2">
      <c r="B230" s="19" t="s">
        <v>253</v>
      </c>
      <c r="C230" s="20" t="s">
        <v>1982</v>
      </c>
      <c r="D230" s="12" t="s">
        <v>273</v>
      </c>
      <c r="E230" s="12" t="s">
        <v>273</v>
      </c>
      <c r="F230" s="13" t="s">
        <v>273</v>
      </c>
      <c r="G230" s="13" t="s">
        <v>273</v>
      </c>
      <c r="H230" s="13" t="s">
        <v>273</v>
      </c>
      <c r="I230" s="13" t="s">
        <v>273</v>
      </c>
      <c r="J230" s="13" t="s">
        <v>273</v>
      </c>
      <c r="K230" s="13" t="s">
        <v>273</v>
      </c>
      <c r="L230" s="13" t="s">
        <v>273</v>
      </c>
      <c r="M230" s="13" t="s">
        <v>273</v>
      </c>
      <c r="N230" s="13" t="s">
        <v>273</v>
      </c>
      <c r="O230" s="13" t="s">
        <v>273</v>
      </c>
      <c r="P230" s="13" t="s">
        <v>273</v>
      </c>
      <c r="Q230" s="13" t="s">
        <v>273</v>
      </c>
      <c r="R230" s="13" t="s">
        <v>273</v>
      </c>
      <c r="S230" s="13" t="s">
        <v>273</v>
      </c>
      <c r="T230" s="13" t="s">
        <v>273</v>
      </c>
      <c r="U230" s="13" t="s">
        <v>273</v>
      </c>
      <c r="V230" s="13" t="s">
        <v>273</v>
      </c>
      <c r="W230" s="13" t="s">
        <v>273</v>
      </c>
      <c r="X230" s="13" t="s">
        <v>273</v>
      </c>
      <c r="Y230" s="19" t="s">
        <v>253</v>
      </c>
      <c r="Z230" s="13" t="s">
        <v>273</v>
      </c>
      <c r="AA230" s="135"/>
      <c r="AB230" s="14" t="s">
        <v>501</v>
      </c>
      <c r="AC230" s="15" t="s">
        <v>510</v>
      </c>
      <c r="AD230" s="14" t="s">
        <v>510</v>
      </c>
      <c r="AE230" s="14"/>
      <c r="AF230" s="14"/>
    </row>
    <row r="231" spans="2:32" x14ac:dyDescent="0.2">
      <c r="B231" s="19" t="s">
        <v>253</v>
      </c>
      <c r="C231" s="20" t="s">
        <v>2440</v>
      </c>
      <c r="D231" s="12" t="s">
        <v>273</v>
      </c>
      <c r="E231" s="12" t="s">
        <v>273</v>
      </c>
      <c r="F231" s="13" t="s">
        <v>273</v>
      </c>
      <c r="G231" s="13" t="s">
        <v>273</v>
      </c>
      <c r="H231" s="13" t="s">
        <v>273</v>
      </c>
      <c r="I231" s="13" t="s">
        <v>273</v>
      </c>
      <c r="J231" s="13" t="s">
        <v>273</v>
      </c>
      <c r="K231" s="13" t="s">
        <v>273</v>
      </c>
      <c r="L231" s="13" t="s">
        <v>273</v>
      </c>
      <c r="M231" s="13" t="s">
        <v>273</v>
      </c>
      <c r="N231" s="13" t="s">
        <v>273</v>
      </c>
      <c r="O231" s="13" t="s">
        <v>273</v>
      </c>
      <c r="P231" s="13" t="s">
        <v>273</v>
      </c>
      <c r="Q231" s="13" t="s">
        <v>273</v>
      </c>
      <c r="R231" s="13" t="s">
        <v>273</v>
      </c>
      <c r="S231" s="13" t="s">
        <v>273</v>
      </c>
      <c r="T231" s="13" t="s">
        <v>273</v>
      </c>
      <c r="U231" s="13" t="s">
        <v>273</v>
      </c>
      <c r="V231" s="13" t="s">
        <v>273</v>
      </c>
      <c r="W231" s="13" t="s">
        <v>273</v>
      </c>
      <c r="X231" s="13" t="s">
        <v>273</v>
      </c>
      <c r="Y231" s="19" t="s">
        <v>253</v>
      </c>
      <c r="Z231" s="13" t="s">
        <v>273</v>
      </c>
      <c r="AA231" s="135"/>
      <c r="AB231" s="14" t="s">
        <v>501</v>
      </c>
      <c r="AC231" s="15" t="s">
        <v>510</v>
      </c>
      <c r="AD231" s="14" t="s">
        <v>510</v>
      </c>
      <c r="AE231" s="14"/>
      <c r="AF231" s="14"/>
    </row>
    <row r="232" spans="2:32" x14ac:dyDescent="0.2">
      <c r="B232" s="19" t="s">
        <v>253</v>
      </c>
      <c r="C232" s="20" t="s">
        <v>2441</v>
      </c>
      <c r="D232" s="12" t="s">
        <v>273</v>
      </c>
      <c r="E232" s="12" t="s">
        <v>273</v>
      </c>
      <c r="F232" s="13" t="s">
        <v>273</v>
      </c>
      <c r="G232" s="13" t="s">
        <v>273</v>
      </c>
      <c r="H232" s="13" t="s">
        <v>273</v>
      </c>
      <c r="I232" s="13" t="s">
        <v>273</v>
      </c>
      <c r="J232" s="13" t="s">
        <v>273</v>
      </c>
      <c r="K232" s="13" t="s">
        <v>273</v>
      </c>
      <c r="L232" s="13" t="s">
        <v>273</v>
      </c>
      <c r="M232" s="13" t="s">
        <v>273</v>
      </c>
      <c r="N232" s="13" t="s">
        <v>273</v>
      </c>
      <c r="O232" s="13" t="s">
        <v>273</v>
      </c>
      <c r="P232" s="13" t="s">
        <v>273</v>
      </c>
      <c r="Q232" s="13" t="s">
        <v>273</v>
      </c>
      <c r="R232" s="13" t="s">
        <v>273</v>
      </c>
      <c r="S232" s="13" t="s">
        <v>273</v>
      </c>
      <c r="T232" s="13" t="s">
        <v>273</v>
      </c>
      <c r="U232" s="13" t="s">
        <v>273</v>
      </c>
      <c r="V232" s="13" t="s">
        <v>273</v>
      </c>
      <c r="W232" s="13" t="s">
        <v>273</v>
      </c>
      <c r="X232" s="13" t="s">
        <v>273</v>
      </c>
      <c r="Y232" s="19" t="s">
        <v>253</v>
      </c>
      <c r="Z232" s="13" t="s">
        <v>273</v>
      </c>
      <c r="AA232" s="135"/>
      <c r="AB232" s="14" t="s">
        <v>501</v>
      </c>
      <c r="AC232" s="15" t="s">
        <v>510</v>
      </c>
      <c r="AD232" s="14" t="s">
        <v>510</v>
      </c>
      <c r="AE232" s="14"/>
      <c r="AF232" s="14"/>
    </row>
    <row r="233" spans="2:32" x14ac:dyDescent="0.2">
      <c r="B233" s="21" t="s">
        <v>256</v>
      </c>
      <c r="C233" s="20" t="s">
        <v>1987</v>
      </c>
      <c r="D233" s="12" t="s">
        <v>273</v>
      </c>
      <c r="E233" s="12" t="s">
        <v>273</v>
      </c>
      <c r="F233" s="13" t="s">
        <v>273</v>
      </c>
      <c r="G233" s="13" t="s">
        <v>273</v>
      </c>
      <c r="H233" s="13" t="s">
        <v>273</v>
      </c>
      <c r="I233" s="13" t="s">
        <v>273</v>
      </c>
      <c r="J233" s="13" t="s">
        <v>273</v>
      </c>
      <c r="K233" s="13" t="s">
        <v>273</v>
      </c>
      <c r="L233" s="13" t="s">
        <v>273</v>
      </c>
      <c r="M233" s="13" t="s">
        <v>273</v>
      </c>
      <c r="N233" s="13" t="s">
        <v>273</v>
      </c>
      <c r="O233" s="13" t="s">
        <v>273</v>
      </c>
      <c r="P233" s="13" t="s">
        <v>273</v>
      </c>
      <c r="Q233" s="13" t="s">
        <v>273</v>
      </c>
      <c r="R233" s="13" t="s">
        <v>273</v>
      </c>
      <c r="S233" s="13" t="s">
        <v>273</v>
      </c>
      <c r="T233" s="13" t="s">
        <v>273</v>
      </c>
      <c r="U233" s="13" t="s">
        <v>273</v>
      </c>
      <c r="V233" s="13" t="s">
        <v>273</v>
      </c>
      <c r="W233" s="13" t="s">
        <v>273</v>
      </c>
      <c r="X233" s="13" t="s">
        <v>273</v>
      </c>
      <c r="Y233" s="21" t="s">
        <v>256</v>
      </c>
      <c r="Z233" s="13" t="s">
        <v>273</v>
      </c>
      <c r="AA233" s="136"/>
      <c r="AB233" s="20" t="s">
        <v>2068</v>
      </c>
      <c r="AC233" s="15" t="s">
        <v>510</v>
      </c>
      <c r="AD233" s="14" t="s">
        <v>510</v>
      </c>
      <c r="AE233" s="14"/>
      <c r="AF233" s="14"/>
    </row>
    <row r="234" spans="2:32" x14ac:dyDescent="0.2">
      <c r="B234" s="21" t="s">
        <v>1933</v>
      </c>
      <c r="C234" s="20" t="s">
        <v>1988</v>
      </c>
      <c r="D234" s="12" t="s">
        <v>273</v>
      </c>
      <c r="E234" s="12" t="s">
        <v>273</v>
      </c>
      <c r="F234" s="13" t="s">
        <v>273</v>
      </c>
      <c r="G234" s="13" t="s">
        <v>273</v>
      </c>
      <c r="H234" s="13" t="s">
        <v>273</v>
      </c>
      <c r="I234" s="13" t="s">
        <v>273</v>
      </c>
      <c r="J234" s="13" t="s">
        <v>273</v>
      </c>
      <c r="K234" s="13" t="s">
        <v>273</v>
      </c>
      <c r="L234" s="13" t="s">
        <v>273</v>
      </c>
      <c r="M234" s="13" t="s">
        <v>273</v>
      </c>
      <c r="N234" s="13" t="s">
        <v>273</v>
      </c>
      <c r="O234" s="13" t="s">
        <v>273</v>
      </c>
      <c r="P234" s="13" t="s">
        <v>273</v>
      </c>
      <c r="Q234" s="13" t="s">
        <v>273</v>
      </c>
      <c r="R234" s="13" t="s">
        <v>273</v>
      </c>
      <c r="S234" s="13" t="s">
        <v>273</v>
      </c>
      <c r="T234" s="13" t="s">
        <v>273</v>
      </c>
      <c r="U234" s="13" t="s">
        <v>273</v>
      </c>
      <c r="V234" s="13" t="s">
        <v>273</v>
      </c>
      <c r="W234" s="13" t="s">
        <v>273</v>
      </c>
      <c r="X234" s="13" t="s">
        <v>273</v>
      </c>
      <c r="Y234" s="21" t="s">
        <v>1933</v>
      </c>
      <c r="Z234" s="13" t="s">
        <v>273</v>
      </c>
      <c r="AA234" s="135"/>
      <c r="AB234" s="14" t="s">
        <v>2487</v>
      </c>
      <c r="AC234" s="15" t="s">
        <v>510</v>
      </c>
      <c r="AD234" s="14" t="s">
        <v>510</v>
      </c>
      <c r="AE234" s="14"/>
      <c r="AF234" s="14"/>
    </row>
    <row r="235" spans="2:32" x14ac:dyDescent="0.2">
      <c r="B235" s="21" t="s">
        <v>1933</v>
      </c>
      <c r="C235" s="20" t="s">
        <v>1989</v>
      </c>
      <c r="D235" s="12" t="s">
        <v>273</v>
      </c>
      <c r="E235" s="12" t="s">
        <v>273</v>
      </c>
      <c r="F235" s="13" t="s">
        <v>273</v>
      </c>
      <c r="G235" s="13" t="s">
        <v>273</v>
      </c>
      <c r="H235" s="13" t="s">
        <v>273</v>
      </c>
      <c r="I235" s="13" t="s">
        <v>273</v>
      </c>
      <c r="J235" s="13" t="s">
        <v>273</v>
      </c>
      <c r="K235" s="13" t="s">
        <v>273</v>
      </c>
      <c r="L235" s="13" t="s">
        <v>273</v>
      </c>
      <c r="M235" s="13" t="s">
        <v>273</v>
      </c>
      <c r="N235" s="13" t="s">
        <v>273</v>
      </c>
      <c r="O235" s="13" t="s">
        <v>273</v>
      </c>
      <c r="P235" s="13" t="s">
        <v>273</v>
      </c>
      <c r="Q235" s="13" t="s">
        <v>273</v>
      </c>
      <c r="R235" s="13" t="s">
        <v>273</v>
      </c>
      <c r="S235" s="13" t="s">
        <v>273</v>
      </c>
      <c r="T235" s="13" t="s">
        <v>273</v>
      </c>
      <c r="U235" s="13" t="s">
        <v>273</v>
      </c>
      <c r="V235" s="13" t="s">
        <v>273</v>
      </c>
      <c r="W235" s="13" t="s">
        <v>273</v>
      </c>
      <c r="X235" s="13" t="s">
        <v>273</v>
      </c>
      <c r="Y235" s="21" t="s">
        <v>1933</v>
      </c>
      <c r="Z235" s="13" t="s">
        <v>273</v>
      </c>
      <c r="AA235" s="136"/>
      <c r="AB235" s="20" t="s">
        <v>2487</v>
      </c>
      <c r="AC235" s="15" t="s">
        <v>510</v>
      </c>
      <c r="AD235" s="14" t="s">
        <v>510</v>
      </c>
      <c r="AE235" s="14"/>
      <c r="AF235" s="14"/>
    </row>
    <row r="236" spans="2:32" x14ac:dyDescent="0.2">
      <c r="B236" s="22" t="s">
        <v>260</v>
      </c>
      <c r="C236" s="20" t="s">
        <v>1990</v>
      </c>
      <c r="D236" s="13" t="s">
        <v>273</v>
      </c>
      <c r="E236" s="13" t="s">
        <v>273</v>
      </c>
      <c r="F236" s="13" t="s">
        <v>273</v>
      </c>
      <c r="G236" s="13" t="s">
        <v>273</v>
      </c>
      <c r="H236" s="13" t="s">
        <v>273</v>
      </c>
      <c r="I236" s="13" t="s">
        <v>273</v>
      </c>
      <c r="J236" s="13" t="s">
        <v>273</v>
      </c>
      <c r="K236" s="13" t="s">
        <v>273</v>
      </c>
      <c r="L236" s="13" t="s">
        <v>273</v>
      </c>
      <c r="M236" s="13" t="s">
        <v>273</v>
      </c>
      <c r="N236" s="13" t="s">
        <v>273</v>
      </c>
      <c r="O236" s="13" t="s">
        <v>273</v>
      </c>
      <c r="P236" s="13" t="s">
        <v>273</v>
      </c>
      <c r="Q236" s="13" t="s">
        <v>273</v>
      </c>
      <c r="R236" s="13" t="s">
        <v>273</v>
      </c>
      <c r="S236" s="13" t="s">
        <v>273</v>
      </c>
      <c r="T236" s="13" t="s">
        <v>273</v>
      </c>
      <c r="U236" s="13" t="s">
        <v>273</v>
      </c>
      <c r="V236" s="13" t="s">
        <v>273</v>
      </c>
      <c r="W236" s="13" t="s">
        <v>273</v>
      </c>
      <c r="X236" s="13" t="s">
        <v>273</v>
      </c>
      <c r="Y236" s="22" t="s">
        <v>260</v>
      </c>
      <c r="Z236" s="13" t="s">
        <v>273</v>
      </c>
      <c r="AA236" s="136"/>
      <c r="AB236" s="20" t="s">
        <v>505</v>
      </c>
      <c r="AC236" s="15" t="s">
        <v>510</v>
      </c>
      <c r="AD236" s="14" t="s">
        <v>510</v>
      </c>
      <c r="AE236" s="14"/>
      <c r="AF236" s="14"/>
    </row>
    <row r="237" spans="2:32" x14ac:dyDescent="0.2">
      <c r="B237" s="21" t="s">
        <v>259</v>
      </c>
      <c r="C237" s="20" t="s">
        <v>2442</v>
      </c>
      <c r="D237" s="13" t="s">
        <v>273</v>
      </c>
      <c r="E237" s="13" t="s">
        <v>273</v>
      </c>
      <c r="F237" s="13" t="s">
        <v>273</v>
      </c>
      <c r="G237" s="13" t="s">
        <v>273</v>
      </c>
      <c r="H237" s="13" t="s">
        <v>273</v>
      </c>
      <c r="I237" s="13" t="s">
        <v>273</v>
      </c>
      <c r="J237" s="13" t="s">
        <v>273</v>
      </c>
      <c r="K237" s="13" t="s">
        <v>273</v>
      </c>
      <c r="L237" s="13" t="s">
        <v>273</v>
      </c>
      <c r="M237" s="13" t="s">
        <v>273</v>
      </c>
      <c r="N237" s="13" t="s">
        <v>273</v>
      </c>
      <c r="O237" s="13" t="s">
        <v>273</v>
      </c>
      <c r="P237" s="13" t="s">
        <v>273</v>
      </c>
      <c r="Q237" s="13" t="s">
        <v>273</v>
      </c>
      <c r="R237" s="13" t="s">
        <v>273</v>
      </c>
      <c r="S237" s="13" t="s">
        <v>273</v>
      </c>
      <c r="T237" s="13" t="s">
        <v>273</v>
      </c>
      <c r="U237" s="13" t="s">
        <v>273</v>
      </c>
      <c r="V237" s="13" t="s">
        <v>273</v>
      </c>
      <c r="W237" s="13" t="s">
        <v>273</v>
      </c>
      <c r="X237" s="13" t="s">
        <v>273</v>
      </c>
      <c r="Y237" s="21" t="s">
        <v>259</v>
      </c>
      <c r="Z237" s="13" t="s">
        <v>273</v>
      </c>
      <c r="AA237" s="136"/>
      <c r="AB237" s="20" t="s">
        <v>507</v>
      </c>
      <c r="AC237" s="15" t="s">
        <v>510</v>
      </c>
      <c r="AD237" s="14" t="s">
        <v>510</v>
      </c>
      <c r="AE237" s="14"/>
      <c r="AF237" s="14"/>
    </row>
    <row r="238" spans="2:32" x14ac:dyDescent="0.2">
      <c r="B238" s="21" t="s">
        <v>256</v>
      </c>
      <c r="C238" s="20" t="s">
        <v>2443</v>
      </c>
      <c r="D238" s="13" t="s">
        <v>273</v>
      </c>
      <c r="E238" s="13" t="s">
        <v>273</v>
      </c>
      <c r="F238" s="13" t="s">
        <v>273</v>
      </c>
      <c r="G238" s="13" t="s">
        <v>273</v>
      </c>
      <c r="H238" s="13" t="s">
        <v>273</v>
      </c>
      <c r="I238" s="13" t="s">
        <v>273</v>
      </c>
      <c r="J238" s="13" t="s">
        <v>273</v>
      </c>
      <c r="K238" s="13" t="s">
        <v>273</v>
      </c>
      <c r="L238" s="13" t="s">
        <v>273</v>
      </c>
      <c r="M238" s="13" t="s">
        <v>273</v>
      </c>
      <c r="N238" s="13" t="s">
        <v>273</v>
      </c>
      <c r="O238" s="13" t="s">
        <v>273</v>
      </c>
      <c r="P238" s="13" t="s">
        <v>273</v>
      </c>
      <c r="Q238" s="13" t="s">
        <v>273</v>
      </c>
      <c r="R238" s="13" t="s">
        <v>273</v>
      </c>
      <c r="S238" s="13" t="s">
        <v>273</v>
      </c>
      <c r="T238" s="13" t="s">
        <v>273</v>
      </c>
      <c r="U238" s="13" t="s">
        <v>273</v>
      </c>
      <c r="V238" s="13" t="s">
        <v>273</v>
      </c>
      <c r="W238" s="13" t="s">
        <v>273</v>
      </c>
      <c r="X238" s="13" t="s">
        <v>273</v>
      </c>
      <c r="Y238" s="21" t="s">
        <v>256</v>
      </c>
      <c r="Z238" s="13" t="s">
        <v>273</v>
      </c>
      <c r="AA238" s="136"/>
      <c r="AB238" s="20" t="s">
        <v>2068</v>
      </c>
      <c r="AC238" s="15" t="s">
        <v>510</v>
      </c>
      <c r="AD238" s="14" t="s">
        <v>510</v>
      </c>
      <c r="AE238" s="14"/>
      <c r="AF238" s="14"/>
    </row>
    <row r="239" spans="2:32" x14ac:dyDescent="0.2">
      <c r="B239" s="19" t="s">
        <v>253</v>
      </c>
      <c r="C239" s="20" t="s">
        <v>2444</v>
      </c>
      <c r="D239" s="13" t="s">
        <v>273</v>
      </c>
      <c r="E239" s="13" t="s">
        <v>273</v>
      </c>
      <c r="F239" s="13" t="s">
        <v>273</v>
      </c>
      <c r="G239" s="13" t="s">
        <v>273</v>
      </c>
      <c r="H239" s="13" t="s">
        <v>273</v>
      </c>
      <c r="I239" s="13" t="s">
        <v>273</v>
      </c>
      <c r="J239" s="13" t="s">
        <v>273</v>
      </c>
      <c r="K239" s="13" t="s">
        <v>273</v>
      </c>
      <c r="L239" s="13" t="s">
        <v>273</v>
      </c>
      <c r="M239" s="13" t="s">
        <v>273</v>
      </c>
      <c r="N239" s="13" t="s">
        <v>273</v>
      </c>
      <c r="O239" s="13" t="s">
        <v>273</v>
      </c>
      <c r="P239" s="13" t="s">
        <v>273</v>
      </c>
      <c r="Q239" s="13" t="s">
        <v>273</v>
      </c>
      <c r="R239" s="13" t="s">
        <v>273</v>
      </c>
      <c r="S239" s="13" t="s">
        <v>273</v>
      </c>
      <c r="T239" s="13" t="s">
        <v>273</v>
      </c>
      <c r="U239" s="13" t="s">
        <v>273</v>
      </c>
      <c r="V239" s="13" t="s">
        <v>273</v>
      </c>
      <c r="W239" s="13" t="s">
        <v>273</v>
      </c>
      <c r="X239" s="13" t="s">
        <v>273</v>
      </c>
      <c r="Y239" s="19" t="s">
        <v>253</v>
      </c>
      <c r="Z239" s="13" t="s">
        <v>273</v>
      </c>
      <c r="AA239" s="135"/>
      <c r="AB239" s="14" t="s">
        <v>501</v>
      </c>
      <c r="AC239" s="15" t="s">
        <v>510</v>
      </c>
      <c r="AD239" s="14" t="s">
        <v>510</v>
      </c>
      <c r="AE239" s="14"/>
      <c r="AF239" s="14"/>
    </row>
    <row r="240" spans="2:32" x14ac:dyDescent="0.2">
      <c r="B240" s="19" t="s">
        <v>253</v>
      </c>
      <c r="C240" s="20" t="s">
        <v>2445</v>
      </c>
      <c r="D240" s="12" t="s">
        <v>273</v>
      </c>
      <c r="E240" s="12" t="s">
        <v>273</v>
      </c>
      <c r="F240" s="12" t="s">
        <v>273</v>
      </c>
      <c r="G240" s="12" t="s">
        <v>273</v>
      </c>
      <c r="H240" s="12" t="s">
        <v>273</v>
      </c>
      <c r="I240" s="12" t="s">
        <v>273</v>
      </c>
      <c r="J240" s="12" t="s">
        <v>273</v>
      </c>
      <c r="K240" s="12" t="s">
        <v>273</v>
      </c>
      <c r="L240" s="12" t="s">
        <v>273</v>
      </c>
      <c r="M240" s="12" t="s">
        <v>273</v>
      </c>
      <c r="N240" s="12" t="s">
        <v>273</v>
      </c>
      <c r="O240" s="12" t="s">
        <v>273</v>
      </c>
      <c r="P240" s="12" t="s">
        <v>273</v>
      </c>
      <c r="Q240" s="12" t="s">
        <v>273</v>
      </c>
      <c r="R240" s="12" t="s">
        <v>273</v>
      </c>
      <c r="S240" s="12" t="s">
        <v>273</v>
      </c>
      <c r="T240" s="12" t="s">
        <v>273</v>
      </c>
      <c r="U240" s="12" t="s">
        <v>273</v>
      </c>
      <c r="V240" s="12" t="s">
        <v>273</v>
      </c>
      <c r="W240" s="12" t="s">
        <v>273</v>
      </c>
      <c r="X240" s="12" t="s">
        <v>273</v>
      </c>
      <c r="Y240" s="19" t="s">
        <v>253</v>
      </c>
      <c r="Z240" s="13" t="s">
        <v>273</v>
      </c>
      <c r="AA240" s="135"/>
      <c r="AB240" s="14" t="s">
        <v>501</v>
      </c>
      <c r="AC240" s="15" t="s">
        <v>510</v>
      </c>
      <c r="AD240" s="14" t="s">
        <v>510</v>
      </c>
      <c r="AE240" s="14"/>
      <c r="AF240" s="14"/>
    </row>
    <row r="241" spans="2:32" x14ac:dyDescent="0.2">
      <c r="B241" s="21" t="s">
        <v>254</v>
      </c>
      <c r="C241" s="20" t="s">
        <v>2446</v>
      </c>
      <c r="D241" s="12" t="s">
        <v>273</v>
      </c>
      <c r="E241" s="12" t="s">
        <v>273</v>
      </c>
      <c r="F241" s="12" t="s">
        <v>273</v>
      </c>
      <c r="G241" s="12" t="s">
        <v>273</v>
      </c>
      <c r="H241" s="12" t="s">
        <v>273</v>
      </c>
      <c r="I241" s="12" t="s">
        <v>273</v>
      </c>
      <c r="J241" s="12" t="s">
        <v>273</v>
      </c>
      <c r="K241" s="12" t="s">
        <v>273</v>
      </c>
      <c r="L241" s="12" t="s">
        <v>273</v>
      </c>
      <c r="M241" s="12" t="s">
        <v>273</v>
      </c>
      <c r="N241" s="12" t="s">
        <v>273</v>
      </c>
      <c r="O241" s="12" t="s">
        <v>273</v>
      </c>
      <c r="P241" s="12" t="s">
        <v>273</v>
      </c>
      <c r="Q241" s="12" t="s">
        <v>273</v>
      </c>
      <c r="R241" s="12" t="s">
        <v>273</v>
      </c>
      <c r="S241" s="12" t="s">
        <v>273</v>
      </c>
      <c r="T241" s="12" t="s">
        <v>273</v>
      </c>
      <c r="U241" s="12" t="s">
        <v>273</v>
      </c>
      <c r="V241" s="12" t="s">
        <v>273</v>
      </c>
      <c r="W241" s="12" t="s">
        <v>273</v>
      </c>
      <c r="X241" s="12" t="s">
        <v>273</v>
      </c>
      <c r="Y241" s="21" t="s">
        <v>254</v>
      </c>
      <c r="Z241" s="13" t="s">
        <v>273</v>
      </c>
      <c r="AA241" s="136"/>
      <c r="AB241" s="20" t="s">
        <v>500</v>
      </c>
      <c r="AC241" s="15" t="s">
        <v>510</v>
      </c>
      <c r="AD241" s="14" t="s">
        <v>510</v>
      </c>
      <c r="AE241" s="14"/>
      <c r="AF241" s="14"/>
    </row>
    <row r="242" spans="2:32" x14ac:dyDescent="0.2">
      <c r="B242" s="23" t="s">
        <v>1996</v>
      </c>
      <c r="C242" s="20" t="s">
        <v>2447</v>
      </c>
      <c r="D242" s="12" t="s">
        <v>273</v>
      </c>
      <c r="E242" s="12" t="s">
        <v>273</v>
      </c>
      <c r="F242" s="13" t="s">
        <v>273</v>
      </c>
      <c r="G242" s="13" t="s">
        <v>273</v>
      </c>
      <c r="H242" s="13" t="s">
        <v>273</v>
      </c>
      <c r="I242" s="13" t="s">
        <v>273</v>
      </c>
      <c r="J242" s="13" t="s">
        <v>273</v>
      </c>
      <c r="K242" s="13" t="s">
        <v>273</v>
      </c>
      <c r="L242" s="13" t="s">
        <v>273</v>
      </c>
      <c r="M242" s="13" t="s">
        <v>273</v>
      </c>
      <c r="N242" s="13" t="s">
        <v>273</v>
      </c>
      <c r="O242" s="13" t="s">
        <v>273</v>
      </c>
      <c r="P242" s="13" t="s">
        <v>273</v>
      </c>
      <c r="Q242" s="13" t="s">
        <v>273</v>
      </c>
      <c r="R242" s="13" t="s">
        <v>273</v>
      </c>
      <c r="S242" s="13" t="s">
        <v>273</v>
      </c>
      <c r="T242" s="13" t="s">
        <v>273</v>
      </c>
      <c r="U242" s="13" t="s">
        <v>273</v>
      </c>
      <c r="V242" s="13" t="s">
        <v>273</v>
      </c>
      <c r="W242" s="13" t="s">
        <v>273</v>
      </c>
      <c r="X242" s="13" t="s">
        <v>273</v>
      </c>
      <c r="Y242" s="23" t="s">
        <v>1996</v>
      </c>
      <c r="Z242" s="13" t="s">
        <v>273</v>
      </c>
      <c r="AA242" s="136"/>
      <c r="AB242" s="20" t="s">
        <v>2070</v>
      </c>
      <c r="AC242" s="15" t="s">
        <v>510</v>
      </c>
      <c r="AD242" s="14" t="s">
        <v>510</v>
      </c>
      <c r="AE242" s="14"/>
      <c r="AF242" s="14"/>
    </row>
    <row r="243" spans="2:32" x14ac:dyDescent="0.2">
      <c r="B243" s="23" t="s">
        <v>1996</v>
      </c>
      <c r="C243" s="20" t="s">
        <v>2448</v>
      </c>
      <c r="D243" s="12" t="s">
        <v>273</v>
      </c>
      <c r="E243" s="12" t="s">
        <v>273</v>
      </c>
      <c r="F243" s="12" t="s">
        <v>273</v>
      </c>
      <c r="G243" s="12" t="s">
        <v>273</v>
      </c>
      <c r="H243" s="12" t="s">
        <v>273</v>
      </c>
      <c r="I243" s="12" t="s">
        <v>273</v>
      </c>
      <c r="J243" s="12" t="s">
        <v>273</v>
      </c>
      <c r="K243" s="12" t="s">
        <v>273</v>
      </c>
      <c r="L243" s="12" t="s">
        <v>273</v>
      </c>
      <c r="M243" s="12" t="s">
        <v>273</v>
      </c>
      <c r="N243" s="12" t="s">
        <v>273</v>
      </c>
      <c r="O243" s="12" t="s">
        <v>273</v>
      </c>
      <c r="P243" s="12" t="s">
        <v>273</v>
      </c>
      <c r="Q243" s="12" t="s">
        <v>273</v>
      </c>
      <c r="R243" s="12" t="s">
        <v>273</v>
      </c>
      <c r="S243" s="12" t="s">
        <v>273</v>
      </c>
      <c r="T243" s="12" t="s">
        <v>273</v>
      </c>
      <c r="U243" s="12" t="s">
        <v>273</v>
      </c>
      <c r="V243" s="12" t="s">
        <v>273</v>
      </c>
      <c r="W243" s="12" t="s">
        <v>273</v>
      </c>
      <c r="X243" s="12" t="s">
        <v>273</v>
      </c>
      <c r="Y243" s="23" t="s">
        <v>1996</v>
      </c>
      <c r="Z243" s="13" t="s">
        <v>273</v>
      </c>
      <c r="AA243" s="136"/>
      <c r="AB243" s="20" t="s">
        <v>2070</v>
      </c>
      <c r="AC243" s="15" t="s">
        <v>510</v>
      </c>
      <c r="AD243" s="14" t="s">
        <v>510</v>
      </c>
      <c r="AE243" s="14"/>
      <c r="AF243" s="14"/>
    </row>
    <row r="244" spans="2:32" x14ac:dyDescent="0.2">
      <c r="B244" s="22" t="s">
        <v>257</v>
      </c>
      <c r="C244" s="20" t="s">
        <v>2449</v>
      </c>
      <c r="D244" s="13" t="s">
        <v>273</v>
      </c>
      <c r="E244" s="13" t="s">
        <v>273</v>
      </c>
      <c r="F244" s="13" t="s">
        <v>273</v>
      </c>
      <c r="G244" s="13" t="s">
        <v>273</v>
      </c>
      <c r="H244" s="13" t="s">
        <v>273</v>
      </c>
      <c r="I244" s="13" t="s">
        <v>273</v>
      </c>
      <c r="J244" s="13" t="s">
        <v>273</v>
      </c>
      <c r="K244" s="13" t="s">
        <v>273</v>
      </c>
      <c r="L244" s="13" t="s">
        <v>273</v>
      </c>
      <c r="M244" s="13" t="s">
        <v>273</v>
      </c>
      <c r="N244" s="13" t="s">
        <v>273</v>
      </c>
      <c r="O244" s="13" t="s">
        <v>273</v>
      </c>
      <c r="P244" s="13" t="s">
        <v>273</v>
      </c>
      <c r="Q244" s="13" t="s">
        <v>273</v>
      </c>
      <c r="R244" s="13" t="s">
        <v>273</v>
      </c>
      <c r="S244" s="13" t="s">
        <v>273</v>
      </c>
      <c r="T244" s="13" t="s">
        <v>273</v>
      </c>
      <c r="U244" s="13" t="s">
        <v>273</v>
      </c>
      <c r="V244" s="13" t="s">
        <v>273</v>
      </c>
      <c r="W244" s="13" t="s">
        <v>273</v>
      </c>
      <c r="X244" s="13" t="s">
        <v>273</v>
      </c>
      <c r="Y244" s="22" t="s">
        <v>257</v>
      </c>
      <c r="Z244" s="13" t="s">
        <v>273</v>
      </c>
      <c r="AA244" s="136"/>
      <c r="AB244" s="20" t="s">
        <v>504</v>
      </c>
      <c r="AC244" s="15" t="s">
        <v>510</v>
      </c>
      <c r="AD244" s="14" t="s">
        <v>510</v>
      </c>
      <c r="AE244" s="14"/>
      <c r="AF244" s="14"/>
    </row>
    <row r="245" spans="2:32" x14ac:dyDescent="0.2">
      <c r="B245" s="19" t="s">
        <v>258</v>
      </c>
      <c r="C245" s="20" t="s">
        <v>2450</v>
      </c>
      <c r="D245" s="12" t="s">
        <v>273</v>
      </c>
      <c r="E245" s="12" t="s">
        <v>273</v>
      </c>
      <c r="F245" s="12" t="s">
        <v>273</v>
      </c>
      <c r="G245" s="12" t="s">
        <v>273</v>
      </c>
      <c r="H245" s="12" t="s">
        <v>273</v>
      </c>
      <c r="I245" s="12" t="s">
        <v>273</v>
      </c>
      <c r="J245" s="12" t="s">
        <v>273</v>
      </c>
      <c r="K245" s="12" t="s">
        <v>273</v>
      </c>
      <c r="L245" s="12" t="s">
        <v>273</v>
      </c>
      <c r="M245" s="12" t="s">
        <v>273</v>
      </c>
      <c r="N245" s="12" t="s">
        <v>273</v>
      </c>
      <c r="O245" s="12" t="s">
        <v>273</v>
      </c>
      <c r="P245" s="12" t="s">
        <v>273</v>
      </c>
      <c r="Q245" s="12" t="s">
        <v>273</v>
      </c>
      <c r="R245" s="12" t="s">
        <v>273</v>
      </c>
      <c r="S245" s="12" t="s">
        <v>273</v>
      </c>
      <c r="T245" s="12" t="s">
        <v>273</v>
      </c>
      <c r="U245" s="12" t="s">
        <v>273</v>
      </c>
      <c r="V245" s="12" t="s">
        <v>273</v>
      </c>
      <c r="W245" s="12" t="s">
        <v>273</v>
      </c>
      <c r="X245" s="12" t="s">
        <v>273</v>
      </c>
      <c r="Y245" s="19" t="s">
        <v>258</v>
      </c>
      <c r="Z245" s="13" t="s">
        <v>273</v>
      </c>
      <c r="AA245" s="136"/>
      <c r="AB245" s="20" t="s">
        <v>506</v>
      </c>
      <c r="AC245" s="15" t="s">
        <v>510</v>
      </c>
      <c r="AD245" s="14" t="s">
        <v>510</v>
      </c>
      <c r="AE245" s="14"/>
      <c r="AF245" s="14"/>
    </row>
    <row r="246" spans="2:32" x14ac:dyDescent="0.2">
      <c r="B246" s="21" t="s">
        <v>351</v>
      </c>
      <c r="C246" s="20" t="s">
        <v>2451</v>
      </c>
      <c r="D246" s="12" t="s">
        <v>273</v>
      </c>
      <c r="E246" s="12" t="s">
        <v>273</v>
      </c>
      <c r="F246" s="12" t="s">
        <v>273</v>
      </c>
      <c r="G246" s="12" t="s">
        <v>273</v>
      </c>
      <c r="H246" s="12" t="s">
        <v>273</v>
      </c>
      <c r="I246" s="12" t="s">
        <v>273</v>
      </c>
      <c r="J246" s="12" t="s">
        <v>273</v>
      </c>
      <c r="K246" s="12" t="s">
        <v>273</v>
      </c>
      <c r="L246" s="12" t="s">
        <v>273</v>
      </c>
      <c r="M246" s="12" t="s">
        <v>273</v>
      </c>
      <c r="N246" s="12" t="s">
        <v>273</v>
      </c>
      <c r="O246" s="12" t="s">
        <v>273</v>
      </c>
      <c r="P246" s="12" t="s">
        <v>273</v>
      </c>
      <c r="Q246" s="12" t="s">
        <v>273</v>
      </c>
      <c r="R246" s="12" t="s">
        <v>273</v>
      </c>
      <c r="S246" s="12" t="s">
        <v>273</v>
      </c>
      <c r="T246" s="12" t="s">
        <v>273</v>
      </c>
      <c r="U246" s="12" t="s">
        <v>273</v>
      </c>
      <c r="V246" s="12" t="s">
        <v>273</v>
      </c>
      <c r="W246" s="12" t="s">
        <v>273</v>
      </c>
      <c r="X246" s="12" t="s">
        <v>273</v>
      </c>
      <c r="Y246" s="21" t="s">
        <v>351</v>
      </c>
      <c r="Z246" s="13" t="s">
        <v>273</v>
      </c>
      <c r="AA246" s="136"/>
      <c r="AB246" s="20" t="s">
        <v>2071</v>
      </c>
      <c r="AC246" s="15" t="s">
        <v>510</v>
      </c>
      <c r="AD246" s="14" t="s">
        <v>510</v>
      </c>
      <c r="AE246" s="14"/>
      <c r="AF246" s="14"/>
    </row>
    <row r="247" spans="2:32" x14ac:dyDescent="0.2">
      <c r="B247" s="19" t="s">
        <v>253</v>
      </c>
      <c r="C247" s="20" t="s">
        <v>2452</v>
      </c>
      <c r="D247" s="12" t="s">
        <v>273</v>
      </c>
      <c r="E247" s="12" t="s">
        <v>273</v>
      </c>
      <c r="F247" s="12" t="s">
        <v>273</v>
      </c>
      <c r="G247" s="12" t="s">
        <v>273</v>
      </c>
      <c r="H247" s="12" t="s">
        <v>273</v>
      </c>
      <c r="I247" s="12" t="s">
        <v>273</v>
      </c>
      <c r="J247" s="12" t="s">
        <v>273</v>
      </c>
      <c r="K247" s="12" t="s">
        <v>273</v>
      </c>
      <c r="L247" s="12" t="s">
        <v>273</v>
      </c>
      <c r="M247" s="12" t="s">
        <v>273</v>
      </c>
      <c r="N247" s="12" t="s">
        <v>273</v>
      </c>
      <c r="O247" s="12" t="s">
        <v>273</v>
      </c>
      <c r="P247" s="12" t="s">
        <v>273</v>
      </c>
      <c r="Q247" s="12" t="s">
        <v>273</v>
      </c>
      <c r="R247" s="12" t="s">
        <v>273</v>
      </c>
      <c r="S247" s="12" t="s">
        <v>273</v>
      </c>
      <c r="T247" s="12" t="s">
        <v>273</v>
      </c>
      <c r="U247" s="12" t="s">
        <v>273</v>
      </c>
      <c r="V247" s="12" t="s">
        <v>273</v>
      </c>
      <c r="W247" s="12" t="s">
        <v>273</v>
      </c>
      <c r="X247" s="12" t="s">
        <v>273</v>
      </c>
      <c r="Y247" s="19" t="s">
        <v>253</v>
      </c>
      <c r="Z247" s="13" t="s">
        <v>273</v>
      </c>
      <c r="AA247" s="135"/>
      <c r="AB247" s="14" t="s">
        <v>501</v>
      </c>
      <c r="AC247" s="15" t="s">
        <v>510</v>
      </c>
      <c r="AD247" s="14" t="s">
        <v>510</v>
      </c>
      <c r="AE247" s="14"/>
      <c r="AF247" s="14"/>
    </row>
    <row r="248" spans="2:32" x14ac:dyDescent="0.2">
      <c r="B248" s="21" t="s">
        <v>255</v>
      </c>
      <c r="C248" s="20" t="s">
        <v>2453</v>
      </c>
      <c r="D248" s="12" t="s">
        <v>273</v>
      </c>
      <c r="E248" s="12" t="s">
        <v>273</v>
      </c>
      <c r="F248" s="12" t="s">
        <v>273</v>
      </c>
      <c r="G248" s="12" t="s">
        <v>273</v>
      </c>
      <c r="H248" s="12" t="s">
        <v>273</v>
      </c>
      <c r="I248" s="12" t="s">
        <v>273</v>
      </c>
      <c r="J248" s="12" t="s">
        <v>273</v>
      </c>
      <c r="K248" s="12" t="s">
        <v>273</v>
      </c>
      <c r="L248" s="12" t="s">
        <v>273</v>
      </c>
      <c r="M248" s="12" t="s">
        <v>273</v>
      </c>
      <c r="N248" s="12" t="s">
        <v>273</v>
      </c>
      <c r="O248" s="12" t="s">
        <v>273</v>
      </c>
      <c r="P248" s="12" t="s">
        <v>273</v>
      </c>
      <c r="Q248" s="12" t="s">
        <v>273</v>
      </c>
      <c r="R248" s="12" t="s">
        <v>273</v>
      </c>
      <c r="S248" s="12" t="s">
        <v>273</v>
      </c>
      <c r="T248" s="12" t="s">
        <v>273</v>
      </c>
      <c r="U248" s="12" t="s">
        <v>273</v>
      </c>
      <c r="V248" s="12" t="s">
        <v>273</v>
      </c>
      <c r="W248" s="12" t="s">
        <v>273</v>
      </c>
      <c r="X248" s="12" t="s">
        <v>273</v>
      </c>
      <c r="Y248" s="21" t="s">
        <v>255</v>
      </c>
      <c r="Z248" s="13" t="s">
        <v>273</v>
      </c>
      <c r="AA248" s="136"/>
      <c r="AB248" s="20" t="s">
        <v>2071</v>
      </c>
      <c r="AC248" s="15" t="s">
        <v>510</v>
      </c>
      <c r="AD248" s="14" t="s">
        <v>510</v>
      </c>
      <c r="AE248" s="14"/>
      <c r="AF248" s="14"/>
    </row>
    <row r="249" spans="2:32" x14ac:dyDescent="0.2">
      <c r="B249" s="19" t="s">
        <v>253</v>
      </c>
      <c r="C249" s="20" t="s">
        <v>2454</v>
      </c>
      <c r="D249" s="13" t="s">
        <v>273</v>
      </c>
      <c r="E249" s="13" t="s">
        <v>273</v>
      </c>
      <c r="F249" s="13" t="s">
        <v>273</v>
      </c>
      <c r="G249" s="13" t="s">
        <v>273</v>
      </c>
      <c r="H249" s="13" t="s">
        <v>273</v>
      </c>
      <c r="I249" s="13" t="s">
        <v>273</v>
      </c>
      <c r="J249" s="13" t="s">
        <v>273</v>
      </c>
      <c r="K249" s="13" t="s">
        <v>273</v>
      </c>
      <c r="L249" s="13" t="s">
        <v>273</v>
      </c>
      <c r="M249" s="13" t="s">
        <v>273</v>
      </c>
      <c r="N249" s="13" t="s">
        <v>273</v>
      </c>
      <c r="O249" s="13" t="s">
        <v>273</v>
      </c>
      <c r="P249" s="13" t="s">
        <v>273</v>
      </c>
      <c r="Q249" s="13" t="s">
        <v>273</v>
      </c>
      <c r="R249" s="13" t="s">
        <v>273</v>
      </c>
      <c r="S249" s="13" t="s">
        <v>273</v>
      </c>
      <c r="T249" s="13" t="s">
        <v>273</v>
      </c>
      <c r="U249" s="13" t="s">
        <v>273</v>
      </c>
      <c r="V249" s="13" t="s">
        <v>273</v>
      </c>
      <c r="W249" s="13" t="s">
        <v>273</v>
      </c>
      <c r="X249" s="13" t="s">
        <v>273</v>
      </c>
      <c r="Y249" s="19" t="s">
        <v>253</v>
      </c>
      <c r="Z249" s="13" t="s">
        <v>273</v>
      </c>
      <c r="AA249" s="135"/>
      <c r="AB249" s="14" t="s">
        <v>501</v>
      </c>
      <c r="AC249" s="15" t="s">
        <v>510</v>
      </c>
      <c r="AD249" s="14" t="s">
        <v>510</v>
      </c>
      <c r="AE249" s="14"/>
      <c r="AF249" s="14"/>
    </row>
    <row r="250" spans="2:32" x14ac:dyDescent="0.2">
      <c r="B250" s="19" t="s">
        <v>253</v>
      </c>
      <c r="C250" s="20" t="s">
        <v>2455</v>
      </c>
      <c r="D250" s="12" t="s">
        <v>273</v>
      </c>
      <c r="E250" s="12" t="s">
        <v>273</v>
      </c>
      <c r="F250" s="12" t="s">
        <v>273</v>
      </c>
      <c r="G250" s="12" t="s">
        <v>273</v>
      </c>
      <c r="H250" s="12" t="s">
        <v>273</v>
      </c>
      <c r="I250" s="12" t="s">
        <v>273</v>
      </c>
      <c r="J250" s="12" t="s">
        <v>273</v>
      </c>
      <c r="K250" s="12" t="s">
        <v>273</v>
      </c>
      <c r="L250" s="12" t="s">
        <v>273</v>
      </c>
      <c r="M250" s="12" t="s">
        <v>273</v>
      </c>
      <c r="N250" s="12" t="s">
        <v>273</v>
      </c>
      <c r="O250" s="12" t="s">
        <v>273</v>
      </c>
      <c r="P250" s="12" t="s">
        <v>273</v>
      </c>
      <c r="Q250" s="12" t="s">
        <v>273</v>
      </c>
      <c r="R250" s="12" t="s">
        <v>273</v>
      </c>
      <c r="S250" s="12" t="s">
        <v>273</v>
      </c>
      <c r="T250" s="12" t="s">
        <v>273</v>
      </c>
      <c r="U250" s="12" t="s">
        <v>273</v>
      </c>
      <c r="V250" s="12" t="s">
        <v>273</v>
      </c>
      <c r="W250" s="12" t="s">
        <v>273</v>
      </c>
      <c r="X250" s="12" t="s">
        <v>273</v>
      </c>
      <c r="Y250" s="19" t="s">
        <v>253</v>
      </c>
      <c r="Z250" s="13" t="s">
        <v>273</v>
      </c>
      <c r="AA250" s="135"/>
      <c r="AB250" s="14" t="s">
        <v>501</v>
      </c>
      <c r="AC250" s="15" t="s">
        <v>510</v>
      </c>
      <c r="AD250" s="14" t="s">
        <v>510</v>
      </c>
      <c r="AE250" s="14"/>
      <c r="AF250" s="14"/>
    </row>
    <row r="251" spans="2:32" x14ac:dyDescent="0.2">
      <c r="B251" s="19" t="s">
        <v>253</v>
      </c>
      <c r="C251" s="20" t="s">
        <v>2456</v>
      </c>
      <c r="D251" s="12" t="s">
        <v>273</v>
      </c>
      <c r="E251" s="12" t="s">
        <v>273</v>
      </c>
      <c r="F251" s="12" t="s">
        <v>273</v>
      </c>
      <c r="G251" s="12" t="s">
        <v>273</v>
      </c>
      <c r="H251" s="12" t="s">
        <v>273</v>
      </c>
      <c r="I251" s="12" t="s">
        <v>273</v>
      </c>
      <c r="J251" s="12" t="s">
        <v>273</v>
      </c>
      <c r="K251" s="12" t="s">
        <v>273</v>
      </c>
      <c r="L251" s="12" t="s">
        <v>273</v>
      </c>
      <c r="M251" s="12" t="s">
        <v>273</v>
      </c>
      <c r="N251" s="12" t="s">
        <v>273</v>
      </c>
      <c r="O251" s="12" t="s">
        <v>273</v>
      </c>
      <c r="P251" s="12" t="s">
        <v>273</v>
      </c>
      <c r="Q251" s="12" t="s">
        <v>273</v>
      </c>
      <c r="R251" s="12" t="s">
        <v>273</v>
      </c>
      <c r="S251" s="12" t="s">
        <v>273</v>
      </c>
      <c r="T251" s="12" t="s">
        <v>273</v>
      </c>
      <c r="U251" s="12" t="s">
        <v>273</v>
      </c>
      <c r="V251" s="12" t="s">
        <v>273</v>
      </c>
      <c r="W251" s="12" t="s">
        <v>273</v>
      </c>
      <c r="X251" s="12" t="s">
        <v>273</v>
      </c>
      <c r="Y251" s="19" t="s">
        <v>253</v>
      </c>
      <c r="Z251" s="13" t="s">
        <v>273</v>
      </c>
      <c r="AA251" s="135"/>
      <c r="AB251" s="14" t="s">
        <v>501</v>
      </c>
      <c r="AC251" s="15" t="s">
        <v>510</v>
      </c>
      <c r="AD251" s="14" t="s">
        <v>510</v>
      </c>
      <c r="AE251" s="14"/>
      <c r="AF251" s="14"/>
    </row>
    <row r="252" spans="2:32" x14ac:dyDescent="0.2">
      <c r="B252" s="23" t="s">
        <v>2009</v>
      </c>
      <c r="C252" s="20" t="s">
        <v>2457</v>
      </c>
      <c r="D252" s="13" t="s">
        <v>273</v>
      </c>
      <c r="E252" s="13" t="s">
        <v>273</v>
      </c>
      <c r="F252" s="13" t="s">
        <v>273</v>
      </c>
      <c r="G252" s="13" t="s">
        <v>273</v>
      </c>
      <c r="H252" s="13" t="s">
        <v>273</v>
      </c>
      <c r="I252" s="13" t="s">
        <v>273</v>
      </c>
      <c r="J252" s="13" t="s">
        <v>273</v>
      </c>
      <c r="K252" s="13" t="s">
        <v>273</v>
      </c>
      <c r="L252" s="13" t="s">
        <v>273</v>
      </c>
      <c r="M252" s="13" t="s">
        <v>273</v>
      </c>
      <c r="N252" s="13" t="s">
        <v>273</v>
      </c>
      <c r="O252" s="13" t="s">
        <v>273</v>
      </c>
      <c r="P252" s="13" t="s">
        <v>273</v>
      </c>
      <c r="Q252" s="13" t="s">
        <v>273</v>
      </c>
      <c r="R252" s="13" t="s">
        <v>273</v>
      </c>
      <c r="S252" s="13" t="s">
        <v>273</v>
      </c>
      <c r="T252" s="13" t="s">
        <v>273</v>
      </c>
      <c r="U252" s="13" t="s">
        <v>273</v>
      </c>
      <c r="V252" s="13" t="s">
        <v>273</v>
      </c>
      <c r="W252" s="13" t="s">
        <v>273</v>
      </c>
      <c r="X252" s="13" t="s">
        <v>273</v>
      </c>
      <c r="Y252" s="23" t="s">
        <v>2009</v>
      </c>
      <c r="Z252" s="13" t="s">
        <v>273</v>
      </c>
      <c r="AA252" s="136"/>
      <c r="AB252" s="20" t="s">
        <v>2070</v>
      </c>
      <c r="AC252" s="15" t="s">
        <v>510</v>
      </c>
      <c r="AD252" s="14" t="s">
        <v>510</v>
      </c>
      <c r="AE252" s="14"/>
      <c r="AF252" s="14"/>
    </row>
    <row r="253" spans="2:32" x14ac:dyDescent="0.2">
      <c r="B253" s="21" t="s">
        <v>1932</v>
      </c>
      <c r="C253" s="20" t="s">
        <v>2458</v>
      </c>
      <c r="D253" s="12" t="s">
        <v>273</v>
      </c>
      <c r="E253" s="12" t="s">
        <v>273</v>
      </c>
      <c r="F253" s="13" t="s">
        <v>273</v>
      </c>
      <c r="G253" s="13" t="s">
        <v>273</v>
      </c>
      <c r="H253" s="13" t="s">
        <v>273</v>
      </c>
      <c r="I253" s="13" t="s">
        <v>273</v>
      </c>
      <c r="J253" s="13" t="s">
        <v>273</v>
      </c>
      <c r="K253" s="13" t="s">
        <v>273</v>
      </c>
      <c r="L253" s="13" t="s">
        <v>273</v>
      </c>
      <c r="M253" s="13" t="s">
        <v>273</v>
      </c>
      <c r="N253" s="13" t="s">
        <v>273</v>
      </c>
      <c r="O253" s="13" t="s">
        <v>273</v>
      </c>
      <c r="P253" s="13" t="s">
        <v>273</v>
      </c>
      <c r="Q253" s="13" t="s">
        <v>273</v>
      </c>
      <c r="R253" s="13" t="s">
        <v>273</v>
      </c>
      <c r="S253" s="13" t="s">
        <v>273</v>
      </c>
      <c r="T253" s="13" t="s">
        <v>273</v>
      </c>
      <c r="U253" s="13" t="s">
        <v>273</v>
      </c>
      <c r="V253" s="13" t="s">
        <v>273</v>
      </c>
      <c r="W253" s="13" t="s">
        <v>273</v>
      </c>
      <c r="X253" s="13" t="s">
        <v>273</v>
      </c>
      <c r="Y253" s="21" t="s">
        <v>1932</v>
      </c>
      <c r="Z253" s="13" t="s">
        <v>273</v>
      </c>
      <c r="AA253" s="136"/>
      <c r="AB253" s="20" t="s">
        <v>2488</v>
      </c>
      <c r="AC253" s="15" t="s">
        <v>510</v>
      </c>
      <c r="AD253" s="14" t="s">
        <v>510</v>
      </c>
      <c r="AE253" s="14"/>
      <c r="AF253" s="14"/>
    </row>
    <row r="254" spans="2:32" x14ac:dyDescent="0.2">
      <c r="B254" s="21" t="s">
        <v>255</v>
      </c>
      <c r="C254" s="20" t="s">
        <v>2459</v>
      </c>
      <c r="D254" s="12" t="s">
        <v>273</v>
      </c>
      <c r="E254" s="12" t="s">
        <v>273</v>
      </c>
      <c r="F254" s="13" t="s">
        <v>273</v>
      </c>
      <c r="G254" s="13" t="s">
        <v>273</v>
      </c>
      <c r="H254" s="13" t="s">
        <v>273</v>
      </c>
      <c r="I254" s="13" t="s">
        <v>273</v>
      </c>
      <c r="J254" s="13" t="s">
        <v>273</v>
      </c>
      <c r="K254" s="13" t="s">
        <v>273</v>
      </c>
      <c r="L254" s="13" t="s">
        <v>273</v>
      </c>
      <c r="M254" s="13" t="s">
        <v>273</v>
      </c>
      <c r="N254" s="13" t="s">
        <v>273</v>
      </c>
      <c r="O254" s="13" t="s">
        <v>273</v>
      </c>
      <c r="P254" s="13" t="s">
        <v>273</v>
      </c>
      <c r="Q254" s="13" t="s">
        <v>273</v>
      </c>
      <c r="R254" s="13" t="s">
        <v>273</v>
      </c>
      <c r="S254" s="13" t="s">
        <v>273</v>
      </c>
      <c r="T254" s="13" t="s">
        <v>273</v>
      </c>
      <c r="U254" s="13" t="s">
        <v>273</v>
      </c>
      <c r="V254" s="13" t="s">
        <v>273</v>
      </c>
      <c r="W254" s="13" t="s">
        <v>273</v>
      </c>
      <c r="X254" s="13" t="s">
        <v>273</v>
      </c>
      <c r="Y254" s="21" t="s">
        <v>255</v>
      </c>
      <c r="Z254" s="13" t="s">
        <v>273</v>
      </c>
      <c r="AA254" s="135"/>
      <c r="AB254" s="14" t="s">
        <v>2071</v>
      </c>
      <c r="AC254" s="15" t="s">
        <v>510</v>
      </c>
      <c r="AD254" s="14" t="s">
        <v>510</v>
      </c>
      <c r="AE254" s="14"/>
      <c r="AF254" s="14"/>
    </row>
    <row r="255" spans="2:32" x14ac:dyDescent="0.2">
      <c r="B255" s="19" t="s">
        <v>253</v>
      </c>
      <c r="C255" s="20" t="s">
        <v>2460</v>
      </c>
      <c r="D255" s="12" t="s">
        <v>273</v>
      </c>
      <c r="E255" s="12" t="s">
        <v>273</v>
      </c>
      <c r="F255" s="13" t="s">
        <v>273</v>
      </c>
      <c r="G255" s="13" t="s">
        <v>273</v>
      </c>
      <c r="H255" s="13" t="s">
        <v>273</v>
      </c>
      <c r="I255" s="13" t="s">
        <v>273</v>
      </c>
      <c r="J255" s="13" t="s">
        <v>273</v>
      </c>
      <c r="K255" s="13" t="s">
        <v>273</v>
      </c>
      <c r="L255" s="13" t="s">
        <v>273</v>
      </c>
      <c r="M255" s="13" t="s">
        <v>273</v>
      </c>
      <c r="N255" s="13" t="s">
        <v>273</v>
      </c>
      <c r="O255" s="13" t="s">
        <v>273</v>
      </c>
      <c r="P255" s="13" t="s">
        <v>273</v>
      </c>
      <c r="Q255" s="13" t="s">
        <v>273</v>
      </c>
      <c r="R255" s="13" t="s">
        <v>273</v>
      </c>
      <c r="S255" s="13" t="s">
        <v>273</v>
      </c>
      <c r="T255" s="13" t="s">
        <v>273</v>
      </c>
      <c r="U255" s="13" t="s">
        <v>273</v>
      </c>
      <c r="V255" s="13" t="s">
        <v>273</v>
      </c>
      <c r="W255" s="13" t="s">
        <v>273</v>
      </c>
      <c r="X255" s="13" t="s">
        <v>273</v>
      </c>
      <c r="Y255" s="19" t="s">
        <v>253</v>
      </c>
      <c r="Z255" s="13" t="s">
        <v>273</v>
      </c>
      <c r="AA255" s="135"/>
      <c r="AB255" s="14" t="s">
        <v>501</v>
      </c>
      <c r="AC255" s="15" t="s">
        <v>510</v>
      </c>
      <c r="AD255" s="14" t="s">
        <v>510</v>
      </c>
      <c r="AE255" s="14"/>
      <c r="AF255" s="14"/>
    </row>
    <row r="256" spans="2:32" x14ac:dyDescent="0.2">
      <c r="B256" s="19" t="s">
        <v>253</v>
      </c>
      <c r="C256" s="20" t="s">
        <v>2461</v>
      </c>
      <c r="D256" s="12" t="s">
        <v>273</v>
      </c>
      <c r="E256" s="12" t="s">
        <v>273</v>
      </c>
      <c r="F256" s="13" t="s">
        <v>273</v>
      </c>
      <c r="G256" s="13" t="s">
        <v>273</v>
      </c>
      <c r="H256" s="13" t="s">
        <v>273</v>
      </c>
      <c r="I256" s="13" t="s">
        <v>273</v>
      </c>
      <c r="J256" s="13" t="s">
        <v>273</v>
      </c>
      <c r="K256" s="13" t="s">
        <v>273</v>
      </c>
      <c r="L256" s="13" t="s">
        <v>273</v>
      </c>
      <c r="M256" s="13" t="s">
        <v>273</v>
      </c>
      <c r="N256" s="13" t="s">
        <v>273</v>
      </c>
      <c r="O256" s="13" t="s">
        <v>273</v>
      </c>
      <c r="P256" s="13" t="s">
        <v>273</v>
      </c>
      <c r="Q256" s="13" t="s">
        <v>273</v>
      </c>
      <c r="R256" s="13" t="s">
        <v>273</v>
      </c>
      <c r="S256" s="13" t="s">
        <v>273</v>
      </c>
      <c r="T256" s="13" t="s">
        <v>273</v>
      </c>
      <c r="U256" s="13" t="s">
        <v>273</v>
      </c>
      <c r="V256" s="13" t="s">
        <v>273</v>
      </c>
      <c r="W256" s="13" t="s">
        <v>273</v>
      </c>
      <c r="X256" s="13" t="s">
        <v>273</v>
      </c>
      <c r="Y256" s="19" t="s">
        <v>253</v>
      </c>
      <c r="Z256" s="13" t="s">
        <v>273</v>
      </c>
      <c r="AA256" s="135"/>
      <c r="AB256" s="14" t="s">
        <v>501</v>
      </c>
      <c r="AC256" s="15" t="s">
        <v>510</v>
      </c>
      <c r="AD256" s="14" t="s">
        <v>510</v>
      </c>
      <c r="AE256" s="14"/>
      <c r="AF256" s="14"/>
    </row>
    <row r="257" spans="2:32" x14ac:dyDescent="0.2">
      <c r="B257" s="19" t="s">
        <v>253</v>
      </c>
      <c r="C257" s="20" t="s">
        <v>2462</v>
      </c>
      <c r="D257" s="12" t="s">
        <v>273</v>
      </c>
      <c r="E257" s="12" t="s">
        <v>273</v>
      </c>
      <c r="F257" s="13" t="s">
        <v>273</v>
      </c>
      <c r="G257" s="13" t="s">
        <v>273</v>
      </c>
      <c r="H257" s="13" t="s">
        <v>273</v>
      </c>
      <c r="I257" s="13" t="s">
        <v>273</v>
      </c>
      <c r="J257" s="13" t="s">
        <v>273</v>
      </c>
      <c r="K257" s="13" t="s">
        <v>273</v>
      </c>
      <c r="L257" s="13" t="s">
        <v>273</v>
      </c>
      <c r="M257" s="13" t="s">
        <v>273</v>
      </c>
      <c r="N257" s="13" t="s">
        <v>273</v>
      </c>
      <c r="O257" s="13" t="s">
        <v>273</v>
      </c>
      <c r="P257" s="13" t="s">
        <v>273</v>
      </c>
      <c r="Q257" s="13" t="s">
        <v>273</v>
      </c>
      <c r="R257" s="13" t="s">
        <v>273</v>
      </c>
      <c r="S257" s="13" t="s">
        <v>273</v>
      </c>
      <c r="T257" s="13" t="s">
        <v>273</v>
      </c>
      <c r="U257" s="13" t="s">
        <v>273</v>
      </c>
      <c r="V257" s="13" t="s">
        <v>273</v>
      </c>
      <c r="W257" s="13" t="s">
        <v>273</v>
      </c>
      <c r="X257" s="13" t="s">
        <v>273</v>
      </c>
      <c r="Y257" s="19" t="s">
        <v>253</v>
      </c>
      <c r="Z257" s="13" t="s">
        <v>273</v>
      </c>
      <c r="AA257" s="135"/>
      <c r="AB257" s="14" t="s">
        <v>501</v>
      </c>
      <c r="AC257" s="15" t="s">
        <v>510</v>
      </c>
      <c r="AD257" s="14" t="s">
        <v>510</v>
      </c>
      <c r="AE257" s="14"/>
      <c r="AF257" s="14"/>
    </row>
    <row r="258" spans="2:32" x14ac:dyDescent="0.2">
      <c r="B258" s="23" t="s">
        <v>2009</v>
      </c>
      <c r="C258" s="20" t="s">
        <v>2463</v>
      </c>
      <c r="D258" s="12" t="s">
        <v>273</v>
      </c>
      <c r="E258" s="12" t="s">
        <v>273</v>
      </c>
      <c r="F258" s="12" t="s">
        <v>273</v>
      </c>
      <c r="G258" s="12" t="s">
        <v>273</v>
      </c>
      <c r="H258" s="12" t="s">
        <v>273</v>
      </c>
      <c r="I258" s="12" t="s">
        <v>273</v>
      </c>
      <c r="J258" s="12" t="s">
        <v>273</v>
      </c>
      <c r="K258" s="12" t="s">
        <v>273</v>
      </c>
      <c r="L258" s="12" t="s">
        <v>273</v>
      </c>
      <c r="M258" s="12" t="s">
        <v>273</v>
      </c>
      <c r="N258" s="12" t="s">
        <v>273</v>
      </c>
      <c r="O258" s="12" t="s">
        <v>273</v>
      </c>
      <c r="P258" s="12" t="s">
        <v>273</v>
      </c>
      <c r="Q258" s="12" t="s">
        <v>273</v>
      </c>
      <c r="R258" s="12" t="s">
        <v>273</v>
      </c>
      <c r="S258" s="12" t="s">
        <v>273</v>
      </c>
      <c r="T258" s="12" t="s">
        <v>273</v>
      </c>
      <c r="U258" s="12" t="s">
        <v>273</v>
      </c>
      <c r="V258" s="12" t="s">
        <v>273</v>
      </c>
      <c r="W258" s="12" t="s">
        <v>273</v>
      </c>
      <c r="X258" s="12" t="s">
        <v>273</v>
      </c>
      <c r="Y258" s="23" t="s">
        <v>2009</v>
      </c>
      <c r="Z258" s="13" t="s">
        <v>273</v>
      </c>
      <c r="AA258" s="136"/>
      <c r="AB258" s="20" t="s">
        <v>2070</v>
      </c>
      <c r="AC258" s="15" t="s">
        <v>510</v>
      </c>
      <c r="AD258" s="14" t="s">
        <v>510</v>
      </c>
      <c r="AE258" s="14"/>
      <c r="AF258" s="14"/>
    </row>
    <row r="259" spans="2:32" x14ac:dyDescent="0.2">
      <c r="B259" s="21" t="s">
        <v>1932</v>
      </c>
      <c r="C259" s="20" t="s">
        <v>2464</v>
      </c>
      <c r="D259" s="13" t="s">
        <v>273</v>
      </c>
      <c r="E259" s="13" t="s">
        <v>273</v>
      </c>
      <c r="F259" s="13" t="s">
        <v>273</v>
      </c>
      <c r="G259" s="13" t="s">
        <v>273</v>
      </c>
      <c r="H259" s="13" t="s">
        <v>273</v>
      </c>
      <c r="I259" s="13" t="s">
        <v>273</v>
      </c>
      <c r="J259" s="13" t="s">
        <v>273</v>
      </c>
      <c r="K259" s="13" t="s">
        <v>273</v>
      </c>
      <c r="L259" s="13" t="s">
        <v>273</v>
      </c>
      <c r="M259" s="13" t="s">
        <v>273</v>
      </c>
      <c r="N259" s="13" t="s">
        <v>273</v>
      </c>
      <c r="O259" s="13" t="s">
        <v>273</v>
      </c>
      <c r="P259" s="13" t="s">
        <v>273</v>
      </c>
      <c r="Q259" s="13" t="s">
        <v>273</v>
      </c>
      <c r="R259" s="13" t="s">
        <v>273</v>
      </c>
      <c r="S259" s="13" t="s">
        <v>273</v>
      </c>
      <c r="T259" s="13" t="s">
        <v>273</v>
      </c>
      <c r="U259" s="13" t="s">
        <v>273</v>
      </c>
      <c r="V259" s="13" t="s">
        <v>273</v>
      </c>
      <c r="W259" s="13" t="s">
        <v>273</v>
      </c>
      <c r="X259" s="13" t="s">
        <v>273</v>
      </c>
      <c r="Y259" s="21" t="s">
        <v>1932</v>
      </c>
      <c r="Z259" s="13" t="s">
        <v>273</v>
      </c>
      <c r="AA259" s="136"/>
      <c r="AB259" s="20" t="s">
        <v>2488</v>
      </c>
      <c r="AC259" s="15" t="s">
        <v>510</v>
      </c>
      <c r="AD259" s="14" t="s">
        <v>510</v>
      </c>
      <c r="AE259" s="14"/>
      <c r="AF259" s="14"/>
    </row>
    <row r="260" spans="2:32" x14ac:dyDescent="0.2">
      <c r="B260" s="21" t="s">
        <v>255</v>
      </c>
      <c r="C260" s="20" t="s">
        <v>2465</v>
      </c>
      <c r="D260" s="12" t="s">
        <v>273</v>
      </c>
      <c r="E260" s="12" t="s">
        <v>273</v>
      </c>
      <c r="F260" s="13" t="s">
        <v>273</v>
      </c>
      <c r="G260" s="13" t="s">
        <v>273</v>
      </c>
      <c r="H260" s="13" t="s">
        <v>273</v>
      </c>
      <c r="I260" s="13" t="s">
        <v>273</v>
      </c>
      <c r="J260" s="13" t="s">
        <v>273</v>
      </c>
      <c r="K260" s="13" t="s">
        <v>273</v>
      </c>
      <c r="L260" s="13" t="s">
        <v>273</v>
      </c>
      <c r="M260" s="13" t="s">
        <v>273</v>
      </c>
      <c r="N260" s="13" t="s">
        <v>273</v>
      </c>
      <c r="O260" s="13" t="s">
        <v>273</v>
      </c>
      <c r="P260" s="13" t="s">
        <v>273</v>
      </c>
      <c r="Q260" s="13" t="s">
        <v>273</v>
      </c>
      <c r="R260" s="13" t="s">
        <v>273</v>
      </c>
      <c r="S260" s="13" t="s">
        <v>273</v>
      </c>
      <c r="T260" s="13" t="s">
        <v>273</v>
      </c>
      <c r="U260" s="13" t="s">
        <v>273</v>
      </c>
      <c r="V260" s="13" t="s">
        <v>273</v>
      </c>
      <c r="W260" s="13" t="s">
        <v>273</v>
      </c>
      <c r="X260" s="13" t="s">
        <v>273</v>
      </c>
      <c r="Y260" s="21" t="s">
        <v>255</v>
      </c>
      <c r="Z260" s="13" t="s">
        <v>273</v>
      </c>
      <c r="AA260" s="135"/>
      <c r="AB260" s="14" t="s">
        <v>2071</v>
      </c>
      <c r="AC260" s="15" t="s">
        <v>510</v>
      </c>
      <c r="AD260" s="14" t="s">
        <v>510</v>
      </c>
      <c r="AE260" s="14"/>
      <c r="AF260" s="14"/>
    </row>
    <row r="261" spans="2:32" x14ac:dyDescent="0.2">
      <c r="B261" s="19" t="s">
        <v>253</v>
      </c>
      <c r="C261" s="20" t="s">
        <v>2466</v>
      </c>
      <c r="D261" s="12" t="s">
        <v>273</v>
      </c>
      <c r="E261" s="12" t="s">
        <v>273</v>
      </c>
      <c r="F261" s="12" t="s">
        <v>273</v>
      </c>
      <c r="G261" s="12" t="s">
        <v>273</v>
      </c>
      <c r="H261" s="12" t="s">
        <v>273</v>
      </c>
      <c r="I261" s="12" t="s">
        <v>273</v>
      </c>
      <c r="J261" s="12" t="s">
        <v>273</v>
      </c>
      <c r="K261" s="12" t="s">
        <v>273</v>
      </c>
      <c r="L261" s="12" t="s">
        <v>273</v>
      </c>
      <c r="M261" s="12" t="s">
        <v>273</v>
      </c>
      <c r="N261" s="12" t="s">
        <v>273</v>
      </c>
      <c r="O261" s="12" t="s">
        <v>273</v>
      </c>
      <c r="P261" s="12" t="s">
        <v>273</v>
      </c>
      <c r="Q261" s="12" t="s">
        <v>273</v>
      </c>
      <c r="R261" s="12" t="s">
        <v>273</v>
      </c>
      <c r="S261" s="12" t="s">
        <v>273</v>
      </c>
      <c r="T261" s="12" t="s">
        <v>273</v>
      </c>
      <c r="U261" s="12" t="s">
        <v>273</v>
      </c>
      <c r="V261" s="12" t="s">
        <v>273</v>
      </c>
      <c r="W261" s="12" t="s">
        <v>273</v>
      </c>
      <c r="X261" s="12" t="s">
        <v>273</v>
      </c>
      <c r="Y261" s="19" t="s">
        <v>253</v>
      </c>
      <c r="Z261" s="13" t="s">
        <v>273</v>
      </c>
      <c r="AA261" s="135"/>
      <c r="AB261" s="14" t="s">
        <v>501</v>
      </c>
      <c r="AC261" s="15" t="s">
        <v>510</v>
      </c>
      <c r="AD261" s="14" t="s">
        <v>510</v>
      </c>
      <c r="AE261" s="14"/>
      <c r="AF261" s="14"/>
    </row>
    <row r="262" spans="2:32" x14ac:dyDescent="0.2">
      <c r="B262" s="19" t="s">
        <v>253</v>
      </c>
      <c r="C262" s="20" t="s">
        <v>2467</v>
      </c>
      <c r="D262" s="12" t="s">
        <v>273</v>
      </c>
      <c r="E262" s="12" t="s">
        <v>273</v>
      </c>
      <c r="F262" s="13" t="s">
        <v>273</v>
      </c>
      <c r="G262" s="13" t="s">
        <v>273</v>
      </c>
      <c r="H262" s="13" t="s">
        <v>273</v>
      </c>
      <c r="I262" s="13" t="s">
        <v>273</v>
      </c>
      <c r="J262" s="13" t="s">
        <v>273</v>
      </c>
      <c r="K262" s="13" t="s">
        <v>273</v>
      </c>
      <c r="L262" s="13" t="s">
        <v>273</v>
      </c>
      <c r="M262" s="13" t="s">
        <v>273</v>
      </c>
      <c r="N262" s="13" t="s">
        <v>273</v>
      </c>
      <c r="O262" s="13" t="s">
        <v>273</v>
      </c>
      <c r="P262" s="13" t="s">
        <v>273</v>
      </c>
      <c r="Q262" s="13" t="s">
        <v>273</v>
      </c>
      <c r="R262" s="13" t="s">
        <v>273</v>
      </c>
      <c r="S262" s="13" t="s">
        <v>273</v>
      </c>
      <c r="T262" s="13" t="s">
        <v>273</v>
      </c>
      <c r="U262" s="13" t="s">
        <v>273</v>
      </c>
      <c r="V262" s="13" t="s">
        <v>273</v>
      </c>
      <c r="W262" s="13" t="s">
        <v>273</v>
      </c>
      <c r="X262" s="13" t="s">
        <v>273</v>
      </c>
      <c r="Y262" s="19" t="s">
        <v>253</v>
      </c>
      <c r="Z262" s="13" t="s">
        <v>273</v>
      </c>
      <c r="AA262" s="135"/>
      <c r="AB262" s="14" t="s">
        <v>501</v>
      </c>
      <c r="AC262" s="15" t="s">
        <v>510</v>
      </c>
      <c r="AD262" s="14" t="s">
        <v>510</v>
      </c>
      <c r="AE262" s="14"/>
      <c r="AF262" s="14"/>
    </row>
    <row r="263" spans="2:32" x14ac:dyDescent="0.2">
      <c r="B263" s="19" t="s">
        <v>253</v>
      </c>
      <c r="C263" s="20" t="s">
        <v>2468</v>
      </c>
      <c r="D263" s="12" t="s">
        <v>273</v>
      </c>
      <c r="E263" s="12" t="s">
        <v>273</v>
      </c>
      <c r="F263" s="13" t="s">
        <v>273</v>
      </c>
      <c r="G263" s="13" t="s">
        <v>273</v>
      </c>
      <c r="H263" s="13" t="s">
        <v>273</v>
      </c>
      <c r="I263" s="13" t="s">
        <v>273</v>
      </c>
      <c r="J263" s="13" t="s">
        <v>273</v>
      </c>
      <c r="K263" s="13" t="s">
        <v>273</v>
      </c>
      <c r="L263" s="13" t="s">
        <v>273</v>
      </c>
      <c r="M263" s="13" t="s">
        <v>273</v>
      </c>
      <c r="N263" s="13" t="s">
        <v>273</v>
      </c>
      <c r="O263" s="13" t="s">
        <v>273</v>
      </c>
      <c r="P263" s="13" t="s">
        <v>273</v>
      </c>
      <c r="Q263" s="13" t="s">
        <v>273</v>
      </c>
      <c r="R263" s="13" t="s">
        <v>273</v>
      </c>
      <c r="S263" s="13" t="s">
        <v>273</v>
      </c>
      <c r="T263" s="13" t="s">
        <v>273</v>
      </c>
      <c r="U263" s="13" t="s">
        <v>273</v>
      </c>
      <c r="V263" s="13" t="s">
        <v>273</v>
      </c>
      <c r="W263" s="13" t="s">
        <v>273</v>
      </c>
      <c r="X263" s="13" t="s">
        <v>273</v>
      </c>
      <c r="Y263" s="19" t="s">
        <v>253</v>
      </c>
      <c r="Z263" s="13" t="s">
        <v>273</v>
      </c>
      <c r="AA263" s="135"/>
      <c r="AB263" s="14" t="s">
        <v>501</v>
      </c>
      <c r="AC263" s="15" t="s">
        <v>510</v>
      </c>
      <c r="AD263" s="14" t="s">
        <v>510</v>
      </c>
      <c r="AE263" s="14"/>
      <c r="AF263" s="14"/>
    </row>
    <row r="264" spans="2:32" x14ac:dyDescent="0.2">
      <c r="B264" s="19" t="s">
        <v>1977</v>
      </c>
      <c r="C264" s="20" t="s">
        <v>2469</v>
      </c>
      <c r="D264" s="12" t="s">
        <v>273</v>
      </c>
      <c r="E264" s="12" t="s">
        <v>273</v>
      </c>
      <c r="F264" s="13" t="s">
        <v>273</v>
      </c>
      <c r="G264" s="13" t="s">
        <v>273</v>
      </c>
      <c r="H264" s="13" t="s">
        <v>273</v>
      </c>
      <c r="I264" s="13" t="s">
        <v>273</v>
      </c>
      <c r="J264" s="13" t="s">
        <v>273</v>
      </c>
      <c r="K264" s="13" t="s">
        <v>273</v>
      </c>
      <c r="L264" s="13" t="s">
        <v>273</v>
      </c>
      <c r="M264" s="13" t="s">
        <v>273</v>
      </c>
      <c r="N264" s="13" t="s">
        <v>273</v>
      </c>
      <c r="O264" s="13" t="s">
        <v>273</v>
      </c>
      <c r="P264" s="13" t="s">
        <v>273</v>
      </c>
      <c r="Q264" s="13" t="s">
        <v>273</v>
      </c>
      <c r="R264" s="13" t="s">
        <v>273</v>
      </c>
      <c r="S264" s="13" t="s">
        <v>273</v>
      </c>
      <c r="T264" s="13" t="s">
        <v>273</v>
      </c>
      <c r="U264" s="13" t="s">
        <v>273</v>
      </c>
      <c r="V264" s="13" t="s">
        <v>273</v>
      </c>
      <c r="W264" s="13" t="s">
        <v>273</v>
      </c>
      <c r="X264" s="13" t="s">
        <v>273</v>
      </c>
      <c r="Y264" s="19" t="s">
        <v>1977</v>
      </c>
      <c r="Z264" s="13" t="s">
        <v>273</v>
      </c>
      <c r="AA264" s="135"/>
      <c r="AB264" s="14" t="s">
        <v>2066</v>
      </c>
      <c r="AC264" s="15" t="s">
        <v>510</v>
      </c>
      <c r="AD264" s="14" t="s">
        <v>510</v>
      </c>
      <c r="AE264" s="14"/>
      <c r="AF264" s="14"/>
    </row>
    <row r="265" spans="2:32" x14ac:dyDescent="0.2">
      <c r="B265" s="21" t="s">
        <v>254</v>
      </c>
      <c r="C265" s="20" t="s">
        <v>2470</v>
      </c>
      <c r="D265" s="12" t="s">
        <v>273</v>
      </c>
      <c r="E265" s="12" t="s">
        <v>273</v>
      </c>
      <c r="F265" s="13" t="s">
        <v>273</v>
      </c>
      <c r="G265" s="13" t="s">
        <v>273</v>
      </c>
      <c r="H265" s="13" t="s">
        <v>273</v>
      </c>
      <c r="I265" s="13" t="s">
        <v>273</v>
      </c>
      <c r="J265" s="13" t="s">
        <v>273</v>
      </c>
      <c r="K265" s="13" t="s">
        <v>273</v>
      </c>
      <c r="L265" s="13" t="s">
        <v>273</v>
      </c>
      <c r="M265" s="13" t="s">
        <v>273</v>
      </c>
      <c r="N265" s="13" t="s">
        <v>273</v>
      </c>
      <c r="O265" s="13" t="s">
        <v>273</v>
      </c>
      <c r="P265" s="13" t="s">
        <v>273</v>
      </c>
      <c r="Q265" s="13" t="s">
        <v>273</v>
      </c>
      <c r="R265" s="13" t="s">
        <v>273</v>
      </c>
      <c r="S265" s="13" t="s">
        <v>273</v>
      </c>
      <c r="T265" s="13" t="s">
        <v>273</v>
      </c>
      <c r="U265" s="13" t="s">
        <v>273</v>
      </c>
      <c r="V265" s="13" t="s">
        <v>273</v>
      </c>
      <c r="W265" s="13" t="s">
        <v>273</v>
      </c>
      <c r="X265" s="13" t="s">
        <v>273</v>
      </c>
      <c r="Y265" s="21" t="s">
        <v>254</v>
      </c>
      <c r="Z265" s="13" t="s">
        <v>273</v>
      </c>
      <c r="AA265" s="136"/>
      <c r="AB265" s="20" t="s">
        <v>500</v>
      </c>
      <c r="AC265" s="15" t="s">
        <v>510</v>
      </c>
      <c r="AD265" s="14" t="s">
        <v>510</v>
      </c>
      <c r="AE265" s="14"/>
      <c r="AF265" s="14"/>
    </row>
    <row r="266" spans="2:32" x14ac:dyDescent="0.2">
      <c r="B266" s="19" t="s">
        <v>253</v>
      </c>
      <c r="C266" s="20" t="s">
        <v>2471</v>
      </c>
      <c r="D266" s="12" t="s">
        <v>273</v>
      </c>
      <c r="E266" s="12" t="s">
        <v>273</v>
      </c>
      <c r="F266" s="13" t="s">
        <v>273</v>
      </c>
      <c r="G266" s="13" t="s">
        <v>273</v>
      </c>
      <c r="H266" s="13" t="s">
        <v>273</v>
      </c>
      <c r="I266" s="13" t="s">
        <v>273</v>
      </c>
      <c r="J266" s="13" t="s">
        <v>273</v>
      </c>
      <c r="K266" s="13" t="s">
        <v>273</v>
      </c>
      <c r="L266" s="13" t="s">
        <v>273</v>
      </c>
      <c r="M266" s="13" t="s">
        <v>273</v>
      </c>
      <c r="N266" s="13" t="s">
        <v>273</v>
      </c>
      <c r="O266" s="13" t="s">
        <v>273</v>
      </c>
      <c r="P266" s="13" t="s">
        <v>273</v>
      </c>
      <c r="Q266" s="13" t="s">
        <v>273</v>
      </c>
      <c r="R266" s="13" t="s">
        <v>273</v>
      </c>
      <c r="S266" s="13" t="s">
        <v>273</v>
      </c>
      <c r="T266" s="13" t="s">
        <v>273</v>
      </c>
      <c r="U266" s="13" t="s">
        <v>273</v>
      </c>
      <c r="V266" s="13" t="s">
        <v>273</v>
      </c>
      <c r="W266" s="13" t="s">
        <v>273</v>
      </c>
      <c r="X266" s="13" t="s">
        <v>273</v>
      </c>
      <c r="Y266" s="19" t="s">
        <v>253</v>
      </c>
      <c r="Z266" s="13" t="s">
        <v>273</v>
      </c>
      <c r="AA266" s="135"/>
      <c r="AB266" s="14" t="s">
        <v>501</v>
      </c>
      <c r="AC266" s="15" t="s">
        <v>510</v>
      </c>
      <c r="AD266" s="14" t="s">
        <v>510</v>
      </c>
      <c r="AE266" s="14"/>
      <c r="AF266" s="14"/>
    </row>
    <row r="267" spans="2:32" x14ac:dyDescent="0.2">
      <c r="B267" s="19" t="s">
        <v>253</v>
      </c>
      <c r="C267" s="20" t="s">
        <v>2472</v>
      </c>
      <c r="D267" s="12" t="s">
        <v>273</v>
      </c>
      <c r="E267" s="12" t="s">
        <v>273</v>
      </c>
      <c r="F267" s="12" t="s">
        <v>273</v>
      </c>
      <c r="G267" s="12" t="s">
        <v>273</v>
      </c>
      <c r="H267" s="12" t="s">
        <v>273</v>
      </c>
      <c r="I267" s="12" t="s">
        <v>273</v>
      </c>
      <c r="J267" s="12" t="s">
        <v>273</v>
      </c>
      <c r="K267" s="12" t="s">
        <v>273</v>
      </c>
      <c r="L267" s="12" t="s">
        <v>273</v>
      </c>
      <c r="M267" s="12" t="s">
        <v>273</v>
      </c>
      <c r="N267" s="12" t="s">
        <v>273</v>
      </c>
      <c r="O267" s="12" t="s">
        <v>273</v>
      </c>
      <c r="P267" s="12" t="s">
        <v>273</v>
      </c>
      <c r="Q267" s="12" t="s">
        <v>273</v>
      </c>
      <c r="R267" s="12" t="s">
        <v>273</v>
      </c>
      <c r="S267" s="12" t="s">
        <v>273</v>
      </c>
      <c r="T267" s="12" t="s">
        <v>273</v>
      </c>
      <c r="U267" s="12" t="s">
        <v>273</v>
      </c>
      <c r="V267" s="12" t="s">
        <v>273</v>
      </c>
      <c r="W267" s="12" t="s">
        <v>273</v>
      </c>
      <c r="X267" s="12" t="s">
        <v>273</v>
      </c>
      <c r="Y267" s="19" t="s">
        <v>253</v>
      </c>
      <c r="Z267" s="13" t="s">
        <v>273</v>
      </c>
      <c r="AA267" s="135"/>
      <c r="AB267" s="14" t="s">
        <v>501</v>
      </c>
      <c r="AC267" s="15" t="s">
        <v>510</v>
      </c>
      <c r="AD267" s="14" t="s">
        <v>510</v>
      </c>
      <c r="AE267" s="14"/>
      <c r="AF267" s="14"/>
    </row>
    <row r="268" spans="2:32" x14ac:dyDescent="0.2">
      <c r="B268" s="21" t="s">
        <v>256</v>
      </c>
      <c r="C268" s="20" t="s">
        <v>2473</v>
      </c>
      <c r="D268" s="13" t="s">
        <v>273</v>
      </c>
      <c r="E268" s="13" t="s">
        <v>273</v>
      </c>
      <c r="F268" s="13" t="s">
        <v>273</v>
      </c>
      <c r="G268" s="13" t="s">
        <v>273</v>
      </c>
      <c r="H268" s="13" t="s">
        <v>273</v>
      </c>
      <c r="I268" s="13" t="s">
        <v>273</v>
      </c>
      <c r="J268" s="13" t="s">
        <v>273</v>
      </c>
      <c r="K268" s="13" t="s">
        <v>273</v>
      </c>
      <c r="L268" s="13" t="s">
        <v>273</v>
      </c>
      <c r="M268" s="13" t="s">
        <v>273</v>
      </c>
      <c r="N268" s="13" t="s">
        <v>273</v>
      </c>
      <c r="O268" s="13" t="s">
        <v>273</v>
      </c>
      <c r="P268" s="13" t="s">
        <v>273</v>
      </c>
      <c r="Q268" s="13" t="s">
        <v>273</v>
      </c>
      <c r="R268" s="13" t="s">
        <v>273</v>
      </c>
      <c r="S268" s="13" t="s">
        <v>273</v>
      </c>
      <c r="T268" s="13" t="s">
        <v>273</v>
      </c>
      <c r="U268" s="13" t="s">
        <v>273</v>
      </c>
      <c r="V268" s="13" t="s">
        <v>273</v>
      </c>
      <c r="W268" s="13" t="s">
        <v>273</v>
      </c>
      <c r="X268" s="13" t="s">
        <v>273</v>
      </c>
      <c r="Y268" s="21" t="s">
        <v>256</v>
      </c>
      <c r="Z268" s="13" t="s">
        <v>273</v>
      </c>
      <c r="AA268" s="136"/>
      <c r="AB268" s="20" t="s">
        <v>2068</v>
      </c>
      <c r="AC268" s="15" t="s">
        <v>510</v>
      </c>
      <c r="AD268" s="14" t="s">
        <v>510</v>
      </c>
      <c r="AE268" s="14"/>
      <c r="AF268" s="14"/>
    </row>
    <row r="269" spans="2:32" x14ac:dyDescent="0.2">
      <c r="B269" s="21" t="s">
        <v>254</v>
      </c>
      <c r="C269" s="20" t="s">
        <v>2474</v>
      </c>
      <c r="D269" s="12" t="s">
        <v>273</v>
      </c>
      <c r="E269" s="12" t="s">
        <v>273</v>
      </c>
      <c r="F269" s="12" t="s">
        <v>273</v>
      </c>
      <c r="G269" s="12" t="s">
        <v>273</v>
      </c>
      <c r="H269" s="12" t="s">
        <v>273</v>
      </c>
      <c r="I269" s="12" t="s">
        <v>273</v>
      </c>
      <c r="J269" s="12" t="s">
        <v>273</v>
      </c>
      <c r="K269" s="12" t="s">
        <v>273</v>
      </c>
      <c r="L269" s="12" t="s">
        <v>273</v>
      </c>
      <c r="M269" s="12" t="s">
        <v>273</v>
      </c>
      <c r="N269" s="12" t="s">
        <v>273</v>
      </c>
      <c r="O269" s="12" t="s">
        <v>273</v>
      </c>
      <c r="P269" s="12" t="s">
        <v>273</v>
      </c>
      <c r="Q269" s="12" t="s">
        <v>273</v>
      </c>
      <c r="R269" s="12" t="s">
        <v>273</v>
      </c>
      <c r="S269" s="12" t="s">
        <v>273</v>
      </c>
      <c r="T269" s="12" t="s">
        <v>273</v>
      </c>
      <c r="U269" s="12" t="s">
        <v>273</v>
      </c>
      <c r="V269" s="12" t="s">
        <v>273</v>
      </c>
      <c r="W269" s="12" t="s">
        <v>273</v>
      </c>
      <c r="X269" s="12" t="s">
        <v>273</v>
      </c>
      <c r="Y269" s="21" t="s">
        <v>254</v>
      </c>
      <c r="Z269" s="13" t="s">
        <v>273</v>
      </c>
      <c r="AA269" s="136"/>
      <c r="AB269" s="20" t="s">
        <v>500</v>
      </c>
      <c r="AC269" s="15" t="s">
        <v>510</v>
      </c>
      <c r="AD269" s="14" t="s">
        <v>510</v>
      </c>
      <c r="AE269" s="14"/>
      <c r="AF269" s="14"/>
    </row>
    <row r="270" spans="2:32" x14ac:dyDescent="0.2">
      <c r="B270" s="21" t="s">
        <v>254</v>
      </c>
      <c r="C270" s="20" t="s">
        <v>2475</v>
      </c>
      <c r="D270" s="12" t="s">
        <v>273</v>
      </c>
      <c r="E270" s="12" t="s">
        <v>273</v>
      </c>
      <c r="F270" s="13" t="s">
        <v>273</v>
      </c>
      <c r="G270" s="13" t="s">
        <v>273</v>
      </c>
      <c r="H270" s="13" t="s">
        <v>273</v>
      </c>
      <c r="I270" s="13" t="s">
        <v>273</v>
      </c>
      <c r="J270" s="13" t="s">
        <v>273</v>
      </c>
      <c r="K270" s="13" t="s">
        <v>273</v>
      </c>
      <c r="L270" s="13" t="s">
        <v>273</v>
      </c>
      <c r="M270" s="13" t="s">
        <v>273</v>
      </c>
      <c r="N270" s="13" t="s">
        <v>273</v>
      </c>
      <c r="O270" s="13" t="s">
        <v>273</v>
      </c>
      <c r="P270" s="13" t="s">
        <v>273</v>
      </c>
      <c r="Q270" s="13" t="s">
        <v>273</v>
      </c>
      <c r="R270" s="13" t="s">
        <v>273</v>
      </c>
      <c r="S270" s="13" t="s">
        <v>273</v>
      </c>
      <c r="T270" s="13" t="s">
        <v>273</v>
      </c>
      <c r="U270" s="13" t="s">
        <v>273</v>
      </c>
      <c r="V270" s="13" t="s">
        <v>273</v>
      </c>
      <c r="W270" s="13" t="s">
        <v>273</v>
      </c>
      <c r="X270" s="13" t="s">
        <v>273</v>
      </c>
      <c r="Y270" s="21" t="s">
        <v>254</v>
      </c>
      <c r="Z270" s="13" t="s">
        <v>273</v>
      </c>
      <c r="AA270" s="136"/>
      <c r="AB270" s="20" t="s">
        <v>500</v>
      </c>
      <c r="AC270" s="15" t="s">
        <v>510</v>
      </c>
      <c r="AD270" s="14" t="s">
        <v>510</v>
      </c>
      <c r="AE270" s="14"/>
      <c r="AF270" s="14"/>
    </row>
    <row r="271" spans="2:32" x14ac:dyDescent="0.2">
      <c r="B271" s="21" t="s">
        <v>254</v>
      </c>
      <c r="C271" s="20" t="s">
        <v>2476</v>
      </c>
      <c r="D271" s="12" t="s">
        <v>273</v>
      </c>
      <c r="E271" s="12" t="s">
        <v>273</v>
      </c>
      <c r="F271" s="13" t="s">
        <v>273</v>
      </c>
      <c r="G271" s="13" t="s">
        <v>273</v>
      </c>
      <c r="H271" s="13" t="s">
        <v>273</v>
      </c>
      <c r="I271" s="13" t="s">
        <v>273</v>
      </c>
      <c r="J271" s="13" t="s">
        <v>273</v>
      </c>
      <c r="K271" s="13" t="s">
        <v>273</v>
      </c>
      <c r="L271" s="13" t="s">
        <v>273</v>
      </c>
      <c r="M271" s="13" t="s">
        <v>273</v>
      </c>
      <c r="N271" s="13" t="s">
        <v>273</v>
      </c>
      <c r="O271" s="13" t="s">
        <v>273</v>
      </c>
      <c r="P271" s="13" t="s">
        <v>273</v>
      </c>
      <c r="Q271" s="13" t="s">
        <v>273</v>
      </c>
      <c r="R271" s="13" t="s">
        <v>273</v>
      </c>
      <c r="S271" s="13" t="s">
        <v>273</v>
      </c>
      <c r="T271" s="13" t="s">
        <v>273</v>
      </c>
      <c r="U271" s="13" t="s">
        <v>273</v>
      </c>
      <c r="V271" s="13" t="s">
        <v>273</v>
      </c>
      <c r="W271" s="13" t="s">
        <v>273</v>
      </c>
      <c r="X271" s="13" t="s">
        <v>273</v>
      </c>
      <c r="Y271" s="21" t="s">
        <v>254</v>
      </c>
      <c r="Z271" s="13" t="s">
        <v>273</v>
      </c>
      <c r="AA271" s="136"/>
      <c r="AB271" s="20" t="s">
        <v>500</v>
      </c>
      <c r="AC271" s="15" t="s">
        <v>510</v>
      </c>
      <c r="AD271" s="14" t="s">
        <v>510</v>
      </c>
      <c r="AE271" s="14"/>
      <c r="AF271" s="14"/>
    </row>
    <row r="272" spans="2:32" x14ac:dyDescent="0.2">
      <c r="B272" s="21" t="s">
        <v>254</v>
      </c>
      <c r="C272" s="20" t="s">
        <v>2477</v>
      </c>
      <c r="D272" s="12" t="s">
        <v>273</v>
      </c>
      <c r="E272" s="12" t="s">
        <v>273</v>
      </c>
      <c r="F272" s="13" t="s">
        <v>273</v>
      </c>
      <c r="G272" s="13" t="s">
        <v>273</v>
      </c>
      <c r="H272" s="13" t="s">
        <v>273</v>
      </c>
      <c r="I272" s="13" t="s">
        <v>273</v>
      </c>
      <c r="J272" s="13" t="s">
        <v>273</v>
      </c>
      <c r="K272" s="13" t="s">
        <v>273</v>
      </c>
      <c r="L272" s="13" t="s">
        <v>273</v>
      </c>
      <c r="M272" s="13" t="s">
        <v>273</v>
      </c>
      <c r="N272" s="13" t="s">
        <v>273</v>
      </c>
      <c r="O272" s="13" t="s">
        <v>273</v>
      </c>
      <c r="P272" s="13" t="s">
        <v>273</v>
      </c>
      <c r="Q272" s="13" t="s">
        <v>273</v>
      </c>
      <c r="R272" s="13" t="s">
        <v>273</v>
      </c>
      <c r="S272" s="13" t="s">
        <v>273</v>
      </c>
      <c r="T272" s="13" t="s">
        <v>273</v>
      </c>
      <c r="U272" s="13" t="s">
        <v>273</v>
      </c>
      <c r="V272" s="13" t="s">
        <v>273</v>
      </c>
      <c r="W272" s="13" t="s">
        <v>273</v>
      </c>
      <c r="X272" s="13" t="s">
        <v>273</v>
      </c>
      <c r="Y272" s="21" t="s">
        <v>254</v>
      </c>
      <c r="Z272" s="13" t="s">
        <v>273</v>
      </c>
      <c r="AA272" s="136"/>
      <c r="AB272" s="20" t="s">
        <v>500</v>
      </c>
      <c r="AC272" s="15" t="s">
        <v>510</v>
      </c>
      <c r="AD272" s="14" t="s">
        <v>510</v>
      </c>
      <c r="AE272" s="14"/>
      <c r="AF272" s="14"/>
    </row>
    <row r="273" spans="2:32" x14ac:dyDescent="0.2">
      <c r="B273" s="21" t="s">
        <v>256</v>
      </c>
      <c r="C273" s="20" t="s">
        <v>2478</v>
      </c>
      <c r="D273" s="12" t="s">
        <v>273</v>
      </c>
      <c r="E273" s="12" t="s">
        <v>273</v>
      </c>
      <c r="F273" s="13" t="s">
        <v>273</v>
      </c>
      <c r="G273" s="13" t="s">
        <v>273</v>
      </c>
      <c r="H273" s="13" t="s">
        <v>273</v>
      </c>
      <c r="I273" s="13" t="s">
        <v>273</v>
      </c>
      <c r="J273" s="13" t="s">
        <v>273</v>
      </c>
      <c r="K273" s="13" t="s">
        <v>273</v>
      </c>
      <c r="L273" s="13" t="s">
        <v>273</v>
      </c>
      <c r="M273" s="13" t="s">
        <v>273</v>
      </c>
      <c r="N273" s="13" t="s">
        <v>273</v>
      </c>
      <c r="O273" s="13" t="s">
        <v>273</v>
      </c>
      <c r="P273" s="13" t="s">
        <v>273</v>
      </c>
      <c r="Q273" s="13" t="s">
        <v>273</v>
      </c>
      <c r="R273" s="13" t="s">
        <v>273</v>
      </c>
      <c r="S273" s="13" t="s">
        <v>273</v>
      </c>
      <c r="T273" s="13" t="s">
        <v>273</v>
      </c>
      <c r="U273" s="13" t="s">
        <v>273</v>
      </c>
      <c r="V273" s="13" t="s">
        <v>273</v>
      </c>
      <c r="W273" s="13" t="s">
        <v>273</v>
      </c>
      <c r="X273" s="13" t="s">
        <v>273</v>
      </c>
      <c r="Y273" s="21" t="s">
        <v>256</v>
      </c>
      <c r="Z273" s="13" t="s">
        <v>273</v>
      </c>
      <c r="AA273" s="136"/>
      <c r="AB273" s="20" t="s">
        <v>2068</v>
      </c>
      <c r="AC273" s="15" t="s">
        <v>510</v>
      </c>
      <c r="AD273" s="14" t="s">
        <v>510</v>
      </c>
      <c r="AE273" s="14"/>
      <c r="AF273" s="14"/>
    </row>
    <row r="274" spans="2:32" x14ac:dyDescent="0.2">
      <c r="B274" s="19" t="s">
        <v>253</v>
      </c>
      <c r="C274" s="20" t="s">
        <v>2479</v>
      </c>
      <c r="D274" s="12" t="s">
        <v>273</v>
      </c>
      <c r="E274" s="12" t="s">
        <v>273</v>
      </c>
      <c r="F274" s="13" t="s">
        <v>273</v>
      </c>
      <c r="G274" s="13" t="s">
        <v>273</v>
      </c>
      <c r="H274" s="13" t="s">
        <v>273</v>
      </c>
      <c r="I274" s="13" t="s">
        <v>273</v>
      </c>
      <c r="J274" s="13" t="s">
        <v>273</v>
      </c>
      <c r="K274" s="13" t="s">
        <v>273</v>
      </c>
      <c r="L274" s="13" t="s">
        <v>273</v>
      </c>
      <c r="M274" s="13" t="s">
        <v>273</v>
      </c>
      <c r="N274" s="13" t="s">
        <v>273</v>
      </c>
      <c r="O274" s="13" t="s">
        <v>273</v>
      </c>
      <c r="P274" s="13" t="s">
        <v>273</v>
      </c>
      <c r="Q274" s="13" t="s">
        <v>273</v>
      </c>
      <c r="R274" s="13" t="s">
        <v>273</v>
      </c>
      <c r="S274" s="13" t="s">
        <v>273</v>
      </c>
      <c r="T274" s="13" t="s">
        <v>273</v>
      </c>
      <c r="U274" s="13" t="s">
        <v>273</v>
      </c>
      <c r="V274" s="13" t="s">
        <v>273</v>
      </c>
      <c r="W274" s="13" t="s">
        <v>273</v>
      </c>
      <c r="X274" s="13" t="s">
        <v>273</v>
      </c>
      <c r="Y274" s="19" t="s">
        <v>253</v>
      </c>
      <c r="Z274" s="13" t="s">
        <v>273</v>
      </c>
      <c r="AA274" s="135"/>
      <c r="AB274" s="14" t="s">
        <v>501</v>
      </c>
      <c r="AC274" s="15" t="s">
        <v>510</v>
      </c>
      <c r="AD274" s="14" t="s">
        <v>510</v>
      </c>
      <c r="AE274" s="14"/>
      <c r="AF274" s="14"/>
    </row>
    <row r="275" spans="2:32" x14ac:dyDescent="0.2">
      <c r="B275" s="19" t="s">
        <v>253</v>
      </c>
      <c r="C275" s="20" t="s">
        <v>2480</v>
      </c>
      <c r="D275" s="12" t="s">
        <v>273</v>
      </c>
      <c r="E275" s="12" t="s">
        <v>273</v>
      </c>
      <c r="F275" s="12" t="s">
        <v>273</v>
      </c>
      <c r="G275" s="12" t="s">
        <v>273</v>
      </c>
      <c r="H275" s="12" t="s">
        <v>273</v>
      </c>
      <c r="I275" s="12" t="s">
        <v>273</v>
      </c>
      <c r="J275" s="12" t="s">
        <v>273</v>
      </c>
      <c r="K275" s="12" t="s">
        <v>273</v>
      </c>
      <c r="L275" s="12" t="s">
        <v>273</v>
      </c>
      <c r="M275" s="12" t="s">
        <v>273</v>
      </c>
      <c r="N275" s="12" t="s">
        <v>273</v>
      </c>
      <c r="O275" s="12" t="s">
        <v>273</v>
      </c>
      <c r="P275" s="12" t="s">
        <v>273</v>
      </c>
      <c r="Q275" s="12" t="s">
        <v>273</v>
      </c>
      <c r="R275" s="12" t="s">
        <v>273</v>
      </c>
      <c r="S275" s="12" t="s">
        <v>273</v>
      </c>
      <c r="T275" s="12" t="s">
        <v>273</v>
      </c>
      <c r="U275" s="12" t="s">
        <v>273</v>
      </c>
      <c r="V275" s="12" t="s">
        <v>273</v>
      </c>
      <c r="W275" s="12" t="s">
        <v>273</v>
      </c>
      <c r="X275" s="12" t="s">
        <v>273</v>
      </c>
      <c r="Y275" s="19" t="s">
        <v>253</v>
      </c>
      <c r="Z275" s="13" t="s">
        <v>273</v>
      </c>
      <c r="AA275" s="135"/>
      <c r="AB275" s="14" t="s">
        <v>501</v>
      </c>
      <c r="AC275" s="15" t="s">
        <v>510</v>
      </c>
      <c r="AD275" s="14" t="s">
        <v>510</v>
      </c>
      <c r="AE275" s="14"/>
      <c r="AF275" s="14"/>
    </row>
    <row r="276" spans="2:32" x14ac:dyDescent="0.2">
      <c r="B276" s="19" t="s">
        <v>253</v>
      </c>
      <c r="C276" s="20" t="s">
        <v>2481</v>
      </c>
      <c r="D276" s="12" t="s">
        <v>273</v>
      </c>
      <c r="E276" s="12" t="s">
        <v>273</v>
      </c>
      <c r="F276" s="13" t="s">
        <v>273</v>
      </c>
      <c r="G276" s="13" t="s">
        <v>273</v>
      </c>
      <c r="H276" s="13" t="s">
        <v>273</v>
      </c>
      <c r="I276" s="13" t="s">
        <v>273</v>
      </c>
      <c r="J276" s="13" t="s">
        <v>273</v>
      </c>
      <c r="K276" s="13" t="s">
        <v>273</v>
      </c>
      <c r="L276" s="13" t="s">
        <v>273</v>
      </c>
      <c r="M276" s="13" t="s">
        <v>273</v>
      </c>
      <c r="N276" s="13" t="s">
        <v>273</v>
      </c>
      <c r="O276" s="13" t="s">
        <v>273</v>
      </c>
      <c r="P276" s="13" t="s">
        <v>273</v>
      </c>
      <c r="Q276" s="13" t="s">
        <v>273</v>
      </c>
      <c r="R276" s="13" t="s">
        <v>273</v>
      </c>
      <c r="S276" s="13" t="s">
        <v>273</v>
      </c>
      <c r="T276" s="13" t="s">
        <v>273</v>
      </c>
      <c r="U276" s="13" t="s">
        <v>273</v>
      </c>
      <c r="V276" s="13" t="s">
        <v>273</v>
      </c>
      <c r="W276" s="13" t="s">
        <v>273</v>
      </c>
      <c r="X276" s="13" t="s">
        <v>273</v>
      </c>
      <c r="Y276" s="19" t="s">
        <v>253</v>
      </c>
      <c r="Z276" s="13" t="s">
        <v>273</v>
      </c>
      <c r="AA276" s="135"/>
      <c r="AB276" s="14" t="s">
        <v>501</v>
      </c>
      <c r="AC276" s="15" t="s">
        <v>510</v>
      </c>
      <c r="AD276" s="14" t="s">
        <v>510</v>
      </c>
      <c r="AE276" s="14"/>
      <c r="AF276" s="14"/>
    </row>
    <row r="277" spans="2:32" x14ac:dyDescent="0.2">
      <c r="B277" s="24" t="s">
        <v>2059</v>
      </c>
      <c r="C277" s="20" t="s">
        <v>2482</v>
      </c>
      <c r="D277" s="24" t="s">
        <v>2059</v>
      </c>
      <c r="E277" s="12" t="s">
        <v>273</v>
      </c>
      <c r="F277" s="12" t="s">
        <v>273</v>
      </c>
      <c r="G277" s="12" t="s">
        <v>273</v>
      </c>
      <c r="H277" s="12" t="s">
        <v>273</v>
      </c>
      <c r="I277" s="12" t="s">
        <v>273</v>
      </c>
      <c r="J277" s="12" t="s">
        <v>273</v>
      </c>
      <c r="K277" s="12" t="s">
        <v>273</v>
      </c>
      <c r="L277" s="12" t="s">
        <v>273</v>
      </c>
      <c r="M277" s="12" t="s">
        <v>273</v>
      </c>
      <c r="N277" s="12" t="s">
        <v>273</v>
      </c>
      <c r="O277" s="12" t="s">
        <v>273</v>
      </c>
      <c r="P277" s="12" t="s">
        <v>273</v>
      </c>
      <c r="Q277" s="12" t="s">
        <v>273</v>
      </c>
      <c r="R277" s="12" t="s">
        <v>273</v>
      </c>
      <c r="S277" s="12" t="s">
        <v>273</v>
      </c>
      <c r="T277" s="12" t="s">
        <v>273</v>
      </c>
      <c r="U277" s="12" t="s">
        <v>273</v>
      </c>
      <c r="V277" s="12" t="s">
        <v>273</v>
      </c>
      <c r="W277" s="12" t="s">
        <v>273</v>
      </c>
      <c r="X277" s="12" t="s">
        <v>273</v>
      </c>
      <c r="Y277" s="24" t="s">
        <v>2059</v>
      </c>
      <c r="Z277" s="13" t="s">
        <v>273</v>
      </c>
      <c r="AA277" s="136"/>
      <c r="AB277" s="20" t="s">
        <v>2069</v>
      </c>
      <c r="AC277" s="15" t="s">
        <v>510</v>
      </c>
      <c r="AD277" s="14" t="s">
        <v>510</v>
      </c>
      <c r="AE277" s="14"/>
      <c r="AF277" s="14"/>
    </row>
    <row r="278" spans="2:32" x14ac:dyDescent="0.2">
      <c r="B278" s="25" t="s">
        <v>261</v>
      </c>
      <c r="C278" s="20" t="s">
        <v>2483</v>
      </c>
      <c r="D278" s="25" t="s">
        <v>261</v>
      </c>
      <c r="E278" s="12" t="s">
        <v>273</v>
      </c>
      <c r="F278" s="12" t="s">
        <v>273</v>
      </c>
      <c r="G278" s="12" t="s">
        <v>273</v>
      </c>
      <c r="H278" s="12" t="s">
        <v>273</v>
      </c>
      <c r="I278" s="12" t="s">
        <v>273</v>
      </c>
      <c r="J278" s="12" t="s">
        <v>273</v>
      </c>
      <c r="K278" s="12" t="s">
        <v>273</v>
      </c>
      <c r="L278" s="12" t="s">
        <v>273</v>
      </c>
      <c r="M278" s="12" t="s">
        <v>273</v>
      </c>
      <c r="N278" s="12" t="s">
        <v>273</v>
      </c>
      <c r="O278" s="12" t="s">
        <v>273</v>
      </c>
      <c r="P278" s="12" t="s">
        <v>273</v>
      </c>
      <c r="Q278" s="12" t="s">
        <v>273</v>
      </c>
      <c r="R278" s="12" t="s">
        <v>273</v>
      </c>
      <c r="S278" s="12" t="s">
        <v>273</v>
      </c>
      <c r="T278" s="12" t="s">
        <v>273</v>
      </c>
      <c r="U278" s="12" t="s">
        <v>273</v>
      </c>
      <c r="V278" s="12" t="s">
        <v>273</v>
      </c>
      <c r="W278" s="12" t="s">
        <v>273</v>
      </c>
      <c r="X278" s="12" t="s">
        <v>273</v>
      </c>
      <c r="Y278" s="25" t="s">
        <v>261</v>
      </c>
      <c r="Z278" s="13" t="s">
        <v>273</v>
      </c>
      <c r="AA278" s="136"/>
      <c r="AB278" s="20" t="s">
        <v>508</v>
      </c>
      <c r="AC278" s="15" t="s">
        <v>510</v>
      </c>
      <c r="AD278" s="14" t="s">
        <v>510</v>
      </c>
      <c r="AE278" s="14"/>
      <c r="AF278" s="14"/>
    </row>
    <row r="279" spans="2:32" x14ac:dyDescent="0.2">
      <c r="B279" s="19" t="s">
        <v>2062</v>
      </c>
      <c r="C279" s="20" t="s">
        <v>2484</v>
      </c>
      <c r="D279" s="12" t="s">
        <v>273</v>
      </c>
      <c r="E279" s="12" t="s">
        <v>273</v>
      </c>
      <c r="F279" s="13" t="s">
        <v>273</v>
      </c>
      <c r="G279" s="13" t="s">
        <v>273</v>
      </c>
      <c r="H279" s="13" t="s">
        <v>273</v>
      </c>
      <c r="I279" s="13" t="s">
        <v>273</v>
      </c>
      <c r="J279" s="13" t="s">
        <v>273</v>
      </c>
      <c r="K279" s="13" t="s">
        <v>273</v>
      </c>
      <c r="L279" s="13" t="s">
        <v>273</v>
      </c>
      <c r="M279" s="13" t="s">
        <v>273</v>
      </c>
      <c r="N279" s="13" t="s">
        <v>273</v>
      </c>
      <c r="O279" s="13" t="s">
        <v>273</v>
      </c>
      <c r="P279" s="13" t="s">
        <v>273</v>
      </c>
      <c r="Q279" s="13" t="s">
        <v>273</v>
      </c>
      <c r="R279" s="13" t="s">
        <v>273</v>
      </c>
      <c r="S279" s="13" t="s">
        <v>273</v>
      </c>
      <c r="T279" s="13" t="s">
        <v>273</v>
      </c>
      <c r="U279" s="13" t="s">
        <v>273</v>
      </c>
      <c r="V279" s="13" t="s">
        <v>273</v>
      </c>
      <c r="W279" s="13" t="s">
        <v>273</v>
      </c>
      <c r="X279" s="13" t="s">
        <v>273</v>
      </c>
      <c r="Y279" s="19" t="s">
        <v>2062</v>
      </c>
      <c r="Z279" s="13" t="s">
        <v>273</v>
      </c>
      <c r="AA279" s="136"/>
      <c r="AB279" s="20" t="s">
        <v>2065</v>
      </c>
      <c r="AC279" s="15" t="s">
        <v>510</v>
      </c>
      <c r="AD279" s="14" t="s">
        <v>510</v>
      </c>
      <c r="AE279" s="14"/>
      <c r="AF279" s="14"/>
    </row>
    <row r="280" spans="2:32" x14ac:dyDescent="0.2">
      <c r="B280" s="19" t="s">
        <v>2062</v>
      </c>
      <c r="C280" s="20" t="s">
        <v>2485</v>
      </c>
      <c r="D280" s="12" t="s">
        <v>273</v>
      </c>
      <c r="E280" s="12" t="s">
        <v>273</v>
      </c>
      <c r="F280" s="13" t="s">
        <v>273</v>
      </c>
      <c r="G280" s="13" t="s">
        <v>273</v>
      </c>
      <c r="H280" s="13" t="s">
        <v>273</v>
      </c>
      <c r="I280" s="13" t="s">
        <v>273</v>
      </c>
      <c r="J280" s="13" t="s">
        <v>273</v>
      </c>
      <c r="K280" s="13" t="s">
        <v>273</v>
      </c>
      <c r="L280" s="13" t="s">
        <v>273</v>
      </c>
      <c r="M280" s="13" t="s">
        <v>273</v>
      </c>
      <c r="N280" s="13" t="s">
        <v>273</v>
      </c>
      <c r="O280" s="13" t="s">
        <v>273</v>
      </c>
      <c r="P280" s="13" t="s">
        <v>273</v>
      </c>
      <c r="Q280" s="13" t="s">
        <v>273</v>
      </c>
      <c r="R280" s="13" t="s">
        <v>273</v>
      </c>
      <c r="S280" s="13" t="s">
        <v>273</v>
      </c>
      <c r="T280" s="13" t="s">
        <v>273</v>
      </c>
      <c r="U280" s="13" t="s">
        <v>273</v>
      </c>
      <c r="V280" s="13" t="s">
        <v>273</v>
      </c>
      <c r="W280" s="13" t="s">
        <v>273</v>
      </c>
      <c r="X280" s="13" t="s">
        <v>273</v>
      </c>
      <c r="Y280" s="19" t="s">
        <v>2062</v>
      </c>
      <c r="Z280" s="13" t="s">
        <v>273</v>
      </c>
      <c r="AA280" s="136"/>
      <c r="AB280" s="20" t="s">
        <v>2065</v>
      </c>
      <c r="AC280" s="15" t="s">
        <v>510</v>
      </c>
      <c r="AD280" s="14" t="s">
        <v>510</v>
      </c>
      <c r="AE280" s="14"/>
      <c r="AF280" s="14"/>
    </row>
    <row r="281" spans="2:32" x14ac:dyDescent="0.2">
      <c r="B281" s="19" t="s">
        <v>253</v>
      </c>
      <c r="C281" s="20" t="s">
        <v>2486</v>
      </c>
      <c r="D281" s="12" t="s">
        <v>273</v>
      </c>
      <c r="E281" s="12" t="s">
        <v>273</v>
      </c>
      <c r="F281" s="13" t="s">
        <v>273</v>
      </c>
      <c r="G281" s="13" t="s">
        <v>273</v>
      </c>
      <c r="H281" s="13" t="s">
        <v>273</v>
      </c>
      <c r="I281" s="13" t="s">
        <v>273</v>
      </c>
      <c r="J281" s="13" t="s">
        <v>273</v>
      </c>
      <c r="K281" s="13" t="s">
        <v>273</v>
      </c>
      <c r="L281" s="13" t="s">
        <v>273</v>
      </c>
      <c r="M281" s="13" t="s">
        <v>273</v>
      </c>
      <c r="N281" s="13" t="s">
        <v>273</v>
      </c>
      <c r="O281" s="13" t="s">
        <v>273</v>
      </c>
      <c r="P281" s="13" t="s">
        <v>273</v>
      </c>
      <c r="Q281" s="13" t="s">
        <v>273</v>
      </c>
      <c r="R281" s="13" t="s">
        <v>273</v>
      </c>
      <c r="S281" s="13" t="s">
        <v>273</v>
      </c>
      <c r="T281" s="13" t="s">
        <v>273</v>
      </c>
      <c r="U281" s="13" t="s">
        <v>273</v>
      </c>
      <c r="V281" s="13" t="s">
        <v>273</v>
      </c>
      <c r="W281" s="13" t="s">
        <v>273</v>
      </c>
      <c r="X281" s="13" t="s">
        <v>273</v>
      </c>
      <c r="Y281" s="19" t="s">
        <v>253</v>
      </c>
      <c r="Z281" s="13" t="s">
        <v>273</v>
      </c>
      <c r="AA281" s="135"/>
      <c r="AB281" s="14" t="s">
        <v>501</v>
      </c>
      <c r="AC281" s="15" t="s">
        <v>510</v>
      </c>
      <c r="AD281" s="14" t="s">
        <v>510</v>
      </c>
      <c r="AE281" s="14"/>
      <c r="AF281" s="14"/>
    </row>
    <row r="282" spans="2:32" x14ac:dyDescent="0.2">
      <c r="AE282" s="6"/>
      <c r="AF282" s="6"/>
    </row>
    <row r="283" spans="2:32" x14ac:dyDescent="0.2">
      <c r="AE283" s="6"/>
      <c r="AF283" s="6"/>
    </row>
    <row r="284" spans="2:32" x14ac:dyDescent="0.2">
      <c r="B284" s="1" t="s">
        <v>2556</v>
      </c>
      <c r="AE284" s="6"/>
      <c r="AF284" s="6"/>
    </row>
    <row r="285" spans="2:32" x14ac:dyDescent="0.2">
      <c r="B285" s="1" t="s">
        <v>2559</v>
      </c>
      <c r="AE285" s="6"/>
      <c r="AF285" s="6"/>
    </row>
    <row r="286" spans="2:32" x14ac:dyDescent="0.2">
      <c r="B286" s="1" t="s">
        <v>2557</v>
      </c>
      <c r="AE286" s="6"/>
      <c r="AF286" s="6"/>
    </row>
    <row r="287" spans="2:32" x14ac:dyDescent="0.2">
      <c r="B287" s="1" t="s">
        <v>2558</v>
      </c>
      <c r="AE287" s="6"/>
      <c r="AF287" s="6"/>
    </row>
    <row r="288" spans="2:32" x14ac:dyDescent="0.2">
      <c r="AE288" s="6"/>
      <c r="AF288" s="6"/>
    </row>
    <row r="289" spans="31:32" x14ac:dyDescent="0.2">
      <c r="AE289" s="6"/>
      <c r="AF289" s="6"/>
    </row>
    <row r="290" spans="31:32" x14ac:dyDescent="0.2">
      <c r="AE290" s="6"/>
      <c r="AF290" s="6"/>
    </row>
    <row r="291" spans="31:32" x14ac:dyDescent="0.2">
      <c r="AE291" s="6"/>
      <c r="AF291" s="6"/>
    </row>
    <row r="292" spans="31:32" x14ac:dyDescent="0.2">
      <c r="AE292" s="6"/>
      <c r="AF292" s="6"/>
    </row>
    <row r="293" spans="31:32" x14ac:dyDescent="0.2">
      <c r="AE293" s="6"/>
      <c r="AF293" s="6"/>
    </row>
    <row r="294" spans="31:32" x14ac:dyDescent="0.2">
      <c r="AE294" s="6"/>
      <c r="AF294" s="6"/>
    </row>
    <row r="295" spans="31:32" x14ac:dyDescent="0.2">
      <c r="AE295" s="6"/>
      <c r="AF295" s="6"/>
    </row>
    <row r="296" spans="31:32" x14ac:dyDescent="0.2">
      <c r="AE296" s="6"/>
      <c r="AF296" s="6"/>
    </row>
    <row r="297" spans="31:32" x14ac:dyDescent="0.2">
      <c r="AE297" s="6"/>
      <c r="AF297" s="6"/>
    </row>
    <row r="298" spans="31:32" x14ac:dyDescent="0.2">
      <c r="AE298" s="6"/>
      <c r="AF298" s="6"/>
    </row>
    <row r="299" spans="31:32" x14ac:dyDescent="0.2">
      <c r="AE299" s="6"/>
      <c r="AF299" s="6"/>
    </row>
    <row r="300" spans="31:32" x14ac:dyDescent="0.2">
      <c r="AE300" s="6"/>
      <c r="AF300" s="6"/>
    </row>
    <row r="301" spans="31:32" x14ac:dyDescent="0.2">
      <c r="AE301" s="6"/>
      <c r="AF301" s="6"/>
    </row>
    <row r="302" spans="31:32" x14ac:dyDescent="0.2">
      <c r="AE302" s="6"/>
      <c r="AF302" s="6"/>
    </row>
    <row r="303" spans="31:32" x14ac:dyDescent="0.2">
      <c r="AE303" s="6"/>
      <c r="AF303" s="6"/>
    </row>
    <row r="304" spans="31:32" x14ac:dyDescent="0.2">
      <c r="AE304" s="6"/>
      <c r="AF304" s="6"/>
    </row>
    <row r="305" spans="31:32" x14ac:dyDescent="0.2">
      <c r="AE305" s="6"/>
      <c r="AF305" s="6"/>
    </row>
    <row r="306" spans="31:32" x14ac:dyDescent="0.2">
      <c r="AE306" s="6"/>
      <c r="AF306" s="6"/>
    </row>
    <row r="307" spans="31:32" x14ac:dyDescent="0.2">
      <c r="AE307" s="6"/>
      <c r="AF307" s="6"/>
    </row>
    <row r="308" spans="31:32" x14ac:dyDescent="0.2">
      <c r="AE308" s="6"/>
      <c r="AF308" s="6"/>
    </row>
    <row r="309" spans="31:32" x14ac:dyDescent="0.2">
      <c r="AE309" s="6"/>
      <c r="AF309" s="6"/>
    </row>
    <row r="310" spans="31:32" x14ac:dyDescent="0.2">
      <c r="AE310" s="6"/>
      <c r="AF310" s="6"/>
    </row>
    <row r="311" spans="31:32" x14ac:dyDescent="0.2">
      <c r="AE311" s="6"/>
      <c r="AF311" s="6"/>
    </row>
    <row r="312" spans="31:32" x14ac:dyDescent="0.2">
      <c r="AE312" s="6"/>
      <c r="AF312" s="6"/>
    </row>
    <row r="313" spans="31:32" x14ac:dyDescent="0.2">
      <c r="AE313" s="6"/>
      <c r="AF313" s="6"/>
    </row>
    <row r="314" spans="31:32" x14ac:dyDescent="0.2">
      <c r="AE314" s="6"/>
      <c r="AF314" s="6"/>
    </row>
    <row r="315" spans="31:32" x14ac:dyDescent="0.2">
      <c r="AE315" s="6"/>
      <c r="AF315" s="6"/>
    </row>
    <row r="316" spans="31:32" x14ac:dyDescent="0.2">
      <c r="AE316" s="6"/>
      <c r="AF316" s="6"/>
    </row>
    <row r="317" spans="31:32" x14ac:dyDescent="0.2">
      <c r="AE317" s="6"/>
      <c r="AF317" s="6"/>
    </row>
    <row r="318" spans="31:32" x14ac:dyDescent="0.2">
      <c r="AE318" s="6"/>
      <c r="AF318" s="6"/>
    </row>
    <row r="319" spans="31:32" x14ac:dyDescent="0.2">
      <c r="AE319" s="6"/>
      <c r="AF319" s="6"/>
    </row>
    <row r="320" spans="31:32" x14ac:dyDescent="0.2">
      <c r="AE320" s="6"/>
      <c r="AF320" s="6"/>
    </row>
    <row r="321" spans="31:32" x14ac:dyDescent="0.2">
      <c r="AE321" s="6"/>
      <c r="AF321" s="6"/>
    </row>
    <row r="322" spans="31:32" x14ac:dyDescent="0.2">
      <c r="AE322" s="6"/>
      <c r="AF322" s="6"/>
    </row>
    <row r="323" spans="31:32" x14ac:dyDescent="0.2">
      <c r="AE323" s="6"/>
      <c r="AF323" s="6"/>
    </row>
    <row r="324" spans="31:32" x14ac:dyDescent="0.2">
      <c r="AE324" s="6"/>
      <c r="AF324" s="6"/>
    </row>
    <row r="325" spans="31:32" x14ac:dyDescent="0.2">
      <c r="AE325" s="6"/>
      <c r="AF325" s="6"/>
    </row>
    <row r="326" spans="31:32" x14ac:dyDescent="0.2">
      <c r="AE326" s="6"/>
      <c r="AF326" s="6"/>
    </row>
    <row r="327" spans="31:32" x14ac:dyDescent="0.2">
      <c r="AE327" s="6"/>
      <c r="AF327" s="6"/>
    </row>
    <row r="328" spans="31:32" x14ac:dyDescent="0.2">
      <c r="AE328" s="6"/>
      <c r="AF328" s="6"/>
    </row>
    <row r="329" spans="31:32" x14ac:dyDescent="0.2">
      <c r="AE329" s="6"/>
      <c r="AF329" s="6"/>
    </row>
    <row r="330" spans="31:32" x14ac:dyDescent="0.2">
      <c r="AE330" s="6"/>
      <c r="AF330" s="6"/>
    </row>
    <row r="331" spans="31:32" x14ac:dyDescent="0.2">
      <c r="AE331" s="6"/>
      <c r="AF331" s="6"/>
    </row>
  </sheetData>
  <sheetProtection algorithmName="SHA-512" hashValue="tdgzbppITYv9Q1orrOTVU5mtNRB2prQmDphrN11RPHN+M3y9yRrkNBOenz91FD6u0Z6g+IWiSTFNEHvEQuDcmg==" saltValue="gUzOijSu2LCWPdYXCxacNw==" spinCount="100000" sheet="1" objects="1" scenarios="1" formatCells="0" formatColumns="0" formatRows="0" insertColumns="0" insertRows="0" insertHyperlinks="0" deleteColumns="0" deleteRows="0" selectLockedCells="1" sort="0" autoFilter="0" pivotTables="0"/>
  <mergeCells count="17">
    <mergeCell ref="B7:B9"/>
    <mergeCell ref="C7:C9"/>
    <mergeCell ref="D7:D9"/>
    <mergeCell ref="E7:T7"/>
    <mergeCell ref="U7:W7"/>
    <mergeCell ref="AD8:AD9"/>
    <mergeCell ref="AE7:AF7"/>
    <mergeCell ref="AE8:AE9"/>
    <mergeCell ref="AF8:AF9"/>
    <mergeCell ref="X7:X9"/>
    <mergeCell ref="Z8:Z9"/>
    <mergeCell ref="AC7:AD7"/>
    <mergeCell ref="Y8:Y9"/>
    <mergeCell ref="AA8:AA9"/>
    <mergeCell ref="AC8:AC9"/>
    <mergeCell ref="Y7:AB7"/>
    <mergeCell ref="AB8:AB9"/>
  </mergeCells>
  <phoneticPr fontId="3"/>
  <conditionalFormatting sqref="Y10:Y229">
    <cfRule type="duplicateValues" dxfId="17" priority="179"/>
    <cfRule type="notContainsBlanks" dxfId="16" priority="180">
      <formula>LEN(TRIM(Y10))&gt;0</formula>
    </cfRule>
  </conditionalFormatting>
  <conditionalFormatting sqref="Z82:Z109 Z118:Z125">
    <cfRule type="notContainsBlanks" dxfId="15" priority="181">
      <formula>LEN(TRIM(Z82))&gt;0</formula>
    </cfRule>
  </conditionalFormatting>
  <dataValidations count="256">
    <dataValidation type="list" allowBlank="1" showInputMessage="1" showErrorMessage="1" sqref="Y229" xr:uid="{DF1D1939-846B-4B3A-8C7B-869FDE2B564B}">
      <formula1>$D$229:$X$229</formula1>
    </dataValidation>
    <dataValidation type="list" allowBlank="1" showInputMessage="1" showErrorMessage="1" sqref="Y228" xr:uid="{09AB3709-5B7C-4836-8F33-27F1248021D8}">
      <formula1>$D$228:$X$228</formula1>
    </dataValidation>
    <dataValidation type="list" allowBlank="1" showInputMessage="1" showErrorMessage="1" sqref="Y227" xr:uid="{84050EA9-AF22-4B18-8BA7-34BD6435F650}">
      <formula1>$D$227:$X$227</formula1>
    </dataValidation>
    <dataValidation type="list" allowBlank="1" showInputMessage="1" showErrorMessage="1" sqref="Y226" xr:uid="{C3AA23CB-0258-48BA-9A0D-F173F281AA00}">
      <formula1>$D$226:$X$226</formula1>
    </dataValidation>
    <dataValidation type="list" allowBlank="1" showInputMessage="1" showErrorMessage="1" sqref="Y225" xr:uid="{8BA7A19A-E4DC-4799-9F3A-FB1AE468DAD3}">
      <formula1>$D$225:$X$225</formula1>
    </dataValidation>
    <dataValidation type="list" allowBlank="1" showInputMessage="1" showErrorMessage="1" sqref="Y224" xr:uid="{98524C2A-278B-4701-8585-A16867FB46DC}">
      <formula1>$D$224:$X$224</formula1>
    </dataValidation>
    <dataValidation type="list" allowBlank="1" showInputMessage="1" showErrorMessage="1" sqref="Y223" xr:uid="{E3135420-2F38-4BF0-BBAF-6DB5A7B56A4F}">
      <formula1>$D$223:$X$223</formula1>
    </dataValidation>
    <dataValidation type="list" allowBlank="1" showInputMessage="1" showErrorMessage="1" sqref="Y222" xr:uid="{2B0C2538-05C7-49F7-94EF-5189EF67F7A9}">
      <formula1>$D$222:$X$222</formula1>
    </dataValidation>
    <dataValidation type="list" allowBlank="1" showInputMessage="1" showErrorMessage="1" sqref="Y221" xr:uid="{6344E6AF-0DA6-4614-9B0A-C9A29DC3821D}">
      <formula1>$D$221:$X$221</formula1>
    </dataValidation>
    <dataValidation type="list" allowBlank="1" showInputMessage="1" showErrorMessage="1" sqref="Y220" xr:uid="{F24B4DC5-638A-4894-8DC0-550755186EF0}">
      <formula1>$D$220:$X$220</formula1>
    </dataValidation>
    <dataValidation type="list" allowBlank="1" showInputMessage="1" showErrorMessage="1" sqref="Y219" xr:uid="{B7A3BC36-5F57-4F2D-8285-54E1A1546BED}">
      <formula1>$D$219:$X$219</formula1>
    </dataValidation>
    <dataValidation type="list" allowBlank="1" showInputMessage="1" showErrorMessage="1" sqref="Y218" xr:uid="{CB8A7E3B-12C7-43BF-B49C-AA99851097C6}">
      <formula1>$D$218:$X$218</formula1>
    </dataValidation>
    <dataValidation type="list" allowBlank="1" showInputMessage="1" showErrorMessage="1" sqref="Y217" xr:uid="{F0D0604D-4C7A-448F-98F2-A3A974B1927C}">
      <formula1>$D$217:$X$217</formula1>
    </dataValidation>
    <dataValidation type="list" allowBlank="1" showInputMessage="1" showErrorMessage="1" sqref="Y216" xr:uid="{C03DB73B-6468-4369-B7DB-F85FD9420913}">
      <formula1>$D$216:$X$216</formula1>
    </dataValidation>
    <dataValidation type="list" allowBlank="1" showInputMessage="1" showErrorMessage="1" sqref="Y215" xr:uid="{A733F6F8-9F1F-4025-820E-ADFC84456BFF}">
      <formula1>$D$215:$X$215</formula1>
    </dataValidation>
    <dataValidation type="list" allowBlank="1" showInputMessage="1" showErrorMessage="1" sqref="Y214" xr:uid="{E6FF8CCA-A3E6-416E-9FEA-60D4CE8CABA1}">
      <formula1>$D$214:$X$214</formula1>
    </dataValidation>
    <dataValidation type="list" allowBlank="1" showInputMessage="1" showErrorMessage="1" sqref="Y213" xr:uid="{35214BE8-658C-4B7E-ACA2-727B9D304856}">
      <formula1>$D$213:$X$213</formula1>
    </dataValidation>
    <dataValidation type="list" allowBlank="1" showInputMessage="1" showErrorMessage="1" sqref="Y212" xr:uid="{38737CD9-389C-4ACD-BA82-F88074CD02C9}">
      <formula1>$D$212:$X$212</formula1>
    </dataValidation>
    <dataValidation type="list" allowBlank="1" showInputMessage="1" showErrorMessage="1" sqref="Y211" xr:uid="{8A351E78-A3EE-46CC-8D3C-0498330BB706}">
      <formula1>$D$211:$X$211</formula1>
    </dataValidation>
    <dataValidation type="list" allowBlank="1" showInputMessage="1" showErrorMessage="1" sqref="Y210" xr:uid="{5F2DB98F-5485-433B-83D8-F04F37BB2298}">
      <formula1>$D$210:$X$210</formula1>
    </dataValidation>
    <dataValidation type="list" allowBlank="1" showInputMessage="1" showErrorMessage="1" sqref="Y209" xr:uid="{918B29D2-6FA1-48A9-934E-ADFB807D1ED6}">
      <formula1>$D$209:$X$209</formula1>
    </dataValidation>
    <dataValidation type="list" allowBlank="1" showInputMessage="1" showErrorMessage="1" sqref="Y208" xr:uid="{839EBBED-CCFB-46B4-BC93-FD33AB1AD037}">
      <formula1>$D$208:$X$208</formula1>
    </dataValidation>
    <dataValidation type="list" allowBlank="1" showInputMessage="1" showErrorMessage="1" sqref="Y207" xr:uid="{6883AE92-E308-4963-AC06-E9FBD3CCA0AE}">
      <formula1>$D$207:$X$207</formula1>
    </dataValidation>
    <dataValidation type="list" allowBlank="1" showInputMessage="1" showErrorMessage="1" sqref="Y206" xr:uid="{D705A4FE-E9EC-428E-BFB7-C9B80EE4F242}">
      <formula1>$D$206:$X$206</formula1>
    </dataValidation>
    <dataValidation type="list" allowBlank="1" showInputMessage="1" showErrorMessage="1" sqref="Y205" xr:uid="{11AF0576-196F-482F-A9C6-B3267A76B4CA}">
      <formula1>$D$205:$X$205</formula1>
    </dataValidation>
    <dataValidation type="list" allowBlank="1" showInputMessage="1" showErrorMessage="1" sqref="Y204" xr:uid="{5786235D-F83D-4C69-88F3-1E277F87EE6A}">
      <formula1>$D$204:$X$204</formula1>
    </dataValidation>
    <dataValidation type="list" allowBlank="1" showInputMessage="1" showErrorMessage="1" sqref="Y203" xr:uid="{4064D5FA-BD4D-455E-80E3-A2332B7A5219}">
      <formula1>$D$203:$X$203</formula1>
    </dataValidation>
    <dataValidation type="list" allowBlank="1" showInputMessage="1" showErrorMessage="1" sqref="Y202" xr:uid="{A636F06E-8293-4B21-B8F8-EDECCF29250D}">
      <formula1>$D$202:$X$202</formula1>
    </dataValidation>
    <dataValidation type="list" allowBlank="1" showInputMessage="1" showErrorMessage="1" sqref="Y201" xr:uid="{78BF18AA-3368-4DAD-BED0-F9106CB04CEB}">
      <formula1>$D$201:$X$201</formula1>
    </dataValidation>
    <dataValidation type="list" allowBlank="1" showInputMessage="1" showErrorMessage="1" sqref="Y200" xr:uid="{CA11EFC0-CBF1-4EE8-AA9C-F581B03434A8}">
      <formula1>$D$200:$X$200</formula1>
    </dataValidation>
    <dataValidation type="list" allowBlank="1" showInputMessage="1" showErrorMessage="1" sqref="Y199" xr:uid="{FB49A8D3-C85D-481F-ABF1-38C89AE80B20}">
      <formula1>$D$199:$X$199</formula1>
    </dataValidation>
    <dataValidation type="list" allowBlank="1" showInputMessage="1" showErrorMessage="1" sqref="Y198" xr:uid="{E021BA3F-178D-480A-82A9-64C67B0C95A0}">
      <formula1>$D$198:$X$198</formula1>
    </dataValidation>
    <dataValidation type="list" allowBlank="1" showInputMessage="1" showErrorMessage="1" sqref="Y197" xr:uid="{13B5792D-99E4-4EC7-95B2-5B21E35CAE12}">
      <formula1>$D$197:$X$197</formula1>
    </dataValidation>
    <dataValidation type="list" allowBlank="1" showInputMessage="1" showErrorMessage="1" sqref="Y196" xr:uid="{9379BB7D-4B92-4ED1-A9AC-9F931EE58093}">
      <formula1>$D$196:$X$196</formula1>
    </dataValidation>
    <dataValidation type="list" allowBlank="1" showInputMessage="1" showErrorMessage="1" sqref="Y195" xr:uid="{AF803117-0E48-426A-AE97-2BEEAA1DAC63}">
      <formula1>$D$195:$X$195</formula1>
    </dataValidation>
    <dataValidation type="list" allowBlank="1" showInputMessage="1" showErrorMessage="1" sqref="Y194" xr:uid="{910285DE-DE74-4D06-AB18-F7DAA32BD27D}">
      <formula1>$D$194:$X$194</formula1>
    </dataValidation>
    <dataValidation type="list" allowBlank="1" showInputMessage="1" showErrorMessage="1" sqref="Y193" xr:uid="{9C7C23D9-F9E8-4373-A639-5DF336F3B080}">
      <formula1>$D$193:$X$193</formula1>
    </dataValidation>
    <dataValidation type="list" allowBlank="1" showInputMessage="1" showErrorMessage="1" sqref="Y192" xr:uid="{E034E4EB-84C6-41F1-9C7F-541BF41395AA}">
      <formula1>$D$192:$X$192</formula1>
    </dataValidation>
    <dataValidation type="list" allowBlank="1" showInputMessage="1" showErrorMessage="1" sqref="Y191" xr:uid="{B08D25AA-32FC-4429-AFE7-518359FFC021}">
      <formula1>$D$191:$X$191</formula1>
    </dataValidation>
    <dataValidation type="list" allowBlank="1" showInputMessage="1" showErrorMessage="1" sqref="Y190" xr:uid="{DAC63EFB-4910-4515-AEC6-66F1EEA126EA}">
      <formula1>$D$190:$X$190</formula1>
    </dataValidation>
    <dataValidation type="list" allowBlank="1" showInputMessage="1" showErrorMessage="1" sqref="Y189" xr:uid="{C8B7D644-6928-471D-9F0D-F83048AF1356}">
      <formula1>$D$189:$X$189</formula1>
    </dataValidation>
    <dataValidation type="list" allowBlank="1" showInputMessage="1" showErrorMessage="1" sqref="Y188" xr:uid="{99782C67-C706-4D1F-B27D-4367E7AA006E}">
      <formula1>$D$188:$X$188</formula1>
    </dataValidation>
    <dataValidation type="list" allowBlank="1" showInputMessage="1" showErrorMessage="1" sqref="Y187" xr:uid="{0206ED19-5069-4A32-8C54-64D6D3AD0CB5}">
      <formula1>$D$187:$X$187</formula1>
    </dataValidation>
    <dataValidation type="list" allowBlank="1" showInputMessage="1" showErrorMessage="1" sqref="Y186" xr:uid="{E83EB538-43FE-42F5-B755-534608FB310F}">
      <formula1>$D$186:$X$186</formula1>
    </dataValidation>
    <dataValidation type="list" allowBlank="1" showInputMessage="1" showErrorMessage="1" sqref="Y185" xr:uid="{EC8DD1FB-A67A-474C-B02E-8B7E5AC4158C}">
      <formula1>$D$185:$X$185</formula1>
    </dataValidation>
    <dataValidation type="list" allowBlank="1" showInputMessage="1" showErrorMessage="1" sqref="Y184" xr:uid="{446C2EA0-332E-4089-ABAA-ADA704550AD3}">
      <formula1>$D$184:$X$184</formula1>
    </dataValidation>
    <dataValidation type="list" allowBlank="1" showInputMessage="1" showErrorMessage="1" sqref="Y183" xr:uid="{C444BCD2-EEF9-4B06-9AE7-50904563B2DC}">
      <formula1>$D$183:$X$183</formula1>
    </dataValidation>
    <dataValidation type="list" allowBlank="1" showInputMessage="1" showErrorMessage="1" sqref="Y182" xr:uid="{E3513475-02B8-4C4B-9815-7F37FA5503EC}">
      <formula1>$D$182:$X$182</formula1>
    </dataValidation>
    <dataValidation type="list" allowBlank="1" showInputMessage="1" showErrorMessage="1" sqref="Y181" xr:uid="{A5E245C1-ED5F-4E9B-A35D-C3C762E25B8F}">
      <formula1>$D$181:$X$181</formula1>
    </dataValidation>
    <dataValidation type="list" allowBlank="1" showInputMessage="1" showErrorMessage="1" sqref="Y180" xr:uid="{85061CC0-A028-4EE5-9565-049AA46FBA83}">
      <formula1>$D$180:$X$180</formula1>
    </dataValidation>
    <dataValidation type="list" allowBlank="1" showInputMessage="1" showErrorMessage="1" sqref="Y179" xr:uid="{6E822535-5E4D-4944-925E-5DC674B34410}">
      <formula1>$D$179:$X$179</formula1>
    </dataValidation>
    <dataValidation type="list" allowBlank="1" showInputMessage="1" showErrorMessage="1" sqref="Y178" xr:uid="{184085A7-6BEB-48BF-8C53-5D5EFDEEBB08}">
      <formula1>$D$178:$X$178</formula1>
    </dataValidation>
    <dataValidation type="list" allowBlank="1" showInputMessage="1" showErrorMessage="1" sqref="Y177" xr:uid="{0ACFD066-B45F-4F6F-B6F9-89651EB364F0}">
      <formula1>$D$177:$X$177</formula1>
    </dataValidation>
    <dataValidation type="list" allowBlank="1" showInputMessage="1" showErrorMessage="1" sqref="Y176" xr:uid="{55783350-4D24-4F5F-98EC-7A4120AE046A}">
      <formula1>$D$176:$X$176</formula1>
    </dataValidation>
    <dataValidation type="list" allowBlank="1" showInputMessage="1" showErrorMessage="1" sqref="Y175" xr:uid="{2C514E58-838F-491E-819E-E833DD11504F}">
      <formula1>$D$175:$X$175</formula1>
    </dataValidation>
    <dataValidation type="list" allowBlank="1" showInputMessage="1" showErrorMessage="1" sqref="Y174" xr:uid="{0AF4CF95-AD65-421E-83D1-8C8F56722801}">
      <formula1>$D$174:$X$174</formula1>
    </dataValidation>
    <dataValidation type="list" allowBlank="1" showInputMessage="1" showErrorMessage="1" sqref="Y173" xr:uid="{DEA79BF0-55E3-4466-B996-9A0F118131CB}">
      <formula1>$D$173:$X$173</formula1>
    </dataValidation>
    <dataValidation type="list" allowBlank="1" showInputMessage="1" showErrorMessage="1" sqref="Y172" xr:uid="{1B386D73-BC38-4E02-A145-5A858329BB03}">
      <formula1>$D$172:$X$172</formula1>
    </dataValidation>
    <dataValidation type="list" allowBlank="1" showInputMessage="1" showErrorMessage="1" sqref="Y171" xr:uid="{4052182A-FAA5-4861-AA32-54C6FA9266A6}">
      <formula1>$D$171:$X$171</formula1>
    </dataValidation>
    <dataValidation type="list" allowBlank="1" showInputMessage="1" showErrorMessage="1" sqref="Y170" xr:uid="{8E1A051B-DDE9-4520-8C15-57381C94C316}">
      <formula1>$D$170:$X$170</formula1>
    </dataValidation>
    <dataValidation type="list" allowBlank="1" showInputMessage="1" showErrorMessage="1" sqref="Y169" xr:uid="{AAF7D32C-2114-485C-A7AC-FACC31EAEBE1}">
      <formula1>$D$169:$X$169</formula1>
    </dataValidation>
    <dataValidation type="list" allowBlank="1" showInputMessage="1" showErrorMessage="1" sqref="Y168" xr:uid="{D0623109-E6D5-470F-9BCE-704D40E820B6}">
      <formula1>$D$168:$X$168</formula1>
    </dataValidation>
    <dataValidation type="list" allowBlank="1" showInputMessage="1" showErrorMessage="1" sqref="Y167" xr:uid="{C28001AC-37DF-41E2-BDBA-C7AB388120E5}">
      <formula1>$D$167:$X$167</formula1>
    </dataValidation>
    <dataValidation type="list" allowBlank="1" showInputMessage="1" showErrorMessage="1" sqref="Y166" xr:uid="{8C26CCDD-B59B-4C9D-B90C-A0401664B59F}">
      <formula1>$D$166:$X$166</formula1>
    </dataValidation>
    <dataValidation type="list" allowBlank="1" showInputMessage="1" showErrorMessage="1" sqref="Y165" xr:uid="{AA4A3D75-E389-41D9-B080-EE354044C93C}">
      <formula1>$D$165:$X$165</formula1>
    </dataValidation>
    <dataValidation type="list" allowBlank="1" showInputMessage="1" showErrorMessage="1" sqref="Y164" xr:uid="{100C4120-5BDD-4467-999C-A9739DF52B31}">
      <formula1>$D$164:$X$164</formula1>
    </dataValidation>
    <dataValidation type="list" allowBlank="1" showInputMessage="1" showErrorMessage="1" sqref="Y163" xr:uid="{49003E66-F3DC-4C0D-A828-82100FCC0987}">
      <formula1>$D$163:$X$163</formula1>
    </dataValidation>
    <dataValidation type="list" allowBlank="1" showInputMessage="1" showErrorMessage="1" sqref="Y162" xr:uid="{D3CD051A-1916-48E4-AE00-0E2DA678F0B5}">
      <formula1>$D$162:$X$162</formula1>
    </dataValidation>
    <dataValidation type="list" allowBlank="1" showInputMessage="1" showErrorMessage="1" sqref="Y161" xr:uid="{4FD7BBCE-5860-49EA-8564-68253BA374F6}">
      <formula1>$D$161:$X$161</formula1>
    </dataValidation>
    <dataValidation type="list" allowBlank="1" showInputMessage="1" showErrorMessage="1" sqref="Y160" xr:uid="{1A7FF26B-9C39-40BB-B47B-B2D4FF2166BF}">
      <formula1>$D$160:$X$160</formula1>
    </dataValidation>
    <dataValidation type="list" allowBlank="1" showInputMessage="1" showErrorMessage="1" sqref="Y159" xr:uid="{D958A20F-DF96-4276-99DF-150F681B8FA0}">
      <formula1>$D$159:$X$159</formula1>
    </dataValidation>
    <dataValidation type="list" allowBlank="1" showInputMessage="1" showErrorMessage="1" sqref="Y158" xr:uid="{6182B09B-37CF-44E1-A75A-46128472243C}">
      <formula1>$D$158:$X$158</formula1>
    </dataValidation>
    <dataValidation type="list" allowBlank="1" showInputMessage="1" showErrorMessage="1" sqref="Y157" xr:uid="{4A66E2B3-4B9A-4C9C-BB0E-76DA75B62573}">
      <formula1>$D$157:$X$157</formula1>
    </dataValidation>
    <dataValidation type="list" allowBlank="1" showInputMessage="1" showErrorMessage="1" sqref="Y156" xr:uid="{430CE799-4E77-452E-A9E9-F6C91A710F25}">
      <formula1>$D$156:$X$156</formula1>
    </dataValidation>
    <dataValidation type="list" allowBlank="1" showInputMessage="1" showErrorMessage="1" sqref="Y155" xr:uid="{58C00A0B-BD4F-4433-AB85-C84934C948CA}">
      <formula1>$D$155:$X$155</formula1>
    </dataValidation>
    <dataValidation type="list" allowBlank="1" showInputMessage="1" showErrorMessage="1" sqref="Y154" xr:uid="{D8A46894-F873-48EE-92E9-D061598D5D81}">
      <formula1>$D$154:$X$154</formula1>
    </dataValidation>
    <dataValidation type="list" allowBlank="1" showInputMessage="1" showErrorMessage="1" sqref="Y153" xr:uid="{50F6113E-5689-4802-9FEC-0DEA9C522CAF}">
      <formula1>$D$153:$X$153</formula1>
    </dataValidation>
    <dataValidation type="list" allowBlank="1" showInputMessage="1" showErrorMessage="1" sqref="Y152" xr:uid="{641FC2DE-33BF-4B86-8006-1457FF8BDCB8}">
      <formula1>$D$152:$X$152</formula1>
    </dataValidation>
    <dataValidation type="list" allowBlank="1" showInputMessage="1" showErrorMessage="1" sqref="Y146" xr:uid="{E98A19CE-AEF2-49C0-8B05-E7EE2EBC6AB4}">
      <formula1>$D$146:$X$146</formula1>
    </dataValidation>
    <dataValidation type="list" allowBlank="1" showInputMessage="1" showErrorMessage="1" sqref="Y145" xr:uid="{4E2CEBD2-A183-4F2F-8163-4DF28D2ADB14}">
      <formula1>$D$145:$X$145</formula1>
    </dataValidation>
    <dataValidation type="list" allowBlank="1" showInputMessage="1" showErrorMessage="1" sqref="Y144" xr:uid="{01C53121-3EC9-479C-943E-3EDFD089EA76}">
      <formula1>$D$144:$X$144</formula1>
    </dataValidation>
    <dataValidation type="list" allowBlank="1" showInputMessage="1" showErrorMessage="1" sqref="Y143" xr:uid="{3FACE97C-6CB5-4175-B008-C57D86322B6F}">
      <formula1>$D$143:$X$143</formula1>
    </dataValidation>
    <dataValidation type="list" allowBlank="1" showInputMessage="1" showErrorMessage="1" sqref="Y142" xr:uid="{872A6B37-BD9F-4792-869A-4C2D0D04CEB2}">
      <formula1>$D$142:$X$142</formula1>
    </dataValidation>
    <dataValidation type="list" allowBlank="1" showInputMessage="1" showErrorMessage="1" sqref="Y141" xr:uid="{A808EE50-FC87-4E89-B10C-F336EA266856}">
      <formula1>$D$141:$X$141</formula1>
    </dataValidation>
    <dataValidation type="list" allowBlank="1" showInputMessage="1" showErrorMessage="1" sqref="Y140" xr:uid="{360D2F95-5758-4CE8-BBE4-FEBCF92A60BF}">
      <formula1>$D$140:$X$140</formula1>
    </dataValidation>
    <dataValidation type="list" allowBlank="1" showInputMessage="1" showErrorMessage="1" sqref="Y139" xr:uid="{2F7BFFCC-0CEC-4329-A034-C777E5D8072A}">
      <formula1>$D$139:$X$139</formula1>
    </dataValidation>
    <dataValidation type="list" allowBlank="1" showInputMessage="1" showErrorMessage="1" sqref="Y138" xr:uid="{99C08022-83CC-487B-AE07-9E92A93664B5}">
      <formula1>$D$138:$X$138</formula1>
    </dataValidation>
    <dataValidation type="list" allowBlank="1" showInputMessage="1" showErrorMessage="1" sqref="Y137" xr:uid="{DD3941C4-14E7-4208-8F93-EAE662CC138F}">
      <formula1>$D$137:$X$137</formula1>
    </dataValidation>
    <dataValidation type="list" allowBlank="1" showInputMessage="1" showErrorMessage="1" sqref="Y136" xr:uid="{6AC5205F-A3C1-45D5-9403-732B180B5286}">
      <formula1>$D$136:$X$136</formula1>
    </dataValidation>
    <dataValidation type="list" allowBlank="1" showInputMessage="1" showErrorMessage="1" sqref="Y135" xr:uid="{78F560CC-FB9F-4945-8430-1D133C120F85}">
      <formula1>$D$135:$X$135</formula1>
    </dataValidation>
    <dataValidation type="list" allowBlank="1" showInputMessage="1" showErrorMessage="1" sqref="Y134" xr:uid="{DF6A08D6-7DCA-42D3-A3E9-586565E6C2DE}">
      <formula1>$D$134:$X$134</formula1>
    </dataValidation>
    <dataValidation type="list" allowBlank="1" showInputMessage="1" showErrorMessage="1" sqref="Y133" xr:uid="{8D1FF500-0888-4E9F-B206-DDCD334B923A}">
      <formula1>$D$133:$X$133</formula1>
    </dataValidation>
    <dataValidation type="list" allowBlank="1" showInputMessage="1" showErrorMessage="1" sqref="Y132" xr:uid="{61D3E5AC-BAE7-4972-89F8-8EDE958290CC}">
      <formula1>$D$132:$X$132</formula1>
    </dataValidation>
    <dataValidation type="list" allowBlank="1" showInputMessage="1" showErrorMessage="1" sqref="Y151" xr:uid="{3BF47C17-2176-4774-A4E6-2BCE5BA375F2}">
      <formula1>$D$151:$X$151</formula1>
    </dataValidation>
    <dataValidation type="list" allowBlank="1" showInputMessage="1" showErrorMessage="1" sqref="Y150" xr:uid="{9840E66F-36C8-4E25-B52F-BF34747CEB09}">
      <formula1>$D$150:$X$150</formula1>
    </dataValidation>
    <dataValidation type="list" allowBlank="1" showInputMessage="1" showErrorMessage="1" sqref="Y149" xr:uid="{9440DA90-F352-44FB-9F76-4182C4277CB4}">
      <formula1>$D$149:$X$149</formula1>
    </dataValidation>
    <dataValidation type="list" allowBlank="1" showInputMessage="1" showErrorMessage="1" sqref="Y148" xr:uid="{0094F58F-E2F5-4B65-B23A-3D794313894D}">
      <formula1>$D$148:$X$148</formula1>
    </dataValidation>
    <dataValidation type="list" allowBlank="1" showInputMessage="1" showErrorMessage="1" sqref="Y147" xr:uid="{BC53F957-7892-4743-8F4B-5FEB4456CCD5}">
      <formula1>$D$147:$X$147</formula1>
    </dataValidation>
    <dataValidation type="list" allowBlank="1" showInputMessage="1" showErrorMessage="1" sqref="Y131" xr:uid="{12482CA3-ECCE-4460-9967-DBCEB481F07A}">
      <formula1>$D$131:$X$131</formula1>
    </dataValidation>
    <dataValidation type="list" allowBlank="1" showInputMessage="1" showErrorMessage="1" sqref="Y130" xr:uid="{783ED77A-CEAF-46B8-AA35-4DEA3FB12898}">
      <formula1>$D$130:$X$130</formula1>
    </dataValidation>
    <dataValidation type="list" allowBlank="1" showInputMessage="1" showErrorMessage="1" sqref="Y129" xr:uid="{F91CEB95-8FEC-4E0D-B25C-91DBDA17D40A}">
      <formula1>$D$129:$X$129</formula1>
    </dataValidation>
    <dataValidation type="list" allowBlank="1" showInputMessage="1" showErrorMessage="1" sqref="Y128" xr:uid="{8FDAD317-0C5F-4EF0-A27A-18F7B7823D88}">
      <formula1>$D$128:$X$128</formula1>
    </dataValidation>
    <dataValidation type="list" allowBlank="1" showInputMessage="1" showErrorMessage="1" sqref="Y127" xr:uid="{45AF00E1-3918-4B37-AAD2-AD193D212ECC}">
      <formula1>$D$127:$X$127</formula1>
    </dataValidation>
    <dataValidation type="list" allowBlank="1" showInputMessage="1" showErrorMessage="1" sqref="Y126" xr:uid="{19C60439-AEAF-4543-AF9E-2F0391E7AD4B}">
      <formula1>$D$126:$X$126</formula1>
    </dataValidation>
    <dataValidation type="list" allowBlank="1" showInputMessage="1" showErrorMessage="1" sqref="Y125" xr:uid="{AC21F2ED-8434-4684-9F0A-F71DE62DAABE}">
      <formula1>$D$125:$X$125</formula1>
    </dataValidation>
    <dataValidation type="list" allowBlank="1" showInputMessage="1" showErrorMessage="1" sqref="Y124" xr:uid="{43BDE963-205B-41E4-9C2B-7A887E6092D9}">
      <formula1>$D$124:$X$124</formula1>
    </dataValidation>
    <dataValidation type="list" allowBlank="1" showInputMessage="1" showErrorMessage="1" sqref="Y123" xr:uid="{82B5D3E2-3641-45F8-91D5-70E415F0ECA0}">
      <formula1>$D$123:$X$123</formula1>
    </dataValidation>
    <dataValidation type="list" allowBlank="1" showInputMessage="1" showErrorMessage="1" sqref="Y122" xr:uid="{D4E20AD1-875F-4B92-B86A-4D95C732E1EA}">
      <formula1>$D$122:$X$122</formula1>
    </dataValidation>
    <dataValidation type="list" allowBlank="1" showInputMessage="1" showErrorMessage="1" sqref="Y121" xr:uid="{3A8606D1-ABF6-4D25-8393-6C919F45C75E}">
      <formula1>$D$121:$X$121</formula1>
    </dataValidation>
    <dataValidation type="list" allowBlank="1" showInputMessage="1" showErrorMessage="1" sqref="Y120" xr:uid="{332B15AC-0D13-450C-AFED-94C424049427}">
      <formula1>$D$120:$X$120</formula1>
    </dataValidation>
    <dataValidation type="list" allowBlank="1" showInputMessage="1" showErrorMessage="1" sqref="Y119" xr:uid="{A05F72C2-2337-4F50-A91E-C6F684CAF371}">
      <formula1>$D$119:$X$119</formula1>
    </dataValidation>
    <dataValidation type="list" allowBlank="1" showInputMessage="1" showErrorMessage="1" sqref="Y118" xr:uid="{E1E6F55B-FB3E-42CF-88E5-C88C536E02DE}">
      <formula1>$D$118:$X$118</formula1>
    </dataValidation>
    <dataValidation type="list" allowBlank="1" showInputMessage="1" showErrorMessage="1" sqref="Y117" xr:uid="{B11EF933-C00C-49B7-AAA1-09346A0B6D30}">
      <formula1>$D$117:$X$117</formula1>
    </dataValidation>
    <dataValidation type="list" allowBlank="1" showInputMessage="1" showErrorMessage="1" sqref="Y116" xr:uid="{157CED27-B946-4A6B-BED4-297971BBCE2D}">
      <formula1>$D$116:$X$116</formula1>
    </dataValidation>
    <dataValidation type="list" allowBlank="1" showInputMessage="1" showErrorMessage="1" sqref="Y115" xr:uid="{DC41BCDD-4354-4D49-AF16-73403A6E631B}">
      <formula1>$D$115:$X$115</formula1>
    </dataValidation>
    <dataValidation type="list" allowBlank="1" showInputMessage="1" showErrorMessage="1" sqref="Y114" xr:uid="{83BF8D16-6187-4E5D-8B3D-D840126D1102}">
      <formula1>$D$114:$X$114</formula1>
    </dataValidation>
    <dataValidation type="list" allowBlank="1" showInputMessage="1" showErrorMessage="1" sqref="Y113" xr:uid="{4A3AB135-DAF7-4B28-A3B8-D0512293C2FB}">
      <formula1>$D$113:$X$113</formula1>
    </dataValidation>
    <dataValidation type="list" allowBlank="1" showInputMessage="1" showErrorMessage="1" sqref="Y112" xr:uid="{0D2E4BFF-FA50-4F34-8636-7C43A676AEF0}">
      <formula1>$D$112:$X$112</formula1>
    </dataValidation>
    <dataValidation type="list" allowBlank="1" showInputMessage="1" showErrorMessage="1" sqref="Y111" xr:uid="{346DD715-A6C5-4A94-B8AD-96591B1CB38C}">
      <formula1>$D$111:$X$111</formula1>
    </dataValidation>
    <dataValidation type="list" allowBlank="1" showInputMessage="1" showErrorMessage="1" sqref="Y110" xr:uid="{84492689-FF5F-462F-84C2-31BCBCF1FEC5}">
      <formula1>$D$110:$X$110</formula1>
    </dataValidation>
    <dataValidation type="list" allowBlank="1" showInputMessage="1" showErrorMessage="1" sqref="Y109" xr:uid="{EE74F3B1-B56B-44B2-8DDC-2198809F2FEC}">
      <formula1>$D$109:$X$109</formula1>
    </dataValidation>
    <dataValidation type="list" allowBlank="1" showInputMessage="1" showErrorMessage="1" sqref="Y108" xr:uid="{1DDE4894-BEE4-408F-AFA3-DC6AB818D997}">
      <formula1>$D$108:$X$108</formula1>
    </dataValidation>
    <dataValidation type="list" allowBlank="1" showInputMessage="1" showErrorMessage="1" sqref="Y107" xr:uid="{79F1FE44-F2EF-41DE-90F0-B813916F29D1}">
      <formula1>$D$107:$X$107</formula1>
    </dataValidation>
    <dataValidation type="list" allowBlank="1" showInputMessage="1" showErrorMessage="1" sqref="Y106" xr:uid="{3EEDC63B-6461-480A-88E0-BCB6AEAEADA7}">
      <formula1>$D$106:$X$106</formula1>
    </dataValidation>
    <dataValidation type="list" allowBlank="1" showInputMessage="1" showErrorMessage="1" sqref="Y105" xr:uid="{D2B486C2-34AE-4CDB-A258-6ECDFE1745E7}">
      <formula1>$D$105:$X$105</formula1>
    </dataValidation>
    <dataValidation type="list" allowBlank="1" showInputMessage="1" showErrorMessage="1" sqref="Y104" xr:uid="{4F21F072-7D22-4F17-A243-65FE566ABA0E}">
      <formula1>$D$104:$X$104</formula1>
    </dataValidation>
    <dataValidation type="list" allowBlank="1" showInputMessage="1" showErrorMessage="1" sqref="Y103" xr:uid="{1D287EF7-6CF1-429D-8950-4228E6CDA25C}">
      <formula1>$D$103:$X$103</formula1>
    </dataValidation>
    <dataValidation type="list" allowBlank="1" showInputMessage="1" showErrorMessage="1" sqref="Y102" xr:uid="{AB92F77C-CE6B-4281-9119-D4187AE0CBA2}">
      <formula1>$D$102:$X$102</formula1>
    </dataValidation>
    <dataValidation type="list" allowBlank="1" showInputMessage="1" showErrorMessage="1" sqref="Y101" xr:uid="{5CE6DFDB-C0E2-4140-B1A1-959062F5C952}">
      <formula1>$D$101:$X$101</formula1>
    </dataValidation>
    <dataValidation type="list" allowBlank="1" showInputMessage="1" showErrorMessage="1" sqref="Y100" xr:uid="{7CF98942-40AD-4175-9522-20E16AD54DBD}">
      <formula1>$D$100:$X$100</formula1>
    </dataValidation>
    <dataValidation type="list" allowBlank="1" showInputMessage="1" showErrorMessage="1" sqref="Y99" xr:uid="{5034033F-8800-4C3E-8AE7-A1938AFFF5CE}">
      <formula1>$D$99:$X$99</formula1>
    </dataValidation>
    <dataValidation type="list" allowBlank="1" showInputMessage="1" showErrorMessage="1" sqref="Y98" xr:uid="{B7086FBA-F270-41BE-AF61-210BD94BC98C}">
      <formula1>$D$98:$X$98</formula1>
    </dataValidation>
    <dataValidation type="list" allowBlank="1" showInputMessage="1" showErrorMessage="1" sqref="Y97" xr:uid="{0760D91F-D416-451C-A767-9E6F61E65D4F}">
      <formula1>$D$97:$X$97</formula1>
    </dataValidation>
    <dataValidation type="list" allowBlank="1" showInputMessage="1" showErrorMessage="1" sqref="Y96" xr:uid="{A1C6CEBB-A640-4EBE-A4FA-16E5C52B1D18}">
      <formula1>$D$96:$X$96</formula1>
    </dataValidation>
    <dataValidation type="list" allowBlank="1" showInputMessage="1" showErrorMessage="1" sqref="Y95" xr:uid="{D3DBCAC6-8EB3-48D0-9C10-BE9821C44942}">
      <formula1>$D$95:$X$95</formula1>
    </dataValidation>
    <dataValidation type="list" allowBlank="1" showInputMessage="1" showErrorMessage="1" sqref="Y94" xr:uid="{AE8BADC1-4857-46E8-A19A-A3185D1A62D8}">
      <formula1>$D$94:$X$94</formula1>
    </dataValidation>
    <dataValidation type="list" allowBlank="1" showInputMessage="1" showErrorMessage="1" sqref="Y93" xr:uid="{6F06BDF4-60C1-482B-A893-0156A18D91C1}">
      <formula1>$D$93:$X$93</formula1>
    </dataValidation>
    <dataValidation type="list" allowBlank="1" showInputMessage="1" showErrorMessage="1" sqref="Y92" xr:uid="{F8BB2FD9-966C-4642-A98B-B6CEFC3F5DB8}">
      <formula1>$D$92:$X$92</formula1>
    </dataValidation>
    <dataValidation type="list" allowBlank="1" showInputMessage="1" showErrorMessage="1" sqref="Y91" xr:uid="{17FFBE8D-2B53-4E46-9611-6D58A3235AA5}">
      <formula1>$D$91:$X$91</formula1>
    </dataValidation>
    <dataValidation type="list" allowBlank="1" showInputMessage="1" showErrorMessage="1" sqref="Y90" xr:uid="{C685C3C1-2518-49D2-8CBD-29426E8B2806}">
      <formula1>$D$90:$X$90</formula1>
    </dataValidation>
    <dataValidation type="list" allowBlank="1" showInputMessage="1" showErrorMessage="1" sqref="Y89" xr:uid="{D1626328-2038-4E1E-8C75-9A76FEC0C7A2}">
      <formula1>$D$89:$X$89</formula1>
    </dataValidation>
    <dataValidation type="list" allowBlank="1" showInputMessage="1" showErrorMessage="1" sqref="Y88" xr:uid="{A5479EDA-C378-458B-8832-C945A32331EF}">
      <formula1>$D$88:$X$88</formula1>
    </dataValidation>
    <dataValidation type="list" allowBlank="1" showInputMessage="1" showErrorMessage="1" sqref="Y87" xr:uid="{65764FA8-1EAB-4789-ACCF-DDA681383E99}">
      <formula1>$D$87:$X$87</formula1>
    </dataValidation>
    <dataValidation type="list" allowBlank="1" showInputMessage="1" showErrorMessage="1" sqref="Y86" xr:uid="{F795964F-7E53-40CB-868D-6ED798368BB6}">
      <formula1>$D$86:$X$86</formula1>
    </dataValidation>
    <dataValidation type="list" allowBlank="1" showInputMessage="1" showErrorMessage="1" sqref="Y85" xr:uid="{FE78367D-FE89-4F28-A0D2-9669007670AD}">
      <formula1>$D$85:$X$85</formula1>
    </dataValidation>
    <dataValidation type="list" allowBlank="1" showInputMessage="1" showErrorMessage="1" sqref="Y84" xr:uid="{495887CF-08F6-4FDE-B148-7389592D3D21}">
      <formula1>$D$84:$X$84</formula1>
    </dataValidation>
    <dataValidation type="list" allowBlank="1" showInputMessage="1" showErrorMessage="1" sqref="Y83" xr:uid="{A2CF1638-E781-4C00-85AC-68810CB97F0D}">
      <formula1>$D$83:$X$83</formula1>
    </dataValidation>
    <dataValidation type="list" allowBlank="1" showInputMessage="1" showErrorMessage="1" sqref="Y82" xr:uid="{BADC089E-0940-47BF-A835-667946276C29}">
      <formula1>$D$82:$X$82</formula1>
    </dataValidation>
    <dataValidation type="list" allowBlank="1" showInputMessage="1" showErrorMessage="1" sqref="Y81" xr:uid="{BAA96DD4-EBB0-4188-84D8-418DF339D739}">
      <formula1>$D$81:$X$81</formula1>
    </dataValidation>
    <dataValidation type="list" allowBlank="1" showInputMessage="1" showErrorMessage="1" sqref="Y80" xr:uid="{CFAC4BDD-63AB-4ABA-8E61-B6C6C6AC02BA}">
      <formula1>$D$80:$X$80</formula1>
    </dataValidation>
    <dataValidation type="list" allowBlank="1" showInputMessage="1" showErrorMessage="1" sqref="Y79" xr:uid="{5E60993B-F3DE-44C9-8A35-C179B2691EC3}">
      <formula1>$D$79:$X$79</formula1>
    </dataValidation>
    <dataValidation type="list" allowBlank="1" showInputMessage="1" showErrorMessage="1" sqref="Y78" xr:uid="{C5F35F24-FD8C-4460-9F00-3B8AC1F2CB3A}">
      <formula1>$D$78:$X$78</formula1>
    </dataValidation>
    <dataValidation type="list" allowBlank="1" showInputMessage="1" showErrorMessage="1" sqref="Y77" xr:uid="{ED9D1BA4-CEB7-4688-B561-407BBF525D2A}">
      <formula1>$D$77:$X$77</formula1>
    </dataValidation>
    <dataValidation type="list" allowBlank="1" showInputMessage="1" showErrorMessage="1" sqref="Y76" xr:uid="{DB93ABAD-6964-4D78-9A9C-D380319E4F1D}">
      <formula1>$D$76:$X$76</formula1>
    </dataValidation>
    <dataValidation type="list" allowBlank="1" showInputMessage="1" showErrorMessage="1" sqref="Y75" xr:uid="{7B729EE9-DAA8-41AE-8DEA-FAC4494D40A0}">
      <formula1>$D$75:$X$75</formula1>
    </dataValidation>
    <dataValidation type="list" allowBlank="1" showInputMessage="1" showErrorMessage="1" sqref="Y74" xr:uid="{13ABA82D-4FDD-40EA-9FF2-F1767A74F3A8}">
      <formula1>$D$74:$X$74</formula1>
    </dataValidation>
    <dataValidation type="list" allowBlank="1" showInputMessage="1" showErrorMessage="1" sqref="Y73" xr:uid="{F9D7272D-530B-47F2-96AA-033C82F34882}">
      <formula1>$D$73:$X$73</formula1>
    </dataValidation>
    <dataValidation type="list" allowBlank="1" showInputMessage="1" showErrorMessage="1" sqref="Y72" xr:uid="{6CDE30E3-A890-4F21-97FE-33F9BDB00CEE}">
      <formula1>$D$72:$X$72</formula1>
    </dataValidation>
    <dataValidation type="list" allowBlank="1" showInputMessage="1" showErrorMessage="1" sqref="Y71" xr:uid="{38237120-F15C-4A62-A403-1674CC533F28}">
      <formula1>$D$71:$X$71</formula1>
    </dataValidation>
    <dataValidation type="list" allowBlank="1" showInputMessage="1" showErrorMessage="1" sqref="Y70" xr:uid="{8BB01CAD-5A79-4DC5-8A76-19DBF9CEF46A}">
      <formula1>$D$70:$X$70</formula1>
    </dataValidation>
    <dataValidation type="list" allowBlank="1" showInputMessage="1" showErrorMessage="1" sqref="Y69" xr:uid="{C020F91C-A952-4978-837C-7DA1FCB57AB5}">
      <formula1>$D$69:$X$69</formula1>
    </dataValidation>
    <dataValidation type="list" allowBlank="1" showInputMessage="1" showErrorMessage="1" sqref="Y68" xr:uid="{512D1E16-C98C-40F6-90BD-9A723E5DAA8A}">
      <formula1>$D$68:$X$68</formula1>
    </dataValidation>
    <dataValidation type="list" allowBlank="1" showInputMessage="1" showErrorMessage="1" sqref="Y67" xr:uid="{4452FFE4-7FDB-4C70-9C00-496866A55941}">
      <formula1>$D$67:$X$67</formula1>
    </dataValidation>
    <dataValidation type="list" allowBlank="1" showInputMessage="1" showErrorMessage="1" sqref="Y66" xr:uid="{4AF657EF-9F85-474E-9A59-484404AB31DA}">
      <formula1>$D$66:$X$66</formula1>
    </dataValidation>
    <dataValidation type="list" allowBlank="1" showInputMessage="1" showErrorMessage="1" sqref="Y65" xr:uid="{52183F01-9866-4225-A67B-A36B1E99886C}">
      <formula1>$D$65:$X$65</formula1>
    </dataValidation>
    <dataValidation type="list" allowBlank="1" showInputMessage="1" showErrorMessage="1" sqref="Y64" xr:uid="{24DDDD49-D51C-4026-947C-3695779147C3}">
      <formula1>$D$64:$X$64</formula1>
    </dataValidation>
    <dataValidation type="list" allowBlank="1" showInputMessage="1" showErrorMessage="1" sqref="Y63" xr:uid="{2B77DEDF-D091-4E44-9AD1-51FC3D775237}">
      <formula1>$D$63:$X$63</formula1>
    </dataValidation>
    <dataValidation type="list" allowBlank="1" showInputMessage="1" showErrorMessage="1" sqref="Y62" xr:uid="{01999D88-3456-4BA4-9E9F-A16490009CC7}">
      <formula1>$D$62:$X$62</formula1>
    </dataValidation>
    <dataValidation type="list" allowBlank="1" showInputMessage="1" showErrorMessage="1" sqref="Y61" xr:uid="{89F209ED-09CF-4AC3-9119-644309468F32}">
      <formula1>$D$61:$X$61</formula1>
    </dataValidation>
    <dataValidation type="list" allowBlank="1" showInputMessage="1" showErrorMessage="1" sqref="Y60" xr:uid="{9A62505E-C4BA-4806-9788-A690D9A185CC}">
      <formula1>$D$60:$X$60</formula1>
    </dataValidation>
    <dataValidation type="list" allowBlank="1" showInputMessage="1" showErrorMessage="1" sqref="Y59" xr:uid="{E4CFD7F0-9EC4-46E1-884E-D01A5965D46D}">
      <formula1>$D$59:$X$59</formula1>
    </dataValidation>
    <dataValidation type="list" allowBlank="1" showInputMessage="1" showErrorMessage="1" sqref="Y58" xr:uid="{1D2366DC-FB4C-4FBF-9A35-22AB08E9FE8A}">
      <formula1>$D$58:$X$58</formula1>
    </dataValidation>
    <dataValidation type="list" allowBlank="1" showInputMessage="1" showErrorMessage="1" sqref="Y57" xr:uid="{9CE48563-BA6A-48F1-BDC0-5E0E61157A19}">
      <formula1>$D$57:$X$57</formula1>
    </dataValidation>
    <dataValidation type="list" allowBlank="1" showInputMessage="1" showErrorMessage="1" sqref="Y56" xr:uid="{B853B91A-BFED-45CA-AC48-E70BB4627FD5}">
      <formula1>$D$56:$X$56</formula1>
    </dataValidation>
    <dataValidation type="list" allowBlank="1" showInputMessage="1" showErrorMessage="1" sqref="Y55" xr:uid="{F04C6034-163E-48E8-9DA0-1C21150084F9}">
      <formula1>$D$55:$X$55</formula1>
    </dataValidation>
    <dataValidation type="list" allowBlank="1" showInputMessage="1" showErrorMessage="1" sqref="Y54" xr:uid="{83675518-042B-4ED4-ADBD-FBC9083EEDE3}">
      <formula1>$D$54:$X$54</formula1>
    </dataValidation>
    <dataValidation type="list" allowBlank="1" showInputMessage="1" showErrorMessage="1" sqref="Y53" xr:uid="{A8BBCECC-B3A1-417D-989C-951743817387}">
      <formula1>$D$53:$X$53</formula1>
    </dataValidation>
    <dataValidation type="list" allowBlank="1" showInputMessage="1" showErrorMessage="1" sqref="Y52" xr:uid="{D83D88C7-3337-4591-BC92-5F6E6507BC07}">
      <formula1>$D$52:$X$52</formula1>
    </dataValidation>
    <dataValidation type="list" allowBlank="1" showInputMessage="1" showErrorMessage="1" sqref="Y51" xr:uid="{3CA68EC5-1894-424D-A74E-5B49B90EE8C0}">
      <formula1>$D$51:$X$51</formula1>
    </dataValidation>
    <dataValidation type="list" allowBlank="1" showInputMessage="1" showErrorMessage="1" sqref="Y50" xr:uid="{8EB281AE-3FE7-46D7-9950-C67BB5EA4748}">
      <formula1>$D$50:$X$50</formula1>
    </dataValidation>
    <dataValidation type="list" allowBlank="1" showInputMessage="1" showErrorMessage="1" sqref="Y49" xr:uid="{92795446-FF4B-4BEF-A73A-47E39C245D0C}">
      <formula1>$D$49:$X$49</formula1>
    </dataValidation>
    <dataValidation type="list" allowBlank="1" showInputMessage="1" showErrorMessage="1" sqref="Y48" xr:uid="{C428883B-40FA-4D4B-B82A-4ADA5EA0CB98}">
      <formula1>$D$48:$X$48</formula1>
    </dataValidation>
    <dataValidation type="list" allowBlank="1" showInputMessage="1" showErrorMessage="1" sqref="Y47" xr:uid="{A50D5509-EA56-4A99-915B-D0D8B6E22FE4}">
      <formula1>$D$47:$X$47</formula1>
    </dataValidation>
    <dataValidation type="list" allowBlank="1" showInputMessage="1" showErrorMessage="1" sqref="Y46" xr:uid="{A6D8DAFD-56F2-4546-A1C0-D3D2B5966D17}">
      <formula1>$D$46:$X$46</formula1>
    </dataValidation>
    <dataValidation type="list" allowBlank="1" showInputMessage="1" showErrorMessage="1" sqref="Y45" xr:uid="{7F11B779-1C8E-48D1-B977-E7479538FB71}">
      <formula1>$D$45:$X$45</formula1>
    </dataValidation>
    <dataValidation type="list" allowBlank="1" showInputMessage="1" showErrorMessage="1" sqref="Y44" xr:uid="{F8313D93-3A6A-45A0-8E1A-D6DD94F899DD}">
      <formula1>$D$44:$X$44</formula1>
    </dataValidation>
    <dataValidation type="list" allowBlank="1" showInputMessage="1" showErrorMessage="1" sqref="Y43" xr:uid="{8AF8347C-B147-428E-820D-21806F8CC3A8}">
      <formula1>$D$43:$X$43</formula1>
    </dataValidation>
    <dataValidation type="list" allowBlank="1" showInputMessage="1" showErrorMessage="1" sqref="Y42" xr:uid="{0958753F-55CE-4938-A230-20D96953D7B7}">
      <formula1>$D$42:$X$42</formula1>
    </dataValidation>
    <dataValidation type="list" allowBlank="1" showInputMessage="1" showErrorMessage="1" sqref="Y41" xr:uid="{0E07EE0A-3ADF-4831-8868-DD60BED082F5}">
      <formula1>$D$41:$X$41</formula1>
    </dataValidation>
    <dataValidation type="list" allowBlank="1" showInputMessage="1" showErrorMessage="1" sqref="Y40" xr:uid="{322FBA4C-854D-4E89-851C-7EF40623EBA4}">
      <formula1>$D$40:$X$40</formula1>
    </dataValidation>
    <dataValidation type="list" allowBlank="1" showInputMessage="1" showErrorMessage="1" sqref="Y39" xr:uid="{626C44E7-F244-4B23-9E0A-0A321498DB0D}">
      <formula1>$D$39:$X$39</formula1>
    </dataValidation>
    <dataValidation type="list" allowBlank="1" showInputMessage="1" showErrorMessage="1" sqref="Y38" xr:uid="{6B3A9DAC-37C7-4CA8-B64C-E30F12CAF85C}">
      <formula1>$D$38:$X$38</formula1>
    </dataValidation>
    <dataValidation type="list" allowBlank="1" showInputMessage="1" showErrorMessage="1" sqref="Y37" xr:uid="{1B067C0F-D875-4AA7-BEE1-99F3EFA4830C}">
      <formula1>$D$37:$X$37</formula1>
    </dataValidation>
    <dataValidation type="list" allowBlank="1" showInputMessage="1" showErrorMessage="1" sqref="Y36" xr:uid="{F6E1186E-B380-4CF0-A532-00E06AC09970}">
      <formula1>$D$36:$X$36</formula1>
    </dataValidation>
    <dataValidation type="list" allowBlank="1" showInputMessage="1" showErrorMessage="1" sqref="Y35" xr:uid="{3A1A746F-1EEE-4C30-9011-7A8E534CFB54}">
      <formula1>$D$35:$X$35</formula1>
    </dataValidation>
    <dataValidation type="list" allowBlank="1" showInputMessage="1" showErrorMessage="1" sqref="Y34" xr:uid="{5410B3DF-6D4E-406E-B367-561C0BDEC1D9}">
      <formula1>$D$34:$X$34</formula1>
    </dataValidation>
    <dataValidation type="list" allowBlank="1" showInputMessage="1" showErrorMessage="1" sqref="Y33" xr:uid="{A6D9DDBE-3EE2-4485-BE09-C9481A80FD64}">
      <formula1>$D$33:$X$33</formula1>
    </dataValidation>
    <dataValidation type="list" allowBlank="1" showInputMessage="1" showErrorMessage="1" sqref="Y32" xr:uid="{DD7CEA93-070F-4B19-B659-22C8421ABB53}">
      <formula1>$D$32:$X$32</formula1>
    </dataValidation>
    <dataValidation type="list" allowBlank="1" showInputMessage="1" showErrorMessage="1" sqref="Y31" xr:uid="{0D609037-FF2F-4497-9F57-4900C0F900B5}">
      <formula1>$D$31:$X$31</formula1>
    </dataValidation>
    <dataValidation type="list" allowBlank="1" showInputMessage="1" showErrorMessage="1" sqref="Y30" xr:uid="{71C146FA-C5A3-4331-95E0-A9CBB03806AC}">
      <formula1>$D$30:$X$30</formula1>
    </dataValidation>
    <dataValidation type="list" allowBlank="1" showInputMessage="1" showErrorMessage="1" sqref="Y29" xr:uid="{444E9BEC-0DF8-4314-882E-76096F084715}">
      <formula1>$D$29:$X$29</formula1>
    </dataValidation>
    <dataValidation type="list" allowBlank="1" showInputMessage="1" showErrorMessage="1" sqref="Y28" xr:uid="{AC287E28-D3D1-4CC9-9741-F5F937762AA4}">
      <formula1>$D$28:$X$28</formula1>
    </dataValidation>
    <dataValidation type="list" allowBlank="1" showInputMessage="1" showErrorMessage="1" sqref="Y27" xr:uid="{655C19D6-8DFE-4FCA-ABD6-5077FA6C2718}">
      <formula1>$D$27:$X$27</formula1>
    </dataValidation>
    <dataValidation type="list" allowBlank="1" showInputMessage="1" showErrorMessage="1" sqref="Y26" xr:uid="{3A3BE953-A63C-4A32-832B-CC8E892B4E8B}">
      <formula1>$D$26:$X$26</formula1>
    </dataValidation>
    <dataValidation type="list" allowBlank="1" showInputMessage="1" showErrorMessage="1" sqref="Y25" xr:uid="{9AAAB074-DD1E-4807-8637-7E8A7E583ECD}">
      <formula1>$D$25:$X$25</formula1>
    </dataValidation>
    <dataValidation type="list" allowBlank="1" showInputMessage="1" showErrorMessage="1" sqref="Y24" xr:uid="{70810A2A-D5F3-4949-83DF-6FB9FE21979F}">
      <formula1>$D$24:$X$24</formula1>
    </dataValidation>
    <dataValidation type="list" allowBlank="1" showInputMessage="1" showErrorMessage="1" sqref="Y23" xr:uid="{52002DC8-D3F6-4F9E-A322-D44F45DE12FC}">
      <formula1>$D$23:$X$23</formula1>
    </dataValidation>
    <dataValidation type="list" allowBlank="1" showInputMessage="1" showErrorMessage="1" sqref="Y22" xr:uid="{22512D0A-72DB-41EE-B6B9-0EBD5EC6D439}">
      <formula1>$D$22:$X$22</formula1>
    </dataValidation>
    <dataValidation type="list" allowBlank="1" showInputMessage="1" showErrorMessage="1" sqref="Y21" xr:uid="{357DEBF2-5062-4A24-B111-C2179487B445}">
      <formula1>$D$21:$X$21</formula1>
    </dataValidation>
    <dataValidation type="list" allowBlank="1" showInputMessage="1" showErrorMessage="1" sqref="Y20" xr:uid="{EE9A295E-4762-45EA-890A-6EAE6903EFE0}">
      <formula1>$D$20:$X$20</formula1>
    </dataValidation>
    <dataValidation type="list" allowBlank="1" showInputMessage="1" showErrorMessage="1" sqref="Y19" xr:uid="{0B134E0F-BB3A-4604-910D-D4F4938A92B9}">
      <formula1>$D$19:$X$19</formula1>
    </dataValidation>
    <dataValidation type="list" allowBlank="1" showInputMessage="1" showErrorMessage="1" sqref="Y18" xr:uid="{D495D5C1-4145-4D85-B076-03A686FF17EE}">
      <formula1>$D$18:$X$18</formula1>
    </dataValidation>
    <dataValidation type="list" allowBlank="1" showInputMessage="1" showErrorMessage="1" sqref="Y17" xr:uid="{738AB537-19A1-4FA2-ADE4-54625B1724B5}">
      <formula1>$D$17:$X$17</formula1>
    </dataValidation>
    <dataValidation type="list" allowBlank="1" showInputMessage="1" showErrorMessage="1" sqref="Y16" xr:uid="{F511156B-873D-4841-9CC5-7727C1FC4252}">
      <formula1>$D$16:$X$16</formula1>
    </dataValidation>
    <dataValidation type="list" allowBlank="1" showInputMessage="1" showErrorMessage="1" sqref="Y15" xr:uid="{0EC4AB79-80D0-4441-A990-E6C67AB4CDC4}">
      <formula1>$D$15:$X$15</formula1>
    </dataValidation>
    <dataValidation type="list" allowBlank="1" showInputMessage="1" showErrorMessage="1" sqref="Y14" xr:uid="{7A532070-6A0F-4406-A79D-2C0946A74169}">
      <formula1>$D$14:$X$14</formula1>
    </dataValidation>
    <dataValidation type="list" allowBlank="1" showInputMessage="1" showErrorMessage="1" sqref="Y13" xr:uid="{0D591474-69F7-4C8B-9B27-69553F3AF79E}">
      <formula1>$D$13:$X$13</formula1>
    </dataValidation>
    <dataValidation type="list" allowBlank="1" showInputMessage="1" showErrorMessage="1" sqref="Y12" xr:uid="{BE1B6A44-2530-4EB0-A188-BC662328DB08}">
      <formula1>$D$12:$X$12</formula1>
    </dataValidation>
    <dataValidation type="list" allowBlank="1" showInputMessage="1" showErrorMessage="1" sqref="Y11" xr:uid="{1856298B-79EA-42EA-9B5B-3C840A803434}">
      <formula1>$D$11:$X$11</formula1>
    </dataValidation>
    <dataValidation type="list" allowBlank="1" showInputMessage="1" showErrorMessage="1" sqref="Y10" xr:uid="{F5FAAB42-2FA4-45EB-84EC-9A8E0E42FED9}">
      <formula1>$D$10:$X$10</formula1>
    </dataValidation>
    <dataValidation type="list" allowBlank="1" showInputMessage="1" showErrorMessage="1" sqref="Z89" xr:uid="{E22F8B77-F6C3-4D14-85E8-488CDEACC95E}">
      <formula1>"NA, SMARTIO12_7"</formula1>
    </dataValidation>
    <dataValidation type="list" allowBlank="1" showInputMessage="1" showErrorMessage="1" sqref="Z88" xr:uid="{3909F494-BFA1-4E37-8C9C-9C2F58321B67}">
      <formula1>"NA, SMARTIO12_6"</formula1>
    </dataValidation>
    <dataValidation type="list" allowBlank="1" showInputMessage="1" showErrorMessage="1" sqref="Z87" xr:uid="{44111BA0-90F8-4449-9A72-CE93AA59C59E}">
      <formula1>"NA, SMARTIO12_5"</formula1>
    </dataValidation>
    <dataValidation type="list" allowBlank="1" showInputMessage="1" showErrorMessage="1" sqref="Z86" xr:uid="{3810B319-3B1A-4BE8-9851-D07E6C850D63}">
      <formula1>"NA, SMARTIO12_4"</formula1>
    </dataValidation>
    <dataValidation type="list" allowBlank="1" showInputMessage="1" showErrorMessage="1" sqref="Z85" xr:uid="{7814069B-81ED-4F35-80A9-28465A4C76B4}">
      <formula1>"NA, SMARTIO12_3"</formula1>
    </dataValidation>
    <dataValidation type="list" allowBlank="1" showInputMessage="1" showErrorMessage="1" sqref="Z84" xr:uid="{AB5408C8-B929-4069-A446-741A80565C7A}">
      <formula1>"NA, SMARTIO12_2"</formula1>
    </dataValidation>
    <dataValidation type="list" allowBlank="1" showInputMessage="1" showErrorMessage="1" sqref="Z83" xr:uid="{8AF833FF-D1EE-460C-BA06-76D7B7EBA3A6}">
      <formula1>"NA, SMARTIO12_1"</formula1>
    </dataValidation>
    <dataValidation type="list" allowBlank="1" showInputMessage="1" showErrorMessage="1" sqref="Z82" xr:uid="{B724ED0B-3F59-4D4C-8BCB-A7A06B44F67F}">
      <formula1>"NA, SMARTIO12_0"</formula1>
    </dataValidation>
    <dataValidation type="list" allowBlank="1" showInputMessage="1" showErrorMessage="1" sqref="Z97" xr:uid="{CB23FDF1-749B-4FF7-9334-2A1F9636DDA3}">
      <formula1>"NA, SMARTIO13_7"</formula1>
    </dataValidation>
    <dataValidation type="list" allowBlank="1" showInputMessage="1" showErrorMessage="1" sqref="Z96" xr:uid="{35BB42F2-9DE6-4896-8393-4B9B009FCAAB}">
      <formula1>"NA, SMARTIO13_6"</formula1>
    </dataValidation>
    <dataValidation type="list" allowBlank="1" showInputMessage="1" showErrorMessage="1" sqref="Z95" xr:uid="{A0B6C6E0-9467-446B-898C-445BA34BF2B9}">
      <formula1>"NA, SMARTIO13_5"</formula1>
    </dataValidation>
    <dataValidation type="list" allowBlank="1" showInputMessage="1" showErrorMessage="1" sqref="Z94" xr:uid="{D99E042F-F77D-4B85-B41F-06FA73586056}">
      <formula1>"NA, SMARTIO13_4"</formula1>
    </dataValidation>
    <dataValidation type="list" allowBlank="1" showInputMessage="1" showErrorMessage="1" sqref="Z93" xr:uid="{33F76681-033C-41DC-9D9A-6619692C7A01}">
      <formula1>"NA, SMARTIO13_3"</formula1>
    </dataValidation>
    <dataValidation type="list" allowBlank="1" showInputMessage="1" showErrorMessage="1" sqref="Z92" xr:uid="{2BD4BF41-5572-40D6-8A9E-1FBBA0465E86}">
      <formula1>"NA, SMARTIO13_2"</formula1>
    </dataValidation>
    <dataValidation type="list" allowBlank="1" showInputMessage="1" showErrorMessage="1" sqref="Z91" xr:uid="{80D8E642-CED7-4684-B3C0-2612ABA8819A}">
      <formula1>"NA, SMARTIO13_1"</formula1>
    </dataValidation>
    <dataValidation type="list" allowBlank="1" showInputMessage="1" showErrorMessage="1" sqref="Z90" xr:uid="{2A67827C-6D12-460F-BBFE-7F0D90C0639A}">
      <formula1>"NA, SMARTIO13_0"</formula1>
    </dataValidation>
    <dataValidation type="list" allowBlank="1" showInputMessage="1" showErrorMessage="1" sqref="Z109" xr:uid="{0B64069F-191B-4965-AC9A-BA93D8712797}">
      <formula1>"NA, SMARTIO15_3"</formula1>
    </dataValidation>
    <dataValidation type="list" allowBlank="1" showInputMessage="1" showErrorMessage="1" sqref="Z108" xr:uid="{51214846-6F18-4E41-A227-E011F131BABE}">
      <formula1>"NA, SMARTIO15_2"</formula1>
    </dataValidation>
    <dataValidation type="list" allowBlank="1" showInputMessage="1" showErrorMessage="1" sqref="Z107" xr:uid="{4767BA0C-2DCC-47A3-90DC-129A0CE120AB}">
      <formula1>"NA, SMARTIO15_1"</formula1>
    </dataValidation>
    <dataValidation type="list" allowBlank="1" showInputMessage="1" showErrorMessage="1" sqref="Z106" xr:uid="{C6913DE4-DEB3-49A9-923C-986DA687DE62}">
      <formula1>"NA, SMARTIO15_0"</formula1>
    </dataValidation>
    <dataValidation type="list" allowBlank="1" showInputMessage="1" showErrorMessage="1" sqref="Z105" xr:uid="{C4207388-8051-4BA1-B73E-7934C349EE1A}">
      <formula1>"NA, SMARTIO14_7"</formula1>
    </dataValidation>
    <dataValidation type="list" allowBlank="1" showInputMessage="1" showErrorMessage="1" sqref="Z104" xr:uid="{E68E0740-2CE3-40A8-B6CD-2C85235A1FD8}">
      <formula1>"NA, SMARTIO14_6"</formula1>
    </dataValidation>
    <dataValidation type="list" allowBlank="1" showInputMessage="1" showErrorMessage="1" sqref="Z103" xr:uid="{518B3FF2-2904-4761-BED1-FBC6DDE1231B}">
      <formula1>"NA, SMARTIO14_5"</formula1>
    </dataValidation>
    <dataValidation type="list" allowBlank="1" showInputMessage="1" showErrorMessage="1" sqref="Z102" xr:uid="{6CB6ADD0-3ECF-451B-B483-E776E33F132C}">
      <formula1>"NA, SMARTIO14_4"</formula1>
    </dataValidation>
    <dataValidation type="list" allowBlank="1" showInputMessage="1" showErrorMessage="1" sqref="Z101" xr:uid="{693D595E-CCDF-4364-9683-487786373BD6}">
      <formula1>"NA, SMARTIO14_3"</formula1>
    </dataValidation>
    <dataValidation type="list" allowBlank="1" showInputMessage="1" showErrorMessage="1" sqref="Z100" xr:uid="{B6CEF952-60E7-405E-80EC-5132647A50BD}">
      <formula1>"NA, SMARTIO14_2"</formula1>
    </dataValidation>
    <dataValidation type="list" allowBlank="1" showInputMessage="1" showErrorMessage="1" sqref="Z99" xr:uid="{1F21AF1A-859D-4459-A981-4379DFEFD733}">
      <formula1>"NA, SMARTIO14_1"</formula1>
    </dataValidation>
    <dataValidation type="list" allowBlank="1" showInputMessage="1" showErrorMessage="1" sqref="Z98" xr:uid="{7318163B-73E1-4D90-8FA3-CD4F4EC2A511}">
      <formula1>"NA, SMARTIO14_0"</formula1>
    </dataValidation>
    <dataValidation type="list" allowBlank="1" showInputMessage="1" showErrorMessage="1" sqref="Z125" xr:uid="{98CB5C9C-D366-4B71-AC3C-9DADE115F1DB}">
      <formula1>"NA, SMARTIO17_7"</formula1>
    </dataValidation>
    <dataValidation type="list" allowBlank="1" showInputMessage="1" showErrorMessage="1" sqref="Z124" xr:uid="{7FE7E7EC-17A4-4712-8DDC-16E5471A1F24}">
      <formula1>"NA, SMARTIO17_6"</formula1>
    </dataValidation>
    <dataValidation type="list" allowBlank="1" showInputMessage="1" showErrorMessage="1" sqref="Z123" xr:uid="{BA9FA5F1-B7D2-42F4-8D0E-B413475BE42C}">
      <formula1>"NA, SMARTIO17_5"</formula1>
    </dataValidation>
    <dataValidation type="list" allowBlank="1" showInputMessage="1" showErrorMessage="1" sqref="Z122" xr:uid="{8FE9B3A3-7B11-4F76-8577-F0DDC5941941}">
      <formula1>"NA, SMARTIO17_4"</formula1>
    </dataValidation>
    <dataValidation type="list" allowBlank="1" showInputMessage="1" showErrorMessage="1" sqref="Z121" xr:uid="{D05AF1EE-C4AA-463A-A94B-76C4147A8EBE}">
      <formula1>"NA, SMARTIO17_3"</formula1>
    </dataValidation>
    <dataValidation type="list" allowBlank="1" showInputMessage="1" showErrorMessage="1" sqref="Z120" xr:uid="{AB93606B-3D6B-40F9-A9A4-647BEC0DF18F}">
      <formula1>"NA, SMARTIO17_2"</formula1>
    </dataValidation>
    <dataValidation type="list" allowBlank="1" showInputMessage="1" showErrorMessage="1" sqref="Z119" xr:uid="{C5DB30F8-221C-49E2-ACBF-D6CDE026A42C}">
      <formula1>"NA, SMARTIO17_1"</formula1>
    </dataValidation>
    <dataValidation type="list" allowBlank="1" showInputMessage="1" showErrorMessage="1" sqref="Z118" xr:uid="{02230219-9937-4C50-B99F-80C7C3B8E4EE}">
      <formula1>"NA, SMARTIO17_0"</formula1>
    </dataValidation>
  </dataValidations>
  <pageMargins left="0.7" right="0.7" top="0.75" bottom="0.75" header="0.3" footer="0.3"/>
  <pageSetup paperSize="9" orientation="portrait" r:id="rId1"/>
  <ignoredErrors>
    <ignoredError sqref="AA10:AA281" unlockedFormula="1"/>
  </ignoredError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319D8-D718-4661-96F0-E9578F01649E}">
  <dimension ref="A1:CL277"/>
  <sheetViews>
    <sheetView topLeftCell="B1" zoomScale="85" zoomScaleNormal="85" workbookViewId="0">
      <selection activeCell="I3" sqref="I3"/>
    </sheetView>
  </sheetViews>
  <sheetFormatPr defaultRowHeight="10" x14ac:dyDescent="0.55000000000000004"/>
  <cols>
    <col min="1" max="1" width="8.6640625" style="46"/>
    <col min="2" max="2" width="14.1640625" style="46" bestFit="1" customWidth="1"/>
    <col min="3" max="3" width="22.25" style="46" bestFit="1" customWidth="1"/>
    <col min="4" max="87" width="6.25" style="46" customWidth="1"/>
    <col min="88" max="90" width="8.58203125" style="46" customWidth="1"/>
    <col min="91" max="291" width="8.6640625" style="46"/>
    <col min="292" max="292" width="14.33203125" style="46" customWidth="1"/>
    <col min="293" max="294" width="3.33203125" style="46" customWidth="1"/>
    <col min="295" max="319" width="2.4140625" style="46" customWidth="1"/>
    <col min="320" max="321" width="3.33203125" style="46" customWidth="1"/>
    <col min="322" max="322" width="14.33203125" style="46" customWidth="1"/>
    <col min="323" max="547" width="8.6640625" style="46"/>
    <col min="548" max="548" width="14.33203125" style="46" customWidth="1"/>
    <col min="549" max="550" width="3.33203125" style="46" customWidth="1"/>
    <col min="551" max="575" width="2.4140625" style="46" customWidth="1"/>
    <col min="576" max="577" width="3.33203125" style="46" customWidth="1"/>
    <col min="578" max="578" width="14.33203125" style="46" customWidth="1"/>
    <col min="579" max="803" width="8.6640625" style="46"/>
    <col min="804" max="804" width="14.33203125" style="46" customWidth="1"/>
    <col min="805" max="806" width="3.33203125" style="46" customWidth="1"/>
    <col min="807" max="831" width="2.4140625" style="46" customWidth="1"/>
    <col min="832" max="833" width="3.33203125" style="46" customWidth="1"/>
    <col min="834" max="834" width="14.33203125" style="46" customWidth="1"/>
    <col min="835" max="1059" width="8.6640625" style="46"/>
    <col min="1060" max="1060" width="14.33203125" style="46" customWidth="1"/>
    <col min="1061" max="1062" width="3.33203125" style="46" customWidth="1"/>
    <col min="1063" max="1087" width="2.4140625" style="46" customWidth="1"/>
    <col min="1088" max="1089" width="3.33203125" style="46" customWidth="1"/>
    <col min="1090" max="1090" width="14.33203125" style="46" customWidth="1"/>
    <col min="1091" max="1315" width="8.6640625" style="46"/>
    <col min="1316" max="1316" width="14.33203125" style="46" customWidth="1"/>
    <col min="1317" max="1318" width="3.33203125" style="46" customWidth="1"/>
    <col min="1319" max="1343" width="2.4140625" style="46" customWidth="1"/>
    <col min="1344" max="1345" width="3.33203125" style="46" customWidth="1"/>
    <col min="1346" max="1346" width="14.33203125" style="46" customWidth="1"/>
    <col min="1347" max="1571" width="8.6640625" style="46"/>
    <col min="1572" max="1572" width="14.33203125" style="46" customWidth="1"/>
    <col min="1573" max="1574" width="3.33203125" style="46" customWidth="1"/>
    <col min="1575" max="1599" width="2.4140625" style="46" customWidth="1"/>
    <col min="1600" max="1601" width="3.33203125" style="46" customWidth="1"/>
    <col min="1602" max="1602" width="14.33203125" style="46" customWidth="1"/>
    <col min="1603" max="1827" width="8.6640625" style="46"/>
    <col min="1828" max="1828" width="14.33203125" style="46" customWidth="1"/>
    <col min="1829" max="1830" width="3.33203125" style="46" customWidth="1"/>
    <col min="1831" max="1855" width="2.4140625" style="46" customWidth="1"/>
    <col min="1856" max="1857" width="3.33203125" style="46" customWidth="1"/>
    <col min="1858" max="1858" width="14.33203125" style="46" customWidth="1"/>
    <col min="1859" max="2083" width="8.6640625" style="46"/>
    <col min="2084" max="2084" width="14.33203125" style="46" customWidth="1"/>
    <col min="2085" max="2086" width="3.33203125" style="46" customWidth="1"/>
    <col min="2087" max="2111" width="2.4140625" style="46" customWidth="1"/>
    <col min="2112" max="2113" width="3.33203125" style="46" customWidth="1"/>
    <col min="2114" max="2114" width="14.33203125" style="46" customWidth="1"/>
    <col min="2115" max="2339" width="8.6640625" style="46"/>
    <col min="2340" max="2340" width="14.33203125" style="46" customWidth="1"/>
    <col min="2341" max="2342" width="3.33203125" style="46" customWidth="1"/>
    <col min="2343" max="2367" width="2.4140625" style="46" customWidth="1"/>
    <col min="2368" max="2369" width="3.33203125" style="46" customWidth="1"/>
    <col min="2370" max="2370" width="14.33203125" style="46" customWidth="1"/>
    <col min="2371" max="2595" width="8.6640625" style="46"/>
    <col min="2596" max="2596" width="14.33203125" style="46" customWidth="1"/>
    <col min="2597" max="2598" width="3.33203125" style="46" customWidth="1"/>
    <col min="2599" max="2623" width="2.4140625" style="46" customWidth="1"/>
    <col min="2624" max="2625" width="3.33203125" style="46" customWidth="1"/>
    <col min="2626" max="2626" width="14.33203125" style="46" customWidth="1"/>
    <col min="2627" max="2851" width="8.6640625" style="46"/>
    <col min="2852" max="2852" width="14.33203125" style="46" customWidth="1"/>
    <col min="2853" max="2854" width="3.33203125" style="46" customWidth="1"/>
    <col min="2855" max="2879" width="2.4140625" style="46" customWidth="1"/>
    <col min="2880" max="2881" width="3.33203125" style="46" customWidth="1"/>
    <col min="2882" max="2882" width="14.33203125" style="46" customWidth="1"/>
    <col min="2883" max="3107" width="8.6640625" style="46"/>
    <col min="3108" max="3108" width="14.33203125" style="46" customWidth="1"/>
    <col min="3109" max="3110" width="3.33203125" style="46" customWidth="1"/>
    <col min="3111" max="3135" width="2.4140625" style="46" customWidth="1"/>
    <col min="3136" max="3137" width="3.33203125" style="46" customWidth="1"/>
    <col min="3138" max="3138" width="14.33203125" style="46" customWidth="1"/>
    <col min="3139" max="3363" width="8.6640625" style="46"/>
    <col min="3364" max="3364" width="14.33203125" style="46" customWidth="1"/>
    <col min="3365" max="3366" width="3.33203125" style="46" customWidth="1"/>
    <col min="3367" max="3391" width="2.4140625" style="46" customWidth="1"/>
    <col min="3392" max="3393" width="3.33203125" style="46" customWidth="1"/>
    <col min="3394" max="3394" width="14.33203125" style="46" customWidth="1"/>
    <col min="3395" max="3619" width="8.6640625" style="46"/>
    <col min="3620" max="3620" width="14.33203125" style="46" customWidth="1"/>
    <col min="3621" max="3622" width="3.33203125" style="46" customWidth="1"/>
    <col min="3623" max="3647" width="2.4140625" style="46" customWidth="1"/>
    <col min="3648" max="3649" width="3.33203125" style="46" customWidth="1"/>
    <col min="3650" max="3650" width="14.33203125" style="46" customWidth="1"/>
    <col min="3651" max="3875" width="8.6640625" style="46"/>
    <col min="3876" max="3876" width="14.33203125" style="46" customWidth="1"/>
    <col min="3877" max="3878" width="3.33203125" style="46" customWidth="1"/>
    <col min="3879" max="3903" width="2.4140625" style="46" customWidth="1"/>
    <col min="3904" max="3905" width="3.33203125" style="46" customWidth="1"/>
    <col min="3906" max="3906" width="14.33203125" style="46" customWidth="1"/>
    <col min="3907" max="4131" width="8.6640625" style="46"/>
    <col min="4132" max="4132" width="14.33203125" style="46" customWidth="1"/>
    <col min="4133" max="4134" width="3.33203125" style="46" customWidth="1"/>
    <col min="4135" max="4159" width="2.4140625" style="46" customWidth="1"/>
    <col min="4160" max="4161" width="3.33203125" style="46" customWidth="1"/>
    <col min="4162" max="4162" width="14.33203125" style="46" customWidth="1"/>
    <col min="4163" max="4387" width="8.6640625" style="46"/>
    <col min="4388" max="4388" width="14.33203125" style="46" customWidth="1"/>
    <col min="4389" max="4390" width="3.33203125" style="46" customWidth="1"/>
    <col min="4391" max="4415" width="2.4140625" style="46" customWidth="1"/>
    <col min="4416" max="4417" width="3.33203125" style="46" customWidth="1"/>
    <col min="4418" max="4418" width="14.33203125" style="46" customWidth="1"/>
    <col min="4419" max="4643" width="8.6640625" style="46"/>
    <col min="4644" max="4644" width="14.33203125" style="46" customWidth="1"/>
    <col min="4645" max="4646" width="3.33203125" style="46" customWidth="1"/>
    <col min="4647" max="4671" width="2.4140625" style="46" customWidth="1"/>
    <col min="4672" max="4673" width="3.33203125" style="46" customWidth="1"/>
    <col min="4674" max="4674" width="14.33203125" style="46" customWidth="1"/>
    <col min="4675" max="4899" width="8.6640625" style="46"/>
    <col min="4900" max="4900" width="14.33203125" style="46" customWidth="1"/>
    <col min="4901" max="4902" width="3.33203125" style="46" customWidth="1"/>
    <col min="4903" max="4927" width="2.4140625" style="46" customWidth="1"/>
    <col min="4928" max="4929" width="3.33203125" style="46" customWidth="1"/>
    <col min="4930" max="4930" width="14.33203125" style="46" customWidth="1"/>
    <col min="4931" max="5155" width="8.6640625" style="46"/>
    <col min="5156" max="5156" width="14.33203125" style="46" customWidth="1"/>
    <col min="5157" max="5158" width="3.33203125" style="46" customWidth="1"/>
    <col min="5159" max="5183" width="2.4140625" style="46" customWidth="1"/>
    <col min="5184" max="5185" width="3.33203125" style="46" customWidth="1"/>
    <col min="5186" max="5186" width="14.33203125" style="46" customWidth="1"/>
    <col min="5187" max="5411" width="8.6640625" style="46"/>
    <col min="5412" max="5412" width="14.33203125" style="46" customWidth="1"/>
    <col min="5413" max="5414" width="3.33203125" style="46" customWidth="1"/>
    <col min="5415" max="5439" width="2.4140625" style="46" customWidth="1"/>
    <col min="5440" max="5441" width="3.33203125" style="46" customWidth="1"/>
    <col min="5442" max="5442" width="14.33203125" style="46" customWidth="1"/>
    <col min="5443" max="5667" width="8.6640625" style="46"/>
    <col min="5668" max="5668" width="14.33203125" style="46" customWidth="1"/>
    <col min="5669" max="5670" width="3.33203125" style="46" customWidth="1"/>
    <col min="5671" max="5695" width="2.4140625" style="46" customWidth="1"/>
    <col min="5696" max="5697" width="3.33203125" style="46" customWidth="1"/>
    <col min="5698" max="5698" width="14.33203125" style="46" customWidth="1"/>
    <col min="5699" max="5923" width="8.6640625" style="46"/>
    <col min="5924" max="5924" width="14.33203125" style="46" customWidth="1"/>
    <col min="5925" max="5926" width="3.33203125" style="46" customWidth="1"/>
    <col min="5927" max="5951" width="2.4140625" style="46" customWidth="1"/>
    <col min="5952" max="5953" width="3.33203125" style="46" customWidth="1"/>
    <col min="5954" max="5954" width="14.33203125" style="46" customWidth="1"/>
    <col min="5955" max="6179" width="8.6640625" style="46"/>
    <col min="6180" max="6180" width="14.33203125" style="46" customWidth="1"/>
    <col min="6181" max="6182" width="3.33203125" style="46" customWidth="1"/>
    <col min="6183" max="6207" width="2.4140625" style="46" customWidth="1"/>
    <col min="6208" max="6209" width="3.33203125" style="46" customWidth="1"/>
    <col min="6210" max="6210" width="14.33203125" style="46" customWidth="1"/>
    <col min="6211" max="6435" width="8.6640625" style="46"/>
    <col min="6436" max="6436" width="14.33203125" style="46" customWidth="1"/>
    <col min="6437" max="6438" width="3.33203125" style="46" customWidth="1"/>
    <col min="6439" max="6463" width="2.4140625" style="46" customWidth="1"/>
    <col min="6464" max="6465" width="3.33203125" style="46" customWidth="1"/>
    <col min="6466" max="6466" width="14.33203125" style="46" customWidth="1"/>
    <col min="6467" max="6691" width="8.6640625" style="46"/>
    <col min="6692" max="6692" width="14.33203125" style="46" customWidth="1"/>
    <col min="6693" max="6694" width="3.33203125" style="46" customWidth="1"/>
    <col min="6695" max="6719" width="2.4140625" style="46" customWidth="1"/>
    <col min="6720" max="6721" width="3.33203125" style="46" customWidth="1"/>
    <col min="6722" max="6722" width="14.33203125" style="46" customWidth="1"/>
    <col min="6723" max="6947" width="8.6640625" style="46"/>
    <col min="6948" max="6948" width="14.33203125" style="46" customWidth="1"/>
    <col min="6949" max="6950" width="3.33203125" style="46" customWidth="1"/>
    <col min="6951" max="6975" width="2.4140625" style="46" customWidth="1"/>
    <col min="6976" max="6977" width="3.33203125" style="46" customWidth="1"/>
    <col min="6978" max="6978" width="14.33203125" style="46" customWidth="1"/>
    <col min="6979" max="7203" width="8.6640625" style="46"/>
    <col min="7204" max="7204" width="14.33203125" style="46" customWidth="1"/>
    <col min="7205" max="7206" width="3.33203125" style="46" customWidth="1"/>
    <col min="7207" max="7231" width="2.4140625" style="46" customWidth="1"/>
    <col min="7232" max="7233" width="3.33203125" style="46" customWidth="1"/>
    <col min="7234" max="7234" width="14.33203125" style="46" customWidth="1"/>
    <col min="7235" max="7459" width="8.6640625" style="46"/>
    <col min="7460" max="7460" width="14.33203125" style="46" customWidth="1"/>
    <col min="7461" max="7462" width="3.33203125" style="46" customWidth="1"/>
    <col min="7463" max="7487" width="2.4140625" style="46" customWidth="1"/>
    <col min="7488" max="7489" width="3.33203125" style="46" customWidth="1"/>
    <col min="7490" max="7490" width="14.33203125" style="46" customWidth="1"/>
    <col min="7491" max="7715" width="8.6640625" style="46"/>
    <col min="7716" max="7716" width="14.33203125" style="46" customWidth="1"/>
    <col min="7717" max="7718" width="3.33203125" style="46" customWidth="1"/>
    <col min="7719" max="7743" width="2.4140625" style="46" customWidth="1"/>
    <col min="7744" max="7745" width="3.33203125" style="46" customWidth="1"/>
    <col min="7746" max="7746" width="14.33203125" style="46" customWidth="1"/>
    <col min="7747" max="7971" width="8.6640625" style="46"/>
    <col min="7972" max="7972" width="14.33203125" style="46" customWidth="1"/>
    <col min="7973" max="7974" width="3.33203125" style="46" customWidth="1"/>
    <col min="7975" max="7999" width="2.4140625" style="46" customWidth="1"/>
    <col min="8000" max="8001" width="3.33203125" style="46" customWidth="1"/>
    <col min="8002" max="8002" width="14.33203125" style="46" customWidth="1"/>
    <col min="8003" max="8227" width="8.6640625" style="46"/>
    <col min="8228" max="8228" width="14.33203125" style="46" customWidth="1"/>
    <col min="8229" max="8230" width="3.33203125" style="46" customWidth="1"/>
    <col min="8231" max="8255" width="2.4140625" style="46" customWidth="1"/>
    <col min="8256" max="8257" width="3.33203125" style="46" customWidth="1"/>
    <col min="8258" max="8258" width="14.33203125" style="46" customWidth="1"/>
    <col min="8259" max="8483" width="8.6640625" style="46"/>
    <col min="8484" max="8484" width="14.33203125" style="46" customWidth="1"/>
    <col min="8485" max="8486" width="3.33203125" style="46" customWidth="1"/>
    <col min="8487" max="8511" width="2.4140625" style="46" customWidth="1"/>
    <col min="8512" max="8513" width="3.33203125" style="46" customWidth="1"/>
    <col min="8514" max="8514" width="14.33203125" style="46" customWidth="1"/>
    <col min="8515" max="8739" width="8.6640625" style="46"/>
    <col min="8740" max="8740" width="14.33203125" style="46" customWidth="1"/>
    <col min="8741" max="8742" width="3.33203125" style="46" customWidth="1"/>
    <col min="8743" max="8767" width="2.4140625" style="46" customWidth="1"/>
    <col min="8768" max="8769" width="3.33203125" style="46" customWidth="1"/>
    <col min="8770" max="8770" width="14.33203125" style="46" customWidth="1"/>
    <col min="8771" max="8995" width="8.6640625" style="46"/>
    <col min="8996" max="8996" width="14.33203125" style="46" customWidth="1"/>
    <col min="8997" max="8998" width="3.33203125" style="46" customWidth="1"/>
    <col min="8999" max="9023" width="2.4140625" style="46" customWidth="1"/>
    <col min="9024" max="9025" width="3.33203125" style="46" customWidth="1"/>
    <col min="9026" max="9026" width="14.33203125" style="46" customWidth="1"/>
    <col min="9027" max="9251" width="8.6640625" style="46"/>
    <col min="9252" max="9252" width="14.33203125" style="46" customWidth="1"/>
    <col min="9253" max="9254" width="3.33203125" style="46" customWidth="1"/>
    <col min="9255" max="9279" width="2.4140625" style="46" customWidth="1"/>
    <col min="9280" max="9281" width="3.33203125" style="46" customWidth="1"/>
    <col min="9282" max="9282" width="14.33203125" style="46" customWidth="1"/>
    <col min="9283" max="9507" width="8.6640625" style="46"/>
    <col min="9508" max="9508" width="14.33203125" style="46" customWidth="1"/>
    <col min="9509" max="9510" width="3.33203125" style="46" customWidth="1"/>
    <col min="9511" max="9535" width="2.4140625" style="46" customWidth="1"/>
    <col min="9536" max="9537" width="3.33203125" style="46" customWidth="1"/>
    <col min="9538" max="9538" width="14.33203125" style="46" customWidth="1"/>
    <col min="9539" max="9763" width="8.6640625" style="46"/>
    <col min="9764" max="9764" width="14.33203125" style="46" customWidth="1"/>
    <col min="9765" max="9766" width="3.33203125" style="46" customWidth="1"/>
    <col min="9767" max="9791" width="2.4140625" style="46" customWidth="1"/>
    <col min="9792" max="9793" width="3.33203125" style="46" customWidth="1"/>
    <col min="9794" max="9794" width="14.33203125" style="46" customWidth="1"/>
    <col min="9795" max="10019" width="8.6640625" style="46"/>
    <col min="10020" max="10020" width="14.33203125" style="46" customWidth="1"/>
    <col min="10021" max="10022" width="3.33203125" style="46" customWidth="1"/>
    <col min="10023" max="10047" width="2.4140625" style="46" customWidth="1"/>
    <col min="10048" max="10049" width="3.33203125" style="46" customWidth="1"/>
    <col min="10050" max="10050" width="14.33203125" style="46" customWidth="1"/>
    <col min="10051" max="10275" width="8.6640625" style="46"/>
    <col min="10276" max="10276" width="14.33203125" style="46" customWidth="1"/>
    <col min="10277" max="10278" width="3.33203125" style="46" customWidth="1"/>
    <col min="10279" max="10303" width="2.4140625" style="46" customWidth="1"/>
    <col min="10304" max="10305" width="3.33203125" style="46" customWidth="1"/>
    <col min="10306" max="10306" width="14.33203125" style="46" customWidth="1"/>
    <col min="10307" max="10531" width="8.6640625" style="46"/>
    <col min="10532" max="10532" width="14.33203125" style="46" customWidth="1"/>
    <col min="10533" max="10534" width="3.33203125" style="46" customWidth="1"/>
    <col min="10535" max="10559" width="2.4140625" style="46" customWidth="1"/>
    <col min="10560" max="10561" width="3.33203125" style="46" customWidth="1"/>
    <col min="10562" max="10562" width="14.33203125" style="46" customWidth="1"/>
    <col min="10563" max="10787" width="8.6640625" style="46"/>
    <col min="10788" max="10788" width="14.33203125" style="46" customWidth="1"/>
    <col min="10789" max="10790" width="3.33203125" style="46" customWidth="1"/>
    <col min="10791" max="10815" width="2.4140625" style="46" customWidth="1"/>
    <col min="10816" max="10817" width="3.33203125" style="46" customWidth="1"/>
    <col min="10818" max="10818" width="14.33203125" style="46" customWidth="1"/>
    <col min="10819" max="11043" width="8.6640625" style="46"/>
    <col min="11044" max="11044" width="14.33203125" style="46" customWidth="1"/>
    <col min="11045" max="11046" width="3.33203125" style="46" customWidth="1"/>
    <col min="11047" max="11071" width="2.4140625" style="46" customWidth="1"/>
    <col min="11072" max="11073" width="3.33203125" style="46" customWidth="1"/>
    <col min="11074" max="11074" width="14.33203125" style="46" customWidth="1"/>
    <col min="11075" max="11299" width="8.6640625" style="46"/>
    <col min="11300" max="11300" width="14.33203125" style="46" customWidth="1"/>
    <col min="11301" max="11302" width="3.33203125" style="46" customWidth="1"/>
    <col min="11303" max="11327" width="2.4140625" style="46" customWidth="1"/>
    <col min="11328" max="11329" width="3.33203125" style="46" customWidth="1"/>
    <col min="11330" max="11330" width="14.33203125" style="46" customWidth="1"/>
    <col min="11331" max="11555" width="8.6640625" style="46"/>
    <col min="11556" max="11556" width="14.33203125" style="46" customWidth="1"/>
    <col min="11557" max="11558" width="3.33203125" style="46" customWidth="1"/>
    <col min="11559" max="11583" width="2.4140625" style="46" customWidth="1"/>
    <col min="11584" max="11585" width="3.33203125" style="46" customWidth="1"/>
    <col min="11586" max="11586" width="14.33203125" style="46" customWidth="1"/>
    <col min="11587" max="11811" width="8.6640625" style="46"/>
    <col min="11812" max="11812" width="14.33203125" style="46" customWidth="1"/>
    <col min="11813" max="11814" width="3.33203125" style="46" customWidth="1"/>
    <col min="11815" max="11839" width="2.4140625" style="46" customWidth="1"/>
    <col min="11840" max="11841" width="3.33203125" style="46" customWidth="1"/>
    <col min="11842" max="11842" width="14.33203125" style="46" customWidth="1"/>
    <col min="11843" max="12067" width="8.6640625" style="46"/>
    <col min="12068" max="12068" width="14.33203125" style="46" customWidth="1"/>
    <col min="12069" max="12070" width="3.33203125" style="46" customWidth="1"/>
    <col min="12071" max="12095" width="2.4140625" style="46" customWidth="1"/>
    <col min="12096" max="12097" width="3.33203125" style="46" customWidth="1"/>
    <col min="12098" max="12098" width="14.33203125" style="46" customWidth="1"/>
    <col min="12099" max="12323" width="8.6640625" style="46"/>
    <col min="12324" max="12324" width="14.33203125" style="46" customWidth="1"/>
    <col min="12325" max="12326" width="3.33203125" style="46" customWidth="1"/>
    <col min="12327" max="12351" width="2.4140625" style="46" customWidth="1"/>
    <col min="12352" max="12353" width="3.33203125" style="46" customWidth="1"/>
    <col min="12354" max="12354" width="14.33203125" style="46" customWidth="1"/>
    <col min="12355" max="12579" width="8.6640625" style="46"/>
    <col min="12580" max="12580" width="14.33203125" style="46" customWidth="1"/>
    <col min="12581" max="12582" width="3.33203125" style="46" customWidth="1"/>
    <col min="12583" max="12607" width="2.4140625" style="46" customWidth="1"/>
    <col min="12608" max="12609" width="3.33203125" style="46" customWidth="1"/>
    <col min="12610" max="12610" width="14.33203125" style="46" customWidth="1"/>
    <col min="12611" max="12835" width="8.6640625" style="46"/>
    <col min="12836" max="12836" width="14.33203125" style="46" customWidth="1"/>
    <col min="12837" max="12838" width="3.33203125" style="46" customWidth="1"/>
    <col min="12839" max="12863" width="2.4140625" style="46" customWidth="1"/>
    <col min="12864" max="12865" width="3.33203125" style="46" customWidth="1"/>
    <col min="12866" max="12866" width="14.33203125" style="46" customWidth="1"/>
    <col min="12867" max="13091" width="8.6640625" style="46"/>
    <col min="13092" max="13092" width="14.33203125" style="46" customWidth="1"/>
    <col min="13093" max="13094" width="3.33203125" style="46" customWidth="1"/>
    <col min="13095" max="13119" width="2.4140625" style="46" customWidth="1"/>
    <col min="13120" max="13121" width="3.33203125" style="46" customWidth="1"/>
    <col min="13122" max="13122" width="14.33203125" style="46" customWidth="1"/>
    <col min="13123" max="13347" width="8.6640625" style="46"/>
    <col min="13348" max="13348" width="14.33203125" style="46" customWidth="1"/>
    <col min="13349" max="13350" width="3.33203125" style="46" customWidth="1"/>
    <col min="13351" max="13375" width="2.4140625" style="46" customWidth="1"/>
    <col min="13376" max="13377" width="3.33203125" style="46" customWidth="1"/>
    <col min="13378" max="13378" width="14.33203125" style="46" customWidth="1"/>
    <col min="13379" max="13603" width="8.6640625" style="46"/>
    <col min="13604" max="13604" width="14.33203125" style="46" customWidth="1"/>
    <col min="13605" max="13606" width="3.33203125" style="46" customWidth="1"/>
    <col min="13607" max="13631" width="2.4140625" style="46" customWidth="1"/>
    <col min="13632" max="13633" width="3.33203125" style="46" customWidth="1"/>
    <col min="13634" max="13634" width="14.33203125" style="46" customWidth="1"/>
    <col min="13635" max="13859" width="8.6640625" style="46"/>
    <col min="13860" max="13860" width="14.33203125" style="46" customWidth="1"/>
    <col min="13861" max="13862" width="3.33203125" style="46" customWidth="1"/>
    <col min="13863" max="13887" width="2.4140625" style="46" customWidth="1"/>
    <col min="13888" max="13889" width="3.33203125" style="46" customWidth="1"/>
    <col min="13890" max="13890" width="14.33203125" style="46" customWidth="1"/>
    <col min="13891" max="14115" width="8.6640625" style="46"/>
    <col min="14116" max="14116" width="14.33203125" style="46" customWidth="1"/>
    <col min="14117" max="14118" width="3.33203125" style="46" customWidth="1"/>
    <col min="14119" max="14143" width="2.4140625" style="46" customWidth="1"/>
    <col min="14144" max="14145" width="3.33203125" style="46" customWidth="1"/>
    <col min="14146" max="14146" width="14.33203125" style="46" customWidth="1"/>
    <col min="14147" max="14371" width="8.6640625" style="46"/>
    <col min="14372" max="14372" width="14.33203125" style="46" customWidth="1"/>
    <col min="14373" max="14374" width="3.33203125" style="46" customWidth="1"/>
    <col min="14375" max="14399" width="2.4140625" style="46" customWidth="1"/>
    <col min="14400" max="14401" width="3.33203125" style="46" customWidth="1"/>
    <col min="14402" max="14402" width="14.33203125" style="46" customWidth="1"/>
    <col min="14403" max="14627" width="8.6640625" style="46"/>
    <col min="14628" max="14628" width="14.33203125" style="46" customWidth="1"/>
    <col min="14629" max="14630" width="3.33203125" style="46" customWidth="1"/>
    <col min="14631" max="14655" width="2.4140625" style="46" customWidth="1"/>
    <col min="14656" max="14657" width="3.33203125" style="46" customWidth="1"/>
    <col min="14658" max="14658" width="14.33203125" style="46" customWidth="1"/>
    <col min="14659" max="14883" width="8.6640625" style="46"/>
    <col min="14884" max="14884" width="14.33203125" style="46" customWidth="1"/>
    <col min="14885" max="14886" width="3.33203125" style="46" customWidth="1"/>
    <col min="14887" max="14911" width="2.4140625" style="46" customWidth="1"/>
    <col min="14912" max="14913" width="3.33203125" style="46" customWidth="1"/>
    <col min="14914" max="14914" width="14.33203125" style="46" customWidth="1"/>
    <col min="14915" max="15139" width="8.6640625" style="46"/>
    <col min="15140" max="15140" width="14.33203125" style="46" customWidth="1"/>
    <col min="15141" max="15142" width="3.33203125" style="46" customWidth="1"/>
    <col min="15143" max="15167" width="2.4140625" style="46" customWidth="1"/>
    <col min="15168" max="15169" width="3.33203125" style="46" customWidth="1"/>
    <col min="15170" max="15170" width="14.33203125" style="46" customWidth="1"/>
    <col min="15171" max="15395" width="8.6640625" style="46"/>
    <col min="15396" max="15396" width="14.33203125" style="46" customWidth="1"/>
    <col min="15397" max="15398" width="3.33203125" style="46" customWidth="1"/>
    <col min="15399" max="15423" width="2.4140625" style="46" customWidth="1"/>
    <col min="15424" max="15425" width="3.33203125" style="46" customWidth="1"/>
    <col min="15426" max="15426" width="14.33203125" style="46" customWidth="1"/>
    <col min="15427" max="15651" width="8.6640625" style="46"/>
    <col min="15652" max="15652" width="14.33203125" style="46" customWidth="1"/>
    <col min="15653" max="15654" width="3.33203125" style="46" customWidth="1"/>
    <col min="15655" max="15679" width="2.4140625" style="46" customWidth="1"/>
    <col min="15680" max="15681" width="3.33203125" style="46" customWidth="1"/>
    <col min="15682" max="15682" width="14.33203125" style="46" customWidth="1"/>
    <col min="15683" max="15907" width="8.6640625" style="46"/>
    <col min="15908" max="15908" width="14.33203125" style="46" customWidth="1"/>
    <col min="15909" max="15910" width="3.33203125" style="46" customWidth="1"/>
    <col min="15911" max="15935" width="2.4140625" style="46" customWidth="1"/>
    <col min="15936" max="15937" width="3.33203125" style="46" customWidth="1"/>
    <col min="15938" max="15938" width="14.33203125" style="46" customWidth="1"/>
    <col min="15939" max="16163" width="8.6640625" style="46"/>
    <col min="16164" max="16164" width="14.33203125" style="46" customWidth="1"/>
    <col min="16165" max="16166" width="3.33203125" style="46" customWidth="1"/>
    <col min="16167" max="16191" width="2.4140625" style="46" customWidth="1"/>
    <col min="16192" max="16193" width="3.33203125" style="46" customWidth="1"/>
    <col min="16194" max="16194" width="14.33203125" style="46" customWidth="1"/>
    <col min="16195" max="16384" width="8.6640625" style="46"/>
  </cols>
  <sheetData>
    <row r="1" spans="1:90" ht="25" customHeight="1" x14ac:dyDescent="0.55000000000000004">
      <c r="A1" s="45" t="s">
        <v>2542</v>
      </c>
      <c r="CJ1" s="3"/>
      <c r="CK1" s="3"/>
      <c r="CL1" s="3"/>
    </row>
    <row r="2" spans="1:90" ht="25" customHeight="1" x14ac:dyDescent="0.55000000000000004">
      <c r="A2" s="45"/>
      <c r="CJ2" s="3"/>
      <c r="CK2" s="3"/>
      <c r="CL2" s="3"/>
    </row>
    <row r="3" spans="1:90" ht="25" customHeight="1" x14ac:dyDescent="0.55000000000000004">
      <c r="A3" s="45"/>
      <c r="CJ3" s="3"/>
      <c r="CK3" s="3"/>
      <c r="CL3" s="3"/>
    </row>
    <row r="4" spans="1:90" ht="25" customHeight="1" x14ac:dyDescent="0.55000000000000004">
      <c r="A4" s="45"/>
      <c r="CJ4" s="3"/>
      <c r="CK4" s="3"/>
      <c r="CL4" s="3"/>
    </row>
    <row r="5" spans="1:90" ht="25" customHeight="1" x14ac:dyDescent="0.55000000000000004">
      <c r="A5" s="45"/>
      <c r="BN5" s="47"/>
      <c r="CJ5" s="3"/>
      <c r="CK5" s="3"/>
      <c r="CL5" s="4" t="s">
        <v>2552</v>
      </c>
    </row>
    <row r="7" spans="1:90" x14ac:dyDescent="0.55000000000000004">
      <c r="B7" s="184" t="s">
        <v>359</v>
      </c>
      <c r="C7" s="185"/>
      <c r="D7" s="48" t="s">
        <v>382</v>
      </c>
      <c r="E7" s="48" t="s">
        <v>381</v>
      </c>
      <c r="F7" s="48" t="s">
        <v>383</v>
      </c>
      <c r="G7" s="48" t="s">
        <v>2291</v>
      </c>
      <c r="H7" s="48" t="s">
        <v>2292</v>
      </c>
    </row>
    <row r="8" spans="1:90" x14ac:dyDescent="0.55000000000000004">
      <c r="B8" s="191" t="s">
        <v>380</v>
      </c>
      <c r="C8" s="49" t="s">
        <v>370</v>
      </c>
      <c r="D8" s="50">
        <f>COUNTIF('PF272'!Y10:Y281,"CAN0_0_RX")</f>
        <v>0</v>
      </c>
      <c r="E8" s="50">
        <f>COUNTIF('PF272'!Y10:Y281,"CAN0_1_RX")</f>
        <v>0</v>
      </c>
      <c r="F8" s="50">
        <f>COUNTIF('PF272'!Y10:Y281,"CAN0_2_RX")</f>
        <v>0</v>
      </c>
      <c r="G8" s="50">
        <f>COUNTIF('PF272'!Y10:Y281,"CAN0_3_RX")</f>
        <v>0</v>
      </c>
      <c r="H8" s="50">
        <f>COUNTIF('PF272'!Y10:Y281,"CAN0_4_RX")</f>
        <v>0</v>
      </c>
    </row>
    <row r="9" spans="1:90" x14ac:dyDescent="0.55000000000000004">
      <c r="B9" s="193"/>
      <c r="C9" s="49" t="s">
        <v>369</v>
      </c>
      <c r="D9" s="50">
        <f>COUNTIF('PF272'!Y10:Y281,"CAN0_0_TX")</f>
        <v>0</v>
      </c>
      <c r="E9" s="50">
        <f>COUNTIF('PF272'!Y10:Y281,"CAN0_1_TX")</f>
        <v>0</v>
      </c>
      <c r="F9" s="50">
        <f>COUNTIF('PF272'!Y10:Y281,"CAN0_2_TX")</f>
        <v>0</v>
      </c>
      <c r="G9" s="50">
        <f>COUNTIF('PF272'!Y10:Y281,"CAN0_3_RX")</f>
        <v>0</v>
      </c>
      <c r="H9" s="50">
        <f>COUNTIF('PF272'!Y10:Y281,"CAN0_4_RX")</f>
        <v>0</v>
      </c>
    </row>
    <row r="11" spans="1:90" x14ac:dyDescent="0.55000000000000004">
      <c r="B11" s="184" t="s">
        <v>355</v>
      </c>
      <c r="C11" s="185"/>
      <c r="D11" s="48" t="s">
        <v>384</v>
      </c>
      <c r="E11" s="48" t="s">
        <v>386</v>
      </c>
      <c r="F11" s="48" t="s">
        <v>385</v>
      </c>
      <c r="G11" s="48" t="s">
        <v>2293</v>
      </c>
      <c r="H11" s="48" t="s">
        <v>2294</v>
      </c>
    </row>
    <row r="12" spans="1:90" x14ac:dyDescent="0.55000000000000004">
      <c r="B12" s="195" t="s">
        <v>380</v>
      </c>
      <c r="C12" s="49" t="s">
        <v>370</v>
      </c>
      <c r="D12" s="50">
        <f>COUNTIF('PF272'!Y10:Y281,"CAN1_0_RX")</f>
        <v>0</v>
      </c>
      <c r="E12" s="50">
        <f>COUNTIF('PF272'!Y10:Y281,"CAN1_1_RX")</f>
        <v>0</v>
      </c>
      <c r="F12" s="50">
        <f>COUNTIF('PF272'!Y10:Y281,"CAN1_2_RX")</f>
        <v>0</v>
      </c>
      <c r="G12" s="50">
        <f>COUNTIF('PF272'!Y10:Y281,"CAN1_3_RX")</f>
        <v>0</v>
      </c>
      <c r="H12" s="50">
        <f>COUNTIF('PF272'!Y10:Y281,"CAN1_4_RX")</f>
        <v>0</v>
      </c>
    </row>
    <row r="13" spans="1:90" x14ac:dyDescent="0.55000000000000004">
      <c r="B13" s="195"/>
      <c r="C13" s="49" t="s">
        <v>369</v>
      </c>
      <c r="D13" s="50">
        <f>COUNTIF('PF272'!Y10:Y281,"CAN1_0_TX")</f>
        <v>0</v>
      </c>
      <c r="E13" s="50">
        <f>COUNTIF('PF272'!Y10:Y281,"CAN1_1_TX")</f>
        <v>0</v>
      </c>
      <c r="F13" s="50">
        <f>COUNTIF('PF272'!Y10:Y281,"CAN1_2_TX")</f>
        <v>0</v>
      </c>
      <c r="G13" s="50">
        <f>COUNTIF('PF272'!Y10:Y281,"CAN1_3_TX")</f>
        <v>0</v>
      </c>
      <c r="H13" s="50">
        <f>COUNTIF('PF272'!Y10:Y281,"CAN1_4_TX")</f>
        <v>0</v>
      </c>
    </row>
    <row r="14" spans="1:90" x14ac:dyDescent="0.55000000000000004">
      <c r="B14" s="51"/>
      <c r="C14" s="52"/>
    </row>
    <row r="15" spans="1:90" x14ac:dyDescent="0.55000000000000004">
      <c r="B15" s="51"/>
    </row>
    <row r="16" spans="1:90" x14ac:dyDescent="0.55000000000000004">
      <c r="B16" s="184" t="s">
        <v>358</v>
      </c>
      <c r="C16" s="185"/>
      <c r="D16" s="48" t="s">
        <v>371</v>
      </c>
      <c r="E16" s="48" t="s">
        <v>372</v>
      </c>
      <c r="F16" s="48" t="s">
        <v>373</v>
      </c>
      <c r="G16" s="48" t="s">
        <v>374</v>
      </c>
      <c r="H16" s="48" t="s">
        <v>375</v>
      </c>
      <c r="I16" s="48" t="s">
        <v>376</v>
      </c>
      <c r="J16" s="48" t="s">
        <v>377</v>
      </c>
      <c r="K16" s="48" t="s">
        <v>378</v>
      </c>
      <c r="L16" s="48" t="s">
        <v>2297</v>
      </c>
      <c r="M16" s="48" t="s">
        <v>2298</v>
      </c>
      <c r="N16" s="48" t="s">
        <v>2299</v>
      </c>
      <c r="O16" s="48" t="s">
        <v>2300</v>
      </c>
      <c r="P16" s="48" t="s">
        <v>2301</v>
      </c>
      <c r="Q16" s="48" t="s">
        <v>2302</v>
      </c>
      <c r="R16" s="48" t="s">
        <v>2303</v>
      </c>
      <c r="S16" s="48" t="s">
        <v>2304</v>
      </c>
      <c r="T16" s="48" t="s">
        <v>2305</v>
      </c>
      <c r="U16" s="48" t="s">
        <v>2306</v>
      </c>
      <c r="V16" s="48" t="s">
        <v>2307</v>
      </c>
      <c r="W16" s="48" t="s">
        <v>2308</v>
      </c>
    </row>
    <row r="17" spans="2:59" x14ac:dyDescent="0.55000000000000004">
      <c r="B17" s="191" t="s">
        <v>380</v>
      </c>
      <c r="C17" s="49" t="s">
        <v>370</v>
      </c>
      <c r="D17" s="50">
        <f>COUNTIF('PF272'!Y10:Y281,"LIN0_RX")</f>
        <v>0</v>
      </c>
      <c r="E17" s="50">
        <f>COUNTIF('PF272'!Y10:Y281,"LIN1_RX")</f>
        <v>0</v>
      </c>
      <c r="F17" s="50">
        <f>COUNTIF('PF272'!Y10:Y281,"LIN2_RX")</f>
        <v>0</v>
      </c>
      <c r="G17" s="50">
        <f>COUNTIF('PF272'!Y10:Y281,"LIN3_RX")</f>
        <v>0</v>
      </c>
      <c r="H17" s="50">
        <f>COUNTIF('PF272'!Y10:Y281,"LIN4_RX")</f>
        <v>0</v>
      </c>
      <c r="I17" s="50">
        <f>COUNTIF('PF272'!Y10:Y281,"LIN5_RX")</f>
        <v>0</v>
      </c>
      <c r="J17" s="50">
        <f>COUNTIF('PF272'!Y10:Y281,"LIN6_RX")</f>
        <v>0</v>
      </c>
      <c r="K17" s="50">
        <f>COUNTIF('PF272'!Y10:Y281,"LIN7_RX")</f>
        <v>0</v>
      </c>
      <c r="L17" s="50">
        <f>COUNTIF('PF272'!Y10:Y281,"LIN8_RX")</f>
        <v>0</v>
      </c>
      <c r="M17" s="50">
        <f>COUNTIF('PF272'!Y10:Y281,"LIN9_RX")</f>
        <v>0</v>
      </c>
      <c r="N17" s="50">
        <f>COUNTIF('PF272'!Y10:Y281,"LIN10_RX")</f>
        <v>0</v>
      </c>
      <c r="O17" s="50">
        <f>COUNTIF('PF272'!Y10:Y281,"LIN11_RX")</f>
        <v>0</v>
      </c>
      <c r="P17" s="50">
        <f>COUNTIF('PF272'!Y10:Y281,"LIN12_RX")</f>
        <v>0</v>
      </c>
      <c r="Q17" s="50">
        <f>COUNTIF('PF272'!Y10:Y281,"LIN13_RX")</f>
        <v>0</v>
      </c>
      <c r="R17" s="50">
        <f>COUNTIF('PF272'!Y10:Y281,"LIN14_RX")</f>
        <v>0</v>
      </c>
      <c r="S17" s="50">
        <f>COUNTIF('PF272'!Y10:Y281,"LIN15_RX")</f>
        <v>0</v>
      </c>
      <c r="T17" s="50">
        <f>COUNTIF('PF272'!Y10:Y281,"LIN16_RX")</f>
        <v>0</v>
      </c>
      <c r="U17" s="50">
        <f>COUNTIF('PF272'!Y10:Y281,"LIN17_RX")</f>
        <v>0</v>
      </c>
      <c r="V17" s="50">
        <f>COUNTIF('PF272'!Y10:Y281,"LIN18_RX")</f>
        <v>0</v>
      </c>
      <c r="W17" s="50">
        <f>COUNTIF('PF272'!Y10:Y281,"LIN19_RX")</f>
        <v>0</v>
      </c>
    </row>
    <row r="18" spans="2:59" x14ac:dyDescent="0.55000000000000004">
      <c r="B18" s="192"/>
      <c r="C18" s="49" t="s">
        <v>369</v>
      </c>
      <c r="D18" s="50">
        <f>COUNTIF('PF272'!Y10:Y281,"LIN0_TX")</f>
        <v>0</v>
      </c>
      <c r="E18" s="50">
        <f>COUNTIF('PF272'!Y10:Y281,"LIN1_TX")</f>
        <v>0</v>
      </c>
      <c r="F18" s="50">
        <f>COUNTIF('PF272'!Y10:Y281,"LIN2_TX")</f>
        <v>0</v>
      </c>
      <c r="G18" s="50">
        <f>COUNTIF('PF272'!Y10:Y281,"LIN3_TX")</f>
        <v>0</v>
      </c>
      <c r="H18" s="50">
        <f>COUNTIF('PF272'!Y10:Y281,"LIN4_TX")</f>
        <v>0</v>
      </c>
      <c r="I18" s="50">
        <f>COUNTIF('PF272'!Y10:Y281,"LIN5_TX")</f>
        <v>0</v>
      </c>
      <c r="J18" s="50">
        <f>COUNTIF('PF272'!Y10:Y281,"LIN6_TX")</f>
        <v>0</v>
      </c>
      <c r="K18" s="50">
        <f>COUNTIF('PF272'!Y10:Y281,"LIN7_TX")</f>
        <v>0</v>
      </c>
      <c r="L18" s="50">
        <f>COUNTIF('PF272'!Y10:Y281,"LIN8_TX")</f>
        <v>0</v>
      </c>
      <c r="M18" s="50">
        <f>COUNTIF('PF272'!Y10:Y281,"LIN9_TX")</f>
        <v>0</v>
      </c>
      <c r="N18" s="50">
        <f>COUNTIF('PF272'!Y10:Y281,"LIN10_TX")</f>
        <v>0</v>
      </c>
      <c r="O18" s="50">
        <f>COUNTIF('PF272'!Y10:Y281,"LIN11_TX")</f>
        <v>0</v>
      </c>
      <c r="P18" s="50">
        <f>COUNTIF('PF272'!Y10:Y281,"LIN12_TX")</f>
        <v>0</v>
      </c>
      <c r="Q18" s="50">
        <f>COUNTIF('PF272'!Y10:Y281,"LIN13_TX")</f>
        <v>0</v>
      </c>
      <c r="R18" s="50">
        <f>COUNTIF('PF272'!Y10:Y281,"LIN14_TX")</f>
        <v>0</v>
      </c>
      <c r="S18" s="50">
        <f>COUNTIF('PF272'!Y10:Y281,"LIN15_TX")</f>
        <v>0</v>
      </c>
      <c r="T18" s="50">
        <f>COUNTIF('PF272'!Y10:Y281,"LIN16_TX")</f>
        <v>0</v>
      </c>
      <c r="U18" s="50">
        <f>COUNTIF('PF272'!Y10:Y281,"LIN17_TX")</f>
        <v>0</v>
      </c>
      <c r="V18" s="50">
        <f>COUNTIF('PF272'!Y10:Y281,"LIN18_TX")</f>
        <v>0</v>
      </c>
      <c r="W18" s="50">
        <f>COUNTIF('PF272'!Y10:Y281,"LIN19_TX")</f>
        <v>0</v>
      </c>
    </row>
    <row r="19" spans="2:59" x14ac:dyDescent="0.55000000000000004">
      <c r="B19" s="193"/>
      <c r="C19" s="49" t="s">
        <v>379</v>
      </c>
      <c r="D19" s="50">
        <f>COUNTIF('PF272'!Y10:Y281,"LIN0_EN")</f>
        <v>0</v>
      </c>
      <c r="E19" s="50">
        <f>COUNTIF('PF272'!Y10:Y281,"LIN1_EN")</f>
        <v>0</v>
      </c>
      <c r="F19" s="50">
        <f>COUNTIF('PF272'!Y10:Y281,"LIN2_EN")</f>
        <v>0</v>
      </c>
      <c r="G19" s="50">
        <f>COUNTIF('PF272'!Y10:Y281,"LIN3_EN")</f>
        <v>0</v>
      </c>
      <c r="H19" s="50">
        <f>COUNTIF('PF272'!Y10:Y281,"LIN4_EN")</f>
        <v>0</v>
      </c>
      <c r="I19" s="50">
        <f>COUNTIF('PF272'!Y10:Y281,"LIN5_EN")</f>
        <v>0</v>
      </c>
      <c r="J19" s="50">
        <f>COUNTIF('PF272'!Y10:Y281,"LIN6_EN")</f>
        <v>0</v>
      </c>
      <c r="K19" s="50">
        <f>COUNTIF('PF272'!Y10:Y281,"LIN7_EN")</f>
        <v>0</v>
      </c>
      <c r="L19" s="50">
        <f>COUNTIF('PF272'!Y10:Y281,"LIN8_EN")</f>
        <v>0</v>
      </c>
      <c r="M19" s="50">
        <f>COUNTIF('PF272'!Y10:Y281,"LIN9_EN")</f>
        <v>0</v>
      </c>
      <c r="N19" s="50">
        <f>COUNTIF('PF272'!Y10:Y281,"LIN10_EN")</f>
        <v>0</v>
      </c>
      <c r="O19" s="50">
        <f>COUNTIF('PF272'!Y10:Y281,"LIN11_EN")</f>
        <v>0</v>
      </c>
      <c r="P19" s="50">
        <f>COUNTIF('PF272'!Y10:Y281,"LIN12_EN")</f>
        <v>0</v>
      </c>
      <c r="Q19" s="50">
        <f>COUNTIF('PF272'!Y10:Y281,"LIN13_EN")</f>
        <v>0</v>
      </c>
      <c r="R19" s="50">
        <f>COUNTIF('PF272'!Y10:Y281,"LIN14_EN")</f>
        <v>0</v>
      </c>
      <c r="S19" s="50">
        <f>COUNTIF('PF272'!Y10:Y281,"LIN15_EN")</f>
        <v>0</v>
      </c>
      <c r="T19" s="50">
        <f>COUNTIF('PF272'!Y10:Y281,"LIN16_EN")</f>
        <v>0</v>
      </c>
      <c r="U19" s="50">
        <f>COUNTIF('PF272'!Y10:Y281,"LIN17_EN")</f>
        <v>0</v>
      </c>
      <c r="V19" s="50">
        <f>COUNTIF('PF272'!Y10:Y281,"LIN18_EN")</f>
        <v>0</v>
      </c>
      <c r="W19" s="50">
        <f>COUNTIF('PF272'!Y10:Y281,"LIN19_EN")</f>
        <v>0</v>
      </c>
    </row>
    <row r="20" spans="2:59" x14ac:dyDescent="0.55000000000000004">
      <c r="B20" s="51"/>
      <c r="C20" s="52"/>
    </row>
    <row r="21" spans="2:59" x14ac:dyDescent="0.55000000000000004">
      <c r="B21" s="51"/>
    </row>
    <row r="22" spans="2:59" x14ac:dyDescent="0.55000000000000004">
      <c r="B22" s="184" t="s">
        <v>360</v>
      </c>
      <c r="C22" s="185"/>
      <c r="D22" s="48" t="s">
        <v>361</v>
      </c>
      <c r="E22" s="48" t="s">
        <v>362</v>
      </c>
      <c r="F22" s="48" t="s">
        <v>363</v>
      </c>
      <c r="G22" s="48" t="s">
        <v>364</v>
      </c>
      <c r="H22" s="48" t="s">
        <v>368</v>
      </c>
      <c r="I22" s="48" t="s">
        <v>367</v>
      </c>
      <c r="J22" s="48" t="s">
        <v>366</v>
      </c>
      <c r="K22" s="48" t="s">
        <v>365</v>
      </c>
      <c r="L22" s="48" t="s">
        <v>2309</v>
      </c>
      <c r="M22" s="48" t="s">
        <v>2310</v>
      </c>
      <c r="N22" s="48" t="s">
        <v>2311</v>
      </c>
    </row>
    <row r="23" spans="2:59" ht="10" customHeight="1" x14ac:dyDescent="0.55000000000000004">
      <c r="B23" s="196" t="s">
        <v>396</v>
      </c>
      <c r="C23" s="53" t="s">
        <v>2337</v>
      </c>
      <c r="D23" s="54">
        <f>COUNTIF('PF272'!Y10:Y281,"SCB0_CLK (0)")</f>
        <v>0</v>
      </c>
      <c r="E23" s="49">
        <f>COUNTIF('PF272'!Y10:Y281,"SCB1_CLK (0)")</f>
        <v>0</v>
      </c>
      <c r="F23" s="49">
        <f>COUNTIF('PF272'!Y10:Y281,"SCB2_CLK (0)")</f>
        <v>0</v>
      </c>
      <c r="G23" s="49">
        <f>COUNTIF('PF272'!Y10:Y281,"SCB3_CLK (0)")</f>
        <v>0</v>
      </c>
      <c r="H23" s="49">
        <f>COUNTIF('PF272'!Y10:Y281,"SCB4_CLK (0)")</f>
        <v>0</v>
      </c>
      <c r="I23" s="49">
        <f>COUNTIF('PF272'!Y10:Y281,"SCB5_CLK (0)")</f>
        <v>0</v>
      </c>
      <c r="J23" s="49">
        <f>COUNTIF('PF272'!Y10:Y281,"SCB6_CLK (0)")</f>
        <v>0</v>
      </c>
      <c r="K23" s="49">
        <f>COUNTIF('PF272'!Y10:Y281,"SCB7_CLK (0)")</f>
        <v>0</v>
      </c>
      <c r="L23" s="49">
        <f>COUNTIF('PF272'!Y10:Y281,"SCB8_CLK (0)")</f>
        <v>0</v>
      </c>
      <c r="M23" s="49">
        <f>COUNTIF('PF272'!Y10:Y281,"SCB9_CLK (0)")</f>
        <v>0</v>
      </c>
      <c r="N23" s="49">
        <f>COUNTIF('PF272'!Y10:Y281,"SCB10_CLK (0)")</f>
        <v>0</v>
      </c>
      <c r="BG23" s="55"/>
    </row>
    <row r="24" spans="2:59" ht="10" customHeight="1" x14ac:dyDescent="0.55000000000000004">
      <c r="B24" s="197"/>
      <c r="C24" s="53" t="s">
        <v>2338</v>
      </c>
      <c r="D24" s="54">
        <f>COUNTIF('PF272'!Y10:Y281,"SCB0_CLK (1)")</f>
        <v>0</v>
      </c>
      <c r="E24" s="49">
        <f>COUNTIF('PF272'!Y10:Y281,"SCB1_CLK (1)")</f>
        <v>0</v>
      </c>
      <c r="F24" s="49">
        <f>COUNTIF('PF272'!Y10:Y281,"SCB2_CLK (1)")</f>
        <v>0</v>
      </c>
      <c r="G24" s="49">
        <f>COUNTIF('PF272'!Y10:Y281,"SCB3_CLK (1)")</f>
        <v>0</v>
      </c>
      <c r="H24" s="49">
        <f>COUNTIF('PF272'!Y10:Y281,"SCB4_CLK (1)")</f>
        <v>0</v>
      </c>
      <c r="I24" s="49">
        <f>COUNTIF('PF272'!Y10:Y281,"SCB5_CLK (1)")</f>
        <v>0</v>
      </c>
      <c r="J24" s="49">
        <f>COUNTIF('PF272'!Y10:Y281,"SCB6_CLK (1)")</f>
        <v>0</v>
      </c>
      <c r="K24" s="49">
        <f>COUNTIF('PF272'!Y10:Y281,"SCB7_CLK (1)")</f>
        <v>0</v>
      </c>
      <c r="L24" s="49">
        <f>COUNTIF('PF272'!Y10:Y281,"SCB8_CLK (1)")</f>
        <v>0</v>
      </c>
      <c r="M24" s="49">
        <f>COUNTIF('PF272'!Y10:Y281,"SCB9_CLK (1)")</f>
        <v>0</v>
      </c>
      <c r="N24" s="49">
        <f>COUNTIF('PF272'!Y10:Y281,"SCB10_CLK (1)")</f>
        <v>0</v>
      </c>
      <c r="BG24" s="55"/>
    </row>
    <row r="25" spans="2:59" ht="10" customHeight="1" x14ac:dyDescent="0.55000000000000004">
      <c r="B25" s="197"/>
      <c r="C25" s="53" t="s">
        <v>2339</v>
      </c>
      <c r="D25" s="54">
        <f>COUNTIF('PF272'!Y10:Y281,"SCB0_CLK (2)")</f>
        <v>0</v>
      </c>
      <c r="E25" s="49">
        <f>COUNTIF('PF272'!Y10:Y281,"SCB1_CLK (2)")</f>
        <v>0</v>
      </c>
      <c r="F25" s="49">
        <f>COUNTIF('PF272'!Y10:Y281,"SCB2_CLK (2)")</f>
        <v>0</v>
      </c>
      <c r="G25" s="49">
        <f>COUNTIF('PF272'!Y10:Y281,"SCB3_CLK (2)")</f>
        <v>0</v>
      </c>
      <c r="H25" s="49">
        <f>COUNTIF('PF272'!Y10:Y281,"SCB4_CLK (2)")</f>
        <v>0</v>
      </c>
      <c r="I25" s="49">
        <f>COUNTIF('PF272'!Y10:Y281,"SCB5_CLK (2)")</f>
        <v>0</v>
      </c>
      <c r="J25" s="49">
        <f>COUNTIF('PF272'!Y10:Y281,"SCB6_CLK (2)")</f>
        <v>0</v>
      </c>
      <c r="K25" s="49">
        <f>COUNTIF('PF272'!Y10:Y281,"SCB7_CLK (2)")</f>
        <v>0</v>
      </c>
      <c r="L25" s="49">
        <f>COUNTIF('PF272'!Y10:Y281,"SCB8_CLK (2)")</f>
        <v>0</v>
      </c>
      <c r="M25" s="49">
        <f>COUNTIF('PF272'!Y10:Y281,"SCB9_CLK (2)")</f>
        <v>0</v>
      </c>
      <c r="N25" s="49">
        <f>COUNTIF('PF272'!Y10:Y281,"SCB10_CLK (2)")</f>
        <v>0</v>
      </c>
      <c r="BG25" s="55"/>
    </row>
    <row r="26" spans="2:59" x14ac:dyDescent="0.55000000000000004">
      <c r="B26" s="197"/>
      <c r="C26" s="53" t="s">
        <v>2340</v>
      </c>
      <c r="D26" s="54">
        <f>COUNTIF('PF272'!Y10:Y281,"SCB0_MOSI (0)")</f>
        <v>0</v>
      </c>
      <c r="E26" s="49">
        <f>COUNTIF('PF272'!Y10:Y281,"SCB1_MOSI (0)")</f>
        <v>0</v>
      </c>
      <c r="F26" s="49">
        <f>COUNTIF('PF272'!Y10:Y281,"SCB2_MOSI (0)")</f>
        <v>0</v>
      </c>
      <c r="G26" s="49">
        <f>COUNTIF('PF272'!Y10:Y281,"SCB3_MOSI (0)")</f>
        <v>0</v>
      </c>
      <c r="H26" s="49">
        <f>COUNTIF('PF272'!Y10:Y281,"SCB4_MOSI (0)")</f>
        <v>0</v>
      </c>
      <c r="I26" s="49">
        <f>COUNTIF('PF272'!Y10:Y281,"SCB5_MOSI (0)")</f>
        <v>0</v>
      </c>
      <c r="J26" s="49">
        <f>COUNTIF('PF272'!Y10:Y281,"SCB6_MOSI (0)")</f>
        <v>0</v>
      </c>
      <c r="K26" s="49">
        <f>COUNTIF('PF272'!Y10:Y281,"SCB7_MOSI (0)")</f>
        <v>0</v>
      </c>
      <c r="L26" s="49">
        <f>COUNTIF('PF272'!Y10:Y281,"SCB8_MOSI (0)")</f>
        <v>0</v>
      </c>
      <c r="M26" s="49">
        <f>COUNTIF('PF272'!Y10:Y281,"SCB9_MOSI (0)")</f>
        <v>0</v>
      </c>
      <c r="N26" s="49">
        <f>COUNTIF('PF272'!Y10:Y281,"SCB10_MOSI (0)")</f>
        <v>0</v>
      </c>
    </row>
    <row r="27" spans="2:59" x14ac:dyDescent="0.55000000000000004">
      <c r="B27" s="197"/>
      <c r="C27" s="53" t="s">
        <v>2341</v>
      </c>
      <c r="D27" s="54">
        <f>COUNTIF('PF272'!Y10:Y281,"SCB0_MOSI (1)")</f>
        <v>0</v>
      </c>
      <c r="E27" s="49">
        <f>COUNTIF('PF272'!Y10:Y281,"SCB1_MOSI (1)")</f>
        <v>0</v>
      </c>
      <c r="F27" s="49">
        <f>COUNTIF('PF272'!Y10:Y281,"SCB2_MOSI (1)")</f>
        <v>0</v>
      </c>
      <c r="G27" s="49">
        <f>COUNTIF('PF272'!Y10:Y281,"SCB3_MOSI (1)")</f>
        <v>0</v>
      </c>
      <c r="H27" s="49">
        <f>COUNTIF('PF272'!Y10:Y281,"SCB4_MOSI (1)")</f>
        <v>0</v>
      </c>
      <c r="I27" s="49">
        <f>COUNTIF('PF272'!Y10:Y281,"SCB5_MOSI (1)")</f>
        <v>0</v>
      </c>
      <c r="J27" s="49">
        <f>COUNTIF('PF272'!Y10:Y281,"SCB6_MOSI (1)")</f>
        <v>0</v>
      </c>
      <c r="K27" s="49">
        <f>COUNTIF('PF272'!Y10:Y281,"SCB7_MOSI (1)")</f>
        <v>0</v>
      </c>
      <c r="L27" s="49">
        <f>COUNTIF('PF272'!Y10:Y281,"SCB8_MOSI (1)")</f>
        <v>0</v>
      </c>
      <c r="M27" s="49">
        <f>COUNTIF('PF272'!Y10:Y281,"SCB9_MOSI (1)")</f>
        <v>0</v>
      </c>
      <c r="N27" s="49">
        <f>COUNTIF('PF272'!Y10:Y281,"SCB10_MOSI (1)")</f>
        <v>0</v>
      </c>
    </row>
    <row r="28" spans="2:59" x14ac:dyDescent="0.55000000000000004">
      <c r="B28" s="197"/>
      <c r="C28" s="53" t="s">
        <v>2342</v>
      </c>
      <c r="D28" s="54">
        <f>COUNTIF('PF272'!Y10:Y281,"SCB0_MOSI (2)")</f>
        <v>0</v>
      </c>
      <c r="E28" s="49">
        <f>COUNTIF('PF272'!Y10:Y281,"SCB1_MOSI (2)")</f>
        <v>0</v>
      </c>
      <c r="F28" s="49">
        <f>COUNTIF('PF272'!Y10:Y281,"SCB2_MOSI (2)")</f>
        <v>0</v>
      </c>
      <c r="G28" s="49">
        <f>COUNTIF('PF272'!Y10:Y281,"SCB3_MOSI (2)")</f>
        <v>0</v>
      </c>
      <c r="H28" s="49">
        <f>COUNTIF('PF272'!Y10:Y281,"SCB4_MOSI (2)")</f>
        <v>0</v>
      </c>
      <c r="I28" s="49">
        <f>COUNTIF('PF272'!Y10:Y281,"SCB5_MOSI (2)")</f>
        <v>0</v>
      </c>
      <c r="J28" s="49">
        <f>COUNTIF('PF272'!Y10:Y281,"SCB6_MOSI (2)")</f>
        <v>0</v>
      </c>
      <c r="K28" s="49">
        <f>COUNTIF('PF272'!Y10:Y281,"SCB7_MOSI (2)")</f>
        <v>0</v>
      </c>
      <c r="L28" s="49">
        <f>COUNTIF('PF272'!Y10:Y281,"SCB8_MOSI (2)")</f>
        <v>0</v>
      </c>
      <c r="M28" s="49">
        <f>COUNTIF('PF272'!Y10:Y281,"SCB9_MOSI (2)")</f>
        <v>0</v>
      </c>
      <c r="N28" s="49">
        <f>COUNTIF('PF272'!Y10:Y281,"SCB10_MOSI (2)")</f>
        <v>0</v>
      </c>
    </row>
    <row r="29" spans="2:59" x14ac:dyDescent="0.55000000000000004">
      <c r="B29" s="197"/>
      <c r="C29" s="53" t="s">
        <v>2343</v>
      </c>
      <c r="D29" s="54">
        <f>COUNTIF('PF272'!Y10:Y281,"SCB0_MISO (0)")</f>
        <v>0</v>
      </c>
      <c r="E29" s="49">
        <f>COUNTIF('PF272'!Y10:Y281,"SCB1_MISO (0)")</f>
        <v>0</v>
      </c>
      <c r="F29" s="49">
        <f>COUNTIF('PF272'!Y10:Y281,"SCB2_MISO (0)")</f>
        <v>0</v>
      </c>
      <c r="G29" s="49">
        <f>COUNTIF('PF272'!Y10:Y281,"SCB3_MISO (0)")</f>
        <v>0</v>
      </c>
      <c r="H29" s="49">
        <f>COUNTIF('PF272'!Y10:Y281,"SCB4_MISO (0)")</f>
        <v>0</v>
      </c>
      <c r="I29" s="49">
        <f>COUNTIF('PF272'!Y10:Y281,"SCB5_MISO (0)")</f>
        <v>0</v>
      </c>
      <c r="J29" s="49">
        <f>COUNTIF('PF272'!Y10:Y281,"SCB6_MISO (0)")</f>
        <v>0</v>
      </c>
      <c r="K29" s="49">
        <f>COUNTIF('PF272'!Y10:Y281,"SCB7_MISO (0)")</f>
        <v>0</v>
      </c>
      <c r="L29" s="49">
        <f>COUNTIF('PF272'!Y10:Y281,"SCB8_MISO (0)")</f>
        <v>0</v>
      </c>
      <c r="M29" s="49">
        <f>COUNTIF('PF272'!Y10:Y281,"SCB9_MISO (0)")</f>
        <v>0</v>
      </c>
      <c r="N29" s="49">
        <f>COUNTIF('PF272'!Y10:Y281,"SCB10_MISO (0)")</f>
        <v>0</v>
      </c>
    </row>
    <row r="30" spans="2:59" x14ac:dyDescent="0.55000000000000004">
      <c r="B30" s="197"/>
      <c r="C30" s="53" t="s">
        <v>2344</v>
      </c>
      <c r="D30" s="54">
        <f>COUNTIF('PF272'!Y10:Y281,"SCB0_MISO (1)")</f>
        <v>0</v>
      </c>
      <c r="E30" s="49">
        <f>COUNTIF('PF272'!Y10:Y281,"SCB1_MISO (1)")</f>
        <v>0</v>
      </c>
      <c r="F30" s="49">
        <f>COUNTIF('PF272'!Y10:Y281,"SCB2_MISO (1)")</f>
        <v>0</v>
      </c>
      <c r="G30" s="49">
        <f>COUNTIF('PF272'!Y10:Y281,"SCB3_MISO (1)")</f>
        <v>0</v>
      </c>
      <c r="H30" s="49">
        <f>COUNTIF('PF272'!Y10:Y281,"SCB4_MISO (1)")</f>
        <v>0</v>
      </c>
      <c r="I30" s="49">
        <f>COUNTIF('PF272'!Y10:Y281,"SCB5_MISO (1)")</f>
        <v>0</v>
      </c>
      <c r="J30" s="49">
        <f>COUNTIF('PF272'!Y10:Y281,"SCB6_MISO (1)")</f>
        <v>0</v>
      </c>
      <c r="K30" s="49">
        <f>COUNTIF('PF272'!Y10:Y281,"SCB7_MISO (1)")</f>
        <v>0</v>
      </c>
      <c r="L30" s="49">
        <f>COUNTIF('PF272'!Y10:Y281,"SCB8_MISO (1)")</f>
        <v>0</v>
      </c>
      <c r="M30" s="49">
        <f>COUNTIF('PF272'!Y10:Y281,"SCB9_MISO (1)")</f>
        <v>0</v>
      </c>
      <c r="N30" s="49">
        <f>COUNTIF('PF272'!Y10:Y281,"SCB10_MISO (1)")</f>
        <v>0</v>
      </c>
    </row>
    <row r="31" spans="2:59" x14ac:dyDescent="0.55000000000000004">
      <c r="B31" s="197"/>
      <c r="C31" s="53" t="s">
        <v>2345</v>
      </c>
      <c r="D31" s="54">
        <f>COUNTIF('PF272'!Y10:Y281,"SCB0_MISO (2)")</f>
        <v>0</v>
      </c>
      <c r="E31" s="49">
        <f>COUNTIF('PF272'!Y10:Y281,"SCB1_MISO (2)")</f>
        <v>0</v>
      </c>
      <c r="F31" s="49">
        <f>COUNTIF('PF272'!Y10:Y281,"SCB2_MISO (2)")</f>
        <v>0</v>
      </c>
      <c r="G31" s="49">
        <f>COUNTIF('PF272'!Y10:Y281,"SCB3_MISO (2)")</f>
        <v>0</v>
      </c>
      <c r="H31" s="49">
        <f>COUNTIF('PF272'!Y10:Y281,"SCB4_MISO (2)")</f>
        <v>0</v>
      </c>
      <c r="I31" s="49">
        <f>COUNTIF('PF272'!Y10:Y281,"SCB5_MISO (2)")</f>
        <v>0</v>
      </c>
      <c r="J31" s="49">
        <f>COUNTIF('PF272'!Y10:Y281,"SCB6_MISO (2)")</f>
        <v>0</v>
      </c>
      <c r="K31" s="49">
        <f>COUNTIF('PF272'!Y10:Y281,"SCB7_MISO (2)")</f>
        <v>0</v>
      </c>
      <c r="L31" s="49">
        <f>COUNTIF('PF272'!Y10:Y281,"SCB8_MISO (2)")</f>
        <v>0</v>
      </c>
      <c r="M31" s="49">
        <f>COUNTIF('PF272'!Y10:Y281,"SCB9_MISO (2)")</f>
        <v>0</v>
      </c>
      <c r="N31" s="49">
        <f>COUNTIF('PF272'!Y10:Y281,"SCB10_MISO (2)")</f>
        <v>0</v>
      </c>
    </row>
    <row r="32" spans="2:59" x14ac:dyDescent="0.55000000000000004">
      <c r="B32" s="197"/>
      <c r="C32" s="53" t="s">
        <v>2346</v>
      </c>
      <c r="D32" s="54">
        <f>COUNTIF('PF272'!Y10:Y281,"SCB0_SEL0 (0)")</f>
        <v>0</v>
      </c>
      <c r="E32" s="49">
        <f>COUNTIF('PF272'!Y10:Y281,"SCB1_SEL0 (0)")</f>
        <v>0</v>
      </c>
      <c r="F32" s="49">
        <f>COUNTIF('PF272'!Y10:Y281,"SCB2_SEL0 (0)")</f>
        <v>0</v>
      </c>
      <c r="G32" s="49">
        <f>COUNTIF('PF272'!Y10:Y281,"SCB3_SEL0 (0)")</f>
        <v>0</v>
      </c>
      <c r="H32" s="49">
        <f>COUNTIF('PF272'!Y10:Y281,"SCB4_SEL0 (0)")</f>
        <v>0</v>
      </c>
      <c r="I32" s="54">
        <f>COUNTIF('PF272'!Y10:Y281,"SCB5_SEL0 (0)")</f>
        <v>0</v>
      </c>
      <c r="J32" s="54">
        <f>COUNTIF('PF272'!Y10:Y281,"SCB6_SEL0 (0)")</f>
        <v>0</v>
      </c>
      <c r="K32" s="49">
        <f>COUNTIF('PF272'!Y10:Y281,"SCB7_SEL0 (0)")</f>
        <v>0</v>
      </c>
      <c r="L32" s="49">
        <f>COUNTIF('PF272'!Y10:Y281,"SCB8_SEL0 (0)")</f>
        <v>0</v>
      </c>
      <c r="M32" s="49">
        <f>COUNTIF('PF272'!Y10:Y281,"SCB9_SEL0 (0)")</f>
        <v>0</v>
      </c>
      <c r="N32" s="49">
        <f>COUNTIF('PF272'!Y10:Y281,"SCB10_SEL0 (0)")</f>
        <v>0</v>
      </c>
    </row>
    <row r="33" spans="2:14" x14ac:dyDescent="0.55000000000000004">
      <c r="B33" s="197"/>
      <c r="C33" s="53" t="s">
        <v>2347</v>
      </c>
      <c r="D33" s="54">
        <f>COUNTIF('PF272'!Y10:Y281,"SCB0_SEL0 (1)")</f>
        <v>0</v>
      </c>
      <c r="E33" s="49">
        <f>COUNTIF('PF272'!Y10:Y281,"SCB1_SEL0 (1)")</f>
        <v>0</v>
      </c>
      <c r="F33" s="49">
        <f>COUNTIF('PF272'!Y10:Y281,"SCB2_SEL0 (1)")</f>
        <v>0</v>
      </c>
      <c r="G33" s="49">
        <f>COUNTIF('PF272'!Y10:Y281,"SCB3_SEL0 (1)")</f>
        <v>0</v>
      </c>
      <c r="H33" s="49">
        <f>COUNTIF('PF272'!Y10:Y281,"SCB4_SEL0 (1)")</f>
        <v>0</v>
      </c>
      <c r="I33" s="54">
        <f>COUNTIF('PF272'!Y10:Y281,"SCB5_SEL0 (1)")</f>
        <v>0</v>
      </c>
      <c r="J33" s="54">
        <f>COUNTIF('PF272'!Y10:Y281,"SCB6_SEL0 (1)")</f>
        <v>0</v>
      </c>
      <c r="K33" s="49">
        <f>COUNTIF('PF272'!Y10:Y281,"SCB7_SEL0 (1)")</f>
        <v>0</v>
      </c>
      <c r="L33" s="49">
        <f>COUNTIF('PF272'!Y10:Y281,"SCB8_SEL0 (1)")</f>
        <v>0</v>
      </c>
      <c r="M33" s="49">
        <f>COUNTIF('PF272'!Y10:Y281,"SCB9_SEL0 (1)")</f>
        <v>0</v>
      </c>
      <c r="N33" s="49">
        <f>COUNTIF('PF272'!Y10:Y281,"SCB10_SEL0 (1)")</f>
        <v>0</v>
      </c>
    </row>
    <row r="34" spans="2:14" x14ac:dyDescent="0.55000000000000004">
      <c r="B34" s="197"/>
      <c r="C34" s="53" t="s">
        <v>2348</v>
      </c>
      <c r="D34" s="54">
        <f>COUNTIF('PF272'!Y10:Y281,"SCB0_SEL0 (2)")</f>
        <v>0</v>
      </c>
      <c r="E34" s="49">
        <f>COUNTIF('PF272'!Y10:Y281,"SCB1_SEL0 (2)")</f>
        <v>0</v>
      </c>
      <c r="F34" s="49">
        <f>COUNTIF('PF272'!Y10:Y281,"SCB2_SEL0 (2)")</f>
        <v>0</v>
      </c>
      <c r="G34" s="49">
        <f>COUNTIF('PF272'!Y10:Y281,"SCB3_SEL0 (2)")</f>
        <v>0</v>
      </c>
      <c r="H34" s="49">
        <f>COUNTIF('PF272'!Y10:Y281,"SCB4_SEL0 (2)")</f>
        <v>0</v>
      </c>
      <c r="I34" s="54">
        <f>COUNTIF('PF272'!Y10:Y281,"SCB5_SEL0 (2)")</f>
        <v>0</v>
      </c>
      <c r="J34" s="54">
        <f>COUNTIF('PF272'!Y10:Y281,"SCB6_SEL0 (2)")</f>
        <v>0</v>
      </c>
      <c r="K34" s="49">
        <f>COUNTIF('PF272'!Y10:Y281,"SCB7_SEL0 (2)")</f>
        <v>0</v>
      </c>
      <c r="L34" s="49">
        <f>COUNTIF('PF272'!Y10:Y281,"SCB8_SEL0 (2)")</f>
        <v>0</v>
      </c>
      <c r="M34" s="49">
        <f>COUNTIF('PF272'!Y10:Y281,"SCB9_SEL0 (2)")</f>
        <v>0</v>
      </c>
      <c r="N34" s="49">
        <f>COUNTIF('PF272'!Y10:Y281,"SCB10_SEL0 (2)")</f>
        <v>0</v>
      </c>
    </row>
    <row r="35" spans="2:14" x14ac:dyDescent="0.55000000000000004">
      <c r="B35" s="197"/>
      <c r="C35" s="53" t="s">
        <v>2349</v>
      </c>
      <c r="D35" s="54">
        <f>COUNTIF('PF272'!Y10:Y281,"SCB0_SEL1 (0)")</f>
        <v>0</v>
      </c>
      <c r="E35" s="49">
        <f>COUNTIF('PF272'!Y10:Y281,"SCB1_SEL1 (0)")</f>
        <v>0</v>
      </c>
      <c r="F35" s="49">
        <f>COUNTIF('PF272'!Y10:Y281,"SCB2_SEL1 (0)")</f>
        <v>0</v>
      </c>
      <c r="G35" s="49">
        <f>COUNTIF('PF272'!Y10:Y281,"SCB3_SEL1 (0)")</f>
        <v>0</v>
      </c>
      <c r="H35" s="49">
        <f>COUNTIF('PF272'!Y10:Y281,"SCB4_SEL1 (0)")</f>
        <v>0</v>
      </c>
      <c r="I35" s="54">
        <f>COUNTIF('PF272'!Y10:Y281,"SCB5_SEL1 (0)")</f>
        <v>0</v>
      </c>
      <c r="J35" s="54">
        <f>COUNTIF('PF272'!Y10:Y281,"SCB6_SEL1 (0)")</f>
        <v>0</v>
      </c>
      <c r="K35" s="49">
        <f>COUNTIF('PF272'!Y10:Y281,"SCB7_SEL1 (0)")</f>
        <v>0</v>
      </c>
      <c r="L35" s="49">
        <f>COUNTIF('PF272'!Y10:Y281,"SCB8_SEL1 (0)")</f>
        <v>0</v>
      </c>
      <c r="M35" s="49">
        <f>COUNTIF('PF272'!Y10:Y281,"SCB9_SEL1 (0)")</f>
        <v>0</v>
      </c>
      <c r="N35" s="49">
        <f>COUNTIF('PF272'!Y10:Y281,"SCB10_SEL1 (0)")</f>
        <v>0</v>
      </c>
    </row>
    <row r="36" spans="2:14" x14ac:dyDescent="0.55000000000000004">
      <c r="B36" s="197"/>
      <c r="C36" s="53" t="s">
        <v>2350</v>
      </c>
      <c r="D36" s="54">
        <f>COUNTIF('PF272'!Y10:Y281,"SCB0_SEL1 (1)")</f>
        <v>0</v>
      </c>
      <c r="E36" s="49">
        <f>COUNTIF('PF272'!Y10:Y281,"SCB1_SEL1 (1)")</f>
        <v>0</v>
      </c>
      <c r="F36" s="49">
        <f>COUNTIF('PF272'!Y10:Y281,"SCB2_SEL1 (1)")</f>
        <v>0</v>
      </c>
      <c r="G36" s="49">
        <f>COUNTIF('PF272'!Y10:Y281,"SCB3_SEL1 (1)")</f>
        <v>0</v>
      </c>
      <c r="H36" s="49">
        <f>COUNTIF('PF272'!Y10:Y281,"SCB4_SEL1 (1)")</f>
        <v>0</v>
      </c>
      <c r="I36" s="54">
        <f>COUNTIF('PF272'!Y10:Y281,"SCB5_SEL1 (1)")</f>
        <v>0</v>
      </c>
      <c r="J36" s="54">
        <f>COUNTIF('PF272'!Y10:Y281,"SCB6_SEL1 (1)")</f>
        <v>0</v>
      </c>
      <c r="K36" s="49">
        <f>COUNTIF('PF272'!Y10:Y281,"SCB7_SEL1 (1)")</f>
        <v>0</v>
      </c>
      <c r="L36" s="49">
        <f>COUNTIF('PF272'!Y10:Y281,"SCB8_SEL1 (1)")</f>
        <v>0</v>
      </c>
      <c r="M36" s="49">
        <f>COUNTIF('PF272'!Y10:Y281,"SCB9_SEL1 (1)")</f>
        <v>0</v>
      </c>
      <c r="N36" s="49">
        <f>COUNTIF('PF272'!Y10:Y281,"SCB10_SEL1 (1)")</f>
        <v>0</v>
      </c>
    </row>
    <row r="37" spans="2:14" x14ac:dyDescent="0.55000000000000004">
      <c r="B37" s="197"/>
      <c r="C37" s="53" t="s">
        <v>2351</v>
      </c>
      <c r="D37" s="54">
        <f>COUNTIF('PF272'!Y10:Y281,"SCB0_SEL1 (2)")</f>
        <v>0</v>
      </c>
      <c r="E37" s="49">
        <f>COUNTIF('PF272'!Y10:Y281,"SCB1_SEL1 (2)")</f>
        <v>0</v>
      </c>
      <c r="F37" s="49">
        <f>COUNTIF('PF272'!Y10:Y281,"SCB2_SEL1 (2)")</f>
        <v>0</v>
      </c>
      <c r="G37" s="49">
        <f>COUNTIF('PF272'!Y10:Y281,"SCB3_SEL1 (2)")</f>
        <v>0</v>
      </c>
      <c r="H37" s="49">
        <f>COUNTIF('PF272'!Y10:Y281,"SCB4_SEL1 (2)")</f>
        <v>0</v>
      </c>
      <c r="I37" s="54">
        <f>COUNTIF('PF272'!Y10:Y281,"SCB5_SEL1 (2)")</f>
        <v>0</v>
      </c>
      <c r="J37" s="54">
        <f>COUNTIF('PF272'!Y10:Y281,"SCB6_SEL1 (2)")</f>
        <v>0</v>
      </c>
      <c r="K37" s="49">
        <f>COUNTIF('PF272'!Y10:Y281,"SCB7_SEL1 (2)")</f>
        <v>0</v>
      </c>
      <c r="L37" s="49">
        <f>COUNTIF('PF272'!Y10:Y281,"SCB8_SEL1 (2)")</f>
        <v>0</v>
      </c>
      <c r="M37" s="49">
        <f>COUNTIF('PF272'!Y10:Y281,"SCB9_SEL1 (2)")</f>
        <v>0</v>
      </c>
      <c r="N37" s="49">
        <f>COUNTIF('PF272'!Y10:Y281,"SCB10_SEL1 (2)")</f>
        <v>0</v>
      </c>
    </row>
    <row r="38" spans="2:14" x14ac:dyDescent="0.55000000000000004">
      <c r="B38" s="197"/>
      <c r="C38" s="53" t="s">
        <v>2352</v>
      </c>
      <c r="D38" s="54">
        <f>COUNTIF('PF272'!Y10:Y281,"SCB0_SEL2 (0)")</f>
        <v>0</v>
      </c>
      <c r="E38" s="49">
        <f>COUNTIF('PF272'!Y10:Y281,"SCB1_SEL2 (0)")</f>
        <v>0</v>
      </c>
      <c r="F38" s="49">
        <f>COUNTIF('PF272'!Y10:Y281,"SCB2_SEL2 (0)")</f>
        <v>0</v>
      </c>
      <c r="G38" s="49">
        <f>COUNTIF('PF272'!Y10:Y281,"SCB3_SEL2 (0)")</f>
        <v>0</v>
      </c>
      <c r="H38" s="49">
        <f>COUNTIF('PF272'!Y10:Y281,"SCB4_SEL2 (0)")</f>
        <v>0</v>
      </c>
      <c r="I38" s="54">
        <f>COUNTIF('PF272'!Y10:Y281,"SCB5_SEL2 (0)")</f>
        <v>0</v>
      </c>
      <c r="J38" s="54">
        <f>COUNTIF('PF272'!Y10:Y281,"SCB6_SEL2 (0)")</f>
        <v>0</v>
      </c>
      <c r="K38" s="49">
        <f>COUNTIF('PF272'!Y10:Y281,"SCB7_SEL2 (0)")</f>
        <v>0</v>
      </c>
      <c r="L38" s="49">
        <f>COUNTIF('PF272'!Y10:Y281,"SCB8_SEL2 (0)")</f>
        <v>0</v>
      </c>
      <c r="M38" s="49">
        <f>COUNTIF('PF272'!Y10:Y281,"SCB9_SEL2 (0)")</f>
        <v>0</v>
      </c>
      <c r="N38" s="49">
        <f>COUNTIF('PF272'!Y10:Y281,"SCB10_SEL2 (0)")</f>
        <v>0</v>
      </c>
    </row>
    <row r="39" spans="2:14" x14ac:dyDescent="0.55000000000000004">
      <c r="B39" s="197"/>
      <c r="C39" s="53" t="s">
        <v>2353</v>
      </c>
      <c r="D39" s="54">
        <f>COUNTIF('PF272'!Y10:Y281,"SCB0_SEL2 (1)")</f>
        <v>0</v>
      </c>
      <c r="E39" s="49">
        <f>COUNTIF('PF272'!Y10:Y281,"SCB1_SEL2 (1)")</f>
        <v>0</v>
      </c>
      <c r="F39" s="49">
        <f>COUNTIF('PF272'!Y10:Y281,"SCB2_SEL2 (1)")</f>
        <v>0</v>
      </c>
      <c r="G39" s="49">
        <f>COUNTIF('PF272'!Y10:Y281,"SCB3_SEL2 (1)")</f>
        <v>0</v>
      </c>
      <c r="H39" s="49">
        <f>COUNTIF('PF272'!Y10:Y281,"SCB4_SEL2 (1)")</f>
        <v>0</v>
      </c>
      <c r="I39" s="54">
        <f>COUNTIF('PF272'!Y10:Y281,"SCB5_SEL2 (1)")</f>
        <v>0</v>
      </c>
      <c r="J39" s="54">
        <f>COUNTIF('PF272'!Y10:Y281,"SCB6_SEL2 (1)")</f>
        <v>0</v>
      </c>
      <c r="K39" s="49">
        <f>COUNTIF('PF272'!Y10:Y281,"SCB7_SEL2 (1)")</f>
        <v>0</v>
      </c>
      <c r="L39" s="49">
        <f>COUNTIF('PF272'!Y10:Y281,"SCB8_SEL2 (1)")</f>
        <v>0</v>
      </c>
      <c r="M39" s="49">
        <f>COUNTIF('PF272'!Y10:Y281,"SCB9_SEL2 (1)")</f>
        <v>0</v>
      </c>
      <c r="N39" s="49">
        <f>COUNTIF('PF272'!Y10:Y281,"SCB10_SEL2 (1)")</f>
        <v>0</v>
      </c>
    </row>
    <row r="40" spans="2:14" x14ac:dyDescent="0.55000000000000004">
      <c r="B40" s="197"/>
      <c r="C40" s="53" t="s">
        <v>2354</v>
      </c>
      <c r="D40" s="54">
        <f>COUNTIF('PF272'!Y10:Y281,"SCB0_SEL2 (2)")</f>
        <v>0</v>
      </c>
      <c r="E40" s="49">
        <f>COUNTIF('PF272'!Y10:Y281,"SCB1_SEL2 (2)")</f>
        <v>0</v>
      </c>
      <c r="F40" s="49">
        <f>COUNTIF('PF272'!Y10:Y281,"SCB2_SEL2 (2)")</f>
        <v>0</v>
      </c>
      <c r="G40" s="49">
        <f>COUNTIF('PF272'!Y10:Y281,"SCB3_SEL2 (2)")</f>
        <v>0</v>
      </c>
      <c r="H40" s="49">
        <f>COUNTIF('PF272'!Y10:Y281,"SCB4_SEL2 (2)")</f>
        <v>0</v>
      </c>
      <c r="I40" s="54">
        <f>COUNTIF('PF272'!Y10:Y281,"SCB5_SEL2 (2)")</f>
        <v>0</v>
      </c>
      <c r="J40" s="54">
        <f>COUNTIF('PF272'!Y10:Y281,"SCB6_SEL2 (2)")</f>
        <v>0</v>
      </c>
      <c r="K40" s="49">
        <f>COUNTIF('PF272'!Y10:Y281,"SCB7_SEL2 (2)")</f>
        <v>0</v>
      </c>
      <c r="L40" s="49">
        <f>COUNTIF('PF272'!Y10:Y281,"SCB8_SEL2 (2)")</f>
        <v>0</v>
      </c>
      <c r="M40" s="49">
        <f>COUNTIF('PF272'!Y10:Y281,"SCB9_SEL2 (2)")</f>
        <v>0</v>
      </c>
      <c r="N40" s="49">
        <f>COUNTIF('PF272'!Y10:Y281,"SCB10_SEL2 (2)")</f>
        <v>0</v>
      </c>
    </row>
    <row r="41" spans="2:14" x14ac:dyDescent="0.55000000000000004">
      <c r="B41" s="197"/>
      <c r="C41" s="53" t="s">
        <v>2355</v>
      </c>
      <c r="D41" s="54">
        <f>COUNTIF('PF272'!Y10:Y281,"SCB0_SEL3 (0)")</f>
        <v>0</v>
      </c>
      <c r="E41" s="49">
        <f>COUNTIF('PF272'!Y10:Y281,"SCB1_SEL3 (0)")</f>
        <v>0</v>
      </c>
      <c r="F41" s="49">
        <f>COUNTIF('PF272'!Y10:Y281,"SCB2_SEL3 (0)")</f>
        <v>0</v>
      </c>
      <c r="G41" s="49">
        <f>COUNTIF('PF272'!Y10:Y281,"SCB3_SEL3 (0)")</f>
        <v>0</v>
      </c>
      <c r="H41" s="49">
        <f>COUNTIF('PF272'!Y10:Y281,"SCB4_SEL3 (0)")</f>
        <v>0</v>
      </c>
      <c r="I41" s="54">
        <f>COUNTIF('PF272'!Y10:Y281,"SCB5_SEL3 (0)")</f>
        <v>0</v>
      </c>
      <c r="J41" s="54">
        <f>COUNTIF('PF272'!Y10:Y281,"SCB6_SEL3 (0)")</f>
        <v>0</v>
      </c>
      <c r="K41" s="49">
        <f>COUNTIF('PF272'!Y10:Y281,"SCB7_SEL3 (0)")</f>
        <v>0</v>
      </c>
      <c r="L41" s="49">
        <f>COUNTIF('PF272'!Y10:Y281,"SCB8_SEL3 (0)")</f>
        <v>0</v>
      </c>
      <c r="M41" s="49">
        <f>COUNTIF('PF272'!Y10:Y281,"SCB9_SEL3 (0)")</f>
        <v>0</v>
      </c>
      <c r="N41" s="49">
        <f>COUNTIF('PF272'!Y10:Y281,"SCB10_SEL3 (0)")</f>
        <v>0</v>
      </c>
    </row>
    <row r="42" spans="2:14" x14ac:dyDescent="0.55000000000000004">
      <c r="B42" s="197"/>
      <c r="C42" s="53" t="s">
        <v>2356</v>
      </c>
      <c r="D42" s="54">
        <f>COUNTIF('PF272'!Y10:Y281,"SCB0_SEL3 (1)")</f>
        <v>0</v>
      </c>
      <c r="E42" s="49">
        <f>COUNTIF('PF272'!Y10:Y281,"SCB1_SEL3 (1)")</f>
        <v>0</v>
      </c>
      <c r="F42" s="49">
        <f>COUNTIF('PF272'!Y10:Y281,"SCB2_SEL3 (1)")</f>
        <v>0</v>
      </c>
      <c r="G42" s="49">
        <f>COUNTIF('PF272'!Y10:Y281,"SCB3_SEL3 (1)")</f>
        <v>0</v>
      </c>
      <c r="H42" s="49">
        <f>COUNTIF('PF272'!Y10:Y281,"SCB4_SEL3 (1)")</f>
        <v>0</v>
      </c>
      <c r="I42" s="54">
        <f>COUNTIF('PF272'!Y10:Y281,"SCB5_SEL3 (1)")</f>
        <v>0</v>
      </c>
      <c r="J42" s="54">
        <f>COUNTIF('PF272'!Y10:Y281,"SCB6_SEL3 (1)")</f>
        <v>0</v>
      </c>
      <c r="K42" s="49">
        <f>COUNTIF('PF272'!Y10:Y281,"SCB7_SEL3 (1)")</f>
        <v>0</v>
      </c>
      <c r="L42" s="49">
        <f>COUNTIF('PF272'!Y10:Y281,"SCB8_SEL3 (1)")</f>
        <v>0</v>
      </c>
      <c r="M42" s="49">
        <f>COUNTIF('PF272'!Y10:Y281,"SCB9_SEL3 (1)")</f>
        <v>0</v>
      </c>
      <c r="N42" s="49">
        <f>COUNTIF('PF272'!Y10:Y281,"SCB10_SEL3 (1)")</f>
        <v>0</v>
      </c>
    </row>
    <row r="43" spans="2:14" x14ac:dyDescent="0.55000000000000004">
      <c r="B43" s="198"/>
      <c r="C43" s="53" t="s">
        <v>2357</v>
      </c>
      <c r="D43" s="54">
        <f>COUNTIF('PF272'!Y10:Y281,"SCB0_SEL3 (2)")</f>
        <v>0</v>
      </c>
      <c r="E43" s="49">
        <f>COUNTIF('PF272'!Y10:Y281,"SCB1_SEL3 (2)")</f>
        <v>0</v>
      </c>
      <c r="F43" s="49">
        <f>COUNTIF('PF272'!Y10:Y281,"SCB2_SEL3 (2)")</f>
        <v>0</v>
      </c>
      <c r="G43" s="49">
        <f>COUNTIF('PF272'!Y10:Y281,"SCB3_SEL3 (2)")</f>
        <v>0</v>
      </c>
      <c r="H43" s="49">
        <f>COUNTIF('PF272'!Y10:Y281,"SCB4_SEL3 (2)")</f>
        <v>0</v>
      </c>
      <c r="I43" s="54">
        <f>COUNTIF('PF272'!Y10:Y281,"SCB5_SEL3 (2)")</f>
        <v>0</v>
      </c>
      <c r="J43" s="54">
        <f>COUNTIF('PF272'!Y10:Y281,"SCB6_SEL3 (2)")</f>
        <v>0</v>
      </c>
      <c r="K43" s="49">
        <f>COUNTIF('PF272'!Y10:Y281,"SCB7_SEL3 (2)")</f>
        <v>0</v>
      </c>
      <c r="L43" s="49">
        <f>COUNTIF('PF272'!Y10:Y281,"SCB8_SEL3 (2)")</f>
        <v>0</v>
      </c>
      <c r="M43" s="49">
        <f>COUNTIF('PF272'!Y10:Y281,"SCB9_SEL3 (2)")</f>
        <v>0</v>
      </c>
      <c r="N43" s="49">
        <f>COUNTIF('PF272'!Y10:Y281,"SCB10_SEL3 (2)")</f>
        <v>0</v>
      </c>
    </row>
    <row r="44" spans="2:14" ht="10" customHeight="1" x14ac:dyDescent="0.55000000000000004">
      <c r="B44" s="196" t="s">
        <v>395</v>
      </c>
      <c r="C44" s="53" t="s">
        <v>2358</v>
      </c>
      <c r="D44" s="54">
        <f>COUNTIF('PF272'!Y10:Y281,"SCB0_TX (0)")</f>
        <v>0</v>
      </c>
      <c r="E44" s="49">
        <f>COUNTIF('PF272'!Y10:Y281,"SCB1_TX (0)")</f>
        <v>0</v>
      </c>
      <c r="F44" s="49">
        <f>COUNTIF('PF272'!Y10:Y281,"SCB2_TX (0)")</f>
        <v>0</v>
      </c>
      <c r="G44" s="49">
        <f>COUNTIF('PF272'!Y10:Y281,"SCB3_TX (0)")</f>
        <v>0</v>
      </c>
      <c r="H44" s="49">
        <f>COUNTIF('PF272'!Y10:Y281,"SCB4_TX (0)")</f>
        <v>0</v>
      </c>
      <c r="I44" s="49">
        <f>COUNTIF('PF272'!Y10:Y281,"SCB5_TX (0)")</f>
        <v>0</v>
      </c>
      <c r="J44" s="49">
        <f>COUNTIF('PF272'!Y10:Y281,"SCB6_TX (0)")</f>
        <v>0</v>
      </c>
      <c r="K44" s="49">
        <f>COUNTIF('PF272'!Y10:Y281,"SCB7_TX (0)")</f>
        <v>0</v>
      </c>
      <c r="L44" s="49">
        <f>COUNTIF('PF272'!Y10:Y281,"SCB8_TX (0)")</f>
        <v>0</v>
      </c>
      <c r="M44" s="49">
        <f>COUNTIF('PF272'!Y10:Y281,"SCB9_TX (0)")</f>
        <v>0</v>
      </c>
      <c r="N44" s="49">
        <f>COUNTIF('PF272'!Y10:Y281,"SCB10_TX (0)")</f>
        <v>0</v>
      </c>
    </row>
    <row r="45" spans="2:14" x14ac:dyDescent="0.55000000000000004">
      <c r="B45" s="197"/>
      <c r="C45" s="53" t="s">
        <v>2359</v>
      </c>
      <c r="D45" s="54">
        <f>COUNTIF('PF272'!Y10:Y281,"SCB0_TX (1)")</f>
        <v>0</v>
      </c>
      <c r="E45" s="49">
        <f>COUNTIF('PF272'!Y10:Y281,"SCB1_TX (1)")</f>
        <v>0</v>
      </c>
      <c r="F45" s="49">
        <f>COUNTIF('PF272'!Y10:Y281,"SCB2_TX (1)")</f>
        <v>0</v>
      </c>
      <c r="G45" s="49">
        <f>COUNTIF('PF272'!Y10:Y281,"SCB3_TX (1)")</f>
        <v>0</v>
      </c>
      <c r="H45" s="49">
        <f>COUNTIF('PF272'!Y10:Y281,"SCB4_TX (1)")</f>
        <v>0</v>
      </c>
      <c r="I45" s="49">
        <f>COUNTIF('PF272'!Y10:Y281,"SCB5_TX (1)")</f>
        <v>0</v>
      </c>
      <c r="J45" s="49">
        <f>COUNTIF('PF272'!Y10:Y281,"SCB6_TX (1)")</f>
        <v>0</v>
      </c>
      <c r="K45" s="49">
        <f>COUNTIF('PF272'!Y10:Y281,"SCB7_TX (1)")</f>
        <v>0</v>
      </c>
      <c r="L45" s="49">
        <f>COUNTIF('PF272'!Y10:Y281,"SCB8_TX (1)")</f>
        <v>0</v>
      </c>
      <c r="M45" s="49">
        <f>COUNTIF('PF272'!Y10:Y281,"SCB9_TX (1)")</f>
        <v>0</v>
      </c>
      <c r="N45" s="49">
        <f>COUNTIF('PF272'!Y10:Y281,"SCB10_TX (1)")</f>
        <v>0</v>
      </c>
    </row>
    <row r="46" spans="2:14" x14ac:dyDescent="0.55000000000000004">
      <c r="B46" s="197"/>
      <c r="C46" s="53" t="s">
        <v>2360</v>
      </c>
      <c r="D46" s="54">
        <f>COUNTIF('PF272'!Y10:Y281,"SCB0_RX (0)")</f>
        <v>0</v>
      </c>
      <c r="E46" s="49">
        <f>COUNTIF('PF272'!Y10:Y281,"SCB1_RX (0)")</f>
        <v>0</v>
      </c>
      <c r="F46" s="49">
        <f>COUNTIF('PF272'!Y10:Y281,"SCB2_RX (0)")</f>
        <v>0</v>
      </c>
      <c r="G46" s="49">
        <f>COUNTIF('PF272'!Y10:Y281,"SCB3_RX (0)")</f>
        <v>0</v>
      </c>
      <c r="H46" s="49">
        <f>COUNTIF('PF272'!Y10:Y281,"SCB4_RX (0)")</f>
        <v>0</v>
      </c>
      <c r="I46" s="49">
        <f>COUNTIF('PF272'!Y10:Y281,"SCB5_RX (0)")</f>
        <v>0</v>
      </c>
      <c r="J46" s="49">
        <f>COUNTIF('PF272'!Y10:Y281,"SCB6_RX (0)")</f>
        <v>0</v>
      </c>
      <c r="K46" s="49">
        <f>COUNTIF('PF272'!Y10:Y281,"SCB7_RX (0)")</f>
        <v>0</v>
      </c>
      <c r="L46" s="49">
        <f>COUNTIF('PF272'!Y10:Y281,"SCB8_RX (0)")</f>
        <v>0</v>
      </c>
      <c r="M46" s="49">
        <f>COUNTIF('PF272'!Y10:Y281,"SCB9_RX (0)")</f>
        <v>0</v>
      </c>
      <c r="N46" s="49">
        <f>COUNTIF('PF272'!Y10:Y281,"SCB10_RX (0)")</f>
        <v>0</v>
      </c>
    </row>
    <row r="47" spans="2:14" x14ac:dyDescent="0.55000000000000004">
      <c r="B47" s="197"/>
      <c r="C47" s="53" t="s">
        <v>2361</v>
      </c>
      <c r="D47" s="54">
        <f>COUNTIF('PF272'!Y10:Y281,"SCB0_RX (1)")</f>
        <v>0</v>
      </c>
      <c r="E47" s="49">
        <f>COUNTIF('PF272'!Y10:Y281,"SCB1_RX (1)")</f>
        <v>0</v>
      </c>
      <c r="F47" s="49">
        <f>COUNTIF('PF272'!Y10:Y281,"SCB2_RX (1)")</f>
        <v>0</v>
      </c>
      <c r="G47" s="49">
        <f>COUNTIF('PF272'!Y10:Y281,"SCB3_RX (1)")</f>
        <v>0</v>
      </c>
      <c r="H47" s="49">
        <f>COUNTIF('PF272'!Y10:Y281,"SCB4_RX (1)")</f>
        <v>0</v>
      </c>
      <c r="I47" s="49">
        <f>COUNTIF('PF272'!Y10:Y281,"SCB5_RX (1)")</f>
        <v>0</v>
      </c>
      <c r="J47" s="49">
        <f>COUNTIF('PF272'!Y10:Y281,"SCB6_RX (1)")</f>
        <v>0</v>
      </c>
      <c r="K47" s="49">
        <f>COUNTIF('PF272'!Y10:Y281,"SCB7_RX (1)")</f>
        <v>0</v>
      </c>
      <c r="L47" s="49">
        <f>COUNTIF('PF272'!Y10:Y281,"SCB8_RX (1)")</f>
        <v>0</v>
      </c>
      <c r="M47" s="49">
        <f>COUNTIF('PF272'!Y10:Y281,"SCB9_RX (1)")</f>
        <v>0</v>
      </c>
      <c r="N47" s="49">
        <f>COUNTIF('PF272'!Y10:Y281,"SCB10_RX (1)")</f>
        <v>0</v>
      </c>
    </row>
    <row r="48" spans="2:14" x14ac:dyDescent="0.55000000000000004">
      <c r="B48" s="197"/>
      <c r="C48" s="53" t="s">
        <v>2362</v>
      </c>
      <c r="D48" s="54">
        <f>COUNTIF('PF272'!Y10:Y281,"SCB0_CTS (0)")</f>
        <v>0</v>
      </c>
      <c r="E48" s="49">
        <f>COUNTIF('PF272'!Y10:Y281,"SCB1_CTS (0)")</f>
        <v>0</v>
      </c>
      <c r="F48" s="49">
        <f>COUNTIF('PF272'!Y10:Y281,"SCB2_CTS (0)")</f>
        <v>0</v>
      </c>
      <c r="G48" s="49">
        <f>COUNTIF('PF272'!Y10:Y281,"SCB3_CTS (0)")</f>
        <v>0</v>
      </c>
      <c r="H48" s="49">
        <f>COUNTIF('PF272'!Y10:Y281,"SCB4_CTS (0)")</f>
        <v>0</v>
      </c>
      <c r="I48" s="49">
        <f>COUNTIF('PF272'!Y10:Y281,"SCB5_CTS (0)")</f>
        <v>0</v>
      </c>
      <c r="J48" s="49">
        <f>COUNTIF('PF272'!Y10:Y281,"SCB6_CTS (0)")</f>
        <v>0</v>
      </c>
      <c r="K48" s="49">
        <f>COUNTIF('PF272'!Y10:Y281,"SCB7_CTS (0)")</f>
        <v>0</v>
      </c>
      <c r="L48" s="49">
        <f>COUNTIF('PF272'!Y10:Y281,"SCB8_CTS (0)")</f>
        <v>0</v>
      </c>
      <c r="M48" s="49">
        <f>COUNTIF('PF272'!Y10:Y281,"SCB9_CTS (0)")</f>
        <v>0</v>
      </c>
      <c r="N48" s="49">
        <f>COUNTIF('PF272'!Y10:Y281,"SCB10_CTS (0)")</f>
        <v>0</v>
      </c>
    </row>
    <row r="49" spans="2:14" x14ac:dyDescent="0.55000000000000004">
      <c r="B49" s="197"/>
      <c r="C49" s="53" t="s">
        <v>2363</v>
      </c>
      <c r="D49" s="54">
        <f>COUNTIF('PF272'!Y10:Y281,"SCB0_CTS (1)")</f>
        <v>0</v>
      </c>
      <c r="E49" s="49">
        <f>COUNTIF('PF272'!Y10:Y281,"SCB1_CTS (1)")</f>
        <v>0</v>
      </c>
      <c r="F49" s="49">
        <f>COUNTIF('PF272'!Y10:Y281,"SCB2_CTS (1)")</f>
        <v>0</v>
      </c>
      <c r="G49" s="49">
        <f>COUNTIF('PF272'!Y10:Y281,"SCB3_CTS (1)")</f>
        <v>0</v>
      </c>
      <c r="H49" s="49">
        <f>COUNTIF('PF272'!Y10:Y281,"SCB4_CTS (1)")</f>
        <v>0</v>
      </c>
      <c r="I49" s="49">
        <f>COUNTIF('PF272'!Y10:Y281,"SCB5_CTS (1)")</f>
        <v>0</v>
      </c>
      <c r="J49" s="49">
        <f>COUNTIF('PF272'!Y10:Y281,"SCB6_CTS (1)")</f>
        <v>0</v>
      </c>
      <c r="K49" s="49">
        <f>COUNTIF('PF272'!Y10:Y281,"SCB7_CTS (1)")</f>
        <v>0</v>
      </c>
      <c r="L49" s="49">
        <f>COUNTIF('PF272'!Y10:Y281,"SCB8_CTS (1)")</f>
        <v>0</v>
      </c>
      <c r="M49" s="49">
        <f>COUNTIF('PF272'!Y10:Y281,"SCB9_CTS (1)")</f>
        <v>0</v>
      </c>
      <c r="N49" s="49">
        <f>COUNTIF('PF272'!Y10:Y281,"SCB10_CTS (1)")</f>
        <v>0</v>
      </c>
    </row>
    <row r="50" spans="2:14" x14ac:dyDescent="0.55000000000000004">
      <c r="B50" s="197"/>
      <c r="C50" s="53" t="s">
        <v>2364</v>
      </c>
      <c r="D50" s="54">
        <f>COUNTIF('PF272'!Y10:Y281,"SCB0_RTS (0)")</f>
        <v>0</v>
      </c>
      <c r="E50" s="49">
        <f>COUNTIF('PF272'!Y10:Y281,"SCB1_RTS (0)")</f>
        <v>0</v>
      </c>
      <c r="F50" s="49">
        <f>COUNTIF('PF272'!Y10:Y281,"SCB2_RTS (0)")</f>
        <v>0</v>
      </c>
      <c r="G50" s="49">
        <f>COUNTIF('PF272'!Y10:Y281,"SCB3_RTS (0)")</f>
        <v>0</v>
      </c>
      <c r="H50" s="49">
        <f>COUNTIF('PF272'!Y10:Y281,"SCB4_RTS (0)")</f>
        <v>0</v>
      </c>
      <c r="I50" s="49">
        <f>COUNTIF('PF272'!Y10:Y281,"SCB5_RTS (0)")</f>
        <v>0</v>
      </c>
      <c r="J50" s="49">
        <f>COUNTIF('PF272'!Y10:Y281,"SCB6_RTS (0)")</f>
        <v>0</v>
      </c>
      <c r="K50" s="49">
        <f>COUNTIF('PF272'!Y10:Y281,"SCB7_RTS (0)")</f>
        <v>0</v>
      </c>
      <c r="L50" s="49">
        <f>COUNTIF('PF272'!Y10:Y281,"SCB8_RTS (0)")</f>
        <v>0</v>
      </c>
      <c r="M50" s="49">
        <f>COUNTIF('PF272'!Y10:Y281,"SCB9_RTS (0)")</f>
        <v>0</v>
      </c>
      <c r="N50" s="49">
        <f>COUNTIF('PF272'!Y10:Y281,"SCB10_RTS (0)")</f>
        <v>0</v>
      </c>
    </row>
    <row r="51" spans="2:14" x14ac:dyDescent="0.55000000000000004">
      <c r="B51" s="198"/>
      <c r="C51" s="53" t="s">
        <v>2365</v>
      </c>
      <c r="D51" s="54">
        <f>COUNTIF('PF272'!Y10:Y281,"SCB0_RTS (1)")</f>
        <v>0</v>
      </c>
      <c r="E51" s="49">
        <f>COUNTIF('PF272'!Y10:Y281,"SCB1_RTS (1)")</f>
        <v>0</v>
      </c>
      <c r="F51" s="49">
        <f>COUNTIF('PF272'!Y10:Y281,"SCB2_RTS (1)")</f>
        <v>0</v>
      </c>
      <c r="G51" s="49">
        <f>COUNTIF('PF272'!Y10:Y281,"SCB3_RTS (1)")</f>
        <v>0</v>
      </c>
      <c r="H51" s="49">
        <f>COUNTIF('PF272'!Y10:Y281,"SCB4_RTS (1)")</f>
        <v>0</v>
      </c>
      <c r="I51" s="49">
        <f>COUNTIF('PF272'!Y10:Y281,"SCB5_RTS (1)")</f>
        <v>0</v>
      </c>
      <c r="J51" s="49">
        <f>COUNTIF('PF272'!Y10:Y281,"SCB6_RTS (1)")</f>
        <v>0</v>
      </c>
      <c r="K51" s="49">
        <f>COUNTIF('PF272'!Y10:Y281,"SCB7_RTS (1)")</f>
        <v>0</v>
      </c>
      <c r="L51" s="49">
        <f>COUNTIF('PF272'!Y10:Y281,"SCB8_RTS (1)")</f>
        <v>0</v>
      </c>
      <c r="M51" s="49">
        <f>COUNTIF('PF272'!Y10:Y281,"SCB9_RTS (1)")</f>
        <v>0</v>
      </c>
      <c r="N51" s="49">
        <f>COUNTIF('PF272'!Y10:Y281,"SCB10_RTS (1)")</f>
        <v>0</v>
      </c>
    </row>
    <row r="52" spans="2:14" ht="10" customHeight="1" x14ac:dyDescent="0.55000000000000004">
      <c r="B52" s="196" t="s">
        <v>397</v>
      </c>
      <c r="C52" s="53" t="s">
        <v>2366</v>
      </c>
      <c r="D52" s="54">
        <f>COUNTIF('PF272'!Y10:Y281,"SCB0_SDA (0)")</f>
        <v>0</v>
      </c>
      <c r="E52" s="49">
        <f>COUNTIF('PF272'!Y10:Y281,"SCB1_SDA (0)")</f>
        <v>0</v>
      </c>
      <c r="F52" s="49">
        <f>COUNTIF('PF272'!Y10:Y281,"SCB2_SDA (0)")</f>
        <v>0</v>
      </c>
      <c r="G52" s="49">
        <f>COUNTIF('PF272'!Y10:Y281,"SCB3_SDA (0)")</f>
        <v>0</v>
      </c>
      <c r="H52" s="49">
        <f>COUNTIF('PF272'!Y10:Y281,"SCB4_SDA (0)")</f>
        <v>0</v>
      </c>
      <c r="I52" s="49">
        <f>COUNTIF('PF272'!Y10:Y281,"SCB5_SDA (0)")</f>
        <v>0</v>
      </c>
      <c r="J52" s="49">
        <f>COUNTIF('PF272'!Y10:Y281,"SCB6_SDA (0)")</f>
        <v>0</v>
      </c>
      <c r="K52" s="49">
        <f>COUNTIF('PF272'!Y10:Y281,"SCB7_SDA (0)")</f>
        <v>0</v>
      </c>
      <c r="L52" s="49">
        <f>COUNTIF('PF272'!Y10:Y281,"SCB8_SDA (0)")</f>
        <v>0</v>
      </c>
      <c r="M52" s="49">
        <f>COUNTIF('PF272'!Y10:Y281,"SCB9_SDA (0)")</f>
        <v>0</v>
      </c>
      <c r="N52" s="49">
        <f>COUNTIF('PF272'!Y10:Y281,"SCB10_SDA (0)")</f>
        <v>0</v>
      </c>
    </row>
    <row r="53" spans="2:14" ht="10" customHeight="1" x14ac:dyDescent="0.55000000000000004">
      <c r="B53" s="197"/>
      <c r="C53" s="53" t="s">
        <v>2367</v>
      </c>
      <c r="D53" s="54">
        <f>COUNTIF('PF272'!Y10:Y281,"SCB0_SDA (1)")</f>
        <v>0</v>
      </c>
      <c r="E53" s="49">
        <f>COUNTIF('PF272'!Y10:Y281,"SCB1_SDA (1)")</f>
        <v>0</v>
      </c>
      <c r="F53" s="49">
        <f>COUNTIF('PF272'!Y10:Y281,"SCB2_SDA (1)")</f>
        <v>0</v>
      </c>
      <c r="G53" s="49">
        <f>COUNTIF('PF272'!Y10:Y281,"SCB3_SDA (1)")</f>
        <v>0</v>
      </c>
      <c r="H53" s="49">
        <f>COUNTIF('PF272'!Y10:Y281,"SCB4_SDA (1)")</f>
        <v>0</v>
      </c>
      <c r="I53" s="49">
        <f>COUNTIF('PF272'!Y10:Y281,"SCB5_SDA (1)")</f>
        <v>0</v>
      </c>
      <c r="J53" s="49">
        <f>COUNTIF('PF272'!Y10:Y281,"SCB6_SDA (1)")</f>
        <v>0</v>
      </c>
      <c r="K53" s="49">
        <f>COUNTIF('PF272'!Y10:Y281,"SCB7_SDA (1)")</f>
        <v>0</v>
      </c>
      <c r="L53" s="49">
        <f>COUNTIF('PF272'!Y10:Y281,"SCB8_SDA (1)")</f>
        <v>0</v>
      </c>
      <c r="M53" s="49">
        <f>COUNTIF('PF272'!Y10:Y281,"SCB9_SDA (1)")</f>
        <v>0</v>
      </c>
      <c r="N53" s="49">
        <f>COUNTIF('PF272'!Y10:Y281,"SCB10_SDA (1)")</f>
        <v>0</v>
      </c>
    </row>
    <row r="54" spans="2:14" x14ac:dyDescent="0.55000000000000004">
      <c r="B54" s="197"/>
      <c r="C54" s="53" t="s">
        <v>2368</v>
      </c>
      <c r="D54" s="54">
        <f>COUNTIF('PF272'!Y10:Y281,"SCB0_SDA (2)")</f>
        <v>0</v>
      </c>
      <c r="E54" s="49">
        <f>COUNTIF('PF272'!Y10:Y281,"SCB1_SDA (2)")</f>
        <v>0</v>
      </c>
      <c r="F54" s="49">
        <f>COUNTIF('PF272'!Y10:Y281,"SCB2_SDA (2)")</f>
        <v>0</v>
      </c>
      <c r="G54" s="49">
        <f>COUNTIF('PF272'!Y10:Y281,"SCB3_SDA (2)")</f>
        <v>0</v>
      </c>
      <c r="H54" s="49">
        <f>COUNTIF('PF272'!Y10:Y281,"SCB4_SDA (2)")</f>
        <v>0</v>
      </c>
      <c r="I54" s="49">
        <f>COUNTIF('PF272'!Y10:Y281,"SCB5_SDA (2)")</f>
        <v>0</v>
      </c>
      <c r="J54" s="49">
        <f>COUNTIF('PF272'!Y10:Y281,"SCB6_SDA (2)")</f>
        <v>0</v>
      </c>
      <c r="K54" s="49">
        <f>COUNTIF('PF272'!Y10:Y281,"SCB7_SDA (2)")</f>
        <v>0</v>
      </c>
      <c r="L54" s="49">
        <f>COUNTIF('PF272'!Y10:Y281,"SCB8_SDA (2)")</f>
        <v>0</v>
      </c>
      <c r="M54" s="49">
        <f>COUNTIF('PF272'!Y10:Y281,"SCB9_SDA (2)")</f>
        <v>0</v>
      </c>
      <c r="N54" s="49">
        <f>COUNTIF('PF272'!Y10:Y281,"SCB10_SDA (2)")</f>
        <v>0</v>
      </c>
    </row>
    <row r="55" spans="2:14" x14ac:dyDescent="0.55000000000000004">
      <c r="B55" s="197"/>
      <c r="C55" s="53" t="s">
        <v>2369</v>
      </c>
      <c r="D55" s="54">
        <f>COUNTIF('PF272'!Y10:Y281,"SCB0_SCL (0)")</f>
        <v>0</v>
      </c>
      <c r="E55" s="49">
        <f>COUNTIF('PF272'!Y10:Y281,"SCB1_SCL (0)")</f>
        <v>0</v>
      </c>
      <c r="F55" s="49">
        <f>COUNTIF('PF272'!Y10:Y281,"SCB2_SCL (0)")</f>
        <v>0</v>
      </c>
      <c r="G55" s="49">
        <f>COUNTIF('PF272'!Y10:Y281,"SCB3_SCL (0)")</f>
        <v>0</v>
      </c>
      <c r="H55" s="49">
        <f>COUNTIF('PF272'!Y10:Y281,"SCB4_SCL (0)")</f>
        <v>0</v>
      </c>
      <c r="I55" s="49">
        <f>COUNTIF('PF272'!Y10:Y281,"SCB5_SCL (0)")</f>
        <v>0</v>
      </c>
      <c r="J55" s="49">
        <f>COUNTIF('PF272'!Y10:Y281,"SCB6_SCL (0)")</f>
        <v>0</v>
      </c>
      <c r="K55" s="49">
        <f>COUNTIF('PF272'!Y10:Y281,"SCB7_SCL (0)")</f>
        <v>0</v>
      </c>
      <c r="L55" s="49">
        <f>COUNTIF('PF272'!Y10:Y281,"SCB8_SCL (0)")</f>
        <v>0</v>
      </c>
      <c r="M55" s="49">
        <f>COUNTIF('PF272'!Y10:Y281,"SCB9_SCL (0)")</f>
        <v>0</v>
      </c>
      <c r="N55" s="49">
        <f>COUNTIF('PF272'!Y10:Y281,"SCB10_SCL (0)")</f>
        <v>0</v>
      </c>
    </row>
    <row r="56" spans="2:14" x14ac:dyDescent="0.55000000000000004">
      <c r="B56" s="197"/>
      <c r="C56" s="53" t="s">
        <v>2370</v>
      </c>
      <c r="D56" s="54">
        <f>COUNTIF('PF272'!Y10:Y281,"SCB0_SCL (1)")</f>
        <v>0</v>
      </c>
      <c r="E56" s="49">
        <f>COUNTIF('PF272'!Y10:Y281,"SCB1_SCL (1)")</f>
        <v>0</v>
      </c>
      <c r="F56" s="49">
        <f>COUNTIF('PF272'!Y10:Y281,"SCB2_SCL (1)")</f>
        <v>0</v>
      </c>
      <c r="G56" s="49">
        <f>COUNTIF('PF272'!Y10:Y281,"SCB3_SCL (1)")</f>
        <v>0</v>
      </c>
      <c r="H56" s="49">
        <f>COUNTIF('PF272'!Y10:Y281,"SCB4_SCL (1)")</f>
        <v>0</v>
      </c>
      <c r="I56" s="49">
        <f>COUNTIF('PF272'!Y10:Y281,"SCB5_SCL (1)")</f>
        <v>0</v>
      </c>
      <c r="J56" s="49">
        <f>COUNTIF('PF272'!Y10:Y281,"SCB6_SCL (1)")</f>
        <v>0</v>
      </c>
      <c r="K56" s="49">
        <f>COUNTIF('PF272'!Y10:Y281,"SCB7_SCL (1)")</f>
        <v>0</v>
      </c>
      <c r="L56" s="49">
        <f>COUNTIF('PF272'!Y10:Y281,"SCB8_SCL (1)")</f>
        <v>0</v>
      </c>
      <c r="M56" s="49">
        <f>COUNTIF('PF272'!Y10:Y281,"SCB9_SCL (1)")</f>
        <v>0</v>
      </c>
      <c r="N56" s="49">
        <f>COUNTIF('PF272'!Y10:Y281,"SCB10_SCL (1)")</f>
        <v>0</v>
      </c>
    </row>
    <row r="57" spans="2:14" x14ac:dyDescent="0.55000000000000004">
      <c r="B57" s="198"/>
      <c r="C57" s="53" t="s">
        <v>2371</v>
      </c>
      <c r="D57" s="54">
        <f>COUNTIF('PF272'!Y10:Y281,"SCB0_SCL (2)")</f>
        <v>0</v>
      </c>
      <c r="E57" s="49">
        <f>COUNTIF('PF272'!Y10:Y281,"SCB1_SCL (2)")</f>
        <v>0</v>
      </c>
      <c r="F57" s="49">
        <f>COUNTIF('PF272'!Y10:Y281,"SCB2_SCL (2)")</f>
        <v>0</v>
      </c>
      <c r="G57" s="49">
        <f>COUNTIF('PF272'!Y10:Y281,"SCB3_SCL (2)")</f>
        <v>0</v>
      </c>
      <c r="H57" s="49">
        <f>COUNTIF('PF272'!Y10:Y281,"SCB4_SCL (2)")</f>
        <v>0</v>
      </c>
      <c r="I57" s="49">
        <f>COUNTIF('PF272'!Y10:Y281,"SCB5_SCL (2)")</f>
        <v>0</v>
      </c>
      <c r="J57" s="49">
        <f>COUNTIF('PF272'!Y10:Y281,"SCB6_SCL (2)")</f>
        <v>0</v>
      </c>
      <c r="K57" s="49">
        <f>COUNTIF('PF272'!Y10:Y281,"SCB7_SCL (2)")</f>
        <v>0</v>
      </c>
      <c r="L57" s="49">
        <f>COUNTIF('PF272'!Y10:Y281,"SCB8_SCL (2)")</f>
        <v>0</v>
      </c>
      <c r="M57" s="49">
        <f>COUNTIF('PF272'!Y10:Y281,"SCB9_SCL (2)")</f>
        <v>0</v>
      </c>
      <c r="N57" s="49">
        <f>COUNTIF('PF272'!Y10:Y281,"SCB10_SCL (2)")</f>
        <v>0</v>
      </c>
    </row>
    <row r="58" spans="2:14" x14ac:dyDescent="0.55000000000000004">
      <c r="B58" s="56"/>
      <c r="C58" s="57"/>
      <c r="D58" s="58"/>
      <c r="E58" s="52"/>
      <c r="F58" s="52"/>
      <c r="G58" s="52"/>
      <c r="H58" s="52"/>
      <c r="I58" s="52"/>
      <c r="J58" s="52"/>
      <c r="K58" s="52"/>
      <c r="L58" s="52"/>
      <c r="M58" s="52"/>
      <c r="N58" s="52"/>
    </row>
    <row r="59" spans="2:14" hidden="1" x14ac:dyDescent="0.55000000000000004">
      <c r="B59" s="59" t="s">
        <v>360</v>
      </c>
      <c r="C59" s="59" t="s">
        <v>2560</v>
      </c>
      <c r="D59" s="60" t="s">
        <v>361</v>
      </c>
      <c r="E59" s="60" t="s">
        <v>362</v>
      </c>
      <c r="F59" s="60" t="s">
        <v>363</v>
      </c>
      <c r="G59" s="60" t="s">
        <v>364</v>
      </c>
      <c r="H59" s="60" t="s">
        <v>368</v>
      </c>
      <c r="I59" s="60" t="s">
        <v>367</v>
      </c>
      <c r="J59" s="60" t="s">
        <v>366</v>
      </c>
      <c r="K59" s="60" t="s">
        <v>365</v>
      </c>
      <c r="L59" s="60" t="s">
        <v>2309</v>
      </c>
      <c r="M59" s="60" t="s">
        <v>2310</v>
      </c>
      <c r="N59" s="60" t="s">
        <v>2311</v>
      </c>
    </row>
    <row r="60" spans="2:14" hidden="1" x14ac:dyDescent="0.55000000000000004">
      <c r="B60" s="61" t="s">
        <v>2561</v>
      </c>
      <c r="C60" s="62">
        <v>0</v>
      </c>
      <c r="D60" s="62">
        <f>D23+D26+D29+D32+D35+D38+D41</f>
        <v>0</v>
      </c>
      <c r="E60" s="62">
        <f t="shared" ref="E60:N62" si="0">E23+E26+E29+E32+E35+E38+E41</f>
        <v>0</v>
      </c>
      <c r="F60" s="62">
        <f t="shared" si="0"/>
        <v>0</v>
      </c>
      <c r="G60" s="62">
        <f t="shared" si="0"/>
        <v>0</v>
      </c>
      <c r="H60" s="62">
        <f t="shared" si="0"/>
        <v>0</v>
      </c>
      <c r="I60" s="62">
        <f t="shared" si="0"/>
        <v>0</v>
      </c>
      <c r="J60" s="62">
        <f t="shared" si="0"/>
        <v>0</v>
      </c>
      <c r="K60" s="62">
        <f t="shared" si="0"/>
        <v>0</v>
      </c>
      <c r="L60" s="62">
        <f t="shared" si="0"/>
        <v>0</v>
      </c>
      <c r="M60" s="62">
        <f t="shared" si="0"/>
        <v>0</v>
      </c>
      <c r="N60" s="62">
        <f t="shared" si="0"/>
        <v>0</v>
      </c>
    </row>
    <row r="61" spans="2:14" hidden="1" x14ac:dyDescent="0.55000000000000004">
      <c r="B61" s="63"/>
      <c r="C61" s="62">
        <v>1</v>
      </c>
      <c r="D61" s="62">
        <f>D24+D27+D30+D33+D36+D39+D42</f>
        <v>0</v>
      </c>
      <c r="E61" s="62">
        <f t="shared" si="0"/>
        <v>0</v>
      </c>
      <c r="F61" s="62">
        <f t="shared" si="0"/>
        <v>0</v>
      </c>
      <c r="G61" s="62">
        <f t="shared" si="0"/>
        <v>0</v>
      </c>
      <c r="H61" s="62">
        <f t="shared" si="0"/>
        <v>0</v>
      </c>
      <c r="I61" s="62">
        <f t="shared" si="0"/>
        <v>0</v>
      </c>
      <c r="J61" s="62">
        <f t="shared" si="0"/>
        <v>0</v>
      </c>
      <c r="K61" s="62">
        <f t="shared" si="0"/>
        <v>0</v>
      </c>
      <c r="L61" s="62">
        <f t="shared" si="0"/>
        <v>0</v>
      </c>
      <c r="M61" s="62">
        <f t="shared" si="0"/>
        <v>0</v>
      </c>
      <c r="N61" s="62">
        <f t="shared" si="0"/>
        <v>0</v>
      </c>
    </row>
    <row r="62" spans="2:14" hidden="1" x14ac:dyDescent="0.55000000000000004">
      <c r="B62" s="64"/>
      <c r="C62" s="62">
        <v>2</v>
      </c>
      <c r="D62" s="62">
        <f>D25+D28+D31+D34+D37+D40+D43</f>
        <v>0</v>
      </c>
      <c r="E62" s="62">
        <f t="shared" si="0"/>
        <v>0</v>
      </c>
      <c r="F62" s="62">
        <f t="shared" si="0"/>
        <v>0</v>
      </c>
      <c r="G62" s="62">
        <f t="shared" si="0"/>
        <v>0</v>
      </c>
      <c r="H62" s="62">
        <f t="shared" si="0"/>
        <v>0</v>
      </c>
      <c r="I62" s="62">
        <f t="shared" si="0"/>
        <v>0</v>
      </c>
      <c r="J62" s="62">
        <f t="shared" si="0"/>
        <v>0</v>
      </c>
      <c r="K62" s="62">
        <f t="shared" si="0"/>
        <v>0</v>
      </c>
      <c r="L62" s="62">
        <f t="shared" si="0"/>
        <v>0</v>
      </c>
      <c r="M62" s="62">
        <f t="shared" si="0"/>
        <v>0</v>
      </c>
      <c r="N62" s="62">
        <f t="shared" si="0"/>
        <v>0</v>
      </c>
    </row>
    <row r="63" spans="2:14" hidden="1" x14ac:dyDescent="0.55000000000000004">
      <c r="B63" s="61" t="s">
        <v>2562</v>
      </c>
      <c r="C63" s="62">
        <v>0</v>
      </c>
      <c r="D63" s="62">
        <f>D44+D46+D48+D50</f>
        <v>0</v>
      </c>
      <c r="E63" s="62">
        <f t="shared" ref="E63:N64" si="1">E44+E46+E48+E50</f>
        <v>0</v>
      </c>
      <c r="F63" s="62">
        <f t="shared" si="1"/>
        <v>0</v>
      </c>
      <c r="G63" s="62">
        <f t="shared" si="1"/>
        <v>0</v>
      </c>
      <c r="H63" s="62">
        <f t="shared" si="1"/>
        <v>0</v>
      </c>
      <c r="I63" s="62">
        <f t="shared" si="1"/>
        <v>0</v>
      </c>
      <c r="J63" s="62">
        <f t="shared" si="1"/>
        <v>0</v>
      </c>
      <c r="K63" s="62">
        <f t="shared" si="1"/>
        <v>0</v>
      </c>
      <c r="L63" s="62">
        <f t="shared" si="1"/>
        <v>0</v>
      </c>
      <c r="M63" s="62">
        <f t="shared" si="1"/>
        <v>0</v>
      </c>
      <c r="N63" s="62">
        <f t="shared" si="1"/>
        <v>0</v>
      </c>
    </row>
    <row r="64" spans="2:14" hidden="1" x14ac:dyDescent="0.55000000000000004">
      <c r="B64" s="64"/>
      <c r="C64" s="62">
        <v>1</v>
      </c>
      <c r="D64" s="62">
        <f>D45+D47+D49+D51</f>
        <v>0</v>
      </c>
      <c r="E64" s="62">
        <f t="shared" si="1"/>
        <v>0</v>
      </c>
      <c r="F64" s="62">
        <f t="shared" si="1"/>
        <v>0</v>
      </c>
      <c r="G64" s="62">
        <f t="shared" si="1"/>
        <v>0</v>
      </c>
      <c r="H64" s="62">
        <f t="shared" si="1"/>
        <v>0</v>
      </c>
      <c r="I64" s="62">
        <f t="shared" si="1"/>
        <v>0</v>
      </c>
      <c r="J64" s="62">
        <f t="shared" si="1"/>
        <v>0</v>
      </c>
      <c r="K64" s="62">
        <f t="shared" si="1"/>
        <v>0</v>
      </c>
      <c r="L64" s="62">
        <f t="shared" si="1"/>
        <v>0</v>
      </c>
      <c r="M64" s="62">
        <f t="shared" si="1"/>
        <v>0</v>
      </c>
      <c r="N64" s="62">
        <f t="shared" si="1"/>
        <v>0</v>
      </c>
    </row>
    <row r="65" spans="2:87" hidden="1" x14ac:dyDescent="0.55000000000000004">
      <c r="B65" s="61" t="s">
        <v>2563</v>
      </c>
      <c r="C65" s="62">
        <v>0</v>
      </c>
      <c r="D65" s="62">
        <f>D52+D55</f>
        <v>0</v>
      </c>
      <c r="E65" s="62">
        <f t="shared" ref="E65:N67" si="2">E52+E55</f>
        <v>0</v>
      </c>
      <c r="F65" s="62">
        <f t="shared" si="2"/>
        <v>0</v>
      </c>
      <c r="G65" s="62">
        <f t="shared" si="2"/>
        <v>0</v>
      </c>
      <c r="H65" s="62">
        <f t="shared" si="2"/>
        <v>0</v>
      </c>
      <c r="I65" s="62">
        <f t="shared" si="2"/>
        <v>0</v>
      </c>
      <c r="J65" s="62">
        <f t="shared" si="2"/>
        <v>0</v>
      </c>
      <c r="K65" s="62">
        <f t="shared" si="2"/>
        <v>0</v>
      </c>
      <c r="L65" s="62">
        <f t="shared" si="2"/>
        <v>0</v>
      </c>
      <c r="M65" s="62">
        <f t="shared" si="2"/>
        <v>0</v>
      </c>
      <c r="N65" s="62">
        <f t="shared" si="2"/>
        <v>0</v>
      </c>
    </row>
    <row r="66" spans="2:87" hidden="1" x14ac:dyDescent="0.55000000000000004">
      <c r="B66" s="63"/>
      <c r="C66" s="62">
        <v>1</v>
      </c>
      <c r="D66" s="62">
        <f>D53+D56</f>
        <v>0</v>
      </c>
      <c r="E66" s="62">
        <f t="shared" si="2"/>
        <v>0</v>
      </c>
      <c r="F66" s="62">
        <f t="shared" si="2"/>
        <v>0</v>
      </c>
      <c r="G66" s="62">
        <f t="shared" si="2"/>
        <v>0</v>
      </c>
      <c r="H66" s="62">
        <f t="shared" si="2"/>
        <v>0</v>
      </c>
      <c r="I66" s="62">
        <f t="shared" si="2"/>
        <v>0</v>
      </c>
      <c r="J66" s="62">
        <f t="shared" si="2"/>
        <v>0</v>
      </c>
      <c r="K66" s="62">
        <f t="shared" si="2"/>
        <v>0</v>
      </c>
      <c r="L66" s="62">
        <f t="shared" si="2"/>
        <v>0</v>
      </c>
      <c r="M66" s="62">
        <f t="shared" si="2"/>
        <v>0</v>
      </c>
      <c r="N66" s="62">
        <f t="shared" si="2"/>
        <v>0</v>
      </c>
    </row>
    <row r="67" spans="2:87" hidden="1" x14ac:dyDescent="0.55000000000000004">
      <c r="B67" s="64"/>
      <c r="C67" s="62">
        <v>2</v>
      </c>
      <c r="D67" s="62">
        <f>D54+D57</f>
        <v>0</v>
      </c>
      <c r="E67" s="62">
        <f t="shared" si="2"/>
        <v>0</v>
      </c>
      <c r="F67" s="62">
        <f t="shared" si="2"/>
        <v>0</v>
      </c>
      <c r="G67" s="62">
        <f t="shared" si="2"/>
        <v>0</v>
      </c>
      <c r="H67" s="62">
        <f t="shared" si="2"/>
        <v>0</v>
      </c>
      <c r="I67" s="62">
        <f t="shared" si="2"/>
        <v>0</v>
      </c>
      <c r="J67" s="62">
        <f t="shared" si="2"/>
        <v>0</v>
      </c>
      <c r="K67" s="62">
        <f t="shared" si="2"/>
        <v>0</v>
      </c>
      <c r="L67" s="62">
        <f t="shared" si="2"/>
        <v>0</v>
      </c>
      <c r="M67" s="62">
        <f t="shared" si="2"/>
        <v>0</v>
      </c>
      <c r="N67" s="62">
        <f t="shared" si="2"/>
        <v>0</v>
      </c>
    </row>
    <row r="68" spans="2:87" hidden="1" x14ac:dyDescent="0.55000000000000004">
      <c r="B68" s="65" t="s">
        <v>2564</v>
      </c>
      <c r="C68" s="66"/>
      <c r="D68" s="59">
        <f t="shared" ref="D68:N68" si="3">COUNTIF(D60:D67, "&lt;&gt;0")</f>
        <v>0</v>
      </c>
      <c r="E68" s="59">
        <f t="shared" si="3"/>
        <v>0</v>
      </c>
      <c r="F68" s="59">
        <f t="shared" si="3"/>
        <v>0</v>
      </c>
      <c r="G68" s="59">
        <f t="shared" si="3"/>
        <v>0</v>
      </c>
      <c r="H68" s="59">
        <f t="shared" si="3"/>
        <v>0</v>
      </c>
      <c r="I68" s="59">
        <f t="shared" si="3"/>
        <v>0</v>
      </c>
      <c r="J68" s="59">
        <f t="shared" si="3"/>
        <v>0</v>
      </c>
      <c r="K68" s="59">
        <f t="shared" si="3"/>
        <v>0</v>
      </c>
      <c r="L68" s="59">
        <f t="shared" si="3"/>
        <v>0</v>
      </c>
      <c r="M68" s="59">
        <f t="shared" si="3"/>
        <v>0</v>
      </c>
      <c r="N68" s="59">
        <f t="shared" si="3"/>
        <v>0</v>
      </c>
    </row>
    <row r="69" spans="2:87" hidden="1" x14ac:dyDescent="0.55000000000000004">
      <c r="B69" s="56"/>
      <c r="C69" s="57"/>
      <c r="D69" s="58"/>
      <c r="E69" s="52"/>
      <c r="F69" s="52"/>
      <c r="G69" s="52"/>
      <c r="H69" s="52"/>
      <c r="I69" s="52"/>
      <c r="J69" s="52"/>
      <c r="K69" s="52"/>
      <c r="L69" s="52"/>
      <c r="M69" s="52"/>
      <c r="N69" s="52"/>
    </row>
    <row r="71" spans="2:87" x14ac:dyDescent="0.55000000000000004">
      <c r="B71" s="184" t="s">
        <v>2373</v>
      </c>
      <c r="C71" s="185"/>
      <c r="D71" s="48" t="s">
        <v>400</v>
      </c>
      <c r="E71" s="48" t="s">
        <v>401</v>
      </c>
      <c r="F71" s="48" t="s">
        <v>402</v>
      </c>
    </row>
    <row r="72" spans="2:87" x14ac:dyDescent="0.55000000000000004">
      <c r="B72" s="194" t="s">
        <v>398</v>
      </c>
      <c r="C72" s="49" t="s">
        <v>391</v>
      </c>
      <c r="D72" s="50">
        <f>COUNTIF('PF272'!Y10:Y281,"PWM0_0")</f>
        <v>0</v>
      </c>
      <c r="E72" s="50">
        <f>COUNTIF('PF272'!Y10:Y281,"PWM0_1")</f>
        <v>0</v>
      </c>
      <c r="F72" s="50">
        <f>COUNTIF('PF272'!Y10:Y281,"PWM0_2")</f>
        <v>0</v>
      </c>
    </row>
    <row r="73" spans="2:87" x14ac:dyDescent="0.55000000000000004">
      <c r="B73" s="183"/>
      <c r="C73" s="49" t="s">
        <v>394</v>
      </c>
      <c r="D73" s="50">
        <f>COUNTIF('PF272'!Y10:Y281,"PWM0_0_N")</f>
        <v>0</v>
      </c>
      <c r="E73" s="50">
        <f>COUNTIF('PF272'!Y10:Y281,"PWM0_1_N")</f>
        <v>0</v>
      </c>
      <c r="F73" s="50">
        <f>COUNTIF('PF272'!Y10:Y281,"PWM0_2_N")</f>
        <v>0</v>
      </c>
    </row>
    <row r="74" spans="2:87" x14ac:dyDescent="0.55000000000000004">
      <c r="B74" s="194" t="s">
        <v>399</v>
      </c>
      <c r="C74" s="49" t="s">
        <v>392</v>
      </c>
      <c r="D74" s="50">
        <f>COUNTIF('PF272'!Y10:Y281,"TC0_0_TR0")</f>
        <v>0</v>
      </c>
      <c r="E74" s="50">
        <f>COUNTIF('PF272'!Y10:Y281,"TC0_1_TR0")</f>
        <v>0</v>
      </c>
      <c r="F74" s="50">
        <f>COUNTIF('PF272'!Y10:Y281,"TC0_2_TR0")</f>
        <v>0</v>
      </c>
    </row>
    <row r="75" spans="2:87" x14ac:dyDescent="0.55000000000000004">
      <c r="B75" s="183"/>
      <c r="C75" s="49" t="s">
        <v>393</v>
      </c>
      <c r="D75" s="50">
        <f>COUNTIF('PF272'!Y10:Y281,"TC0_0_TR1")</f>
        <v>0</v>
      </c>
      <c r="E75" s="50">
        <f>COUNTIF('PF272'!Y10:Y281,"TC0_1_TR1")</f>
        <v>0</v>
      </c>
      <c r="F75" s="50">
        <f>COUNTIF('PF272'!Y10:Y281,"TC0_2_TR1")</f>
        <v>0</v>
      </c>
    </row>
    <row r="77" spans="2:87" x14ac:dyDescent="0.55000000000000004">
      <c r="B77" s="184" t="s">
        <v>2372</v>
      </c>
      <c r="C77" s="185"/>
      <c r="D77" s="48" t="s">
        <v>400</v>
      </c>
      <c r="E77" s="48" t="s">
        <v>401</v>
      </c>
      <c r="F77" s="48" t="s">
        <v>402</v>
      </c>
      <c r="G77" s="48" t="s">
        <v>403</v>
      </c>
      <c r="H77" s="48" t="s">
        <v>404</v>
      </c>
      <c r="I77" s="48" t="s">
        <v>405</v>
      </c>
      <c r="J77" s="48" t="s">
        <v>406</v>
      </c>
      <c r="K77" s="48" t="s">
        <v>407</v>
      </c>
      <c r="L77" s="48" t="s">
        <v>408</v>
      </c>
      <c r="M77" s="48" t="s">
        <v>409</v>
      </c>
      <c r="N77" s="48" t="s">
        <v>410</v>
      </c>
      <c r="O77" s="48" t="s">
        <v>411</v>
      </c>
      <c r="P77" s="48" t="s">
        <v>412</v>
      </c>
      <c r="Q77" s="48" t="s">
        <v>413</v>
      </c>
      <c r="R77" s="48" t="s">
        <v>414</v>
      </c>
      <c r="S77" s="48" t="s">
        <v>415</v>
      </c>
      <c r="T77" s="48" t="s">
        <v>416</v>
      </c>
      <c r="U77" s="48" t="s">
        <v>417</v>
      </c>
      <c r="V77" s="48" t="s">
        <v>418</v>
      </c>
      <c r="W77" s="48" t="s">
        <v>419</v>
      </c>
      <c r="X77" s="48" t="s">
        <v>420</v>
      </c>
      <c r="Y77" s="48" t="s">
        <v>421</v>
      </c>
      <c r="Z77" s="48" t="s">
        <v>422</v>
      </c>
      <c r="AA77" s="48" t="s">
        <v>423</v>
      </c>
      <c r="AB77" s="48" t="s">
        <v>424</v>
      </c>
      <c r="AC77" s="48" t="s">
        <v>425</v>
      </c>
      <c r="AD77" s="48" t="s">
        <v>426</v>
      </c>
      <c r="AE77" s="48" t="s">
        <v>427</v>
      </c>
      <c r="AF77" s="48" t="s">
        <v>428</v>
      </c>
      <c r="AG77" s="48" t="s">
        <v>429</v>
      </c>
      <c r="AH77" s="48" t="s">
        <v>430</v>
      </c>
      <c r="AI77" s="48" t="s">
        <v>431</v>
      </c>
      <c r="AJ77" s="48" t="s">
        <v>432</v>
      </c>
      <c r="AK77" s="48" t="s">
        <v>433</v>
      </c>
      <c r="AL77" s="48" t="s">
        <v>434</v>
      </c>
      <c r="AM77" s="48" t="s">
        <v>435</v>
      </c>
      <c r="AN77" s="48" t="s">
        <v>436</v>
      </c>
      <c r="AO77" s="48" t="s">
        <v>437</v>
      </c>
      <c r="AP77" s="48" t="s">
        <v>438</v>
      </c>
      <c r="AQ77" s="48" t="s">
        <v>439</v>
      </c>
      <c r="AR77" s="48" t="s">
        <v>440</v>
      </c>
      <c r="AS77" s="48" t="s">
        <v>441</v>
      </c>
      <c r="AT77" s="48" t="s">
        <v>442</v>
      </c>
      <c r="AU77" s="48" t="s">
        <v>443</v>
      </c>
      <c r="AV77" s="48" t="s">
        <v>444</v>
      </c>
      <c r="AW77" s="48" t="s">
        <v>445</v>
      </c>
      <c r="AX77" s="48" t="s">
        <v>446</v>
      </c>
      <c r="AY77" s="48" t="s">
        <v>447</v>
      </c>
      <c r="AZ77" s="48" t="s">
        <v>448</v>
      </c>
      <c r="BA77" s="48" t="s">
        <v>449</v>
      </c>
      <c r="BB77" s="48" t="s">
        <v>450</v>
      </c>
      <c r="BC77" s="48" t="s">
        <v>451</v>
      </c>
      <c r="BD77" s="48" t="s">
        <v>452</v>
      </c>
      <c r="BE77" s="48" t="s">
        <v>453</v>
      </c>
      <c r="BF77" s="48" t="s">
        <v>454</v>
      </c>
      <c r="BG77" s="48" t="s">
        <v>455</v>
      </c>
      <c r="BH77" s="48" t="s">
        <v>456</v>
      </c>
      <c r="BI77" s="48" t="s">
        <v>457</v>
      </c>
      <c r="BJ77" s="48" t="s">
        <v>458</v>
      </c>
      <c r="BK77" s="48" t="s">
        <v>459</v>
      </c>
      <c r="BL77" s="48" t="s">
        <v>460</v>
      </c>
      <c r="BM77" s="48" t="s">
        <v>461</v>
      </c>
      <c r="BN77" s="48" t="s">
        <v>462</v>
      </c>
      <c r="BO77" s="48" t="s">
        <v>2312</v>
      </c>
      <c r="BP77" s="48" t="s">
        <v>2313</v>
      </c>
      <c r="BQ77" s="48" t="s">
        <v>2314</v>
      </c>
      <c r="BR77" s="48" t="s">
        <v>2315</v>
      </c>
      <c r="BS77" s="48" t="s">
        <v>2316</v>
      </c>
      <c r="BT77" s="48" t="s">
        <v>2317</v>
      </c>
      <c r="BU77" s="48" t="s">
        <v>2318</v>
      </c>
      <c r="BV77" s="48" t="s">
        <v>2319</v>
      </c>
      <c r="BW77" s="48" t="s">
        <v>2320</v>
      </c>
      <c r="BX77" s="48" t="s">
        <v>2321</v>
      </c>
      <c r="BY77" s="48" t="s">
        <v>2322</v>
      </c>
      <c r="BZ77" s="48" t="s">
        <v>2323</v>
      </c>
      <c r="CA77" s="48" t="s">
        <v>2324</v>
      </c>
      <c r="CB77" s="48" t="s">
        <v>2325</v>
      </c>
      <c r="CC77" s="48" t="s">
        <v>2326</v>
      </c>
      <c r="CD77" s="48" t="s">
        <v>2327</v>
      </c>
      <c r="CE77" s="48" t="s">
        <v>2328</v>
      </c>
      <c r="CF77" s="48" t="s">
        <v>2329</v>
      </c>
      <c r="CG77" s="48" t="s">
        <v>2330</v>
      </c>
      <c r="CH77" s="48" t="s">
        <v>2331</v>
      </c>
      <c r="CI77" s="48" t="s">
        <v>2332</v>
      </c>
    </row>
    <row r="78" spans="2:87" x14ac:dyDescent="0.55000000000000004">
      <c r="B78" s="194" t="s">
        <v>398</v>
      </c>
      <c r="C78" s="49" t="s">
        <v>391</v>
      </c>
      <c r="D78" s="50">
        <f>COUNTIF('PF272'!Y10:Y281,"PWM1_0")</f>
        <v>0</v>
      </c>
      <c r="E78" s="50">
        <f>COUNTIF('PF272'!Y10:Y281,"PWM1_1")</f>
        <v>0</v>
      </c>
      <c r="F78" s="50">
        <f>COUNTIF('PF272'!Y10:Y281,"PWM1_2")</f>
        <v>0</v>
      </c>
      <c r="G78" s="50">
        <f>COUNTIF('PF272'!Y10:Y281,"PWM1_3")</f>
        <v>0</v>
      </c>
      <c r="H78" s="50">
        <f>COUNTIF('PF272'!Y10:Y281,"PWM1_4")</f>
        <v>0</v>
      </c>
      <c r="I78" s="50">
        <f>COUNTIF('PF272'!Y10:Y281,"PWM1_5")</f>
        <v>0</v>
      </c>
      <c r="J78" s="50">
        <f>COUNTIF('PF272'!Y10:Y281,"PWM1_6")</f>
        <v>0</v>
      </c>
      <c r="K78" s="50">
        <f>COUNTIF('PF272'!Y10:Y281,"PWM1_7")</f>
        <v>0</v>
      </c>
      <c r="L78" s="50">
        <f>COUNTIF('PF272'!Y10:Y281,"PWM1_8")</f>
        <v>0</v>
      </c>
      <c r="M78" s="50">
        <f>COUNTIF('PF272'!Y10:Y281,"PWM1_9")</f>
        <v>0</v>
      </c>
      <c r="N78" s="50">
        <f>COUNTIF('PF272'!Y10:Y281,"PWM1_10")</f>
        <v>0</v>
      </c>
      <c r="O78" s="50">
        <f>COUNTIF('PF272'!Y10:Y281,"PWM1_11")</f>
        <v>0</v>
      </c>
      <c r="P78" s="50">
        <f>COUNTIF('PF272'!Y10:Y281,"PWM1_12")</f>
        <v>0</v>
      </c>
      <c r="Q78" s="50">
        <f>COUNTIF('PF272'!Y10:Y281,"PWM1_13")</f>
        <v>0</v>
      </c>
      <c r="R78" s="50">
        <f>COUNTIF('PF272'!Y10:Y281,"PWM1_14")</f>
        <v>0</v>
      </c>
      <c r="S78" s="50">
        <f>COUNTIF('PF272'!Y10:Y281,"PWM1_15")</f>
        <v>0</v>
      </c>
      <c r="T78" s="50">
        <f>COUNTIF('PF272'!Y10:Y281,"PWM1_16")</f>
        <v>0</v>
      </c>
      <c r="U78" s="50">
        <f>COUNTIF('PF272'!Y10:Y281,"PWM1_17")</f>
        <v>0</v>
      </c>
      <c r="V78" s="50">
        <f>COUNTIF('PF272'!Y10:Y281,"PWM1_18")</f>
        <v>0</v>
      </c>
      <c r="W78" s="50">
        <f>COUNTIF('PF272'!Y10:Y281,"PWM1_19")</f>
        <v>0</v>
      </c>
      <c r="X78" s="50">
        <f>COUNTIF('PF272'!Y10:Y281,"PWM1_20")</f>
        <v>0</v>
      </c>
      <c r="Y78" s="50">
        <f>COUNTIF('PF272'!Y10:Y281,"PWM1_21")</f>
        <v>0</v>
      </c>
      <c r="Z78" s="50">
        <f>COUNTIF('PF272'!Y10:Y281,"PWM1_22")</f>
        <v>0</v>
      </c>
      <c r="AA78" s="50">
        <f>COUNTIF('PF272'!Y10:Y281,"PWM1_23")</f>
        <v>0</v>
      </c>
      <c r="AB78" s="50">
        <f>COUNTIF('PF272'!Y10:Y281,"PWM1_24")</f>
        <v>0</v>
      </c>
      <c r="AC78" s="50">
        <f>COUNTIF('PF272'!Y10:Y281,"PWM1_25")</f>
        <v>0</v>
      </c>
      <c r="AD78" s="50">
        <f>COUNTIF('PF272'!Y10:Y281,"PWM1_26")</f>
        <v>0</v>
      </c>
      <c r="AE78" s="50">
        <f>COUNTIF('PF272'!Y10:Y281,"PWM1_27")</f>
        <v>0</v>
      </c>
      <c r="AF78" s="50">
        <f>COUNTIF('PF272'!Y10:Y281,"PWM1_28")</f>
        <v>0</v>
      </c>
      <c r="AG78" s="50">
        <f>COUNTIF('PF272'!Y10:Y281,"PWM1_29")</f>
        <v>0</v>
      </c>
      <c r="AH78" s="50">
        <f>COUNTIF('PF272'!Y10:Y281,"PWM1_30")</f>
        <v>0</v>
      </c>
      <c r="AI78" s="50">
        <f>COUNTIF('PF272'!Y10:Y281,"PWM1_31")</f>
        <v>0</v>
      </c>
      <c r="AJ78" s="50">
        <f>COUNTIF('PF272'!Y10:Y281,"PWM1_32")</f>
        <v>0</v>
      </c>
      <c r="AK78" s="50">
        <f>COUNTIF('PF272'!Y10:Y281,"PWM1_33")</f>
        <v>0</v>
      </c>
      <c r="AL78" s="50">
        <f>COUNTIF('PF272'!Y10:Y281,"PWM1_34")</f>
        <v>0</v>
      </c>
      <c r="AM78" s="50">
        <f>COUNTIF('PF272'!Y10:Y281,"PWM1_35")</f>
        <v>0</v>
      </c>
      <c r="AN78" s="50">
        <f>COUNTIF('PF272'!Y10:Y281,"PWM1_36")</f>
        <v>0</v>
      </c>
      <c r="AO78" s="50">
        <f>COUNTIF('PF272'!Y10:Y281,"PWM1_37")</f>
        <v>0</v>
      </c>
      <c r="AP78" s="50">
        <f>COUNTIF('PF272'!Y10:Y281,"PWM1_38")</f>
        <v>0</v>
      </c>
      <c r="AQ78" s="50">
        <f>COUNTIF('PF272'!Y10:Y281,"PWM1_39")</f>
        <v>0</v>
      </c>
      <c r="AR78" s="50">
        <f>COUNTIF('PF272'!Y10:Y281,"PWM1_40")</f>
        <v>0</v>
      </c>
      <c r="AS78" s="50">
        <f>COUNTIF('PF272'!Y10:Y281,"PWM1_41")</f>
        <v>0</v>
      </c>
      <c r="AT78" s="50">
        <f>COUNTIF('PF272'!Y10:Y281,"PWM1_42")</f>
        <v>0</v>
      </c>
      <c r="AU78" s="50">
        <f>COUNTIF('PF272'!Y10:Y281,"PWM1_43")</f>
        <v>0</v>
      </c>
      <c r="AV78" s="50">
        <f>COUNTIF('PF272'!Y10:Y281,"PWM1_44")</f>
        <v>0</v>
      </c>
      <c r="AW78" s="50">
        <f>COUNTIF('PF272'!Y10:Y281,"PWM1_45")</f>
        <v>0</v>
      </c>
      <c r="AX78" s="50">
        <f>COUNTIF('PF272'!Y10:Y281,"PWM1_46")</f>
        <v>0</v>
      </c>
      <c r="AY78" s="50">
        <f>COUNTIF('PF272'!Y10:Y281,"PWM1_47")</f>
        <v>0</v>
      </c>
      <c r="AZ78" s="50">
        <f>COUNTIF('PF272'!Y10:Y281,"PWM1_48")</f>
        <v>0</v>
      </c>
      <c r="BA78" s="50">
        <f>COUNTIF('PF272'!Y10:Y281,"PWM1_49")</f>
        <v>0</v>
      </c>
      <c r="BB78" s="50">
        <f>COUNTIF('PF272'!Y10:Y281,"PWM1_50")</f>
        <v>0</v>
      </c>
      <c r="BC78" s="50">
        <f>COUNTIF('PF272'!Y10:Y281,"PWM1_51")</f>
        <v>0</v>
      </c>
      <c r="BD78" s="50">
        <f>COUNTIF('PF272'!Y10:Y281,"PWM1_52")</f>
        <v>0</v>
      </c>
      <c r="BE78" s="50">
        <f>COUNTIF('PF272'!Y10:Y281,"PWM1_53")</f>
        <v>0</v>
      </c>
      <c r="BF78" s="50">
        <f>COUNTIF('PF272'!Y10:Y281,"PWM1_54")</f>
        <v>0</v>
      </c>
      <c r="BG78" s="50">
        <f>COUNTIF('PF272'!Y10:Y281,"PWM1_55")</f>
        <v>0</v>
      </c>
      <c r="BH78" s="50">
        <f>COUNTIF('PF272'!Y10:Y281,"PWM1_56")</f>
        <v>0</v>
      </c>
      <c r="BI78" s="50">
        <f>COUNTIF('PF272'!Y10:Y281,"PWM1_57")</f>
        <v>0</v>
      </c>
      <c r="BJ78" s="50">
        <f>COUNTIF('PF272'!Y10:Y281,"PWM1_58")</f>
        <v>0</v>
      </c>
      <c r="BK78" s="50">
        <f>COUNTIF('PF272'!Y10:Y281,"PWM1_59")</f>
        <v>0</v>
      </c>
      <c r="BL78" s="50">
        <f>COUNTIF('PF272'!Y10:Y281,"PWM1_60")</f>
        <v>0</v>
      </c>
      <c r="BM78" s="50">
        <f>COUNTIF('PF272'!Y10:Y281,"PWM1_61")</f>
        <v>0</v>
      </c>
      <c r="BN78" s="50">
        <f>COUNTIF('PF272'!Y10:Y281,"PWM1_62")</f>
        <v>0</v>
      </c>
      <c r="BO78" s="50">
        <f>COUNTIF('PF272'!Y10:Y281,"PWM1_63")</f>
        <v>0</v>
      </c>
      <c r="BP78" s="50">
        <f>COUNTIF('PF272'!Y10:Y281,"PWM1_64")</f>
        <v>0</v>
      </c>
      <c r="BQ78" s="50">
        <f>COUNTIF('PF272'!Y10:Y281,"PWM1_65")</f>
        <v>0</v>
      </c>
      <c r="BR78" s="50">
        <f>COUNTIF('PF272'!Y10:Y281,"PWM1_66")</f>
        <v>0</v>
      </c>
      <c r="BS78" s="50">
        <f>COUNTIF('PF272'!Y10:Y281,"PWM1_67")</f>
        <v>0</v>
      </c>
      <c r="BT78" s="50">
        <f>COUNTIF('PF272'!Y10:Y281,"PWM1_68")</f>
        <v>0</v>
      </c>
      <c r="BU78" s="50">
        <f>COUNTIF('PF272'!Y10:Y281,"PWM1_69")</f>
        <v>0</v>
      </c>
      <c r="BV78" s="50">
        <f>COUNTIF('PF272'!Y10:Y281,"PWM1_70")</f>
        <v>0</v>
      </c>
      <c r="BW78" s="50">
        <f>COUNTIF('PF272'!Y10:Y281,"PWM1_71")</f>
        <v>0</v>
      </c>
      <c r="BX78" s="50">
        <f>COUNTIF('PF272'!Y10:Y281,"PWM1_72")</f>
        <v>0</v>
      </c>
      <c r="BY78" s="50">
        <f>COUNTIF('PF272'!Y10:Y281,"PWM1_73")</f>
        <v>0</v>
      </c>
      <c r="BZ78" s="50">
        <f>COUNTIF('PF272'!Y10:Y281,"PWM1_74")</f>
        <v>0</v>
      </c>
      <c r="CA78" s="50">
        <f>COUNTIF('PF272'!Y10:Y281,"PWM1_75")</f>
        <v>0</v>
      </c>
      <c r="CB78" s="50">
        <f>COUNTIF('PF272'!Y10:Y281,"PWM1_76")</f>
        <v>0</v>
      </c>
      <c r="CC78" s="50">
        <f>COUNTIF('PF272'!Y10:Y281,"PWM1_77")</f>
        <v>0</v>
      </c>
      <c r="CD78" s="50">
        <f>COUNTIF('PF272'!Y10:Y281,"PWM1_78")</f>
        <v>0</v>
      </c>
      <c r="CE78" s="50">
        <f>COUNTIF('PF272'!Y10:Y281,"PWM1_79")</f>
        <v>0</v>
      </c>
      <c r="CF78" s="50">
        <f>COUNTIF('PF272'!Y10:Y281,"PWM1_80")</f>
        <v>0</v>
      </c>
      <c r="CG78" s="50">
        <f>COUNTIF('PF272'!Y10:Y281,"PWM1_81")</f>
        <v>0</v>
      </c>
      <c r="CH78" s="50">
        <f>COUNTIF('PF272'!Y10:Y281,"PWM1_82")</f>
        <v>0</v>
      </c>
      <c r="CI78" s="50">
        <f>COUNTIF('PF272'!Y10:Y281,"PWM1_83")</f>
        <v>0</v>
      </c>
    </row>
    <row r="79" spans="2:87" x14ac:dyDescent="0.55000000000000004">
      <c r="B79" s="183"/>
      <c r="C79" s="49" t="s">
        <v>394</v>
      </c>
      <c r="D79" s="50">
        <f>COUNTIF('PF272'!Y10:Y281,"PWM1_0_N")</f>
        <v>0</v>
      </c>
      <c r="E79" s="50">
        <f>COUNTIF('PF272'!Y10:Y281,"PWM1_1_N")</f>
        <v>0</v>
      </c>
      <c r="F79" s="50">
        <f>COUNTIF('PF272'!Y10:Y281,"PWM1_2_N")</f>
        <v>0</v>
      </c>
      <c r="G79" s="50">
        <f>COUNTIF('PF272'!Y10:Y281,"PWM1_3_N")</f>
        <v>0</v>
      </c>
      <c r="H79" s="50">
        <f>COUNTIF('PF272'!Y10:Y281,"PWM1_4_N")</f>
        <v>0</v>
      </c>
      <c r="I79" s="50">
        <f>COUNTIF('PF272'!Y10:Y281,"PWM1_5_N")</f>
        <v>0</v>
      </c>
      <c r="J79" s="50">
        <f>COUNTIF('PF272'!Y10:Y281,"PWM1_6_N")</f>
        <v>0</v>
      </c>
      <c r="K79" s="50">
        <f>COUNTIF('PF272'!Y10:Y281,"PWM1_7_N")</f>
        <v>0</v>
      </c>
      <c r="L79" s="50">
        <f>COUNTIF('PF272'!Y10:Y281,"PWM1_8_N")</f>
        <v>0</v>
      </c>
      <c r="M79" s="50">
        <f>COUNTIF('PF272'!Y10:Y281,"PWM1_9_N")</f>
        <v>0</v>
      </c>
      <c r="N79" s="50">
        <f>COUNTIF('PF272'!Y10:Y281,"PWM1_10_N")</f>
        <v>0</v>
      </c>
      <c r="O79" s="50">
        <f>COUNTIF('PF272'!Y10:Y281,"PWM1_11_N")</f>
        <v>0</v>
      </c>
      <c r="P79" s="50">
        <f>COUNTIF('PF272'!Y10:Y281,"PWM1_12_N")</f>
        <v>0</v>
      </c>
      <c r="Q79" s="50">
        <f>COUNTIF('PF272'!Y10:Y281,"PWM1_13_N")</f>
        <v>0</v>
      </c>
      <c r="R79" s="50">
        <f>COUNTIF('PF272'!Y10:Y281,"PWM1_14_N")</f>
        <v>0</v>
      </c>
      <c r="S79" s="50">
        <f>COUNTIF('PF272'!Y10:Y281,"PWM1_15_N")</f>
        <v>0</v>
      </c>
      <c r="T79" s="50">
        <f>COUNTIF('PF272'!Y10:Y281,"PWM1_16_N")</f>
        <v>0</v>
      </c>
      <c r="U79" s="50">
        <f>COUNTIF('PF272'!Y10:Y281,"PWM1_17_N")</f>
        <v>0</v>
      </c>
      <c r="V79" s="50">
        <f>COUNTIF('PF272'!Y10:Y281,"PWM1_18_N")</f>
        <v>0</v>
      </c>
      <c r="W79" s="50">
        <f>COUNTIF('PF272'!Y10:Y281,"PWM1_19_N")</f>
        <v>0</v>
      </c>
      <c r="X79" s="50">
        <f>COUNTIF('PF272'!Y10:Y281,"PWM1_20_N")</f>
        <v>0</v>
      </c>
      <c r="Y79" s="50">
        <f>COUNTIF('PF272'!Y10:Y281,"PWM1_21_N")</f>
        <v>0</v>
      </c>
      <c r="Z79" s="50">
        <f>COUNTIF('PF272'!Y10:Y281,"PWM1_22_N")</f>
        <v>0</v>
      </c>
      <c r="AA79" s="50">
        <f>COUNTIF('PF272'!Y10:Y281,"PWM1_23_N")</f>
        <v>0</v>
      </c>
      <c r="AB79" s="50">
        <f>COUNTIF('PF272'!Y10:Y281,"PWM1_24_N")</f>
        <v>0</v>
      </c>
      <c r="AC79" s="50">
        <f>COUNTIF('PF272'!Y10:Y281,"PWM1_25_N")</f>
        <v>0</v>
      </c>
      <c r="AD79" s="50">
        <f>COUNTIF('PF272'!Y10:Y281,"PWM_26_N")</f>
        <v>0</v>
      </c>
      <c r="AE79" s="50">
        <f>COUNTIF('PF272'!Y10:Y281,"PWM1_27_N")</f>
        <v>0</v>
      </c>
      <c r="AF79" s="50">
        <f>COUNTIF('PF272'!Y10:Y281,"PWM1_28_N")</f>
        <v>0</v>
      </c>
      <c r="AG79" s="50">
        <f>COUNTIF('PF272'!Y10:Y281,"PWM1_29_N")</f>
        <v>0</v>
      </c>
      <c r="AH79" s="50">
        <f>COUNTIF('PF272'!Y10:Y281,"PWM1_30_N")</f>
        <v>0</v>
      </c>
      <c r="AI79" s="50">
        <f>COUNTIF('PF272'!Y10:Y281,"PWM1_31_N")</f>
        <v>0</v>
      </c>
      <c r="AJ79" s="50">
        <f>COUNTIF('PF272'!Y10:Y281,"PWM1_32_N")</f>
        <v>0</v>
      </c>
      <c r="AK79" s="50">
        <f>COUNTIF('PF272'!Y10:Y281,"PWM1_33_N")</f>
        <v>0</v>
      </c>
      <c r="AL79" s="50">
        <f>COUNTIF('PF272'!Y10:Y281,"PWM1_34_N")</f>
        <v>0</v>
      </c>
      <c r="AM79" s="50">
        <f>COUNTIF('PF272'!Y10:Y281,"PWM1_35_N")</f>
        <v>0</v>
      </c>
      <c r="AN79" s="50">
        <f>COUNTIF('PF272'!Y10:Y281,"PWM1_36_N")</f>
        <v>0</v>
      </c>
      <c r="AO79" s="50">
        <f>COUNTIF('PF272'!Y10:Y281,"PWM1_37_N")</f>
        <v>0</v>
      </c>
      <c r="AP79" s="50">
        <f>COUNTIF('PF272'!Y10:Y281,"PWM1_38_N")</f>
        <v>0</v>
      </c>
      <c r="AQ79" s="50">
        <f>COUNTIF('PF272'!Y10:Y281,"PWM1_39_N")</f>
        <v>0</v>
      </c>
      <c r="AR79" s="50">
        <f>COUNTIF('PF272'!Y10:Y281,"PWM1_40_N")</f>
        <v>0</v>
      </c>
      <c r="AS79" s="50">
        <f>COUNTIF('PF272'!Y10:Y281,"PWM1_41_N")</f>
        <v>0</v>
      </c>
      <c r="AT79" s="50">
        <f>COUNTIF('PF272'!Y10:Y281,"PWM1_42_N")</f>
        <v>0</v>
      </c>
      <c r="AU79" s="50">
        <f>COUNTIF('PF272'!Y10:Y281,"PWM1_43_N")</f>
        <v>0</v>
      </c>
      <c r="AV79" s="50">
        <f>COUNTIF('PF272'!Y10:Y281,"PWM1_44_N")</f>
        <v>0</v>
      </c>
      <c r="AW79" s="50">
        <f>COUNTIF('PF272'!Y10:Y281,"PWM1_45_N")</f>
        <v>0</v>
      </c>
      <c r="AX79" s="50">
        <f>COUNTIF('PF272'!Y10:Y281,"PWM1_46_N")</f>
        <v>0</v>
      </c>
      <c r="AY79" s="50">
        <f>COUNTIF('PF272'!Y10:Y281,"PWM1_47_N")</f>
        <v>0</v>
      </c>
      <c r="AZ79" s="50">
        <f>COUNTIF('PF272'!Y10:Y281,"PWM1_48_N")</f>
        <v>0</v>
      </c>
      <c r="BA79" s="50">
        <f>COUNTIF('PF272'!Y10:Y281,"PWM1_49_N")</f>
        <v>0</v>
      </c>
      <c r="BB79" s="50">
        <f>COUNTIF('PF272'!Y10:Y281,"PWM1_50_N")</f>
        <v>0</v>
      </c>
      <c r="BC79" s="50">
        <f>COUNTIF('PF272'!Y10:Y281,"PWM1_51_N")</f>
        <v>0</v>
      </c>
      <c r="BD79" s="50">
        <f>COUNTIF('PF272'!Y10:Y281,"PWM1_52_N")</f>
        <v>0</v>
      </c>
      <c r="BE79" s="50">
        <f>COUNTIF('PF272'!Y10:Y281,"PWM1_53_N")</f>
        <v>0</v>
      </c>
      <c r="BF79" s="50">
        <f>COUNTIF('PF272'!Y10:Y281,"PWM1_54_N")</f>
        <v>0</v>
      </c>
      <c r="BG79" s="50">
        <f>COUNTIF('PF272'!Y10:Y281,"PWM1_55_N")</f>
        <v>0</v>
      </c>
      <c r="BH79" s="50">
        <f>COUNTIF('PF272'!Y10:Y281,"PWM1_56_N")</f>
        <v>0</v>
      </c>
      <c r="BI79" s="50">
        <f>COUNTIF('PF272'!Y10:Y281,"PWM1_57_N")</f>
        <v>0</v>
      </c>
      <c r="BJ79" s="50">
        <f>COUNTIF('PF272'!Y10:Y281,"PWM1_58_N")</f>
        <v>0</v>
      </c>
      <c r="BK79" s="50">
        <f>COUNTIF('PF272'!Y10:Y281,"PWM1_59_N")</f>
        <v>0</v>
      </c>
      <c r="BL79" s="50">
        <f>COUNTIF('PF272'!Y10:Y281,"PWM1_60_N")</f>
        <v>0</v>
      </c>
      <c r="BM79" s="50">
        <f>COUNTIF('PF272'!Y10:Y281,"PWM1_61_N")</f>
        <v>0</v>
      </c>
      <c r="BN79" s="50">
        <f>COUNTIF('PF272'!Y10:Y281,"PWM1_62_N")</f>
        <v>0</v>
      </c>
      <c r="BO79" s="50">
        <f>COUNTIF('PF272'!Y10:Y281,"PWM1_63_N")</f>
        <v>0</v>
      </c>
      <c r="BP79" s="50">
        <f>COUNTIF('PF272'!Y10:Y281,"PWM1_64_N")</f>
        <v>0</v>
      </c>
      <c r="BQ79" s="50">
        <f>COUNTIF('PF272'!Y10:Y281,"PWM1_65_N")</f>
        <v>0</v>
      </c>
      <c r="BR79" s="50">
        <f>COUNTIF('PF272'!Y10:Y281,"PWM1_66_N")</f>
        <v>0</v>
      </c>
      <c r="BS79" s="50">
        <f>COUNTIF('PF272'!Y10:Y281,"PWM1_67_N")</f>
        <v>0</v>
      </c>
      <c r="BT79" s="50">
        <f>COUNTIF('PF272'!Y10:Y281,"PWM1_68_N")</f>
        <v>0</v>
      </c>
      <c r="BU79" s="50">
        <f>COUNTIF('PF272'!Y10:Y281,"PWM1_69_N")</f>
        <v>0</v>
      </c>
      <c r="BV79" s="50">
        <f>COUNTIF('PF272'!Y10:Y281,"PWM1_70_N")</f>
        <v>0</v>
      </c>
      <c r="BW79" s="50">
        <f>COUNTIF('PF272'!Y10:Y281,"PWM1_71_N")</f>
        <v>0</v>
      </c>
      <c r="BX79" s="50">
        <f>COUNTIF('PF272'!Y10:Y281,"PWM1_72_N")</f>
        <v>0</v>
      </c>
      <c r="BY79" s="50">
        <f>COUNTIF('PF272'!Y10:Y281,"PWM1_73_N")</f>
        <v>0</v>
      </c>
      <c r="BZ79" s="50">
        <f>COUNTIF('PF272'!Y10:Y281,"PWM1_74_N")</f>
        <v>0</v>
      </c>
      <c r="CA79" s="50">
        <f>COUNTIF('PF272'!Y10:Y281,"PWM1_75_N")</f>
        <v>0</v>
      </c>
      <c r="CB79" s="50">
        <f>COUNTIF('PF272'!Y10:Y281,"PWM1_76_N")</f>
        <v>0</v>
      </c>
      <c r="CC79" s="50">
        <f>COUNTIF('PF272'!Y10:Y281,"PWM1_77_N")</f>
        <v>0</v>
      </c>
      <c r="CD79" s="50">
        <f>COUNTIF('PF272'!Y10:Y281,"PWM1_78_N")</f>
        <v>0</v>
      </c>
      <c r="CE79" s="50">
        <f>COUNTIF('PF272'!Y10:Y281,"PWM1_79_N")</f>
        <v>0</v>
      </c>
      <c r="CF79" s="50">
        <f>COUNTIF('PF272'!Y10:Y281,"PWM1_80_N")</f>
        <v>0</v>
      </c>
      <c r="CG79" s="50">
        <f>COUNTIF('PF272'!Y10:Y281,"PWM1_81_N")</f>
        <v>0</v>
      </c>
      <c r="CH79" s="50">
        <f>COUNTIF('PF272'!Y10:Y281,"PWM1_82_N")</f>
        <v>0</v>
      </c>
      <c r="CI79" s="50">
        <f>COUNTIF('PF272'!Y10:Y281,"PWM1_83_N")</f>
        <v>0</v>
      </c>
    </row>
    <row r="80" spans="2:87" x14ac:dyDescent="0.55000000000000004">
      <c r="B80" s="194" t="s">
        <v>399</v>
      </c>
      <c r="C80" s="49" t="s">
        <v>392</v>
      </c>
      <c r="D80" s="50">
        <f>COUNTIF('PF272'!Y10:Y281,"TC1_0_TR0")</f>
        <v>0</v>
      </c>
      <c r="E80" s="50">
        <f>COUNTIF('PF272'!Y10:Y281,"TC1_1_TR0")</f>
        <v>0</v>
      </c>
      <c r="F80" s="50">
        <f>COUNTIF('PF272'!Y10:Y281,"TC1_2_TR0")</f>
        <v>0</v>
      </c>
      <c r="G80" s="50">
        <f>COUNTIF('PF272'!Y10:Y281,"TC1_3_TR0")</f>
        <v>0</v>
      </c>
      <c r="H80" s="50">
        <f>COUNTIF('PF272'!Y10:Y281,"TC1_4_TR0")</f>
        <v>0</v>
      </c>
      <c r="I80" s="50">
        <f>COUNTIF('PF272'!Y10:Y281,"TC1_5_TR0")</f>
        <v>0</v>
      </c>
      <c r="J80" s="50">
        <f>COUNTIF('PF272'!Y10:Y281,"TC1_6_TR0")</f>
        <v>0</v>
      </c>
      <c r="K80" s="50">
        <f>COUNTIF('PF272'!Y10:Y281,"TC1_7_TR0")</f>
        <v>0</v>
      </c>
      <c r="L80" s="50">
        <f>COUNTIF('PF272'!Y10:Y281,"TC1_8_TR0")</f>
        <v>0</v>
      </c>
      <c r="M80" s="50">
        <f>COUNTIF('PF272'!Y10:Y281,"TC1_9_TR0")</f>
        <v>0</v>
      </c>
      <c r="N80" s="50">
        <f>COUNTIF('PF272'!Y10:Y281,"TC1_10_TR0")</f>
        <v>0</v>
      </c>
      <c r="O80" s="50">
        <f>COUNTIF('PF272'!Y10:Y281,"TC1_11_TR0")</f>
        <v>0</v>
      </c>
      <c r="P80" s="50">
        <f>COUNTIF('PF272'!Y10:Y281,"TC1_12_TR0")</f>
        <v>0</v>
      </c>
      <c r="Q80" s="50">
        <f>COUNTIF('PF272'!Y10:Y281,"TC1_13_TR0")</f>
        <v>0</v>
      </c>
      <c r="R80" s="50">
        <f>COUNTIF('PF272'!Y10:Y281,"TC1_14_TR0")</f>
        <v>0</v>
      </c>
      <c r="S80" s="50">
        <f>COUNTIF('PF272'!Y10:Y281,"TC1_15_TR0")</f>
        <v>0</v>
      </c>
      <c r="T80" s="50">
        <f>COUNTIF('PF272'!Y10:Y281,"TC1_16_TR0")</f>
        <v>0</v>
      </c>
      <c r="U80" s="50">
        <f>COUNTIF('PF272'!Y10:Y281,"TC1_17_TR0")</f>
        <v>0</v>
      </c>
      <c r="V80" s="50">
        <f>COUNTIF('PF272'!Y10:Y281,"TC1_18_TR0")</f>
        <v>0</v>
      </c>
      <c r="W80" s="50">
        <f>COUNTIF('PF272'!Y10:Y281,"TC1_19_TR0")</f>
        <v>0</v>
      </c>
      <c r="X80" s="50">
        <f>COUNTIF('PF272'!Y10:Y281,"TC1_20_TR0")</f>
        <v>0</v>
      </c>
      <c r="Y80" s="50">
        <f>COUNTIF('PF272'!Y10:Y281,"TC1_21_TR0")</f>
        <v>0</v>
      </c>
      <c r="Z80" s="50">
        <f>COUNTIF('PF272'!Y10:Y281,"TC1_22_TR0")</f>
        <v>0</v>
      </c>
      <c r="AA80" s="50">
        <f>COUNTIF('PF272'!Y10:Y281,"TC1_23_TR0")</f>
        <v>0</v>
      </c>
      <c r="AB80" s="50">
        <f>COUNTIF('PF272'!Y10:Y281,"TC1_24_TR0")</f>
        <v>0</v>
      </c>
      <c r="AC80" s="50">
        <f>COUNTIF('PF272'!Y10:Y281,"TC1_25_TR0")</f>
        <v>0</v>
      </c>
      <c r="AD80" s="50">
        <f>COUNTIF('PF272'!Y10:Y281,"TC1_26_TR0")</f>
        <v>0</v>
      </c>
      <c r="AE80" s="50">
        <f>COUNTIF('PF272'!Y10:Y281,"TC1_27_TR0")</f>
        <v>0</v>
      </c>
      <c r="AF80" s="50">
        <f>COUNTIF('PF272'!Y10:Y281,"TC1_28_TR0")</f>
        <v>0</v>
      </c>
      <c r="AG80" s="50">
        <f>COUNTIF('PF272'!Y10:Y281,"TC1_29_TR0")</f>
        <v>0</v>
      </c>
      <c r="AH80" s="50">
        <f>COUNTIF('PF272'!Y10:Y281,"TC1_30_TR0")</f>
        <v>0</v>
      </c>
      <c r="AI80" s="50">
        <f>COUNTIF('PF272'!Y10:Y281,"TC1_31_TR0")</f>
        <v>0</v>
      </c>
      <c r="AJ80" s="50">
        <f>COUNTIF('PF272'!Y10:Y281,"TC1_32_TR0")</f>
        <v>0</v>
      </c>
      <c r="AK80" s="50">
        <f>COUNTIF('PF272'!Y10:Y281,"TC1_33_TR0")</f>
        <v>0</v>
      </c>
      <c r="AL80" s="50">
        <f>COUNTIF('PF272'!Y10:Y281,"TC1_34_TR0")</f>
        <v>0</v>
      </c>
      <c r="AM80" s="50">
        <f>COUNTIF('PF272'!Y10:Y281,"TC1_35_TR0")</f>
        <v>0</v>
      </c>
      <c r="AN80" s="50">
        <f>COUNTIF('PF272'!Y10:Y281,"TC1_36_TR0")</f>
        <v>0</v>
      </c>
      <c r="AO80" s="50">
        <f>COUNTIF('PF272'!Y10:Y281,"TC1_37_TR0")</f>
        <v>0</v>
      </c>
      <c r="AP80" s="50">
        <f>COUNTIF('PF272'!Y10:Y281,"TC1_38_TR0")</f>
        <v>0</v>
      </c>
      <c r="AQ80" s="50">
        <f>COUNTIF('PF272'!Y10:Y281,"TC1_39_TR0")</f>
        <v>0</v>
      </c>
      <c r="AR80" s="50">
        <f>COUNTIF('PF272'!Y10:Y281,"TC1_40_TR0")</f>
        <v>0</v>
      </c>
      <c r="AS80" s="50">
        <f>COUNTIF('PF272'!Y10:Y281,"TC1_41_TR0")</f>
        <v>0</v>
      </c>
      <c r="AT80" s="50">
        <f>COUNTIF('PF272'!Y10:Y281,"TC1_42_TR0")</f>
        <v>0</v>
      </c>
      <c r="AU80" s="50">
        <f>COUNTIF('PF272'!Y10:Y281,"TC1_43_TR0")</f>
        <v>0</v>
      </c>
      <c r="AV80" s="50">
        <f>COUNTIF('PF272'!Y10:Y281,"TC1_44_TR0")</f>
        <v>0</v>
      </c>
      <c r="AW80" s="50">
        <f>COUNTIF('PF272'!Y10:Y281,"TC1_45_TR0")</f>
        <v>0</v>
      </c>
      <c r="AX80" s="50">
        <f>COUNTIF('PF272'!Y10:Y281,"TC1_46_TR0")</f>
        <v>0</v>
      </c>
      <c r="AY80" s="50">
        <f>COUNTIF('PF272'!Y10:Y281,"TC1_47_TR0")</f>
        <v>0</v>
      </c>
      <c r="AZ80" s="50">
        <f>COUNTIF('PF272'!Y10:Y281,"TC1_48_TR0")</f>
        <v>0</v>
      </c>
      <c r="BA80" s="50">
        <f>COUNTIF('PF272'!Y10:Y281,"TC1_49_TR0")</f>
        <v>0</v>
      </c>
      <c r="BB80" s="50">
        <f>COUNTIF('PF272'!Y10:Y281,"TC1_50_TR0")</f>
        <v>0</v>
      </c>
      <c r="BC80" s="50">
        <f>COUNTIF('PF272'!Y10:Y281,"TC1_51_TR0")</f>
        <v>0</v>
      </c>
      <c r="BD80" s="50">
        <f>COUNTIF('PF272'!Y10:Y281,"TC1_52_TR0")</f>
        <v>0</v>
      </c>
      <c r="BE80" s="50">
        <f>COUNTIF('PF272'!Y10:Y281,"TC1_53_TR0")</f>
        <v>0</v>
      </c>
      <c r="BF80" s="50">
        <f>COUNTIF('PF272'!Y10:Y281,"TC1_54_TR0")</f>
        <v>0</v>
      </c>
      <c r="BG80" s="50">
        <f>COUNTIF('PF272'!Y10:Y281,"TC1_55_TR0")</f>
        <v>0</v>
      </c>
      <c r="BH80" s="50">
        <f>COUNTIF('PF272'!Y10:Y281,"TC1_56_TR0")</f>
        <v>0</v>
      </c>
      <c r="BI80" s="50">
        <f>COUNTIF('PF272'!Y10:Y281,"TC1_57_TR0")</f>
        <v>0</v>
      </c>
      <c r="BJ80" s="50">
        <f>COUNTIF('PF272'!Y10:Y281,"TC1_58_TR0")</f>
        <v>0</v>
      </c>
      <c r="BK80" s="50">
        <f>COUNTIF('PF272'!Y10:Y281,"TC1_59_TR0")</f>
        <v>0</v>
      </c>
      <c r="BL80" s="50">
        <f>COUNTIF('PF272'!Y10:Y281,"TC1_60_TR0")</f>
        <v>0</v>
      </c>
      <c r="BM80" s="50">
        <f>COUNTIF('PF272'!Y10:Y281,"TC1_61_TR0")</f>
        <v>0</v>
      </c>
      <c r="BN80" s="50">
        <f>COUNTIF('PF272'!Y10:Y281,"TC1_62_TR0")</f>
        <v>0</v>
      </c>
      <c r="BO80" s="50">
        <f>COUNTIF('PF272'!Y10:Y281,"TC1_63_TR0")</f>
        <v>0</v>
      </c>
      <c r="BP80" s="50">
        <f>COUNTIF('PF272'!Y10:Y281,"TC1_64_TR0")</f>
        <v>0</v>
      </c>
      <c r="BQ80" s="50">
        <f>COUNTIF('PF272'!Y10:Y281,"TC1_65_TR0")</f>
        <v>0</v>
      </c>
      <c r="BR80" s="50">
        <f>COUNTIF('PF272'!Y10:Y281,"TC1_66_TR0")</f>
        <v>0</v>
      </c>
      <c r="BS80" s="50">
        <f>COUNTIF('PF272'!Y10:Y281,"TC1_67_TR0")</f>
        <v>0</v>
      </c>
      <c r="BT80" s="50">
        <f>COUNTIF('PF272'!Y10:Y281,"TC1_68_TR0")</f>
        <v>0</v>
      </c>
      <c r="BU80" s="50">
        <f>COUNTIF('PF272'!Y10:Y281,"TC1_69_TR0")</f>
        <v>0</v>
      </c>
      <c r="BV80" s="50">
        <f>COUNTIF('PF272'!Y10:Y281,"TC1_70_TR0")</f>
        <v>0</v>
      </c>
      <c r="BW80" s="50">
        <f>COUNTIF('PF272'!Y10:Y281,"TC1_71_TR0")</f>
        <v>0</v>
      </c>
      <c r="BX80" s="50">
        <f>COUNTIF('PF272'!Y10:Y281,"TC1_72_TR0")</f>
        <v>0</v>
      </c>
      <c r="BY80" s="50">
        <f>COUNTIF('PF272'!Y10:Y281,"TC1_73_TR0")</f>
        <v>0</v>
      </c>
      <c r="BZ80" s="50">
        <f>COUNTIF('PF272'!Y10:Y281,"TC1_74_TR0")</f>
        <v>0</v>
      </c>
      <c r="CA80" s="50">
        <f>COUNTIF('PF272'!Y10:Y281,"TC1_75_TR0")</f>
        <v>0</v>
      </c>
      <c r="CB80" s="50">
        <f>COUNTIF('PF272'!Y10:Y281,"TC1_76_TR0")</f>
        <v>0</v>
      </c>
      <c r="CC80" s="50">
        <f>COUNTIF('PF272'!Y10:Y281,"TC1_77_TR0")</f>
        <v>0</v>
      </c>
      <c r="CD80" s="50">
        <f>COUNTIF('PF272'!Y10:Y281,"TC1_78_TR0")</f>
        <v>0</v>
      </c>
      <c r="CE80" s="50">
        <f>COUNTIF('PF272'!Y10:Y281,"TC1_79_TR0")</f>
        <v>0</v>
      </c>
      <c r="CF80" s="50">
        <f>COUNTIF('PF272'!Y10:Y281,"TC1_80_TR0")</f>
        <v>0</v>
      </c>
      <c r="CG80" s="50">
        <f>COUNTIF('PF272'!Y10:Y281,"TC1_81_TR0")</f>
        <v>0</v>
      </c>
      <c r="CH80" s="50">
        <f>COUNTIF('PF272'!Y10:Y281,"TC1_82_TR0")</f>
        <v>0</v>
      </c>
      <c r="CI80" s="50">
        <f>COUNTIF('PF272'!Y10:Y281,"TC1_83_TR0")</f>
        <v>0</v>
      </c>
    </row>
    <row r="81" spans="2:87" x14ac:dyDescent="0.55000000000000004">
      <c r="B81" s="183"/>
      <c r="C81" s="49" t="s">
        <v>393</v>
      </c>
      <c r="D81" s="50">
        <f>COUNTIF('PF272'!Y10:Y281,"TC1_0_TR1")</f>
        <v>0</v>
      </c>
      <c r="E81" s="50">
        <f>COUNTIF('PF272'!Y10:Y281,"TC1_1_TR1")</f>
        <v>0</v>
      </c>
      <c r="F81" s="50">
        <f>COUNTIF('PF272'!Y10:Y281,"TC1_2_TR1")</f>
        <v>0</v>
      </c>
      <c r="G81" s="50">
        <f>COUNTIF('PF272'!Y10:Y281,"TC1_3_TR1")</f>
        <v>0</v>
      </c>
      <c r="H81" s="50">
        <f>COUNTIF('PF272'!Y10:Y281,"TC1_4_TR1")</f>
        <v>0</v>
      </c>
      <c r="I81" s="50">
        <f>COUNTIF('PF272'!Y10:Y281,"TC1_5_TR1")</f>
        <v>0</v>
      </c>
      <c r="J81" s="50">
        <f>COUNTIF('PF272'!Y10:Y281,"TC1_6_TR1")</f>
        <v>0</v>
      </c>
      <c r="K81" s="50">
        <f>COUNTIF('PF272'!Y10:Y281,"TC1_7_TR1")</f>
        <v>0</v>
      </c>
      <c r="L81" s="50">
        <f>COUNTIF('PF272'!Y10:Y281,"TC1_8_TR1")</f>
        <v>0</v>
      </c>
      <c r="M81" s="50">
        <f>COUNTIF('PF272'!Y10:Y281,"TC1_9_TR1")</f>
        <v>0</v>
      </c>
      <c r="N81" s="50">
        <f>COUNTIF('PF272'!Y10:Y281,"TC1_10_TR1")</f>
        <v>0</v>
      </c>
      <c r="O81" s="50">
        <f>COUNTIF('PF272'!Y10:Y281,"TC1_11_TR1")</f>
        <v>0</v>
      </c>
      <c r="P81" s="50">
        <f>COUNTIF('PF272'!Y10:Y281,"TC1_12_TR1")</f>
        <v>0</v>
      </c>
      <c r="Q81" s="50">
        <f>COUNTIF('PF272'!Y10:Y281,"TC1_13_TR1")</f>
        <v>0</v>
      </c>
      <c r="R81" s="50">
        <f>COUNTIF('PF272'!Y10:Y281,"TC1_14_TR1")</f>
        <v>0</v>
      </c>
      <c r="S81" s="50">
        <f>COUNTIF('PF272'!Y10:Y281,"TC1_15_TR1")</f>
        <v>0</v>
      </c>
      <c r="T81" s="50">
        <f>COUNTIF('PF272'!Y10:Y281,"TC1_16_TR1")</f>
        <v>0</v>
      </c>
      <c r="U81" s="50">
        <f>COUNTIF('PF272'!Y10:Y281,"TC1_17_TR1")</f>
        <v>0</v>
      </c>
      <c r="V81" s="50">
        <f>COUNTIF('PF272'!Y10:Y281,"TC1_18_TR1")</f>
        <v>0</v>
      </c>
      <c r="W81" s="50">
        <f>COUNTIF('PF272'!Y10:Y281,"TC1_19_TR1")</f>
        <v>0</v>
      </c>
      <c r="X81" s="50">
        <f>COUNTIF('PF272'!Y10:Y281,"TC1_20_TR1")</f>
        <v>0</v>
      </c>
      <c r="Y81" s="50">
        <f>COUNTIF('PF272'!Y10:Y281,"TC1_21_TR1")</f>
        <v>0</v>
      </c>
      <c r="Z81" s="50">
        <f>COUNTIF('PF272'!Y10:Y281,"TC1_22_TR1")</f>
        <v>0</v>
      </c>
      <c r="AA81" s="50">
        <f>COUNTIF('PF272'!Y10:Y281,"TC1_23_TR1")</f>
        <v>0</v>
      </c>
      <c r="AB81" s="50">
        <f>COUNTIF('PF272'!Y10:Y281,"TC1_24_TR1")</f>
        <v>0</v>
      </c>
      <c r="AC81" s="50">
        <f>COUNTIF('PF272'!Y10:Y281,"TC1_25_TR1")</f>
        <v>0</v>
      </c>
      <c r="AD81" s="50">
        <f>COUNTIF('PF272'!Y10:Y281,"TC1_26_TR1")</f>
        <v>0</v>
      </c>
      <c r="AE81" s="50">
        <f>COUNTIF('PF272'!Y10:Y281,"TC1_27_TR1")</f>
        <v>0</v>
      </c>
      <c r="AF81" s="50">
        <f>COUNTIF('PF272'!Y10:Y281,"TC1_28_TR1")</f>
        <v>0</v>
      </c>
      <c r="AG81" s="50">
        <f>COUNTIF('PF272'!Y10:Y281,"TC1_29_TR1")</f>
        <v>0</v>
      </c>
      <c r="AH81" s="50">
        <f>COUNTIF('PF272'!Y10:Y281,"TC1_30_TR1")</f>
        <v>0</v>
      </c>
      <c r="AI81" s="50">
        <f>COUNTIF('PF272'!Y10:Y281,"TC1_31_TR1")</f>
        <v>0</v>
      </c>
      <c r="AJ81" s="50">
        <f>COUNTIF('PF272'!Y10:Y281,"TC1_32_TR1")</f>
        <v>0</v>
      </c>
      <c r="AK81" s="50">
        <f>COUNTIF('PF272'!Y10:Y281,"TC1_33_TR1")</f>
        <v>0</v>
      </c>
      <c r="AL81" s="50">
        <f>COUNTIF('PF272'!Y10:Y281,"TC1_34_TR1")</f>
        <v>0</v>
      </c>
      <c r="AM81" s="50">
        <f>COUNTIF('PF272'!Y10:Y281,"TC1_35_TR1")</f>
        <v>0</v>
      </c>
      <c r="AN81" s="50">
        <f>COUNTIF('PF272'!Y10:Y281,"TC1_36_TR1")</f>
        <v>0</v>
      </c>
      <c r="AO81" s="50">
        <f>COUNTIF('PF272'!Y10:Y281,"TC1_37_TR1")</f>
        <v>0</v>
      </c>
      <c r="AP81" s="50">
        <f>COUNTIF('PF272'!Y10:Y281,"TC1_38_TR1")</f>
        <v>0</v>
      </c>
      <c r="AQ81" s="50">
        <f>COUNTIF('PF272'!Y10:Y281,"TC1_39_TR1")</f>
        <v>0</v>
      </c>
      <c r="AR81" s="50">
        <f>COUNTIF('PF272'!Y10:Y281,"TC1_40_TR1")</f>
        <v>0</v>
      </c>
      <c r="AS81" s="50">
        <f>COUNTIF('PF272'!Y10:Y281,"TC1_41_TR1")</f>
        <v>0</v>
      </c>
      <c r="AT81" s="50">
        <f>COUNTIF('PF272'!Y10:Y281,"TC1_42_TR1")</f>
        <v>0</v>
      </c>
      <c r="AU81" s="50">
        <f>COUNTIF('PF272'!Y10:Y281,"TC1_43_TR1")</f>
        <v>0</v>
      </c>
      <c r="AV81" s="50">
        <f>COUNTIF('PF272'!Y10:Y281,"TC1_44_TR1")</f>
        <v>0</v>
      </c>
      <c r="AW81" s="50">
        <f>COUNTIF('PF272'!Y10:Y281,"TC1_45_TR1")</f>
        <v>0</v>
      </c>
      <c r="AX81" s="50">
        <f>COUNTIF('PF272'!Y10:Y281,"TC1_46_TR1")</f>
        <v>0</v>
      </c>
      <c r="AY81" s="50">
        <f>COUNTIF('PF272'!Y10:Y281,"TC1_47_TR1")</f>
        <v>0</v>
      </c>
      <c r="AZ81" s="50">
        <f>COUNTIF('PF272'!Y10:Y281,"TC1_48_TR1")</f>
        <v>0</v>
      </c>
      <c r="BA81" s="50">
        <f>COUNTIF('PF272'!Y10:Y281,"TC1_49_TR1")</f>
        <v>0</v>
      </c>
      <c r="BB81" s="50">
        <f>COUNTIF('PF272'!Y10:Y281,"TC1_50_TR1")</f>
        <v>0</v>
      </c>
      <c r="BC81" s="50">
        <f>COUNTIF('PF272'!Y10:Y281,"TC1_51_TR1")</f>
        <v>0</v>
      </c>
      <c r="BD81" s="50">
        <f>COUNTIF('PF272'!Y10:Y281,"TC1_52_TR1")</f>
        <v>0</v>
      </c>
      <c r="BE81" s="50">
        <f>COUNTIF('PF272'!Y10:Y281,"TC1_53_TR1")</f>
        <v>0</v>
      </c>
      <c r="BF81" s="50">
        <f>COUNTIF('PF272'!Y10:Y281,"TC1_54_TR1")</f>
        <v>0</v>
      </c>
      <c r="BG81" s="50">
        <f>COUNTIF('PF272'!Y10:Y281,"TC1_55_TR1")</f>
        <v>0</v>
      </c>
      <c r="BH81" s="50">
        <f>COUNTIF('PF272'!Y10:Y281,"TC1_56_TR1")</f>
        <v>0</v>
      </c>
      <c r="BI81" s="50">
        <f>COUNTIF('PF272'!Y10:Y281,"TC1_57_TR1")</f>
        <v>0</v>
      </c>
      <c r="BJ81" s="50">
        <f>COUNTIF('PF272'!Y10:Y281,"TC1_58_TR1")</f>
        <v>0</v>
      </c>
      <c r="BK81" s="50">
        <f>COUNTIF('PF272'!Y10:Y281,"TC1_59_TR1")</f>
        <v>0</v>
      </c>
      <c r="BL81" s="50">
        <f>COUNTIF('PF272'!Y10:Y281,"TC1_60_TR1")</f>
        <v>0</v>
      </c>
      <c r="BM81" s="50">
        <f>COUNTIF('PF272'!Y10:Y281,"TC1_61_TR1")</f>
        <v>0</v>
      </c>
      <c r="BN81" s="50">
        <f>COUNTIF('PF272'!Y10:Y281,"TC1_62_TR1")</f>
        <v>0</v>
      </c>
      <c r="BO81" s="50">
        <f>COUNTIF('PF272'!Y10:Y281,"TC1_63_TR1")</f>
        <v>0</v>
      </c>
      <c r="BP81" s="50">
        <f>COUNTIF('PF272'!Y10:Y281,"TC1_64_TR1")</f>
        <v>0</v>
      </c>
      <c r="BQ81" s="50">
        <f>COUNTIF('PF272'!Y10:Y281,"TC1_65_TR1")</f>
        <v>0</v>
      </c>
      <c r="BR81" s="50">
        <f>COUNTIF('PF272'!Y10:Y281,"TC1_66_TR1")</f>
        <v>0</v>
      </c>
      <c r="BS81" s="50">
        <f>COUNTIF('PF272'!Y10:Y281,"TC1_67_TR1")</f>
        <v>0</v>
      </c>
      <c r="BT81" s="50">
        <f>COUNTIF('PF272'!Y10:Y281,"TC1_68_TR1")</f>
        <v>0</v>
      </c>
      <c r="BU81" s="50">
        <f>COUNTIF('PF272'!Y10:Y281,"TC1_69_TR1")</f>
        <v>0</v>
      </c>
      <c r="BV81" s="50">
        <f>COUNTIF('PF272'!Y10:Y281,"TC1_70_TR1")</f>
        <v>0</v>
      </c>
      <c r="BW81" s="50">
        <f>COUNTIF('PF272'!Y10:Y281,"TC1_71_TR1")</f>
        <v>0</v>
      </c>
      <c r="BX81" s="50">
        <f>COUNTIF('PF272'!Y10:Y281,"TC1_72_TR1")</f>
        <v>0</v>
      </c>
      <c r="BY81" s="50">
        <f>COUNTIF('PF272'!Y10:Y281,"TC1_73_TR1")</f>
        <v>0</v>
      </c>
      <c r="BZ81" s="50">
        <f>COUNTIF('PF272'!Y10:Y281,"TC1_74_TR1")</f>
        <v>0</v>
      </c>
      <c r="CA81" s="50">
        <f>COUNTIF('PF272'!Y10:Y281,"TC1_75_TR1")</f>
        <v>0</v>
      </c>
      <c r="CB81" s="50">
        <f>COUNTIF('PF272'!Y10:Y281,"TC1_76_TR1")</f>
        <v>0</v>
      </c>
      <c r="CC81" s="50">
        <f>COUNTIF('PF272'!Y10:Y281,"TC1_77_TR1")</f>
        <v>0</v>
      </c>
      <c r="CD81" s="50">
        <f>COUNTIF('PF272'!Y10:Y281,"TC1_78_TR1")</f>
        <v>0</v>
      </c>
      <c r="CE81" s="50">
        <f>COUNTIF('PF272'!Y10:Y281,"TC1_79_TR1")</f>
        <v>0</v>
      </c>
      <c r="CF81" s="50">
        <f>COUNTIF('PF272'!Y10:Y281,"TC1_80_TR1")</f>
        <v>0</v>
      </c>
      <c r="CG81" s="50">
        <f>COUNTIF('PF272'!Y10:Y281,"TC1_81_TR1")</f>
        <v>0</v>
      </c>
      <c r="CH81" s="50">
        <f>COUNTIF('PF272'!Y10:Y281,"TC1_82_TR1")</f>
        <v>0</v>
      </c>
      <c r="CI81" s="50">
        <f>COUNTIF('PF272'!Y10:Y281,"TC1_83_TR1")</f>
        <v>0</v>
      </c>
    </row>
    <row r="82" spans="2:87" x14ac:dyDescent="0.55000000000000004">
      <c r="B82" s="67"/>
    </row>
    <row r="83" spans="2:87" x14ac:dyDescent="0.55000000000000004">
      <c r="B83" s="184" t="s">
        <v>2386</v>
      </c>
      <c r="C83" s="185"/>
      <c r="D83" s="48" t="s">
        <v>400</v>
      </c>
      <c r="E83" s="48" t="s">
        <v>401</v>
      </c>
      <c r="F83" s="48" t="s">
        <v>402</v>
      </c>
    </row>
    <row r="84" spans="2:87" x14ac:dyDescent="0.55000000000000004">
      <c r="B84" s="194" t="s">
        <v>398</v>
      </c>
      <c r="C84" s="49" t="s">
        <v>391</v>
      </c>
      <c r="D84" s="50">
        <f>COUNTIF('PF272'!Y10:Y281,"PWM0_M_0")</f>
        <v>0</v>
      </c>
      <c r="E84" s="50">
        <f>COUNTIF('PF272'!Y10:Y281,"PWM0_M_1")</f>
        <v>0</v>
      </c>
      <c r="F84" s="50">
        <f>COUNTIF('PF272'!Y10:Y281,"PWM0_M_2")</f>
        <v>0</v>
      </c>
    </row>
    <row r="85" spans="2:87" x14ac:dyDescent="0.55000000000000004">
      <c r="B85" s="183"/>
      <c r="C85" s="49" t="s">
        <v>394</v>
      </c>
      <c r="D85" s="50">
        <f>COUNTIF('PF272'!Y10:Y281,"PWM0_M_0_N")</f>
        <v>0</v>
      </c>
      <c r="E85" s="50">
        <f>COUNTIF('PF272'!Y10:Y281,"PWM0_M_1_N")</f>
        <v>0</v>
      </c>
      <c r="F85" s="50">
        <f>COUNTIF('PF272'!Y10:Y281,"PWM0_M_2_N")</f>
        <v>0</v>
      </c>
    </row>
    <row r="86" spans="2:87" x14ac:dyDescent="0.55000000000000004">
      <c r="B86" s="194" t="s">
        <v>399</v>
      </c>
      <c r="C86" s="49" t="s">
        <v>392</v>
      </c>
      <c r="D86" s="50">
        <f>COUNTIF('PF272'!Y10:Y281,"TC0_M_0_TR0")</f>
        <v>0</v>
      </c>
      <c r="E86" s="50">
        <f>COUNTIF('PF272'!Y10:Y281,"TC0_M_1_TR0")</f>
        <v>0</v>
      </c>
      <c r="F86" s="50">
        <f>COUNTIF('PF272'!Y10:Y281,"TC0_M_2_TR0")</f>
        <v>0</v>
      </c>
    </row>
    <row r="87" spans="2:87" x14ac:dyDescent="0.55000000000000004">
      <c r="B87" s="183"/>
      <c r="C87" s="49" t="s">
        <v>393</v>
      </c>
      <c r="D87" s="50">
        <f>COUNTIF('PF272'!Y10:Y281,"TC0_M_0_TR1")</f>
        <v>0</v>
      </c>
      <c r="E87" s="50">
        <f>COUNTIF('PF272'!Y10:Y281,"TC0_M_1_TR1")</f>
        <v>0</v>
      </c>
      <c r="F87" s="50">
        <f>COUNTIF('PF272'!Y10:Y281,"TC0_M_2_TR1")</f>
        <v>0</v>
      </c>
    </row>
    <row r="89" spans="2:87" x14ac:dyDescent="0.55000000000000004">
      <c r="B89" s="184" t="s">
        <v>2387</v>
      </c>
      <c r="C89" s="185"/>
      <c r="D89" s="48" t="s">
        <v>400</v>
      </c>
      <c r="E89" s="48" t="s">
        <v>401</v>
      </c>
      <c r="F89" s="48" t="s">
        <v>402</v>
      </c>
      <c r="G89" s="48" t="s">
        <v>403</v>
      </c>
      <c r="H89" s="48" t="s">
        <v>404</v>
      </c>
      <c r="I89" s="48" t="s">
        <v>405</v>
      </c>
      <c r="J89" s="48" t="s">
        <v>406</v>
      </c>
      <c r="K89" s="48" t="s">
        <v>407</v>
      </c>
      <c r="L89" s="48" t="s">
        <v>408</v>
      </c>
      <c r="M89" s="48" t="s">
        <v>409</v>
      </c>
      <c r="N89" s="48" t="s">
        <v>410</v>
      </c>
      <c r="O89" s="48" t="s">
        <v>411</v>
      </c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</row>
    <row r="90" spans="2:87" x14ac:dyDescent="0.55000000000000004">
      <c r="B90" s="194" t="s">
        <v>398</v>
      </c>
      <c r="C90" s="49" t="s">
        <v>391</v>
      </c>
      <c r="D90" s="50">
        <f>COUNTIF('PF272'!Y10:Y281,"PWM1_M_0")</f>
        <v>0</v>
      </c>
      <c r="E90" s="50">
        <f>COUNTIF('PF272'!Y10:Y281,"PWM1_M_1")</f>
        <v>0</v>
      </c>
      <c r="F90" s="50">
        <f>COUNTIF('PF272'!Y10:Y281,"PWM1_M_2")</f>
        <v>0</v>
      </c>
      <c r="G90" s="50">
        <f>COUNTIF('PF272'!Y10:Y281,"PWM1_M_3")</f>
        <v>0</v>
      </c>
      <c r="H90" s="50">
        <f>COUNTIF('PF272'!Y10:Y281,"PWM1_M_4")</f>
        <v>0</v>
      </c>
      <c r="I90" s="50">
        <f>COUNTIF('PF272'!Y10:Y281,"PWM1_M_5")</f>
        <v>0</v>
      </c>
      <c r="J90" s="50">
        <f>COUNTIF('PF272'!Y10:Y281,"PWM1_M_6")</f>
        <v>0</v>
      </c>
      <c r="K90" s="50">
        <f>COUNTIF('PF272'!Y10:Y281,"PWM1_M_7")</f>
        <v>0</v>
      </c>
      <c r="L90" s="50">
        <f>COUNTIF('PF272'!Y10:Y281,"PWM1_M_8")</f>
        <v>0</v>
      </c>
      <c r="M90" s="50">
        <f>COUNTIF('PF272'!Y10:Y281,"PWM1_M_9")</f>
        <v>0</v>
      </c>
      <c r="N90" s="50">
        <f>COUNTIF('PF272'!Y10:Y281,"PWM1_M_10")</f>
        <v>0</v>
      </c>
      <c r="O90" s="50">
        <f>COUNTIF('PF272'!Y10:Y281,"PWM1_M_11")</f>
        <v>0</v>
      </c>
      <c r="P90" s="68"/>
    </row>
    <row r="91" spans="2:87" x14ac:dyDescent="0.55000000000000004">
      <c r="B91" s="183"/>
      <c r="C91" s="49" t="s">
        <v>394</v>
      </c>
      <c r="D91" s="50">
        <f>COUNTIF('PF272'!Y10:Y281,"PWM1_M_0_N")</f>
        <v>0</v>
      </c>
      <c r="E91" s="50">
        <f>COUNTIF('PF272'!Y10:Y281,"PWM1_M_1_N")</f>
        <v>0</v>
      </c>
      <c r="F91" s="50">
        <f>COUNTIF('PF272'!Y10:Y281,"PWM1_M_2_N")</f>
        <v>0</v>
      </c>
      <c r="G91" s="50">
        <f>COUNTIF('PF272'!Y10:Y281,"PWM1_M_3_N")</f>
        <v>0</v>
      </c>
      <c r="H91" s="50">
        <f>COUNTIF('PF272'!Y10:Y281,"PWM1_M_4_N")</f>
        <v>0</v>
      </c>
      <c r="I91" s="50">
        <f>COUNTIF('PF272'!Y10:Y281,"PWM1_M_5_N")</f>
        <v>0</v>
      </c>
      <c r="J91" s="50">
        <f>COUNTIF('PF272'!Y10:Y281,"PWM1_M_6_N")</f>
        <v>0</v>
      </c>
      <c r="K91" s="50">
        <f>COUNTIF('PF272'!Y10:Y281,"PWM1_M_7_N")</f>
        <v>0</v>
      </c>
      <c r="L91" s="50">
        <f>COUNTIF('PF272'!Y10:Y281,"PWM1_M_8_N")</f>
        <v>0</v>
      </c>
      <c r="M91" s="50">
        <f>COUNTIF('PF272'!Y10:Y281,"PWM1_M_9_N")</f>
        <v>0</v>
      </c>
      <c r="N91" s="50">
        <f>COUNTIF('PF272'!Y10:Y281,"PWM1_M_10_N")</f>
        <v>0</v>
      </c>
      <c r="O91" s="50">
        <f>COUNTIF('PF272'!Y10:Y281,"PWM1_M_11_N")</f>
        <v>0</v>
      </c>
      <c r="P91" s="68"/>
    </row>
    <row r="92" spans="2:87" x14ac:dyDescent="0.55000000000000004">
      <c r="B92" s="194" t="s">
        <v>399</v>
      </c>
      <c r="C92" s="49" t="s">
        <v>392</v>
      </c>
      <c r="D92" s="50">
        <f>COUNTIF('PF272'!Y10:Y281,"TC1_M_0_TR0")</f>
        <v>0</v>
      </c>
      <c r="E92" s="50">
        <f>COUNTIF('PF272'!Y10:Y281,"TC1_M_1_TR0")</f>
        <v>0</v>
      </c>
      <c r="F92" s="50">
        <f>COUNTIF('PF272'!Y10:Y281,"TC1_M_2_TR0")</f>
        <v>0</v>
      </c>
      <c r="G92" s="50">
        <f>COUNTIF('PF272'!Y10:Y281,"TC1_M_3_TR0")</f>
        <v>0</v>
      </c>
      <c r="H92" s="50">
        <f>COUNTIF('PF272'!Y10:Y281,"TC1_M_4_TR0")</f>
        <v>0</v>
      </c>
      <c r="I92" s="50">
        <f>COUNTIF('PF272'!Y10:Y281,"TC1_M_5_TR0")</f>
        <v>0</v>
      </c>
      <c r="J92" s="50">
        <f>COUNTIF('PF272'!Y10:Y281,"TC1_M_6_TR0")</f>
        <v>0</v>
      </c>
      <c r="K92" s="50">
        <f>COUNTIF('PF272'!Y10:Y281,"TC1_M_7_TR0")</f>
        <v>0</v>
      </c>
      <c r="L92" s="50">
        <f>COUNTIF('PF272'!Y10:Y281,"TC1_M_8_TR0")</f>
        <v>0</v>
      </c>
      <c r="M92" s="50">
        <f>COUNTIF('PF272'!Y10:Y281,"TC1_M_9_TR0")</f>
        <v>0</v>
      </c>
      <c r="N92" s="50">
        <f>COUNTIF('PF272'!Y10:Y281,"TC1_M_10_TR0")</f>
        <v>0</v>
      </c>
      <c r="O92" s="50">
        <f>COUNTIF('PF272'!Y10:Y281,"TC1_M_11_TR0")</f>
        <v>0</v>
      </c>
      <c r="P92" s="68"/>
    </row>
    <row r="93" spans="2:87" x14ac:dyDescent="0.55000000000000004">
      <c r="B93" s="183"/>
      <c r="C93" s="49" t="s">
        <v>393</v>
      </c>
      <c r="D93" s="50">
        <f>COUNTIF('PF272'!Y10:Y281,"TC1_M_0_TR1")</f>
        <v>0</v>
      </c>
      <c r="E93" s="50">
        <f>COUNTIF('PF272'!Y10:Y281,"TC1_M_1_TR1")</f>
        <v>0</v>
      </c>
      <c r="F93" s="50">
        <f>COUNTIF('PF272'!Y10:Y281,"TC1_M_2_TR1")</f>
        <v>0</v>
      </c>
      <c r="G93" s="50">
        <f>COUNTIF('PF272'!Y10:Y281,"TC1_M_3_TR1")</f>
        <v>0</v>
      </c>
      <c r="H93" s="50">
        <f>COUNTIF('PF272'!Y10:Y281,"TC1_M_4_TR1")</f>
        <v>0</v>
      </c>
      <c r="I93" s="50">
        <f>COUNTIF('PF272'!Y10:Y281,"TC1_M_5_TR1")</f>
        <v>0</v>
      </c>
      <c r="J93" s="50">
        <f>COUNTIF('PF272'!Y10:Y281,"TC1_M_6_TR1")</f>
        <v>0</v>
      </c>
      <c r="K93" s="50">
        <f>COUNTIF('PF272'!Y10:Y281,"TC1_M_7_TR1")</f>
        <v>0</v>
      </c>
      <c r="L93" s="50">
        <f>COUNTIF('PF272'!Y10:Y281,"TC1_M_8_TR1")</f>
        <v>0</v>
      </c>
      <c r="M93" s="50">
        <f>COUNTIF('PF272'!Y10:Y281,"TC1_M_9_TR1")</f>
        <v>0</v>
      </c>
      <c r="N93" s="50">
        <f>COUNTIF('PF272'!Y10:Y281,"TC1_M_10_TR1")</f>
        <v>0</v>
      </c>
      <c r="O93" s="50">
        <f>COUNTIF('PF272'!Y10:Y281,"TC1_M_11_TR1")</f>
        <v>0</v>
      </c>
      <c r="P93" s="68"/>
    </row>
    <row r="94" spans="2:87" x14ac:dyDescent="0.55000000000000004">
      <c r="B94" s="67"/>
    </row>
    <row r="95" spans="2:87" x14ac:dyDescent="0.55000000000000004">
      <c r="B95" s="184" t="s">
        <v>2391</v>
      </c>
      <c r="C95" s="185"/>
      <c r="D95" s="48" t="s">
        <v>400</v>
      </c>
      <c r="E95" s="48" t="s">
        <v>401</v>
      </c>
      <c r="F95" s="48" t="s">
        <v>402</v>
      </c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</row>
    <row r="96" spans="2:87" x14ac:dyDescent="0.55000000000000004">
      <c r="B96" s="194" t="s">
        <v>398</v>
      </c>
      <c r="C96" s="49" t="s">
        <v>391</v>
      </c>
      <c r="D96" s="50">
        <f>COUNTIF('PF272'!Y10:Y281,"PWM0_H_0")</f>
        <v>0</v>
      </c>
      <c r="E96" s="50">
        <f>COUNTIF('PF272'!Y10:Y281,"PWM0_H_1")</f>
        <v>0</v>
      </c>
      <c r="F96" s="50">
        <f>COUNTIF('PF272'!Y10:Y281,"PWM0_H_2")</f>
        <v>0</v>
      </c>
    </row>
    <row r="97" spans="2:58" x14ac:dyDescent="0.55000000000000004">
      <c r="B97" s="183"/>
      <c r="C97" s="49" t="s">
        <v>394</v>
      </c>
      <c r="D97" s="50">
        <f>COUNTIF('PF272'!Y10:Y281,"PWM0_H_0_N")</f>
        <v>0</v>
      </c>
      <c r="E97" s="50">
        <f>COUNTIF('PF272'!Y10:Y281,"PWM0_H_1_N")</f>
        <v>0</v>
      </c>
      <c r="F97" s="50">
        <f>COUNTIF('PF272'!Y10:Y281,"PWM0_H_2_N")</f>
        <v>0</v>
      </c>
    </row>
    <row r="98" spans="2:58" x14ac:dyDescent="0.55000000000000004">
      <c r="B98" s="194" t="s">
        <v>399</v>
      </c>
      <c r="C98" s="49" t="s">
        <v>392</v>
      </c>
      <c r="D98" s="50">
        <f>COUNTIF('PF272'!Y10:Y281,"TC0_H_0_TR0")</f>
        <v>0</v>
      </c>
      <c r="E98" s="50">
        <f>COUNTIF('PF272'!Y10:Y281,"TC0_H_1_TR0")</f>
        <v>0</v>
      </c>
      <c r="F98" s="50">
        <f>COUNTIF('PF272'!Y10:Y281,"TC0_H_2_TR0")</f>
        <v>0</v>
      </c>
    </row>
    <row r="99" spans="2:58" x14ac:dyDescent="0.55000000000000004">
      <c r="B99" s="183"/>
      <c r="C99" s="49" t="s">
        <v>393</v>
      </c>
      <c r="D99" s="50">
        <f>COUNTIF('PF272'!Y10:Y281,"TC0_H_0_TR1")</f>
        <v>0</v>
      </c>
      <c r="E99" s="50">
        <f>COUNTIF('PF272'!Y10:Y281,"TC0_H_1_TR1")</f>
        <v>0</v>
      </c>
      <c r="F99" s="50">
        <f>COUNTIF('PF272'!Y10:Y281,"TC0_H_2_TR1")</f>
        <v>0</v>
      </c>
      <c r="G99" s="68"/>
    </row>
    <row r="100" spans="2:58" x14ac:dyDescent="0.55000000000000004">
      <c r="B100" s="67"/>
    </row>
    <row r="101" spans="2:58" x14ac:dyDescent="0.55000000000000004">
      <c r="B101" s="184" t="s">
        <v>2390</v>
      </c>
      <c r="C101" s="185"/>
      <c r="D101" s="48" t="s">
        <v>400</v>
      </c>
      <c r="E101" s="48" t="s">
        <v>401</v>
      </c>
      <c r="F101" s="48" t="s">
        <v>402</v>
      </c>
      <c r="G101" s="48" t="s">
        <v>403</v>
      </c>
      <c r="H101" s="48" t="s">
        <v>404</v>
      </c>
      <c r="I101" s="48" t="s">
        <v>405</v>
      </c>
      <c r="J101" s="48" t="s">
        <v>406</v>
      </c>
      <c r="K101" s="48" t="s">
        <v>407</v>
      </c>
      <c r="L101" s="48" t="s">
        <v>408</v>
      </c>
      <c r="M101" s="48" t="s">
        <v>409</v>
      </c>
      <c r="N101" s="48" t="s">
        <v>410</v>
      </c>
      <c r="O101" s="48" t="s">
        <v>411</v>
      </c>
      <c r="P101" s="48" t="s">
        <v>412</v>
      </c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</row>
    <row r="102" spans="2:58" x14ac:dyDescent="0.55000000000000004">
      <c r="B102" s="194" t="s">
        <v>398</v>
      </c>
      <c r="C102" s="49" t="s">
        <v>391</v>
      </c>
      <c r="D102" s="50">
        <f>COUNTIF('PF272'!Y10:Y281,"PWM1_H_0")</f>
        <v>0</v>
      </c>
      <c r="E102" s="50">
        <f>COUNTIF('PF272'!Y10:Y281,"PWM1_H_1")</f>
        <v>0</v>
      </c>
      <c r="F102" s="50">
        <f>COUNTIF('PF272'!Y10:Y281,"PWM1_H_2")</f>
        <v>0</v>
      </c>
      <c r="G102" s="50">
        <f>COUNTIF('PF272'!Y10:Y281,"PWM1_H_3")</f>
        <v>0</v>
      </c>
      <c r="H102" s="50">
        <f>COUNTIF('PF272'!Y10:Y281,"PWM1_H_4")</f>
        <v>0</v>
      </c>
      <c r="I102" s="50">
        <f>COUNTIF('PF272'!Y10:Y281,"PWM1_H_5")</f>
        <v>0</v>
      </c>
      <c r="J102" s="50">
        <f>COUNTIF('PF272'!Y10:Y281,"PWM1_H_6")</f>
        <v>0</v>
      </c>
      <c r="K102" s="50">
        <f>COUNTIF('PF272'!Y10:Y281,"PWM1_H_7")</f>
        <v>0</v>
      </c>
      <c r="L102" s="50">
        <f>COUNTIF('PF272'!Y10:Y281,"PWM1_H_8")</f>
        <v>0</v>
      </c>
      <c r="M102" s="50">
        <f>COUNTIF('PF272'!Y10:Y281,"PWM1_H_9")</f>
        <v>0</v>
      </c>
      <c r="N102" s="50">
        <f>COUNTIF('PF272'!Y10:Y281,"PWM1_H_10")</f>
        <v>0</v>
      </c>
      <c r="O102" s="50">
        <f>COUNTIF('PF272'!Y10:Y281,"PWM1_H_11")</f>
        <v>0</v>
      </c>
      <c r="P102" s="50">
        <f>COUNTIF('PF272'!Y10:Y281,"PWM1_H_12")</f>
        <v>0</v>
      </c>
    </row>
    <row r="103" spans="2:58" x14ac:dyDescent="0.55000000000000004">
      <c r="B103" s="183"/>
      <c r="C103" s="49" t="s">
        <v>394</v>
      </c>
      <c r="D103" s="50">
        <f>COUNTIF('PF272'!Y10:Y281,"PWM1_H_0_N")</f>
        <v>0</v>
      </c>
      <c r="E103" s="50">
        <f>COUNTIF('PF272'!Y10:Y281,"PWM1_H_1_N")</f>
        <v>0</v>
      </c>
      <c r="F103" s="50">
        <f>COUNTIF('PF272'!Y10:Y281,"PWM1_H_2_N")</f>
        <v>0</v>
      </c>
      <c r="G103" s="50">
        <f>COUNTIF('PF272'!Y10:Y281,"PWM1_H_3_N")</f>
        <v>0</v>
      </c>
      <c r="H103" s="50">
        <f>COUNTIF('PF272'!Y10:Y281,"PWM1_H_4_N")</f>
        <v>0</v>
      </c>
      <c r="I103" s="50">
        <f>COUNTIF('PF272'!Y10:Y281,"PWM1_H_5_N")</f>
        <v>0</v>
      </c>
      <c r="J103" s="50">
        <f>COUNTIF('PF272'!Y10:Y281,"PWM1_H_6_N")</f>
        <v>0</v>
      </c>
      <c r="K103" s="50">
        <f>COUNTIF('PF272'!Y10:Y281,"PWM1_H_7_N")</f>
        <v>0</v>
      </c>
      <c r="L103" s="50">
        <f>COUNTIF('PF272'!Y10:Y281,"PWM1_H_8_N")</f>
        <v>0</v>
      </c>
      <c r="M103" s="50">
        <f>COUNTIF('PF272'!Y10:Y281,"PWM1_H_9_N")</f>
        <v>0</v>
      </c>
      <c r="N103" s="50">
        <f>COUNTIF('PF272'!Y10:Y281,"PWM1_H_10_N")</f>
        <v>0</v>
      </c>
      <c r="O103" s="50">
        <f>COUNTIF('PF272'!Y10:Y281,"PWM1_H_11_N")</f>
        <v>0</v>
      </c>
      <c r="P103" s="50">
        <f>COUNTIF('PF272'!Y10:Y281,"PWM1_H_12_N")</f>
        <v>0</v>
      </c>
    </row>
    <row r="104" spans="2:58" x14ac:dyDescent="0.55000000000000004">
      <c r="B104" s="194" t="s">
        <v>399</v>
      </c>
      <c r="C104" s="49" t="s">
        <v>392</v>
      </c>
      <c r="D104" s="50">
        <f>COUNTIF('PF272'!Y10:Y281,"TC1_H_0_TR0")</f>
        <v>0</v>
      </c>
      <c r="E104" s="50">
        <f>COUNTIF('PF272'!Y10:Y281,"TC1_H_1_TR0")</f>
        <v>0</v>
      </c>
      <c r="F104" s="50">
        <f>COUNTIF('PF272'!Y10:Y281,"TC1_H_2_TR0")</f>
        <v>0</v>
      </c>
      <c r="G104" s="50">
        <f>COUNTIF('PF272'!Y10:Y281,"TC1_H_3_TR0")</f>
        <v>0</v>
      </c>
      <c r="H104" s="50">
        <f>COUNTIF('PF272'!Y10:Y281,"TC1_H_4_TR0")</f>
        <v>0</v>
      </c>
      <c r="I104" s="50">
        <f>COUNTIF('PF272'!Y10:Y281,"TC1_H_5_TR0")</f>
        <v>0</v>
      </c>
      <c r="J104" s="50">
        <f>COUNTIF('PF272'!Y10:Y281,"TC1_H_6_TR0")</f>
        <v>0</v>
      </c>
      <c r="K104" s="50">
        <f>COUNTIF('PF272'!Y10:Y281,"TC1_H_7_TR0")</f>
        <v>0</v>
      </c>
      <c r="L104" s="50">
        <f>COUNTIF('PF272'!Y10:Y281,"TC1_H_8_TR0")</f>
        <v>0</v>
      </c>
      <c r="M104" s="50">
        <f>COUNTIF('PF272'!Y10:Y281,"TC1_H_9_TR0")</f>
        <v>0</v>
      </c>
      <c r="N104" s="50">
        <f>COUNTIF('PF272'!Y10:Y281,"TC1_H_10_TR0")</f>
        <v>0</v>
      </c>
      <c r="O104" s="50">
        <f>COUNTIF('PF272'!Y10:Y281,"TC1_H_11_TR0")</f>
        <v>0</v>
      </c>
      <c r="P104" s="50">
        <f>COUNTIF('PF272'!Y10:Y281,"TC1_H_12_TR0")</f>
        <v>0</v>
      </c>
    </row>
    <row r="105" spans="2:58" x14ac:dyDescent="0.55000000000000004">
      <c r="B105" s="183"/>
      <c r="C105" s="49" t="s">
        <v>393</v>
      </c>
      <c r="D105" s="50">
        <f>COUNTIF('PF272'!Y10:Y281,"TC1_H_0_TR1")</f>
        <v>0</v>
      </c>
      <c r="E105" s="50">
        <f>COUNTIF('PF272'!Y10:Y281,"TC1_H_1_TR1")</f>
        <v>0</v>
      </c>
      <c r="F105" s="50">
        <f>COUNTIF('PF272'!Y10:Y281,"TC1_H_2_TR1")</f>
        <v>0</v>
      </c>
      <c r="G105" s="50">
        <f>COUNTIF('PF272'!Y10:Y281,"TC1_H_3_TR1")</f>
        <v>0</v>
      </c>
      <c r="H105" s="50">
        <f>COUNTIF('PF272'!Y10:Y281,"TC1_H_4_TR1")</f>
        <v>0</v>
      </c>
      <c r="I105" s="50">
        <f>COUNTIF('PF272'!Y10:Y281,"TC1_H_5_TR1")</f>
        <v>0</v>
      </c>
      <c r="J105" s="50">
        <f>COUNTIF('PF272'!Y10:Y281,"TC1_H_6_TR1")</f>
        <v>0</v>
      </c>
      <c r="K105" s="50">
        <f>COUNTIF('PF272'!Y10:Y281,"TC1_H_7_TR1")</f>
        <v>0</v>
      </c>
      <c r="L105" s="50">
        <f>COUNTIF('PF272'!Y10:Y281,"TC1_H_8_TR1")</f>
        <v>0</v>
      </c>
      <c r="M105" s="50">
        <f>COUNTIF('PF272'!Y10:Y281,"TC1_H_9_TR1")</f>
        <v>0</v>
      </c>
      <c r="N105" s="50">
        <f>COUNTIF('PF272'!Y10:Y281,"TC1_H_10_TR1")</f>
        <v>0</v>
      </c>
      <c r="O105" s="50">
        <f>COUNTIF('PF272'!Y10:Y281,"TC1_H_11_TR1")</f>
        <v>0</v>
      </c>
      <c r="P105" s="50">
        <f>COUNTIF('PF272'!Y10:Y281,"TC1_H_12_TR1")</f>
        <v>0</v>
      </c>
    </row>
    <row r="106" spans="2:58" x14ac:dyDescent="0.55000000000000004">
      <c r="B106" s="67"/>
      <c r="C106" s="52"/>
    </row>
    <row r="107" spans="2:58" ht="10" customHeight="1" x14ac:dyDescent="0.55000000000000004"/>
    <row r="108" spans="2:58" x14ac:dyDescent="0.55000000000000004">
      <c r="B108" s="184" t="s">
        <v>387</v>
      </c>
      <c r="C108" s="185"/>
      <c r="D108" s="48" t="s">
        <v>388</v>
      </c>
      <c r="E108" s="48" t="s">
        <v>389</v>
      </c>
      <c r="F108" s="48" t="s">
        <v>390</v>
      </c>
    </row>
    <row r="109" spans="2:58" x14ac:dyDescent="0.55000000000000004">
      <c r="B109" s="191" t="s">
        <v>380</v>
      </c>
      <c r="C109" s="49" t="s">
        <v>463</v>
      </c>
      <c r="D109" s="50">
        <f>COUNTIF('PF272'!Y10:Y281,"ADC[0]_0")</f>
        <v>0</v>
      </c>
      <c r="E109" s="50">
        <f>COUNTIF('PF272'!Y10:Y281,"ADC[1]_0")</f>
        <v>0</v>
      </c>
      <c r="F109" s="50">
        <f>COUNTIF('PF272'!Y10:Y281,"ADC[2]_0")</f>
        <v>0</v>
      </c>
    </row>
    <row r="110" spans="2:58" x14ac:dyDescent="0.55000000000000004">
      <c r="B110" s="192"/>
      <c r="C110" s="49" t="s">
        <v>464</v>
      </c>
      <c r="D110" s="50">
        <f>COUNTIF('PF272'!Y10:Y281,"ADC[0]_1")</f>
        <v>0</v>
      </c>
      <c r="E110" s="50">
        <f>COUNTIF('PF272'!Y10:Y281,"ADC[1]_1")</f>
        <v>0</v>
      </c>
      <c r="F110" s="50">
        <f>COUNTIF('PF272'!Y10:Y281,"ADC[2]_1")</f>
        <v>0</v>
      </c>
    </row>
    <row r="111" spans="2:58" x14ac:dyDescent="0.55000000000000004">
      <c r="B111" s="192"/>
      <c r="C111" s="49" t="s">
        <v>465</v>
      </c>
      <c r="D111" s="50">
        <f>COUNTIF('PF272'!Y10:Y281,"ADC[0]_2")</f>
        <v>0</v>
      </c>
      <c r="E111" s="50">
        <f>COUNTIF('PF272'!Y10:Y281,"ADC[1]_2")</f>
        <v>0</v>
      </c>
      <c r="F111" s="50">
        <f>COUNTIF('PF272'!Y10:Y281,"ADC[2]_2")</f>
        <v>0</v>
      </c>
    </row>
    <row r="112" spans="2:58" x14ac:dyDescent="0.55000000000000004">
      <c r="B112" s="192"/>
      <c r="C112" s="49" t="s">
        <v>466</v>
      </c>
      <c r="D112" s="50">
        <f>COUNTIF('PF272'!Y10:Y281,"ADC[0]_3")</f>
        <v>0</v>
      </c>
      <c r="E112" s="50">
        <f>COUNTIF('PF272'!Y10:Y281,"ADC[1]_3")</f>
        <v>0</v>
      </c>
      <c r="F112" s="50">
        <f>COUNTIF('PF272'!Y10:Y281,"ADC[2]_3")</f>
        <v>0</v>
      </c>
    </row>
    <row r="113" spans="2:6" x14ac:dyDescent="0.55000000000000004">
      <c r="B113" s="192"/>
      <c r="C113" s="49" t="s">
        <v>467</v>
      </c>
      <c r="D113" s="50">
        <f>COUNTIF('PF272'!Y10:Y281,"ADC[0]_4")</f>
        <v>0</v>
      </c>
      <c r="E113" s="50">
        <f>COUNTIF('PF272'!Y10:Y281,"ADC[1]_4")</f>
        <v>0</v>
      </c>
      <c r="F113" s="50">
        <f>COUNTIF('PF272'!Y10:Y281,"ADC[2]_4")</f>
        <v>0</v>
      </c>
    </row>
    <row r="114" spans="2:6" x14ac:dyDescent="0.55000000000000004">
      <c r="B114" s="192"/>
      <c r="C114" s="49" t="s">
        <v>468</v>
      </c>
      <c r="D114" s="50">
        <f>COUNTIF('PF272'!Y10:Y281,"ADC[0]_5")</f>
        <v>0</v>
      </c>
      <c r="E114" s="50">
        <f>COUNTIF('PF272'!Y10:Y281,"ADC[1]_5")</f>
        <v>0</v>
      </c>
      <c r="F114" s="50">
        <f>COUNTIF('PF272'!Y10:Y281,"ADC[2]_5")</f>
        <v>0</v>
      </c>
    </row>
    <row r="115" spans="2:6" x14ac:dyDescent="0.55000000000000004">
      <c r="B115" s="192"/>
      <c r="C115" s="49" t="s">
        <v>469</v>
      </c>
      <c r="D115" s="50">
        <f>COUNTIF('PF272'!Y10:Y281,"ADC[0]_6")</f>
        <v>0</v>
      </c>
      <c r="E115" s="50">
        <f>COUNTIF('PF272'!Y10:Y281,"ADC[1]_6")</f>
        <v>0</v>
      </c>
      <c r="F115" s="50">
        <f>COUNTIF('PF272'!Y10:Y281,"ADC[2]_6")</f>
        <v>0</v>
      </c>
    </row>
    <row r="116" spans="2:6" x14ac:dyDescent="0.55000000000000004">
      <c r="B116" s="192"/>
      <c r="C116" s="49" t="s">
        <v>470</v>
      </c>
      <c r="D116" s="50">
        <f>COUNTIF('PF272'!Y10:Y281,"ADC[0]_7")</f>
        <v>0</v>
      </c>
      <c r="E116" s="50">
        <f>COUNTIF('PF272'!Y10:Y281,"ADC[1]_7")</f>
        <v>0</v>
      </c>
      <c r="F116" s="50">
        <f>COUNTIF('PF272'!Y10:Y281,"ADC[2]_7")</f>
        <v>0</v>
      </c>
    </row>
    <row r="117" spans="2:6" x14ac:dyDescent="0.55000000000000004">
      <c r="B117" s="192"/>
      <c r="C117" s="49" t="s">
        <v>471</v>
      </c>
      <c r="D117" s="50">
        <f>COUNTIF('PF272'!Y10:Y281,"ADC[0]_8")</f>
        <v>0</v>
      </c>
      <c r="E117" s="50">
        <f>COUNTIF('PF272'!Y10:Y281,"ADC[1]_8")</f>
        <v>0</v>
      </c>
      <c r="F117" s="50">
        <f>COUNTIF('PF272'!Y10:Y281,"ADC[2]_8")</f>
        <v>0</v>
      </c>
    </row>
    <row r="118" spans="2:6" x14ac:dyDescent="0.55000000000000004">
      <c r="B118" s="192"/>
      <c r="C118" s="49" t="s">
        <v>472</v>
      </c>
      <c r="D118" s="50">
        <f>COUNTIF('PF272'!Y10:Y281,"ADC[0]_9")</f>
        <v>0</v>
      </c>
      <c r="E118" s="50">
        <f>COUNTIF('PF272'!Y10:Y281,"ADC[1]_9")</f>
        <v>0</v>
      </c>
      <c r="F118" s="50">
        <f>COUNTIF('PF272'!Y10:Y281,"ADC[2]_9")</f>
        <v>0</v>
      </c>
    </row>
    <row r="119" spans="2:6" x14ac:dyDescent="0.55000000000000004">
      <c r="B119" s="192"/>
      <c r="C119" s="49" t="s">
        <v>473</v>
      </c>
      <c r="D119" s="50">
        <f>COUNTIF('PF272'!Y10:Y281,"ADC[0]_10")</f>
        <v>0</v>
      </c>
      <c r="E119" s="50">
        <f>COUNTIF('PF272'!Y10:Y281,"ADC[1]_10")</f>
        <v>0</v>
      </c>
      <c r="F119" s="50">
        <f>COUNTIF('PF272'!Y10:Y281,"ADC[2]_10")</f>
        <v>0</v>
      </c>
    </row>
    <row r="120" spans="2:6" x14ac:dyDescent="0.55000000000000004">
      <c r="B120" s="192"/>
      <c r="C120" s="49" t="s">
        <v>474</v>
      </c>
      <c r="D120" s="50">
        <f>COUNTIF('PF272'!Y10:Y281,"ADC[0]_11")</f>
        <v>0</v>
      </c>
      <c r="E120" s="50">
        <f>COUNTIF('PF272'!Y10:Y281,"ADC[1]_11")</f>
        <v>0</v>
      </c>
      <c r="F120" s="50">
        <f>COUNTIF('PF272'!Y10:Y281,"ADC[2]_11")</f>
        <v>0</v>
      </c>
    </row>
    <row r="121" spans="2:6" x14ac:dyDescent="0.55000000000000004">
      <c r="B121" s="192"/>
      <c r="C121" s="49" t="s">
        <v>475</v>
      </c>
      <c r="D121" s="50">
        <f>COUNTIF('PF272'!Y10:Y281,"ADC[0]_12")</f>
        <v>0</v>
      </c>
      <c r="E121" s="50">
        <f>COUNTIF('PF272'!Y10:Y281,"ADC[1]_12")</f>
        <v>0</v>
      </c>
      <c r="F121" s="50">
        <f>COUNTIF('PF272'!Y10:Y281,"ADC[2]_12")</f>
        <v>0</v>
      </c>
    </row>
    <row r="122" spans="2:6" x14ac:dyDescent="0.55000000000000004">
      <c r="B122" s="192"/>
      <c r="C122" s="49" t="s">
        <v>476</v>
      </c>
      <c r="D122" s="50">
        <f>COUNTIF('PF272'!Y10:Y281,"ADC[0]_13")</f>
        <v>0</v>
      </c>
      <c r="E122" s="50">
        <f>COUNTIF('PF272'!Y10:Y281,"ADC[1]_13")</f>
        <v>0</v>
      </c>
      <c r="F122" s="50">
        <f>COUNTIF('PF272'!Y10:Y281,"ADC[2]_13")</f>
        <v>0</v>
      </c>
    </row>
    <row r="123" spans="2:6" x14ac:dyDescent="0.55000000000000004">
      <c r="B123" s="192"/>
      <c r="C123" s="49" t="s">
        <v>477</v>
      </c>
      <c r="D123" s="50">
        <f>COUNTIF('PF272'!Y10:Y281,"ADC[0]_14")</f>
        <v>0</v>
      </c>
      <c r="E123" s="50">
        <f>COUNTIF('PF272'!Y10:Y281,"ADC[1]_14")</f>
        <v>0</v>
      </c>
      <c r="F123" s="50">
        <f>COUNTIF('PF272'!Y10:Y281,"ADC[2]_14")</f>
        <v>0</v>
      </c>
    </row>
    <row r="124" spans="2:6" x14ac:dyDescent="0.55000000000000004">
      <c r="B124" s="192"/>
      <c r="C124" s="49" t="s">
        <v>478</v>
      </c>
      <c r="D124" s="50">
        <f>COUNTIF('PF272'!Y10:Y281,"ADC[0]_15")</f>
        <v>0</v>
      </c>
      <c r="E124" s="50">
        <f>COUNTIF('PF272'!Y10:Y281,"ADC[1]_15")</f>
        <v>0</v>
      </c>
      <c r="F124" s="50">
        <f>COUNTIF('PF272'!Y10:Y281,"ADC[2]_15")</f>
        <v>0</v>
      </c>
    </row>
    <row r="125" spans="2:6" x14ac:dyDescent="0.55000000000000004">
      <c r="B125" s="192"/>
      <c r="C125" s="49" t="s">
        <v>479</v>
      </c>
      <c r="D125" s="50">
        <f>COUNTIF('PF272'!Y10:Y281,"ADC[0]_16")</f>
        <v>0</v>
      </c>
      <c r="E125" s="50">
        <f>COUNTIF('PF272'!Y10:Y281,"ADC[1]_16")</f>
        <v>0</v>
      </c>
      <c r="F125" s="50">
        <f>COUNTIF('PF272'!Y10:Y281,"ADC[2]_16")</f>
        <v>0</v>
      </c>
    </row>
    <row r="126" spans="2:6" x14ac:dyDescent="0.55000000000000004">
      <c r="B126" s="192"/>
      <c r="C126" s="49" t="s">
        <v>480</v>
      </c>
      <c r="D126" s="50">
        <f>COUNTIF('PF272'!Y10:Y281,"ADC[0]_17")</f>
        <v>0</v>
      </c>
      <c r="E126" s="50">
        <f>COUNTIF('PF272'!Y10:Y281,"ADC[1]_17")</f>
        <v>0</v>
      </c>
      <c r="F126" s="50">
        <f>COUNTIF('PF272'!Y10:Y281,"ADC[2]_17")</f>
        <v>0</v>
      </c>
    </row>
    <row r="127" spans="2:6" x14ac:dyDescent="0.55000000000000004">
      <c r="B127" s="192"/>
      <c r="C127" s="49" t="s">
        <v>481</v>
      </c>
      <c r="D127" s="50">
        <f>COUNTIF('PF272'!Y10:Y281,"ADC[0]_18")</f>
        <v>0</v>
      </c>
      <c r="E127" s="50">
        <f>COUNTIF('PF272'!Y10:Y281,"ADC[1]_18")</f>
        <v>0</v>
      </c>
      <c r="F127" s="50">
        <f>COUNTIF('PF272'!Y10:Y281,"ADC[2]_18")</f>
        <v>0</v>
      </c>
    </row>
    <row r="128" spans="2:6" x14ac:dyDescent="0.55000000000000004">
      <c r="B128" s="192"/>
      <c r="C128" s="49" t="s">
        <v>482</v>
      </c>
      <c r="D128" s="50">
        <f>COUNTIF('PF272'!Y10:Y281,"ADC[0]_19")</f>
        <v>0</v>
      </c>
      <c r="E128" s="50">
        <f>COUNTIF('PF272'!Y10:Y281,"ADC[1]_19")</f>
        <v>0</v>
      </c>
      <c r="F128" s="50">
        <f>COUNTIF('PF272'!Y10:Y281,"ADC[2]_19")</f>
        <v>0</v>
      </c>
    </row>
    <row r="129" spans="2:6" x14ac:dyDescent="0.55000000000000004">
      <c r="B129" s="192"/>
      <c r="C129" s="49" t="s">
        <v>483</v>
      </c>
      <c r="D129" s="50">
        <f>COUNTIF('PF272'!Y10:Y281,"ADC[0]_20")</f>
        <v>0</v>
      </c>
      <c r="E129" s="50">
        <f>COUNTIF('PF272'!Y10:Y281,"ADC[1]_20")</f>
        <v>0</v>
      </c>
      <c r="F129" s="50">
        <f>COUNTIF('PF272'!Y10:Y281,"ADC[2]_20")</f>
        <v>0</v>
      </c>
    </row>
    <row r="130" spans="2:6" x14ac:dyDescent="0.55000000000000004">
      <c r="B130" s="192"/>
      <c r="C130" s="49" t="s">
        <v>484</v>
      </c>
      <c r="D130" s="50">
        <f>COUNTIF('PF272'!Y10:Y281,"ADC[0]_21")</f>
        <v>0</v>
      </c>
      <c r="E130" s="50">
        <f>COUNTIF('PF272'!Y10:Y281,"ADC[1]_21")</f>
        <v>0</v>
      </c>
      <c r="F130" s="50">
        <f>COUNTIF('PF272'!Y10:Y281,"ADC[2]_21")</f>
        <v>0</v>
      </c>
    </row>
    <row r="131" spans="2:6" x14ac:dyDescent="0.55000000000000004">
      <c r="B131" s="192"/>
      <c r="C131" s="49" t="s">
        <v>485</v>
      </c>
      <c r="D131" s="50">
        <f>COUNTIF('PF272'!Y10:Y281,"ADC[0]_22")</f>
        <v>0</v>
      </c>
      <c r="E131" s="50">
        <f>COUNTIF('PF272'!Y10:Y281,"ADC[1]_22")</f>
        <v>0</v>
      </c>
      <c r="F131" s="50">
        <f>COUNTIF('PF272'!Y10:Y281,"ADC[2]_22")</f>
        <v>0</v>
      </c>
    </row>
    <row r="132" spans="2:6" x14ac:dyDescent="0.55000000000000004">
      <c r="B132" s="192"/>
      <c r="C132" s="49" t="s">
        <v>486</v>
      </c>
      <c r="D132" s="50">
        <f>COUNTIF('PF272'!Y10:Y281,"ADC[0]_23")</f>
        <v>0</v>
      </c>
      <c r="E132" s="50">
        <f>COUNTIF('PF272'!Y10:Y281,"ADC[1]_23")</f>
        <v>0</v>
      </c>
      <c r="F132" s="50">
        <f>COUNTIF('PF272'!Y10:Y281,"ADC[2]_23")</f>
        <v>0</v>
      </c>
    </row>
    <row r="133" spans="2:6" x14ac:dyDescent="0.55000000000000004">
      <c r="B133" s="192"/>
      <c r="C133" s="49" t="s">
        <v>487</v>
      </c>
      <c r="D133" s="50">
        <f>COUNTIF('PF272'!Y10:Y281,"ADC[0]_24")</f>
        <v>0</v>
      </c>
      <c r="E133" s="50">
        <f>COUNTIF('PF272'!Y10:Y281,"ADC[1]_24")</f>
        <v>0</v>
      </c>
      <c r="F133" s="50">
        <f>COUNTIF('PF272'!Y10:Y281,"ADC[2]_24")</f>
        <v>0</v>
      </c>
    </row>
    <row r="134" spans="2:6" x14ac:dyDescent="0.55000000000000004">
      <c r="B134" s="192"/>
      <c r="C134" s="49" t="s">
        <v>488</v>
      </c>
      <c r="D134" s="50">
        <f>COUNTIF('PF272'!Y10:Y281,"ADC[0]_25")</f>
        <v>0</v>
      </c>
      <c r="E134" s="50">
        <f>COUNTIF('PF272'!Y10:Y281,"ADC[1]_25")</f>
        <v>0</v>
      </c>
      <c r="F134" s="50">
        <f>COUNTIF('PF272'!Y10:Y281,"ADC[2]_25")</f>
        <v>0</v>
      </c>
    </row>
    <row r="135" spans="2:6" x14ac:dyDescent="0.55000000000000004">
      <c r="B135" s="192"/>
      <c r="C135" s="49" t="s">
        <v>489</v>
      </c>
      <c r="D135" s="50">
        <f>COUNTIF('PF272'!Y10:Y281,"ADC[0]_26")</f>
        <v>0</v>
      </c>
      <c r="E135" s="50">
        <f>COUNTIF('PF272'!Y10:Y281,"ADC[1]_26")</f>
        <v>0</v>
      </c>
      <c r="F135" s="50">
        <f>COUNTIF('PF272'!Y10:Y281,"ADC[2]_26")</f>
        <v>0</v>
      </c>
    </row>
    <row r="136" spans="2:6" x14ac:dyDescent="0.55000000000000004">
      <c r="B136" s="192"/>
      <c r="C136" s="49" t="s">
        <v>490</v>
      </c>
      <c r="D136" s="50">
        <f>COUNTIF('PF272'!Y10:Y281,"ADC[0]_27")</f>
        <v>0</v>
      </c>
      <c r="E136" s="50">
        <f>COUNTIF('PF272'!Y10:Y281,"ADC[1]_27")</f>
        <v>0</v>
      </c>
      <c r="F136" s="50">
        <f>COUNTIF('PF272'!Y10:Y281,"ADC[2]_27")</f>
        <v>0</v>
      </c>
    </row>
    <row r="137" spans="2:6" x14ac:dyDescent="0.55000000000000004">
      <c r="B137" s="192"/>
      <c r="C137" s="49" t="s">
        <v>491</v>
      </c>
      <c r="D137" s="50">
        <f>COUNTIF('PF272'!Y10:Y281,"ADC[0]_28")</f>
        <v>0</v>
      </c>
      <c r="E137" s="50">
        <f>COUNTIF('PF272'!Y10:Y281,"ADC[1]_28")</f>
        <v>0</v>
      </c>
      <c r="F137" s="50">
        <f>COUNTIF('PF272'!Y10:Y281,"ADC[2]_28")</f>
        <v>0</v>
      </c>
    </row>
    <row r="138" spans="2:6" x14ac:dyDescent="0.55000000000000004">
      <c r="B138" s="192"/>
      <c r="C138" s="49" t="s">
        <v>492</v>
      </c>
      <c r="D138" s="50">
        <f>COUNTIF('PF272'!Y10:Y281,"ADC[0]_29")</f>
        <v>0</v>
      </c>
      <c r="E138" s="50">
        <f>COUNTIF('PF272'!Y10:Y281,"ADC[1]_29")</f>
        <v>0</v>
      </c>
      <c r="F138" s="50">
        <f>COUNTIF('PF272'!Y10:Y281,"ADC[2]_29")</f>
        <v>0</v>
      </c>
    </row>
    <row r="139" spans="2:6" x14ac:dyDescent="0.55000000000000004">
      <c r="B139" s="192"/>
      <c r="C139" s="49" t="s">
        <v>493</v>
      </c>
      <c r="D139" s="50">
        <f>COUNTIF('PF272'!Y10:Y281,"ADC[0]_30")</f>
        <v>0</v>
      </c>
      <c r="E139" s="50">
        <f>COUNTIF('PF272'!Y10:Y281,"ADC[1]_30")</f>
        <v>0</v>
      </c>
      <c r="F139" s="50">
        <f>COUNTIF('PF272'!Y10:Y281,"ADC[2]_30")</f>
        <v>0</v>
      </c>
    </row>
    <row r="140" spans="2:6" x14ac:dyDescent="0.55000000000000004">
      <c r="B140" s="192"/>
      <c r="C140" s="49" t="s">
        <v>494</v>
      </c>
      <c r="D140" s="50">
        <f>COUNTIF('PF272'!Y10:Y281,"ADC[0]_31")</f>
        <v>0</v>
      </c>
      <c r="E140" s="50">
        <f>COUNTIF('PF272'!Y10:Y281,"ADC[1]_31")</f>
        <v>0</v>
      </c>
      <c r="F140" s="50">
        <f>COUNTIF('PF272'!Y10:Y281,"ADC[2]_31")</f>
        <v>0</v>
      </c>
    </row>
    <row r="141" spans="2:6" x14ac:dyDescent="0.55000000000000004">
      <c r="B141" s="193"/>
      <c r="C141" s="69" t="s">
        <v>2438</v>
      </c>
      <c r="D141" s="50">
        <f>COUNTIF('PF272'!Y10:Y281,"ADC[0]_M")</f>
        <v>0</v>
      </c>
      <c r="E141" s="50">
        <f>COUNTIF('PF272'!Y10:Y281,"ADC[1]_M")</f>
        <v>0</v>
      </c>
      <c r="F141" s="50">
        <f>COUNTIF('PF272'!Y10:Y281,"ADC[2]_M")</f>
        <v>0</v>
      </c>
    </row>
    <row r="142" spans="2:6" x14ac:dyDescent="0.55000000000000004">
      <c r="B142" s="51"/>
      <c r="C142" s="70"/>
    </row>
    <row r="143" spans="2:6" x14ac:dyDescent="0.55000000000000004">
      <c r="B143" s="67"/>
      <c r="C143" s="70"/>
    </row>
    <row r="144" spans="2:6" x14ac:dyDescent="0.55000000000000004">
      <c r="B144" s="179" t="s">
        <v>2566</v>
      </c>
      <c r="C144" s="179"/>
      <c r="D144" s="48" t="s">
        <v>2643</v>
      </c>
    </row>
    <row r="145" spans="2:4" x14ac:dyDescent="0.55000000000000004">
      <c r="B145" s="194" t="s">
        <v>380</v>
      </c>
      <c r="C145" s="27" t="s">
        <v>2337</v>
      </c>
      <c r="D145" s="50">
        <f>COUNTIF('PF272'!Y10:Y281,"SPIHB_CLK (0)")</f>
        <v>0</v>
      </c>
    </row>
    <row r="146" spans="2:4" x14ac:dyDescent="0.55000000000000004">
      <c r="B146" s="182"/>
      <c r="C146" s="27" t="s">
        <v>2597</v>
      </c>
      <c r="D146" s="50">
        <f>COUNTIF('PF272'!Y10:Y281,"SPIHB_RWDS (0)")</f>
        <v>0</v>
      </c>
    </row>
    <row r="147" spans="2:4" x14ac:dyDescent="0.55000000000000004">
      <c r="B147" s="182"/>
      <c r="C147" s="27" t="s">
        <v>2346</v>
      </c>
      <c r="D147" s="50">
        <f>COUNTIF('PF272'!Y10:Y281,"SPIHB_SEL0 (0)")</f>
        <v>0</v>
      </c>
    </row>
    <row r="148" spans="2:4" x14ac:dyDescent="0.55000000000000004">
      <c r="B148" s="182"/>
      <c r="C148" s="27" t="s">
        <v>2349</v>
      </c>
      <c r="D148" s="50">
        <f>COUNTIF('PF272'!Y10:Y281,"SPIHB_SEL1 (0)")</f>
        <v>0</v>
      </c>
    </row>
    <row r="149" spans="2:4" x14ac:dyDescent="0.55000000000000004">
      <c r="B149" s="182"/>
      <c r="C149" s="27" t="s">
        <v>2598</v>
      </c>
      <c r="D149" s="50">
        <f>COUNTIF('PF272'!Y10:Y281,"SPIHB_DATA0 (0)")</f>
        <v>0</v>
      </c>
    </row>
    <row r="150" spans="2:4" x14ac:dyDescent="0.55000000000000004">
      <c r="B150" s="182"/>
      <c r="C150" s="27" t="s">
        <v>2599</v>
      </c>
      <c r="D150" s="50">
        <f>COUNTIF('PF272'!Y10:Y281,"SPIHB_DATA1 (0)")</f>
        <v>0</v>
      </c>
    </row>
    <row r="151" spans="2:4" x14ac:dyDescent="0.55000000000000004">
      <c r="B151" s="182"/>
      <c r="C151" s="27" t="s">
        <v>2600</v>
      </c>
      <c r="D151" s="50">
        <f>COUNTIF('PF272'!Y10:Y281,"SPIHB_DATA2 (0)")</f>
        <v>0</v>
      </c>
    </row>
    <row r="152" spans="2:4" x14ac:dyDescent="0.55000000000000004">
      <c r="B152" s="182"/>
      <c r="C152" s="27" t="s">
        <v>2601</v>
      </c>
      <c r="D152" s="50">
        <f>COUNTIF('PF272'!Y10:Y281,"SPIHB_DATA3 (0)")</f>
        <v>0</v>
      </c>
    </row>
    <row r="153" spans="2:4" x14ac:dyDescent="0.55000000000000004">
      <c r="B153" s="182"/>
      <c r="C153" s="27" t="s">
        <v>2602</v>
      </c>
      <c r="D153" s="50">
        <f>COUNTIF('PF272'!Y10:Y281,"SPIHB_DATA4 (0)")</f>
        <v>0</v>
      </c>
    </row>
    <row r="154" spans="2:4" x14ac:dyDescent="0.55000000000000004">
      <c r="B154" s="182"/>
      <c r="C154" s="27" t="s">
        <v>2603</v>
      </c>
      <c r="D154" s="50">
        <f>COUNTIF('PF272'!Y10:Y281,"SPIHB_DATA5 (0)")</f>
        <v>0</v>
      </c>
    </row>
    <row r="155" spans="2:4" x14ac:dyDescent="0.55000000000000004">
      <c r="B155" s="182"/>
      <c r="C155" s="27" t="s">
        <v>2604</v>
      </c>
      <c r="D155" s="50">
        <f>COUNTIF('PF272'!Y10:Y281,"SPIHB_DATA6 (0)")</f>
        <v>0</v>
      </c>
    </row>
    <row r="156" spans="2:4" x14ac:dyDescent="0.55000000000000004">
      <c r="B156" s="182"/>
      <c r="C156" s="27" t="s">
        <v>2605</v>
      </c>
      <c r="D156" s="50">
        <f>COUNTIF('PF272'!Y10:Y281,"SPIHB_DATA7 (0)")</f>
        <v>0</v>
      </c>
    </row>
    <row r="157" spans="2:4" x14ac:dyDescent="0.55000000000000004">
      <c r="B157" s="182"/>
      <c r="C157" s="27" t="s">
        <v>2338</v>
      </c>
      <c r="D157" s="50">
        <f>COUNTIF('PF272'!Y10:Y281,"SPIHB_CLK (1)")</f>
        <v>0</v>
      </c>
    </row>
    <row r="158" spans="2:4" x14ac:dyDescent="0.55000000000000004">
      <c r="B158" s="182"/>
      <c r="C158" s="27" t="s">
        <v>2606</v>
      </c>
      <c r="D158" s="50">
        <f>COUNTIF('PF272'!Y10:Y281,"SPIHB_RWDS (1)")</f>
        <v>0</v>
      </c>
    </row>
    <row r="159" spans="2:4" x14ac:dyDescent="0.55000000000000004">
      <c r="B159" s="182"/>
      <c r="C159" s="27" t="s">
        <v>2347</v>
      </c>
      <c r="D159" s="50">
        <f>COUNTIF('PF272'!Y10:Y281,"SPIHB_SEL0 (1)")</f>
        <v>0</v>
      </c>
    </row>
    <row r="160" spans="2:4" x14ac:dyDescent="0.55000000000000004">
      <c r="B160" s="182"/>
      <c r="C160" s="27" t="s">
        <v>2350</v>
      </c>
      <c r="D160" s="50">
        <f>COUNTIF('PF272'!Y10:Y281,"SPIHB_SEL1 (1)")</f>
        <v>0</v>
      </c>
    </row>
    <row r="161" spans="2:5" x14ac:dyDescent="0.55000000000000004">
      <c r="B161" s="182"/>
      <c r="C161" s="27" t="s">
        <v>2607</v>
      </c>
      <c r="D161" s="50">
        <f>COUNTIF('PF272'!Y10:Y281,"SPIHB_DATA0 (1)")</f>
        <v>0</v>
      </c>
    </row>
    <row r="162" spans="2:5" x14ac:dyDescent="0.55000000000000004">
      <c r="B162" s="182"/>
      <c r="C162" s="27" t="s">
        <v>2608</v>
      </c>
      <c r="D162" s="50">
        <f>COUNTIF('PF272'!Y10:Y281,"SPIHB_DATA1 (1)")</f>
        <v>0</v>
      </c>
    </row>
    <row r="163" spans="2:5" x14ac:dyDescent="0.55000000000000004">
      <c r="B163" s="182"/>
      <c r="C163" s="27" t="s">
        <v>2609</v>
      </c>
      <c r="D163" s="50">
        <f>COUNTIF('PF272'!Y10:Y281,"SPIHB_DATA2 (1)")</f>
        <v>0</v>
      </c>
    </row>
    <row r="164" spans="2:5" x14ac:dyDescent="0.55000000000000004">
      <c r="B164" s="182"/>
      <c r="C164" s="27" t="s">
        <v>2610</v>
      </c>
      <c r="D164" s="50">
        <f>COUNTIF('PF272'!Y10:Y281,"SPIHB_DATA3 (1)")</f>
        <v>0</v>
      </c>
    </row>
    <row r="165" spans="2:5" x14ac:dyDescent="0.55000000000000004">
      <c r="B165" s="182"/>
      <c r="C165" s="27" t="s">
        <v>2611</v>
      </c>
      <c r="D165" s="50">
        <f>COUNTIF('PF272'!Y10:Y281,"SPIHB_DATA4 (1)")</f>
        <v>0</v>
      </c>
    </row>
    <row r="166" spans="2:5" x14ac:dyDescent="0.55000000000000004">
      <c r="B166" s="182"/>
      <c r="C166" s="27" t="s">
        <v>2612</v>
      </c>
      <c r="D166" s="50">
        <f>COUNTIF('PF272'!Y10:Y281,"SPIHB_DATA5 (1)")</f>
        <v>0</v>
      </c>
    </row>
    <row r="167" spans="2:5" x14ac:dyDescent="0.55000000000000004">
      <c r="B167" s="182"/>
      <c r="C167" s="27" t="s">
        <v>2613</v>
      </c>
      <c r="D167" s="50">
        <f>COUNTIF('PF272'!Y10:Y281,"SPIHB_DATA6 (1)")</f>
        <v>0</v>
      </c>
    </row>
    <row r="168" spans="2:5" x14ac:dyDescent="0.55000000000000004">
      <c r="B168" s="183"/>
      <c r="C168" s="27" t="s">
        <v>2614</v>
      </c>
      <c r="D168" s="50">
        <f>COUNTIF('PF272'!Y10:Y281,"SPIHB_DATA7 (1)")</f>
        <v>0</v>
      </c>
    </row>
    <row r="169" spans="2:5" x14ac:dyDescent="0.55000000000000004">
      <c r="B169" s="67"/>
      <c r="C169" s="71"/>
    </row>
    <row r="170" spans="2:5" hidden="1" x14ac:dyDescent="0.55000000000000004">
      <c r="B170" s="59" t="s">
        <v>2566</v>
      </c>
      <c r="C170" s="59" t="s">
        <v>2560</v>
      </c>
      <c r="D170" s="48" t="s">
        <v>2643</v>
      </c>
    </row>
    <row r="171" spans="2:5" hidden="1" x14ac:dyDescent="0.55000000000000004">
      <c r="B171" s="61"/>
      <c r="C171" s="62">
        <v>0</v>
      </c>
      <c r="D171" s="62">
        <f>SUM(D145:D156)</f>
        <v>0</v>
      </c>
    </row>
    <row r="172" spans="2:5" hidden="1" x14ac:dyDescent="0.55000000000000004">
      <c r="B172" s="63"/>
      <c r="C172" s="62">
        <v>1</v>
      </c>
      <c r="D172" s="62">
        <f>SUM(D157:D168)</f>
        <v>0</v>
      </c>
    </row>
    <row r="173" spans="2:5" hidden="1" x14ac:dyDescent="0.55000000000000004">
      <c r="B173" s="65" t="s">
        <v>2564</v>
      </c>
      <c r="C173" s="66"/>
      <c r="D173" s="59">
        <f>COUNTIF(D171:D172, "&lt;&gt;0")</f>
        <v>0</v>
      </c>
    </row>
    <row r="174" spans="2:5" hidden="1" x14ac:dyDescent="0.55000000000000004">
      <c r="B174" s="67"/>
      <c r="C174" s="70"/>
    </row>
    <row r="176" spans="2:5" x14ac:dyDescent="0.55000000000000004">
      <c r="B176" s="184" t="s">
        <v>2393</v>
      </c>
      <c r="C176" s="185"/>
      <c r="D176" s="48" t="s">
        <v>2396</v>
      </c>
      <c r="E176" s="48" t="s">
        <v>2397</v>
      </c>
    </row>
    <row r="177" spans="2:5" x14ac:dyDescent="0.55000000000000004">
      <c r="B177" s="188" t="s">
        <v>380</v>
      </c>
      <c r="C177" s="72" t="s">
        <v>2398</v>
      </c>
      <c r="D177" s="50">
        <f>COUNTIF('PF272'!Y10:Y281,"ETH0_REF_CLK (0)")</f>
        <v>0</v>
      </c>
      <c r="E177" s="50">
        <f>COUNTIF('PF272'!Y10:Y281,"ETH1_REF_CLK (0)")</f>
        <v>0</v>
      </c>
    </row>
    <row r="178" spans="2:5" x14ac:dyDescent="0.55000000000000004">
      <c r="B178" s="189"/>
      <c r="C178" s="72" t="s">
        <v>2437</v>
      </c>
      <c r="D178" s="50">
        <f>COUNTIF('PF272'!Y10:Y281,"ETH0_REF_CLK (1)")</f>
        <v>0</v>
      </c>
      <c r="E178" s="50">
        <f>COUNTIF('PF272'!Y10:Y281,"ETH1_REF_CLK (1)")</f>
        <v>0</v>
      </c>
    </row>
    <row r="179" spans="2:5" x14ac:dyDescent="0.55000000000000004">
      <c r="B179" s="189"/>
      <c r="C179" s="72" t="s">
        <v>2399</v>
      </c>
      <c r="D179" s="50">
        <f>COUNTIF('PF272'!Y10:Y281,"ETH0_TX_CTL (0)")</f>
        <v>0</v>
      </c>
      <c r="E179" s="50">
        <f>COUNTIF('PF272'!Y10:Y281,"ETH1_TX_CTL (0)")</f>
        <v>0</v>
      </c>
    </row>
    <row r="180" spans="2:5" x14ac:dyDescent="0.55000000000000004">
      <c r="B180" s="189"/>
      <c r="C180" s="72" t="s">
        <v>2436</v>
      </c>
      <c r="D180" s="50">
        <f>COUNTIF('PF272'!Y10:Y281,"ETH0_TX_CTL (1)")</f>
        <v>0</v>
      </c>
      <c r="E180" s="50">
        <f>COUNTIF('PF272'!Y10:Y281,"ETH1_TX_CTL (1)")</f>
        <v>0</v>
      </c>
    </row>
    <row r="181" spans="2:5" x14ac:dyDescent="0.55000000000000004">
      <c r="B181" s="189"/>
      <c r="C181" s="72" t="s">
        <v>2400</v>
      </c>
      <c r="D181" s="50">
        <f>COUNTIF('PF272'!Y10:Y281,"ETH0_TX_CLK (0)")</f>
        <v>0</v>
      </c>
      <c r="E181" s="50">
        <f>COUNTIF('PF272'!Y10:Y281,"ETH1_TX_CLK (0)")</f>
        <v>0</v>
      </c>
    </row>
    <row r="182" spans="2:5" x14ac:dyDescent="0.55000000000000004">
      <c r="B182" s="189"/>
      <c r="C182" s="72" t="s">
        <v>2435</v>
      </c>
      <c r="D182" s="50">
        <f>COUNTIF('PF272'!Y10:Y281,"ETH0_TX_CLK (1)")</f>
        <v>0</v>
      </c>
      <c r="E182" s="50">
        <f>COUNTIF('PF272'!Y10:Y281,"ETH1_TX_CLK (1)")</f>
        <v>0</v>
      </c>
    </row>
    <row r="183" spans="2:5" x14ac:dyDescent="0.55000000000000004">
      <c r="B183" s="189"/>
      <c r="C183" s="72" t="s">
        <v>2401</v>
      </c>
      <c r="D183" s="50">
        <f>COUNTIF('PF272'!Y10:Y281,"ETH0_TX_ER (0)")</f>
        <v>0</v>
      </c>
      <c r="E183" s="50">
        <f>COUNTIF('PF272'!Y10:Y281,"ETH1_TX_ER (0)")</f>
        <v>0</v>
      </c>
    </row>
    <row r="184" spans="2:5" x14ac:dyDescent="0.55000000000000004">
      <c r="B184" s="189"/>
      <c r="C184" s="72" t="s">
        <v>2402</v>
      </c>
      <c r="D184" s="50">
        <f>COUNTIF('PF272'!Y10:Y281,"ETH0_TXD_0 (0)")</f>
        <v>0</v>
      </c>
      <c r="E184" s="50">
        <f>COUNTIF('PF272'!Y10:Y281,"ETH1_TXD_0 (0)")</f>
        <v>0</v>
      </c>
    </row>
    <row r="185" spans="2:5" x14ac:dyDescent="0.55000000000000004">
      <c r="B185" s="189"/>
      <c r="C185" s="72" t="s">
        <v>2434</v>
      </c>
      <c r="D185" s="50">
        <f>COUNTIF('PF272'!Y10:Y281,"ETH0_TXD_0 (1)")</f>
        <v>0</v>
      </c>
      <c r="E185" s="50">
        <f>COUNTIF('PF272'!Y10:Y281,"ETH1_TXD_0 (1)")</f>
        <v>0</v>
      </c>
    </row>
    <row r="186" spans="2:5" x14ac:dyDescent="0.55000000000000004">
      <c r="B186" s="189"/>
      <c r="C186" s="72" t="s">
        <v>2403</v>
      </c>
      <c r="D186" s="50">
        <f>COUNTIF('PF272'!Y10:Y281,"ETH0_TXD_1 (0)")</f>
        <v>0</v>
      </c>
      <c r="E186" s="50">
        <f>COUNTIF('PF272'!Y10:Y281,"ETH1_TXD_1 (0)")</f>
        <v>0</v>
      </c>
    </row>
    <row r="187" spans="2:5" x14ac:dyDescent="0.55000000000000004">
      <c r="B187" s="189"/>
      <c r="C187" s="72" t="s">
        <v>2433</v>
      </c>
      <c r="D187" s="50">
        <f>COUNTIF('PF272'!Y10:Y281,"ETH0_TXD_1 (1)")</f>
        <v>0</v>
      </c>
      <c r="E187" s="50">
        <f>COUNTIF('PF272'!Y10:Y281,"ETH1_TXD_1 (1)")</f>
        <v>0</v>
      </c>
    </row>
    <row r="188" spans="2:5" x14ac:dyDescent="0.55000000000000004">
      <c r="B188" s="189"/>
      <c r="C188" s="72" t="s">
        <v>2404</v>
      </c>
      <c r="D188" s="50">
        <f>COUNTIF('PF272'!Y10:Y281,"ETH0_TXD_2 (0)")</f>
        <v>0</v>
      </c>
      <c r="E188" s="50">
        <f>COUNTIF('PF272'!Y10:Y281,"ETH1_TXD_2 (0)")</f>
        <v>0</v>
      </c>
    </row>
    <row r="189" spans="2:5" x14ac:dyDescent="0.55000000000000004">
      <c r="B189" s="189"/>
      <c r="C189" s="72" t="s">
        <v>2432</v>
      </c>
      <c r="D189" s="50">
        <f>COUNTIF('PF272'!Y10:Y281,"ETH0_TXD_2 (1)")</f>
        <v>0</v>
      </c>
      <c r="E189" s="50">
        <f>COUNTIF('PF272'!Y10:Y281,"ETH1_TXD_2 (1)")</f>
        <v>0</v>
      </c>
    </row>
    <row r="190" spans="2:5" x14ac:dyDescent="0.55000000000000004">
      <c r="B190" s="189"/>
      <c r="C190" s="72" t="s">
        <v>2405</v>
      </c>
      <c r="D190" s="50">
        <f>COUNTIF('PF272'!Y10:Y281,"ETH0_TXD_3 (0)")</f>
        <v>0</v>
      </c>
      <c r="E190" s="50">
        <f>COUNTIF('PF272'!Y10:Y281,"ETH1_TXD_3 (0)")</f>
        <v>0</v>
      </c>
    </row>
    <row r="191" spans="2:5" x14ac:dyDescent="0.55000000000000004">
      <c r="B191" s="189"/>
      <c r="C191" s="72" t="s">
        <v>2431</v>
      </c>
      <c r="D191" s="50">
        <f>COUNTIF('PF272'!Y10:Y281,"ETH0_TXD_3 (1)")</f>
        <v>0</v>
      </c>
      <c r="E191" s="50">
        <f>COUNTIF('PF272'!Y10:Y281,"ETH1_TXD_3 (1)")</f>
        <v>0</v>
      </c>
    </row>
    <row r="192" spans="2:5" x14ac:dyDescent="0.55000000000000004">
      <c r="B192" s="189"/>
      <c r="C192" s="72" t="s">
        <v>2413</v>
      </c>
      <c r="D192" s="50">
        <f>COUNTIF('PF272'!Y10:Y281,"ETH0_TXD_4 (0)")</f>
        <v>0</v>
      </c>
      <c r="E192" s="50">
        <f>COUNTIF('PF272'!Y10:Y281,"ETH1_TXD_4 (0)")</f>
        <v>0</v>
      </c>
    </row>
    <row r="193" spans="2:5" x14ac:dyDescent="0.55000000000000004">
      <c r="B193" s="189"/>
      <c r="C193" s="72" t="s">
        <v>2414</v>
      </c>
      <c r="D193" s="50">
        <f>COUNTIF('PF272'!Y10:Y281,"ETH0_TXD_5 (0)")</f>
        <v>0</v>
      </c>
      <c r="E193" s="50">
        <f>COUNTIF('PF272'!Y10:Y281,"ETH1_TXD_5 (0)")</f>
        <v>0</v>
      </c>
    </row>
    <row r="194" spans="2:5" x14ac:dyDescent="0.55000000000000004">
      <c r="B194" s="189"/>
      <c r="C194" s="72" t="s">
        <v>2415</v>
      </c>
      <c r="D194" s="50">
        <f>COUNTIF('PF272'!Y10:Y281,"ETH0_TXD_6 (0)")</f>
        <v>0</v>
      </c>
      <c r="E194" s="50">
        <f>COUNTIF('PF272'!Y10:Y281,"ETH1_TXD_6 (0)")</f>
        <v>0</v>
      </c>
    </row>
    <row r="195" spans="2:5" x14ac:dyDescent="0.55000000000000004">
      <c r="B195" s="189"/>
      <c r="C195" s="72" t="s">
        <v>2416</v>
      </c>
      <c r="D195" s="50">
        <f>COUNTIF('PF272'!Y10:Y281,"ETH0_TXD_7 (0)")</f>
        <v>0</v>
      </c>
      <c r="E195" s="50">
        <f>COUNTIF('PF272'!Y10:Y281,"ETH1_TXD_7 (0)")</f>
        <v>0</v>
      </c>
    </row>
    <row r="196" spans="2:5" x14ac:dyDescent="0.55000000000000004">
      <c r="B196" s="189"/>
      <c r="C196" s="11" t="s">
        <v>2406</v>
      </c>
      <c r="D196" s="50">
        <f>COUNTIF('PF272'!Y10:Y281,"ETH0_RX_CTL (0)")</f>
        <v>0</v>
      </c>
      <c r="E196" s="50">
        <f>COUNTIF('PF272'!Y10:Y281,"ETH1_RX_CTL (0)")</f>
        <v>0</v>
      </c>
    </row>
    <row r="197" spans="2:5" x14ac:dyDescent="0.55000000000000004">
      <c r="B197" s="189"/>
      <c r="C197" s="11" t="s">
        <v>2426</v>
      </c>
      <c r="D197" s="50">
        <f>COUNTIF('PF272'!Y10:Y281,"ETH0_RX_CTL (1)")</f>
        <v>0</v>
      </c>
      <c r="E197" s="50">
        <f>COUNTIF('PF272'!Y10:Y281,"ETH1_RX_CTL (1)")</f>
        <v>0</v>
      </c>
    </row>
    <row r="198" spans="2:5" x14ac:dyDescent="0.55000000000000004">
      <c r="B198" s="189"/>
      <c r="C198" s="11" t="s">
        <v>2407</v>
      </c>
      <c r="D198" s="50">
        <f>COUNTIF('PF272'!Y10:Y281,"ETH0_RX_CLK (0)")</f>
        <v>0</v>
      </c>
      <c r="E198" s="50">
        <f>COUNTIF('PF272'!Y10:Y281,"ETH1_RX_CLK (0)")</f>
        <v>0</v>
      </c>
    </row>
    <row r="199" spans="2:5" x14ac:dyDescent="0.55000000000000004">
      <c r="B199" s="189"/>
      <c r="C199" s="11" t="s">
        <v>2425</v>
      </c>
      <c r="D199" s="50">
        <f>COUNTIF('PF272'!Y10:Y281,"ETH0_RX_CLK (1)")</f>
        <v>0</v>
      </c>
      <c r="E199" s="50">
        <f>COUNTIF('PF272'!Y10:Y281,"ETH1_RX_CLK (1)")</f>
        <v>0</v>
      </c>
    </row>
    <row r="200" spans="2:5" x14ac:dyDescent="0.55000000000000004">
      <c r="B200" s="189"/>
      <c r="C200" s="11" t="s">
        <v>2408</v>
      </c>
      <c r="D200" s="50">
        <f>COUNTIF('PF272'!Y10:Y281,"ETH0_RX_ER (0)")</f>
        <v>0</v>
      </c>
      <c r="E200" s="50">
        <f>COUNTIF('PF272'!Y10:Y281,"ETH1_RX_ER (0)")</f>
        <v>0</v>
      </c>
    </row>
    <row r="201" spans="2:5" x14ac:dyDescent="0.55000000000000004">
      <c r="B201" s="189"/>
      <c r="C201" s="11" t="s">
        <v>2409</v>
      </c>
      <c r="D201" s="50">
        <f>COUNTIF('PF272'!Y10:Y281,"ETH0_RXD_0 (0)")</f>
        <v>0</v>
      </c>
      <c r="E201" s="50">
        <f>COUNTIF('PF272'!Y10:Y281,"ETH1_RXD_0 (0)")</f>
        <v>0</v>
      </c>
    </row>
    <row r="202" spans="2:5" x14ac:dyDescent="0.55000000000000004">
      <c r="B202" s="189"/>
      <c r="C202" s="11" t="s">
        <v>2424</v>
      </c>
      <c r="D202" s="50">
        <f>COUNTIF('PF272'!Y10:Y281,"ETH0_RXD_0 (1)")</f>
        <v>0</v>
      </c>
      <c r="E202" s="50">
        <f>COUNTIF('PF272'!Y10:Y281,"ETH1_RXD_0 (1)")</f>
        <v>0</v>
      </c>
    </row>
    <row r="203" spans="2:5" x14ac:dyDescent="0.55000000000000004">
      <c r="B203" s="189"/>
      <c r="C203" s="11" t="s">
        <v>2410</v>
      </c>
      <c r="D203" s="50">
        <f>COUNTIF('PF272'!Y10:Y281,"ETH0_RXD_1 (0)")</f>
        <v>0</v>
      </c>
      <c r="E203" s="50">
        <f>COUNTIF('PF272'!Y10:Y281,"ETH1_RXD_1 (0)")</f>
        <v>0</v>
      </c>
    </row>
    <row r="204" spans="2:5" x14ac:dyDescent="0.55000000000000004">
      <c r="B204" s="189"/>
      <c r="C204" s="11" t="s">
        <v>2423</v>
      </c>
      <c r="D204" s="50">
        <f>COUNTIF('PF272'!Y10:Y281,"ETH0_RXD_1 (1)")</f>
        <v>0</v>
      </c>
      <c r="E204" s="50">
        <f>COUNTIF('PF272'!Y10:Y281,"ETH1_RXD_1 (1)")</f>
        <v>0</v>
      </c>
    </row>
    <row r="205" spans="2:5" x14ac:dyDescent="0.55000000000000004">
      <c r="B205" s="189"/>
      <c r="C205" s="11" t="s">
        <v>2411</v>
      </c>
      <c r="D205" s="50">
        <f>COUNTIF('PF272'!Y10:Y281,"ETH0_RXD_2 (0)")</f>
        <v>0</v>
      </c>
      <c r="E205" s="50">
        <f>COUNTIF('PF272'!Y10:Y281,"ETH1_RXD_2 (0)")</f>
        <v>0</v>
      </c>
    </row>
    <row r="206" spans="2:5" x14ac:dyDescent="0.55000000000000004">
      <c r="B206" s="189"/>
      <c r="C206" s="11" t="s">
        <v>2422</v>
      </c>
      <c r="D206" s="50">
        <f>COUNTIF('PF272'!Y10:Y281,"ETH0_RXD_2 (1)")</f>
        <v>0</v>
      </c>
      <c r="E206" s="50">
        <f>COUNTIF('PF272'!Y10:Y281,"ETH1_RXD_2 (1)")</f>
        <v>0</v>
      </c>
    </row>
    <row r="207" spans="2:5" x14ac:dyDescent="0.55000000000000004">
      <c r="B207" s="189"/>
      <c r="C207" s="11" t="s">
        <v>2412</v>
      </c>
      <c r="D207" s="50">
        <f>COUNTIF('PF272'!Y10:Y281,"ETH0_RXD_3 (0)")</f>
        <v>0</v>
      </c>
      <c r="E207" s="50">
        <f>COUNTIF('PF272'!Y10:Y281,"ETH1_RXD_3 (0)")</f>
        <v>0</v>
      </c>
    </row>
    <row r="208" spans="2:5" x14ac:dyDescent="0.55000000000000004">
      <c r="B208" s="189"/>
      <c r="C208" s="11" t="s">
        <v>2421</v>
      </c>
      <c r="D208" s="50">
        <f>COUNTIF('PF272'!Y10:Y281,"ETH0_RXD_3 (1)")</f>
        <v>0</v>
      </c>
      <c r="E208" s="50">
        <f>COUNTIF('PF272'!Y10:Y281,"ETH1_RXD_3 (1)")</f>
        <v>0</v>
      </c>
    </row>
    <row r="209" spans="2:5" x14ac:dyDescent="0.55000000000000004">
      <c r="B209" s="189"/>
      <c r="C209" s="11" t="s">
        <v>2427</v>
      </c>
      <c r="D209" s="50">
        <f>COUNTIF('PF272'!Y10:Y281,"ETH0_RXD_4 (0)")</f>
        <v>0</v>
      </c>
      <c r="E209" s="50">
        <f>COUNTIF('PF272'!Y10:Y281,"ETH1_RXD_4 (0)")</f>
        <v>0</v>
      </c>
    </row>
    <row r="210" spans="2:5" x14ac:dyDescent="0.55000000000000004">
      <c r="B210" s="189"/>
      <c r="C210" s="11" t="s">
        <v>2428</v>
      </c>
      <c r="D210" s="50">
        <f>COUNTIF('PF272'!Y10:Y281,"ETH0_RXD_5 (0)")</f>
        <v>0</v>
      </c>
      <c r="E210" s="50">
        <f>COUNTIF('PF272'!Y10:Y281,"ETH1_RXD_5 (0)")</f>
        <v>0</v>
      </c>
    </row>
    <row r="211" spans="2:5" x14ac:dyDescent="0.55000000000000004">
      <c r="B211" s="189"/>
      <c r="C211" s="11" t="s">
        <v>2429</v>
      </c>
      <c r="D211" s="50">
        <f>COUNTIF('PF272'!Y10:Y281,"ETH0_RXD_6 (0)")</f>
        <v>0</v>
      </c>
      <c r="E211" s="50">
        <f>COUNTIF('PF272'!Y10:Y281,"ETH1_RXD_6 (0)")</f>
        <v>0</v>
      </c>
    </row>
    <row r="212" spans="2:5" x14ac:dyDescent="0.55000000000000004">
      <c r="B212" s="189"/>
      <c r="C212" s="11" t="s">
        <v>2430</v>
      </c>
      <c r="D212" s="50">
        <f>COUNTIF('PF272'!Y10:Y281,"ETH0_RXD_7 (0)")</f>
        <v>0</v>
      </c>
      <c r="E212" s="50">
        <f>COUNTIF('PF272'!Y10:Y281,"ETH1_RXD_7 (0)")</f>
        <v>0</v>
      </c>
    </row>
    <row r="213" spans="2:5" x14ac:dyDescent="0.55000000000000004">
      <c r="B213" s="189"/>
      <c r="C213" s="11" t="s">
        <v>2615</v>
      </c>
      <c r="D213" s="50">
        <f>COUNTIF('PF272'!Y10:Y281,"ETH0_ETH_TSU_TIMER_CMP_VAL (0)")</f>
        <v>0</v>
      </c>
      <c r="E213" s="50">
        <f>COUNTIF('PF272'!Y10:Y281,"ETH1_ETH_TSU_TIMER_CMP_VAL (0)")</f>
        <v>0</v>
      </c>
    </row>
    <row r="214" spans="2:5" x14ac:dyDescent="0.55000000000000004">
      <c r="B214" s="189"/>
      <c r="C214" s="11" t="s">
        <v>2616</v>
      </c>
      <c r="D214" s="50">
        <f>COUNTIF('PF272'!Y10:Y281,"ETH0_ETH_TSU_TIMER_CMP_VAL (1)")</f>
        <v>0</v>
      </c>
      <c r="E214" s="50">
        <f>COUNTIF('PF272'!Y10:Y281,"ETH1_ETH_TSU_TIMER_CMP_VAL (1)")</f>
        <v>0</v>
      </c>
    </row>
    <row r="215" spans="2:5" x14ac:dyDescent="0.55000000000000004">
      <c r="B215" s="189"/>
      <c r="C215" s="11" t="s">
        <v>2417</v>
      </c>
      <c r="D215" s="50">
        <f>COUNTIF('PF272'!Y10:Y281,"ETH0_MDIO (0)")</f>
        <v>0</v>
      </c>
      <c r="E215" s="50">
        <f>COUNTIF('PF272'!Y10:Y281,"ETH1_MDIO (0)")</f>
        <v>0</v>
      </c>
    </row>
    <row r="216" spans="2:5" x14ac:dyDescent="0.55000000000000004">
      <c r="B216" s="189"/>
      <c r="C216" s="11" t="s">
        <v>2420</v>
      </c>
      <c r="D216" s="50">
        <f>COUNTIF('PF272'!Y10:Y281,"ETH0_MDIO (1)")</f>
        <v>0</v>
      </c>
      <c r="E216" s="50">
        <f>COUNTIF('PF272'!Y10:Y281,"ETH1_MDIO (1)")</f>
        <v>0</v>
      </c>
    </row>
    <row r="217" spans="2:5" x14ac:dyDescent="0.55000000000000004">
      <c r="B217" s="189"/>
      <c r="C217" s="11" t="s">
        <v>2418</v>
      </c>
      <c r="D217" s="50">
        <f>COUNTIF('PF272'!Y10:Y281,"ETH0_MDC (0)")</f>
        <v>0</v>
      </c>
      <c r="E217" s="50">
        <f>COUNTIF('PF272'!Y10:Y281,"ETH1_MDC (0)")</f>
        <v>0</v>
      </c>
    </row>
    <row r="218" spans="2:5" x14ac:dyDescent="0.55000000000000004">
      <c r="B218" s="190"/>
      <c r="C218" s="11" t="s">
        <v>2419</v>
      </c>
      <c r="D218" s="50">
        <f>COUNTIF('PF272'!Y10:Y281,"ETH0_MDC (1)")</f>
        <v>0</v>
      </c>
      <c r="E218" s="50">
        <f>COUNTIF('PF272'!Y10:Y281,"ETH1_MDC (1)")</f>
        <v>0</v>
      </c>
    </row>
    <row r="220" spans="2:5" hidden="1" x14ac:dyDescent="0.55000000000000004">
      <c r="B220" s="59" t="s">
        <v>2393</v>
      </c>
      <c r="C220" s="59" t="s">
        <v>2560</v>
      </c>
      <c r="D220" s="48" t="s">
        <v>2396</v>
      </c>
      <c r="E220" s="48" t="s">
        <v>2397</v>
      </c>
    </row>
    <row r="221" spans="2:5" hidden="1" x14ac:dyDescent="0.55000000000000004">
      <c r="B221" s="61"/>
      <c r="C221" s="62">
        <v>0</v>
      </c>
      <c r="D221" s="62">
        <f>SUM(D177+D179+D181+D183+D184+D186+D188+D190+D192+D193+D194+D195+D196+D198+D200+D201+D203+D205+D207+D209+D210+D211+D212+D213+D215+D217)</f>
        <v>0</v>
      </c>
      <c r="E221" s="62">
        <f>SUM(E177+E179+E181+E183+E184+E186+E188+E190+E192+E193+E194+E195+E196+E198+E200+E201+E203+E205+E207+E209+E210+E211+E212+E213+E215+E217)</f>
        <v>0</v>
      </c>
    </row>
    <row r="222" spans="2:5" hidden="1" x14ac:dyDescent="0.55000000000000004">
      <c r="B222" s="63"/>
      <c r="C222" s="62">
        <v>1</v>
      </c>
      <c r="D222" s="62">
        <f>SUM(D178+D180+D182+D185+D187+D189+D191+D197+D199+D202+D204+D206+D208+D214+D216+D218)</f>
        <v>0</v>
      </c>
      <c r="E222" s="62">
        <f>SUM(E178+E180+E182+E185+E187+E189+E191+E197+E199+E202+E204+E206+E208+E214+E216+E218)</f>
        <v>0</v>
      </c>
    </row>
    <row r="223" spans="2:5" hidden="1" x14ac:dyDescent="0.55000000000000004">
      <c r="B223" s="65" t="s">
        <v>2564</v>
      </c>
      <c r="C223" s="66"/>
      <c r="D223" s="59">
        <f>COUNTIF(D221:D222, "&lt;&gt;0")</f>
        <v>0</v>
      </c>
      <c r="E223" s="59">
        <f>COUNTIF(E221:E222, "&lt;&gt;0")</f>
        <v>0</v>
      </c>
    </row>
    <row r="224" spans="2:5" hidden="1" x14ac:dyDescent="0.55000000000000004"/>
    <row r="226" spans="2:4" x14ac:dyDescent="0.55000000000000004">
      <c r="B226" s="179" t="s">
        <v>2570</v>
      </c>
      <c r="C226" s="179"/>
      <c r="D226" s="48" t="s">
        <v>2642</v>
      </c>
    </row>
    <row r="227" spans="2:4" x14ac:dyDescent="0.55000000000000004">
      <c r="B227" s="182" t="s">
        <v>380</v>
      </c>
      <c r="C227" s="73" t="s">
        <v>2579</v>
      </c>
      <c r="D227" s="74">
        <f>COUNTIF('PF272'!Y10:Y281,"SDHC_CARD_MECH_WRITE_PROT (0)")</f>
        <v>0</v>
      </c>
    </row>
    <row r="228" spans="2:4" x14ac:dyDescent="0.55000000000000004">
      <c r="B228" s="182"/>
      <c r="C228" s="11" t="s">
        <v>2580</v>
      </c>
      <c r="D228" s="50">
        <f>COUNTIF('PF272'!Y10:Y281,"SDHC_CARD_CMD (0)")</f>
        <v>0</v>
      </c>
    </row>
    <row r="229" spans="2:4" x14ac:dyDescent="0.55000000000000004">
      <c r="B229" s="182"/>
      <c r="C229" s="11" t="s">
        <v>2581</v>
      </c>
      <c r="D229" s="50">
        <f>COUNTIF('PF272'!Y10:Y281,"SDHC_CLK_CARD (0)")</f>
        <v>0</v>
      </c>
    </row>
    <row r="230" spans="2:4" x14ac:dyDescent="0.55000000000000004">
      <c r="B230" s="182"/>
      <c r="C230" s="11" t="s">
        <v>2582</v>
      </c>
      <c r="D230" s="50">
        <f>COUNTIF('PF272'!Y10:Y281,"SDHC_CARD_DETECT_N (0)")</f>
        <v>0</v>
      </c>
    </row>
    <row r="231" spans="2:4" x14ac:dyDescent="0.55000000000000004">
      <c r="B231" s="182"/>
      <c r="C231" s="11" t="s">
        <v>2583</v>
      </c>
      <c r="D231" s="50">
        <f>COUNTIF('PF272'!Y10:Y281,"SDHC_CARD_IF_PWR_EN (0)")</f>
        <v>0</v>
      </c>
    </row>
    <row r="232" spans="2:4" x14ac:dyDescent="0.55000000000000004">
      <c r="B232" s="182"/>
      <c r="C232" s="11" t="s">
        <v>2584</v>
      </c>
      <c r="D232" s="50">
        <f>COUNTIF('PF272'!Y10:Y281,"SDHC_CARD_DAT_3TO0_0 (0)")</f>
        <v>0</v>
      </c>
    </row>
    <row r="233" spans="2:4" x14ac:dyDescent="0.55000000000000004">
      <c r="B233" s="182"/>
      <c r="C233" s="11" t="s">
        <v>2585</v>
      </c>
      <c r="D233" s="50">
        <f>COUNTIF('PF272'!Y10:Y281,"SDHC_CARD_DAT_3TO0_1 (0)")</f>
        <v>0</v>
      </c>
    </row>
    <row r="234" spans="2:4" x14ac:dyDescent="0.55000000000000004">
      <c r="B234" s="182"/>
      <c r="C234" s="16" t="s">
        <v>2586</v>
      </c>
      <c r="D234" s="50">
        <f>COUNTIF('PF272'!Y10:Y281,"SDHC_CARD_DAT_3TO0_2 (0)")</f>
        <v>0</v>
      </c>
    </row>
    <row r="235" spans="2:4" x14ac:dyDescent="0.55000000000000004">
      <c r="B235" s="182"/>
      <c r="C235" s="11" t="s">
        <v>2587</v>
      </c>
      <c r="D235" s="50">
        <f>COUNTIF('PF272'!Y10:Y281,"SDHC_CARD_DAT_3TO0_3 (0)")</f>
        <v>0</v>
      </c>
    </row>
    <row r="236" spans="2:4" x14ac:dyDescent="0.55000000000000004">
      <c r="B236" s="182"/>
      <c r="C236" s="11" t="s">
        <v>2588</v>
      </c>
      <c r="D236" s="50">
        <f>COUNTIF('PF272'!Y10:Y281,"SDHC_CARD_DAT_7TO4_0 (0)")</f>
        <v>0</v>
      </c>
    </row>
    <row r="237" spans="2:4" x14ac:dyDescent="0.55000000000000004">
      <c r="B237" s="182"/>
      <c r="C237" s="11" t="s">
        <v>2589</v>
      </c>
      <c r="D237" s="50">
        <f>COUNTIF('PF272'!Y10:Y281,"SDHC_CARD_DAT_7TO4_1 (0)")</f>
        <v>0</v>
      </c>
    </row>
    <row r="238" spans="2:4" x14ac:dyDescent="0.55000000000000004">
      <c r="B238" s="182"/>
      <c r="C238" s="11" t="s">
        <v>2590</v>
      </c>
      <c r="D238" s="50">
        <f>COUNTIF('PF272'!Y10:Y281,"SDHC_CARD_DAT_7TO4_2 (0)")</f>
        <v>0</v>
      </c>
    </row>
    <row r="239" spans="2:4" x14ac:dyDescent="0.55000000000000004">
      <c r="B239" s="182"/>
      <c r="C239" s="11" t="s">
        <v>2591</v>
      </c>
      <c r="D239" s="50">
        <f>COUNTIF('PF272'!Y10:Y281,"SDHC_CARD_DAT_7TO4_3 (0)")</f>
        <v>0</v>
      </c>
    </row>
    <row r="240" spans="2:4" x14ac:dyDescent="0.55000000000000004">
      <c r="B240" s="182"/>
      <c r="C240" s="11" t="s">
        <v>2592</v>
      </c>
      <c r="D240" s="50">
        <f>COUNTIF('PF272'!Y10:Y281,"SDHC_CARD_DETECT_N (1)")</f>
        <v>0</v>
      </c>
    </row>
    <row r="241" spans="2:4" x14ac:dyDescent="0.55000000000000004">
      <c r="B241" s="182"/>
      <c r="C241" s="11" t="s">
        <v>2593</v>
      </c>
      <c r="D241" s="50">
        <f>COUNTIF('PF272'!Y10:Y281,"SDHC_CARD_MECH_WRITE_PROT (1)")</f>
        <v>0</v>
      </c>
    </row>
    <row r="242" spans="2:4" x14ac:dyDescent="0.55000000000000004">
      <c r="B242" s="182"/>
      <c r="C242" s="11" t="s">
        <v>2594</v>
      </c>
      <c r="D242" s="50">
        <f>COUNTIF('PF272'!Y10:Y281,"SDHC_CLK_CARD (1)")</f>
        <v>0</v>
      </c>
    </row>
    <row r="243" spans="2:4" x14ac:dyDescent="0.55000000000000004">
      <c r="B243" s="182"/>
      <c r="C243" s="11" t="s">
        <v>2595</v>
      </c>
      <c r="D243" s="50">
        <f>COUNTIF('PF272'!Y10:Y281,"SDHC_CARD_CMD (1)")</f>
        <v>0</v>
      </c>
    </row>
    <row r="244" spans="2:4" x14ac:dyDescent="0.55000000000000004">
      <c r="B244" s="182"/>
      <c r="C244" s="11" t="s">
        <v>2596</v>
      </c>
      <c r="D244" s="50">
        <f>COUNTIF('PF272'!Y10:Y281,"SDHC_CARD_IF_PWR_EN (1)")</f>
        <v>0</v>
      </c>
    </row>
    <row r="245" spans="2:4" x14ac:dyDescent="0.55000000000000004">
      <c r="B245" s="182"/>
      <c r="C245" s="11" t="s">
        <v>2578</v>
      </c>
      <c r="D245" s="50">
        <f>COUNTIF('PF272'!Y10:Y281,"SDHC_CARD_DAT_3TO0_0 (1)")</f>
        <v>0</v>
      </c>
    </row>
    <row r="246" spans="2:4" x14ac:dyDescent="0.55000000000000004">
      <c r="B246" s="182"/>
      <c r="C246" s="11" t="s">
        <v>2577</v>
      </c>
      <c r="D246" s="50">
        <f>COUNTIF('PF272'!Y10:Y281,"SDHC_CARD_DAT_3TO0_1 (1)")</f>
        <v>0</v>
      </c>
    </row>
    <row r="247" spans="2:4" x14ac:dyDescent="0.55000000000000004">
      <c r="B247" s="182"/>
      <c r="C247" s="11" t="s">
        <v>2576</v>
      </c>
      <c r="D247" s="50">
        <f>COUNTIF('PF272'!Y10:Y281,"SDHC_CARD_DAT_3TO0_2 (1)")</f>
        <v>0</v>
      </c>
    </row>
    <row r="248" spans="2:4" x14ac:dyDescent="0.55000000000000004">
      <c r="B248" s="182"/>
      <c r="C248" s="11" t="s">
        <v>2575</v>
      </c>
      <c r="D248" s="50">
        <f>COUNTIF('PF272'!Y10:Y281,"SDHC_CARD_DAT_3TO0_3 (1)")</f>
        <v>0</v>
      </c>
    </row>
    <row r="249" spans="2:4" x14ac:dyDescent="0.55000000000000004">
      <c r="B249" s="182"/>
      <c r="C249" s="11" t="s">
        <v>2574</v>
      </c>
      <c r="D249" s="50">
        <f>COUNTIF('PF272'!Y10:Y281,"SDHC_CARD_DAT_7TO4_0 (1)")</f>
        <v>0</v>
      </c>
    </row>
    <row r="250" spans="2:4" x14ac:dyDescent="0.55000000000000004">
      <c r="B250" s="182"/>
      <c r="C250" s="11" t="s">
        <v>2573</v>
      </c>
      <c r="D250" s="50">
        <f>COUNTIF('PF272'!Y10:Y281,"SDHC_CARD_DAT_7TO4_1 (1)")</f>
        <v>0</v>
      </c>
    </row>
    <row r="251" spans="2:4" x14ac:dyDescent="0.55000000000000004">
      <c r="B251" s="182"/>
      <c r="C251" s="11" t="s">
        <v>2572</v>
      </c>
      <c r="D251" s="50">
        <f>COUNTIF('PF272'!Y10:Y281,"SDHC_CARD_DAT_7TO4_2 (1)")</f>
        <v>0</v>
      </c>
    </row>
    <row r="252" spans="2:4" x14ac:dyDescent="0.55000000000000004">
      <c r="B252" s="183"/>
      <c r="C252" s="11" t="s">
        <v>2571</v>
      </c>
      <c r="D252" s="50">
        <f>COUNTIF('PF272'!Y10:Y281,"SDHC_CARD_DAT_7TO4_3 (1)")</f>
        <v>0</v>
      </c>
    </row>
    <row r="253" spans="2:4" x14ac:dyDescent="0.55000000000000004">
      <c r="B253" s="67"/>
      <c r="C253" s="71"/>
    </row>
    <row r="254" spans="2:4" hidden="1" x14ac:dyDescent="0.55000000000000004">
      <c r="B254" s="59" t="s">
        <v>2570</v>
      </c>
      <c r="C254" s="59" t="s">
        <v>2560</v>
      </c>
      <c r="D254" s="48" t="s">
        <v>2642</v>
      </c>
    </row>
    <row r="255" spans="2:4" hidden="1" x14ac:dyDescent="0.55000000000000004">
      <c r="B255" s="61"/>
      <c r="C255" s="62">
        <v>0</v>
      </c>
      <c r="D255" s="62">
        <f>SUM(D227:D239)</f>
        <v>0</v>
      </c>
    </row>
    <row r="256" spans="2:4" hidden="1" x14ac:dyDescent="0.55000000000000004">
      <c r="B256" s="63"/>
      <c r="C256" s="62">
        <v>1</v>
      </c>
      <c r="D256" s="62">
        <f>SUM(D240:D252)</f>
        <v>0</v>
      </c>
    </row>
    <row r="257" spans="2:9" hidden="1" x14ac:dyDescent="0.55000000000000004">
      <c r="B257" s="65" t="s">
        <v>2564</v>
      </c>
      <c r="C257" s="66"/>
      <c r="D257" s="59">
        <f>COUNTIF(D255:D256, "&lt;&gt;0")</f>
        <v>0</v>
      </c>
    </row>
    <row r="258" spans="2:9" hidden="1" x14ac:dyDescent="0.55000000000000004"/>
    <row r="260" spans="2:9" x14ac:dyDescent="0.55000000000000004">
      <c r="B260" s="179" t="s">
        <v>2629</v>
      </c>
      <c r="C260" s="179"/>
      <c r="D260" s="179" t="s">
        <v>2645</v>
      </c>
      <c r="E260" s="179"/>
    </row>
    <row r="261" spans="2:9" x14ac:dyDescent="0.55000000000000004">
      <c r="B261" s="180" t="s">
        <v>380</v>
      </c>
      <c r="C261" s="27" t="s">
        <v>2636</v>
      </c>
      <c r="D261" s="181">
        <f>COUNTIF('PF272'!Y10:Y281,"FLEXRAY_RXDA")</f>
        <v>0</v>
      </c>
      <c r="E261" s="181"/>
    </row>
    <row r="262" spans="2:9" x14ac:dyDescent="0.55000000000000004">
      <c r="B262" s="180"/>
      <c r="C262" s="27" t="s">
        <v>2637</v>
      </c>
      <c r="D262" s="181">
        <f>COUNTIF('PF272'!Y10:Y281,"FLEXRAY_TXDA")</f>
        <v>0</v>
      </c>
      <c r="E262" s="181"/>
    </row>
    <row r="263" spans="2:9" x14ac:dyDescent="0.55000000000000004">
      <c r="B263" s="180"/>
      <c r="C263" s="27" t="s">
        <v>2638</v>
      </c>
      <c r="D263" s="181">
        <f>COUNTIF('PF272'!Y10:Y281,"FLEXRAY_TXENA_N")</f>
        <v>0</v>
      </c>
      <c r="E263" s="181"/>
    </row>
    <row r="264" spans="2:9" x14ac:dyDescent="0.55000000000000004">
      <c r="B264" s="180"/>
      <c r="C264" s="27" t="s">
        <v>2639</v>
      </c>
      <c r="D264" s="181">
        <f>COUNTIF('PF272'!Y10:Y281,"FLEXRAY_RXDB")</f>
        <v>0</v>
      </c>
      <c r="E264" s="181"/>
    </row>
    <row r="265" spans="2:9" x14ac:dyDescent="0.55000000000000004">
      <c r="B265" s="180"/>
      <c r="C265" s="27" t="s">
        <v>2640</v>
      </c>
      <c r="D265" s="181">
        <f>COUNTIF('PF272'!Y10:Y281,"FLEXRAY_TXDB")</f>
        <v>0</v>
      </c>
      <c r="E265" s="181"/>
    </row>
    <row r="266" spans="2:9" x14ac:dyDescent="0.55000000000000004">
      <c r="B266" s="180"/>
      <c r="C266" s="27" t="s">
        <v>2641</v>
      </c>
      <c r="D266" s="181">
        <f>COUNTIF('PF272'!Y10:Y281,"FLEXRAY_TXENB_N")</f>
        <v>0</v>
      </c>
      <c r="E266" s="181"/>
    </row>
    <row r="269" spans="2:9" x14ac:dyDescent="0.55000000000000004">
      <c r="B269" s="179" t="s">
        <v>2617</v>
      </c>
      <c r="C269" s="179"/>
      <c r="D269" s="184" t="s">
        <v>2618</v>
      </c>
      <c r="E269" s="185"/>
      <c r="F269" s="184" t="s">
        <v>2619</v>
      </c>
      <c r="G269" s="185"/>
      <c r="H269" s="184" t="s">
        <v>2620</v>
      </c>
      <c r="I269" s="185"/>
    </row>
    <row r="270" spans="2:9" x14ac:dyDescent="0.55000000000000004">
      <c r="B270" s="180" t="s">
        <v>380</v>
      </c>
      <c r="C270" s="27" t="s">
        <v>2621</v>
      </c>
      <c r="D270" s="186">
        <f>COUNTIF('PF272'!Y10:Y281,"AUDIOSS0_MCLK")</f>
        <v>0</v>
      </c>
      <c r="E270" s="187"/>
      <c r="F270" s="186">
        <f>COUNTIF('PF272'!Y10:Y281,"AUDIOSS1_MCLK")</f>
        <v>0</v>
      </c>
      <c r="G270" s="187"/>
      <c r="H270" s="186">
        <f>COUNTIF('PF272'!Y10:Y281,"AUDIOSS2_MCLK")</f>
        <v>0</v>
      </c>
      <c r="I270" s="187"/>
    </row>
    <row r="271" spans="2:9" x14ac:dyDescent="0.55000000000000004">
      <c r="B271" s="180"/>
      <c r="C271" s="27" t="s">
        <v>2622</v>
      </c>
      <c r="D271" s="186">
        <f>COUNTIF('PF272'!Y10:Y281,"AUDIOSS0_TX_SCK")</f>
        <v>0</v>
      </c>
      <c r="E271" s="187"/>
      <c r="F271" s="186">
        <f>COUNTIF('PF272'!Y10:Y281,"AUDIOSS1_TX_SCK")</f>
        <v>0</v>
      </c>
      <c r="G271" s="187"/>
      <c r="H271" s="186">
        <f>COUNTIF('PF272'!Y10:Y281,"AUDIOSS2_TX_SCK")</f>
        <v>0</v>
      </c>
      <c r="I271" s="187"/>
    </row>
    <row r="272" spans="2:9" x14ac:dyDescent="0.55000000000000004">
      <c r="B272" s="180"/>
      <c r="C272" s="27" t="s">
        <v>2623</v>
      </c>
      <c r="D272" s="186">
        <f>COUNTIF('PF272'!Y10:Y281,"AUDIOSS0_TX_WS")</f>
        <v>0</v>
      </c>
      <c r="E272" s="187"/>
      <c r="F272" s="186">
        <f>COUNTIF('PF272'!Y10:Y281,"AUDIOSS1_TX_WS")</f>
        <v>0</v>
      </c>
      <c r="G272" s="187"/>
      <c r="H272" s="186">
        <f>COUNTIF('PF272'!Y10:Y281,"AUDIOSS2_TX_WS")</f>
        <v>0</v>
      </c>
      <c r="I272" s="187"/>
    </row>
    <row r="273" spans="2:9" x14ac:dyDescent="0.55000000000000004">
      <c r="B273" s="180"/>
      <c r="C273" s="27" t="s">
        <v>2624</v>
      </c>
      <c r="D273" s="186">
        <f>COUNTIF('PF272'!Y10:Y281,"AUDIOSS0_TX_SDO")</f>
        <v>0</v>
      </c>
      <c r="E273" s="187"/>
      <c r="F273" s="186">
        <f>COUNTIF('PF272'!Y10:Y281,"AUDIOSS1_TX_SDO")</f>
        <v>0</v>
      </c>
      <c r="G273" s="187"/>
      <c r="H273" s="186">
        <f>COUNTIF('PF272'!Y10:Y281,"AUDIOSS2_TX_SDO")</f>
        <v>0</v>
      </c>
      <c r="I273" s="187"/>
    </row>
    <row r="274" spans="2:9" x14ac:dyDescent="0.55000000000000004">
      <c r="B274" s="180"/>
      <c r="C274" s="27" t="s">
        <v>2625</v>
      </c>
      <c r="D274" s="186">
        <f>COUNTIF('PF272'!Y10:Y281,"AUDIOSS0_CLK_I2S_IF")</f>
        <v>0</v>
      </c>
      <c r="E274" s="187"/>
      <c r="F274" s="186">
        <f>COUNTIF('PF272'!Y10:Y281,"AUDIOSS1_CLK_I2S_IF")</f>
        <v>0</v>
      </c>
      <c r="G274" s="187"/>
      <c r="H274" s="186">
        <f>COUNTIF('PF272'!Y10:Y281,"AUDIOSS2_CLK_I2S_IF")</f>
        <v>0</v>
      </c>
      <c r="I274" s="187"/>
    </row>
    <row r="275" spans="2:9" x14ac:dyDescent="0.55000000000000004">
      <c r="B275" s="180"/>
      <c r="C275" s="27" t="s">
        <v>2626</v>
      </c>
      <c r="D275" s="186">
        <f>COUNTIF('PF272'!Y10:Y281,"AUDIOSS0_RX_SCK")</f>
        <v>0</v>
      </c>
      <c r="E275" s="187"/>
      <c r="F275" s="186">
        <f>COUNTIF('PF272'!Y10:Y281,"AUDIOSS1_RX_SCK")</f>
        <v>0</v>
      </c>
      <c r="G275" s="187"/>
      <c r="H275" s="186">
        <f>COUNTIF('PF272'!Y10:Y281,"AUDIOSS2_RX_SCK")</f>
        <v>0</v>
      </c>
      <c r="I275" s="187"/>
    </row>
    <row r="276" spans="2:9" x14ac:dyDescent="0.55000000000000004">
      <c r="B276" s="180"/>
      <c r="C276" s="27" t="s">
        <v>2627</v>
      </c>
      <c r="D276" s="186">
        <f>COUNTIF('PF272'!Y10:Y281,"AUDIOSS0_RX_WS")</f>
        <v>0</v>
      </c>
      <c r="E276" s="187"/>
      <c r="F276" s="186">
        <f>COUNTIF('PF272'!Y10:Y281,"AUDIOSS1_RX_WS")</f>
        <v>0</v>
      </c>
      <c r="G276" s="187"/>
      <c r="H276" s="186">
        <f>COUNTIF('PF272'!Y10:Y281,"AUDIOSS2_RX_WS")</f>
        <v>0</v>
      </c>
      <c r="I276" s="187"/>
    </row>
    <row r="277" spans="2:9" x14ac:dyDescent="0.55000000000000004">
      <c r="B277" s="180"/>
      <c r="C277" s="27" t="s">
        <v>2628</v>
      </c>
      <c r="D277" s="186">
        <f>COUNTIF('PF272'!Y10:Y281,"AUDIOSS0_RX_SDI")</f>
        <v>0</v>
      </c>
      <c r="E277" s="187"/>
      <c r="F277" s="186">
        <f>COUNTIF('PF272'!Y10:Y281,"AUDIOSS1_RX_SDI")</f>
        <v>0</v>
      </c>
      <c r="G277" s="187"/>
      <c r="H277" s="186">
        <f>COUNTIF('PF272'!Y10:Y281,"AUDIOSS2_RX_SDI")</f>
        <v>0</v>
      </c>
      <c r="I277" s="187"/>
    </row>
  </sheetData>
  <sheetProtection algorithmName="SHA-512" hashValue="mnoM0pUIEa/3Ak/J1BdSlcQlm8Pd2+pRaP9tgXX1WRSofBP4d4J8Mbbjbuz9lJV1hu0D+3VSSOqP4N0AbVTk/w==" saltValue="K8knEsMC0EI2UURnrr78Uw==" spinCount="100000" sheet="1" objects="1" scenarios="1" formatCells="0" formatColumns="0" formatRows="0" insertColumns="0" insertRows="0" insertHyperlinks="0" deleteColumns="0" deleteRows="0" selectLockedCells="1" sort="0" autoFilter="0" pivotTables="0"/>
  <mergeCells count="74">
    <mergeCell ref="B72:B73"/>
    <mergeCell ref="B7:C7"/>
    <mergeCell ref="B8:B9"/>
    <mergeCell ref="B11:C11"/>
    <mergeCell ref="B12:B13"/>
    <mergeCell ref="B16:C16"/>
    <mergeCell ref="B17:B19"/>
    <mergeCell ref="B22:C22"/>
    <mergeCell ref="B23:B43"/>
    <mergeCell ref="B44:B51"/>
    <mergeCell ref="B52:B57"/>
    <mergeCell ref="B71:C71"/>
    <mergeCell ref="B96:B97"/>
    <mergeCell ref="B74:B75"/>
    <mergeCell ref="B77:C77"/>
    <mergeCell ref="B78:B79"/>
    <mergeCell ref="B80:B81"/>
    <mergeCell ref="B83:C83"/>
    <mergeCell ref="B84:B85"/>
    <mergeCell ref="B86:B87"/>
    <mergeCell ref="B89:C89"/>
    <mergeCell ref="B90:B91"/>
    <mergeCell ref="B92:B93"/>
    <mergeCell ref="B95:C95"/>
    <mergeCell ref="B176:C176"/>
    <mergeCell ref="B177:B218"/>
    <mergeCell ref="B98:B99"/>
    <mergeCell ref="B101:C101"/>
    <mergeCell ref="B102:B103"/>
    <mergeCell ref="B104:B105"/>
    <mergeCell ref="B108:C108"/>
    <mergeCell ref="B109:B141"/>
    <mergeCell ref="B144:C144"/>
    <mergeCell ref="B145:B168"/>
    <mergeCell ref="B226:C226"/>
    <mergeCell ref="B227:B252"/>
    <mergeCell ref="B260:C260"/>
    <mergeCell ref="D260:E260"/>
    <mergeCell ref="B261:B266"/>
    <mergeCell ref="D261:E261"/>
    <mergeCell ref="D262:E262"/>
    <mergeCell ref="D263:E263"/>
    <mergeCell ref="D264:E264"/>
    <mergeCell ref="D265:E265"/>
    <mergeCell ref="D266:E266"/>
    <mergeCell ref="B269:C269"/>
    <mergeCell ref="D269:E269"/>
    <mergeCell ref="F269:G269"/>
    <mergeCell ref="H269:I269"/>
    <mergeCell ref="B270:B277"/>
    <mergeCell ref="D270:E270"/>
    <mergeCell ref="F270:G270"/>
    <mergeCell ref="H270:I270"/>
    <mergeCell ref="D271:E271"/>
    <mergeCell ref="F271:G271"/>
    <mergeCell ref="H271:I271"/>
    <mergeCell ref="D272:E272"/>
    <mergeCell ref="F272:G272"/>
    <mergeCell ref="H272:I272"/>
    <mergeCell ref="D273:E273"/>
    <mergeCell ref="F273:G273"/>
    <mergeCell ref="H273:I273"/>
    <mergeCell ref="D274:E274"/>
    <mergeCell ref="F274:G274"/>
    <mergeCell ref="H274:I274"/>
    <mergeCell ref="D275:E275"/>
    <mergeCell ref="F275:G275"/>
    <mergeCell ref="H275:I275"/>
    <mergeCell ref="D276:E276"/>
    <mergeCell ref="F276:G276"/>
    <mergeCell ref="H276:I276"/>
    <mergeCell ref="D277:E277"/>
    <mergeCell ref="F277:G277"/>
    <mergeCell ref="H277:I277"/>
  </mergeCells>
  <phoneticPr fontId="3"/>
  <conditionalFormatting sqref="D261:D266 F261:I266 D270:D277 F270:I277">
    <cfRule type="cellIs" dxfId="14" priority="6" operator="notEqual">
      <formula>0</formula>
    </cfRule>
  </conditionalFormatting>
  <conditionalFormatting sqref="D261:D266 F261:I266 D270:I277">
    <cfRule type="cellIs" dxfId="13" priority="4" operator="greaterThanOrEqual">
      <formula>2</formula>
    </cfRule>
  </conditionalFormatting>
  <conditionalFormatting sqref="D72:F75 D78:CI82 D84:F87">
    <cfRule type="cellIs" dxfId="12" priority="29" operator="notEqual">
      <formula>0</formula>
    </cfRule>
    <cfRule type="cellIs" dxfId="11" priority="30" operator="greaterThanOrEqual">
      <formula>2</formula>
    </cfRule>
  </conditionalFormatting>
  <conditionalFormatting sqref="D8:H9 G12:H14 D12:F15 L17:W20 D17:K21 D23:N58 D69:N69 D90:O94 D96:G99 D100:O100 D102:P106 D109:F143 D145:E169 D174:F174 D177:E218 D227:E253">
    <cfRule type="cellIs" dxfId="10" priority="53" operator="greaterThanOrEqual">
      <formula>2</formula>
    </cfRule>
    <cfRule type="cellIs" dxfId="9" priority="60" operator="notEqual">
      <formula>0</formula>
    </cfRule>
  </conditionalFormatting>
  <pageMargins left="0.7" right="0.7" top="0.75" bottom="0.75" header="0.3" footer="0.3"/>
  <pageSetup paperSize="9" orientation="portrait" r:id="rId1"/>
  <ignoredErrors>
    <ignoredError sqref="D8:H9 D12:H13 D17:W19 D23:N57 D60:N68 D72:F75 D78:CI81 D84:F87 D90:O93 D96:F99 D102:F102 D109:F141 D145:D168 D171:D173 D177:E218 D221:E223 D227:D252 D255:D257 D261:E266 D270:I277 D104:P105 D103:E103 G102:P102 F103:P103" unlocked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7C7BB-0B1B-493F-B5E4-C17F992F702D}">
  <dimension ref="A1:WXA261"/>
  <sheetViews>
    <sheetView zoomScale="55" zoomScaleNormal="55" workbookViewId="0">
      <selection activeCell="AS5" sqref="AS5"/>
    </sheetView>
  </sheetViews>
  <sheetFormatPr defaultRowHeight="10" x14ac:dyDescent="0.55000000000000004"/>
  <cols>
    <col min="1" max="1" width="8.6640625" style="76"/>
    <col min="2" max="2" width="3.33203125" style="76" customWidth="1"/>
    <col min="3" max="3" width="6.58203125" style="76" customWidth="1"/>
    <col min="4" max="4" width="3.58203125" style="77" customWidth="1"/>
    <col min="5" max="5" width="8.58203125" style="77" customWidth="1"/>
    <col min="6" max="6" width="1.58203125" style="77" customWidth="1"/>
    <col min="7" max="7" width="8.58203125" style="77" customWidth="1"/>
    <col min="8" max="8" width="1.58203125" style="77" customWidth="1"/>
    <col min="9" max="9" width="8.58203125" style="77" customWidth="1"/>
    <col min="10" max="10" width="1.58203125" style="77" customWidth="1"/>
    <col min="11" max="11" width="8.58203125" style="77" customWidth="1"/>
    <col min="12" max="12" width="1.58203125" style="77" customWidth="1"/>
    <col min="13" max="13" width="8.58203125" style="77" customWidth="1"/>
    <col min="14" max="14" width="1.58203125" style="77" customWidth="1"/>
    <col min="15" max="15" width="8.58203125" style="77" customWidth="1"/>
    <col min="16" max="16" width="1.58203125" style="77" customWidth="1"/>
    <col min="17" max="17" width="8.58203125" style="77" customWidth="1"/>
    <col min="18" max="18" width="1.58203125" style="77" customWidth="1"/>
    <col min="19" max="19" width="8.58203125" style="77" customWidth="1"/>
    <col min="20" max="20" width="1.58203125" style="77" customWidth="1"/>
    <col min="21" max="21" width="8.58203125" style="77" customWidth="1"/>
    <col min="22" max="22" width="1.58203125" style="77" customWidth="1"/>
    <col min="23" max="23" width="8.58203125" style="77" customWidth="1"/>
    <col min="24" max="24" width="1.58203125" style="77" customWidth="1"/>
    <col min="25" max="25" width="8.58203125" style="77" customWidth="1"/>
    <col min="26" max="26" width="1.58203125" style="77" customWidth="1"/>
    <col min="27" max="27" width="8.58203125" style="77" customWidth="1"/>
    <col min="28" max="28" width="1.58203125" style="77" customWidth="1"/>
    <col min="29" max="29" width="8.58203125" style="77" customWidth="1"/>
    <col min="30" max="30" width="1.58203125" style="77" customWidth="1"/>
    <col min="31" max="31" width="8.58203125" style="77" customWidth="1"/>
    <col min="32" max="32" width="1.58203125" style="77" customWidth="1"/>
    <col min="33" max="33" width="8.58203125" style="77" customWidth="1"/>
    <col min="34" max="34" width="1.58203125" style="77" customWidth="1"/>
    <col min="35" max="35" width="8.58203125" style="77" customWidth="1"/>
    <col min="36" max="36" width="1.58203125" style="77" customWidth="1"/>
    <col min="37" max="37" width="8.58203125" style="77" customWidth="1"/>
    <col min="38" max="38" width="1.58203125" style="77" customWidth="1"/>
    <col min="39" max="39" width="8.58203125" style="77" customWidth="1"/>
    <col min="40" max="40" width="3.58203125" style="77" customWidth="1"/>
    <col min="41" max="41" width="3.33203125" style="77" customWidth="1"/>
    <col min="42" max="44" width="8.58203125" style="76" customWidth="1"/>
    <col min="45" max="266" width="8.6640625" style="76"/>
    <col min="267" max="267" width="14.33203125" style="76" customWidth="1"/>
    <col min="268" max="269" width="3.33203125" style="76" customWidth="1"/>
    <col min="270" max="294" width="2.4140625" style="76" customWidth="1"/>
    <col min="295" max="296" width="3.33203125" style="76" customWidth="1"/>
    <col min="297" max="297" width="14.33203125" style="76" customWidth="1"/>
    <col min="298" max="522" width="8.6640625" style="76"/>
    <col min="523" max="523" width="14.33203125" style="76" customWidth="1"/>
    <col min="524" max="525" width="3.33203125" style="76" customWidth="1"/>
    <col min="526" max="550" width="2.4140625" style="76" customWidth="1"/>
    <col min="551" max="552" width="3.33203125" style="76" customWidth="1"/>
    <col min="553" max="553" width="14.33203125" style="76" customWidth="1"/>
    <col min="554" max="778" width="8.6640625" style="76"/>
    <col min="779" max="779" width="14.33203125" style="76" customWidth="1"/>
    <col min="780" max="781" width="3.33203125" style="76" customWidth="1"/>
    <col min="782" max="806" width="2.4140625" style="76" customWidth="1"/>
    <col min="807" max="808" width="3.33203125" style="76" customWidth="1"/>
    <col min="809" max="809" width="14.33203125" style="76" customWidth="1"/>
    <col min="810" max="1034" width="8.6640625" style="76"/>
    <col min="1035" max="1035" width="14.33203125" style="76" customWidth="1"/>
    <col min="1036" max="1037" width="3.33203125" style="76" customWidth="1"/>
    <col min="1038" max="1062" width="2.4140625" style="76" customWidth="1"/>
    <col min="1063" max="1064" width="3.33203125" style="76" customWidth="1"/>
    <col min="1065" max="1065" width="14.33203125" style="76" customWidth="1"/>
    <col min="1066" max="1290" width="8.6640625" style="76"/>
    <col min="1291" max="1291" width="14.33203125" style="76" customWidth="1"/>
    <col min="1292" max="1293" width="3.33203125" style="76" customWidth="1"/>
    <col min="1294" max="1318" width="2.4140625" style="76" customWidth="1"/>
    <col min="1319" max="1320" width="3.33203125" style="76" customWidth="1"/>
    <col min="1321" max="1321" width="14.33203125" style="76" customWidth="1"/>
    <col min="1322" max="1546" width="8.6640625" style="76"/>
    <col min="1547" max="1547" width="14.33203125" style="76" customWidth="1"/>
    <col min="1548" max="1549" width="3.33203125" style="76" customWidth="1"/>
    <col min="1550" max="1574" width="2.4140625" style="76" customWidth="1"/>
    <col min="1575" max="1576" width="3.33203125" style="76" customWidth="1"/>
    <col min="1577" max="1577" width="14.33203125" style="76" customWidth="1"/>
    <col min="1578" max="1802" width="8.6640625" style="76"/>
    <col min="1803" max="1803" width="14.33203125" style="76" customWidth="1"/>
    <col min="1804" max="1805" width="3.33203125" style="76" customWidth="1"/>
    <col min="1806" max="1830" width="2.4140625" style="76" customWidth="1"/>
    <col min="1831" max="1832" width="3.33203125" style="76" customWidth="1"/>
    <col min="1833" max="1833" width="14.33203125" style="76" customWidth="1"/>
    <col min="1834" max="2058" width="8.6640625" style="76"/>
    <col min="2059" max="2059" width="14.33203125" style="76" customWidth="1"/>
    <col min="2060" max="2061" width="3.33203125" style="76" customWidth="1"/>
    <col min="2062" max="2086" width="2.4140625" style="76" customWidth="1"/>
    <col min="2087" max="2088" width="3.33203125" style="76" customWidth="1"/>
    <col min="2089" max="2089" width="14.33203125" style="76" customWidth="1"/>
    <col min="2090" max="2314" width="8.6640625" style="76"/>
    <col min="2315" max="2315" width="14.33203125" style="76" customWidth="1"/>
    <col min="2316" max="2317" width="3.33203125" style="76" customWidth="1"/>
    <col min="2318" max="2342" width="2.4140625" style="76" customWidth="1"/>
    <col min="2343" max="2344" width="3.33203125" style="76" customWidth="1"/>
    <col min="2345" max="2345" width="14.33203125" style="76" customWidth="1"/>
    <col min="2346" max="2570" width="8.6640625" style="76"/>
    <col min="2571" max="2571" width="14.33203125" style="76" customWidth="1"/>
    <col min="2572" max="2573" width="3.33203125" style="76" customWidth="1"/>
    <col min="2574" max="2598" width="2.4140625" style="76" customWidth="1"/>
    <col min="2599" max="2600" width="3.33203125" style="76" customWidth="1"/>
    <col min="2601" max="2601" width="14.33203125" style="76" customWidth="1"/>
    <col min="2602" max="2826" width="8.6640625" style="76"/>
    <col min="2827" max="2827" width="14.33203125" style="76" customWidth="1"/>
    <col min="2828" max="2829" width="3.33203125" style="76" customWidth="1"/>
    <col min="2830" max="2854" width="2.4140625" style="76" customWidth="1"/>
    <col min="2855" max="2856" width="3.33203125" style="76" customWidth="1"/>
    <col min="2857" max="2857" width="14.33203125" style="76" customWidth="1"/>
    <col min="2858" max="3082" width="8.6640625" style="76"/>
    <col min="3083" max="3083" width="14.33203125" style="76" customWidth="1"/>
    <col min="3084" max="3085" width="3.33203125" style="76" customWidth="1"/>
    <col min="3086" max="3110" width="2.4140625" style="76" customWidth="1"/>
    <col min="3111" max="3112" width="3.33203125" style="76" customWidth="1"/>
    <col min="3113" max="3113" width="14.33203125" style="76" customWidth="1"/>
    <col min="3114" max="3338" width="8.6640625" style="76"/>
    <col min="3339" max="3339" width="14.33203125" style="76" customWidth="1"/>
    <col min="3340" max="3341" width="3.33203125" style="76" customWidth="1"/>
    <col min="3342" max="3366" width="2.4140625" style="76" customWidth="1"/>
    <col min="3367" max="3368" width="3.33203125" style="76" customWidth="1"/>
    <col min="3369" max="3369" width="14.33203125" style="76" customWidth="1"/>
    <col min="3370" max="3594" width="8.6640625" style="76"/>
    <col min="3595" max="3595" width="14.33203125" style="76" customWidth="1"/>
    <col min="3596" max="3597" width="3.33203125" style="76" customWidth="1"/>
    <col min="3598" max="3622" width="2.4140625" style="76" customWidth="1"/>
    <col min="3623" max="3624" width="3.33203125" style="76" customWidth="1"/>
    <col min="3625" max="3625" width="14.33203125" style="76" customWidth="1"/>
    <col min="3626" max="3850" width="8.6640625" style="76"/>
    <col min="3851" max="3851" width="14.33203125" style="76" customWidth="1"/>
    <col min="3852" max="3853" width="3.33203125" style="76" customWidth="1"/>
    <col min="3854" max="3878" width="2.4140625" style="76" customWidth="1"/>
    <col min="3879" max="3880" width="3.33203125" style="76" customWidth="1"/>
    <col min="3881" max="3881" width="14.33203125" style="76" customWidth="1"/>
    <col min="3882" max="4106" width="8.6640625" style="76"/>
    <col min="4107" max="4107" width="14.33203125" style="76" customWidth="1"/>
    <col min="4108" max="4109" width="3.33203125" style="76" customWidth="1"/>
    <col min="4110" max="4134" width="2.4140625" style="76" customWidth="1"/>
    <col min="4135" max="4136" width="3.33203125" style="76" customWidth="1"/>
    <col min="4137" max="4137" width="14.33203125" style="76" customWidth="1"/>
    <col min="4138" max="4362" width="8.6640625" style="76"/>
    <col min="4363" max="4363" width="14.33203125" style="76" customWidth="1"/>
    <col min="4364" max="4365" width="3.33203125" style="76" customWidth="1"/>
    <col min="4366" max="4390" width="2.4140625" style="76" customWidth="1"/>
    <col min="4391" max="4392" width="3.33203125" style="76" customWidth="1"/>
    <col min="4393" max="4393" width="14.33203125" style="76" customWidth="1"/>
    <col min="4394" max="4618" width="8.6640625" style="76"/>
    <col min="4619" max="4619" width="14.33203125" style="76" customWidth="1"/>
    <col min="4620" max="4621" width="3.33203125" style="76" customWidth="1"/>
    <col min="4622" max="4646" width="2.4140625" style="76" customWidth="1"/>
    <col min="4647" max="4648" width="3.33203125" style="76" customWidth="1"/>
    <col min="4649" max="4649" width="14.33203125" style="76" customWidth="1"/>
    <col min="4650" max="4874" width="8.6640625" style="76"/>
    <col min="4875" max="4875" width="14.33203125" style="76" customWidth="1"/>
    <col min="4876" max="4877" width="3.33203125" style="76" customWidth="1"/>
    <col min="4878" max="4902" width="2.4140625" style="76" customWidth="1"/>
    <col min="4903" max="4904" width="3.33203125" style="76" customWidth="1"/>
    <col min="4905" max="4905" width="14.33203125" style="76" customWidth="1"/>
    <col min="4906" max="5130" width="8.6640625" style="76"/>
    <col min="5131" max="5131" width="14.33203125" style="76" customWidth="1"/>
    <col min="5132" max="5133" width="3.33203125" style="76" customWidth="1"/>
    <col min="5134" max="5158" width="2.4140625" style="76" customWidth="1"/>
    <col min="5159" max="5160" width="3.33203125" style="76" customWidth="1"/>
    <col min="5161" max="5161" width="14.33203125" style="76" customWidth="1"/>
    <col min="5162" max="5386" width="8.6640625" style="76"/>
    <col min="5387" max="5387" width="14.33203125" style="76" customWidth="1"/>
    <col min="5388" max="5389" width="3.33203125" style="76" customWidth="1"/>
    <col min="5390" max="5414" width="2.4140625" style="76" customWidth="1"/>
    <col min="5415" max="5416" width="3.33203125" style="76" customWidth="1"/>
    <col min="5417" max="5417" width="14.33203125" style="76" customWidth="1"/>
    <col min="5418" max="5642" width="8.6640625" style="76"/>
    <col min="5643" max="5643" width="14.33203125" style="76" customWidth="1"/>
    <col min="5644" max="5645" width="3.33203125" style="76" customWidth="1"/>
    <col min="5646" max="5670" width="2.4140625" style="76" customWidth="1"/>
    <col min="5671" max="5672" width="3.33203125" style="76" customWidth="1"/>
    <col min="5673" max="5673" width="14.33203125" style="76" customWidth="1"/>
    <col min="5674" max="5898" width="8.6640625" style="76"/>
    <col min="5899" max="5899" width="14.33203125" style="76" customWidth="1"/>
    <col min="5900" max="5901" width="3.33203125" style="76" customWidth="1"/>
    <col min="5902" max="5926" width="2.4140625" style="76" customWidth="1"/>
    <col min="5927" max="5928" width="3.33203125" style="76" customWidth="1"/>
    <col min="5929" max="5929" width="14.33203125" style="76" customWidth="1"/>
    <col min="5930" max="6154" width="8.6640625" style="76"/>
    <col min="6155" max="6155" width="14.33203125" style="76" customWidth="1"/>
    <col min="6156" max="6157" width="3.33203125" style="76" customWidth="1"/>
    <col min="6158" max="6182" width="2.4140625" style="76" customWidth="1"/>
    <col min="6183" max="6184" width="3.33203125" style="76" customWidth="1"/>
    <col min="6185" max="6185" width="14.33203125" style="76" customWidth="1"/>
    <col min="6186" max="6410" width="8.6640625" style="76"/>
    <col min="6411" max="6411" width="14.33203125" style="76" customWidth="1"/>
    <col min="6412" max="6413" width="3.33203125" style="76" customWidth="1"/>
    <col min="6414" max="6438" width="2.4140625" style="76" customWidth="1"/>
    <col min="6439" max="6440" width="3.33203125" style="76" customWidth="1"/>
    <col min="6441" max="6441" width="14.33203125" style="76" customWidth="1"/>
    <col min="6442" max="6666" width="8.6640625" style="76"/>
    <col min="6667" max="6667" width="14.33203125" style="76" customWidth="1"/>
    <col min="6668" max="6669" width="3.33203125" style="76" customWidth="1"/>
    <col min="6670" max="6694" width="2.4140625" style="76" customWidth="1"/>
    <col min="6695" max="6696" width="3.33203125" style="76" customWidth="1"/>
    <col min="6697" max="6697" width="14.33203125" style="76" customWidth="1"/>
    <col min="6698" max="6922" width="8.6640625" style="76"/>
    <col min="6923" max="6923" width="14.33203125" style="76" customWidth="1"/>
    <col min="6924" max="6925" width="3.33203125" style="76" customWidth="1"/>
    <col min="6926" max="6950" width="2.4140625" style="76" customWidth="1"/>
    <col min="6951" max="6952" width="3.33203125" style="76" customWidth="1"/>
    <col min="6953" max="6953" width="14.33203125" style="76" customWidth="1"/>
    <col min="6954" max="7178" width="8.6640625" style="76"/>
    <col min="7179" max="7179" width="14.33203125" style="76" customWidth="1"/>
    <col min="7180" max="7181" width="3.33203125" style="76" customWidth="1"/>
    <col min="7182" max="7206" width="2.4140625" style="76" customWidth="1"/>
    <col min="7207" max="7208" width="3.33203125" style="76" customWidth="1"/>
    <col min="7209" max="7209" width="14.33203125" style="76" customWidth="1"/>
    <col min="7210" max="7434" width="8.6640625" style="76"/>
    <col min="7435" max="7435" width="14.33203125" style="76" customWidth="1"/>
    <col min="7436" max="7437" width="3.33203125" style="76" customWidth="1"/>
    <col min="7438" max="7462" width="2.4140625" style="76" customWidth="1"/>
    <col min="7463" max="7464" width="3.33203125" style="76" customWidth="1"/>
    <col min="7465" max="7465" width="14.33203125" style="76" customWidth="1"/>
    <col min="7466" max="7690" width="8.6640625" style="76"/>
    <col min="7691" max="7691" width="14.33203125" style="76" customWidth="1"/>
    <col min="7692" max="7693" width="3.33203125" style="76" customWidth="1"/>
    <col min="7694" max="7718" width="2.4140625" style="76" customWidth="1"/>
    <col min="7719" max="7720" width="3.33203125" style="76" customWidth="1"/>
    <col min="7721" max="7721" width="14.33203125" style="76" customWidth="1"/>
    <col min="7722" max="7946" width="8.6640625" style="76"/>
    <col min="7947" max="7947" width="14.33203125" style="76" customWidth="1"/>
    <col min="7948" max="7949" width="3.33203125" style="76" customWidth="1"/>
    <col min="7950" max="7974" width="2.4140625" style="76" customWidth="1"/>
    <col min="7975" max="7976" width="3.33203125" style="76" customWidth="1"/>
    <col min="7977" max="7977" width="14.33203125" style="76" customWidth="1"/>
    <col min="7978" max="8202" width="8.6640625" style="76"/>
    <col min="8203" max="8203" width="14.33203125" style="76" customWidth="1"/>
    <col min="8204" max="8205" width="3.33203125" style="76" customWidth="1"/>
    <col min="8206" max="8230" width="2.4140625" style="76" customWidth="1"/>
    <col min="8231" max="8232" width="3.33203125" style="76" customWidth="1"/>
    <col min="8233" max="8233" width="14.33203125" style="76" customWidth="1"/>
    <col min="8234" max="8458" width="8.6640625" style="76"/>
    <col min="8459" max="8459" width="14.33203125" style="76" customWidth="1"/>
    <col min="8460" max="8461" width="3.33203125" style="76" customWidth="1"/>
    <col min="8462" max="8486" width="2.4140625" style="76" customWidth="1"/>
    <col min="8487" max="8488" width="3.33203125" style="76" customWidth="1"/>
    <col min="8489" max="8489" width="14.33203125" style="76" customWidth="1"/>
    <col min="8490" max="8714" width="8.6640625" style="76"/>
    <col min="8715" max="8715" width="14.33203125" style="76" customWidth="1"/>
    <col min="8716" max="8717" width="3.33203125" style="76" customWidth="1"/>
    <col min="8718" max="8742" width="2.4140625" style="76" customWidth="1"/>
    <col min="8743" max="8744" width="3.33203125" style="76" customWidth="1"/>
    <col min="8745" max="8745" width="14.33203125" style="76" customWidth="1"/>
    <col min="8746" max="8970" width="8.6640625" style="76"/>
    <col min="8971" max="8971" width="14.33203125" style="76" customWidth="1"/>
    <col min="8972" max="8973" width="3.33203125" style="76" customWidth="1"/>
    <col min="8974" max="8998" width="2.4140625" style="76" customWidth="1"/>
    <col min="8999" max="9000" width="3.33203125" style="76" customWidth="1"/>
    <col min="9001" max="9001" width="14.33203125" style="76" customWidth="1"/>
    <col min="9002" max="9226" width="8.6640625" style="76"/>
    <col min="9227" max="9227" width="14.33203125" style="76" customWidth="1"/>
    <col min="9228" max="9229" width="3.33203125" style="76" customWidth="1"/>
    <col min="9230" max="9254" width="2.4140625" style="76" customWidth="1"/>
    <col min="9255" max="9256" width="3.33203125" style="76" customWidth="1"/>
    <col min="9257" max="9257" width="14.33203125" style="76" customWidth="1"/>
    <col min="9258" max="9482" width="8.6640625" style="76"/>
    <col min="9483" max="9483" width="14.33203125" style="76" customWidth="1"/>
    <col min="9484" max="9485" width="3.33203125" style="76" customWidth="1"/>
    <col min="9486" max="9510" width="2.4140625" style="76" customWidth="1"/>
    <col min="9511" max="9512" width="3.33203125" style="76" customWidth="1"/>
    <col min="9513" max="9513" width="14.33203125" style="76" customWidth="1"/>
    <col min="9514" max="9738" width="8.6640625" style="76"/>
    <col min="9739" max="9739" width="14.33203125" style="76" customWidth="1"/>
    <col min="9740" max="9741" width="3.33203125" style="76" customWidth="1"/>
    <col min="9742" max="9766" width="2.4140625" style="76" customWidth="1"/>
    <col min="9767" max="9768" width="3.33203125" style="76" customWidth="1"/>
    <col min="9769" max="9769" width="14.33203125" style="76" customWidth="1"/>
    <col min="9770" max="9994" width="8.6640625" style="76"/>
    <col min="9995" max="9995" width="14.33203125" style="76" customWidth="1"/>
    <col min="9996" max="9997" width="3.33203125" style="76" customWidth="1"/>
    <col min="9998" max="10022" width="2.4140625" style="76" customWidth="1"/>
    <col min="10023" max="10024" width="3.33203125" style="76" customWidth="1"/>
    <col min="10025" max="10025" width="14.33203125" style="76" customWidth="1"/>
    <col min="10026" max="10250" width="8.6640625" style="76"/>
    <col min="10251" max="10251" width="14.33203125" style="76" customWidth="1"/>
    <col min="10252" max="10253" width="3.33203125" style="76" customWidth="1"/>
    <col min="10254" max="10278" width="2.4140625" style="76" customWidth="1"/>
    <col min="10279" max="10280" width="3.33203125" style="76" customWidth="1"/>
    <col min="10281" max="10281" width="14.33203125" style="76" customWidth="1"/>
    <col min="10282" max="10506" width="8.6640625" style="76"/>
    <col min="10507" max="10507" width="14.33203125" style="76" customWidth="1"/>
    <col min="10508" max="10509" width="3.33203125" style="76" customWidth="1"/>
    <col min="10510" max="10534" width="2.4140625" style="76" customWidth="1"/>
    <col min="10535" max="10536" width="3.33203125" style="76" customWidth="1"/>
    <col min="10537" max="10537" width="14.33203125" style="76" customWidth="1"/>
    <col min="10538" max="10762" width="8.6640625" style="76"/>
    <col min="10763" max="10763" width="14.33203125" style="76" customWidth="1"/>
    <col min="10764" max="10765" width="3.33203125" style="76" customWidth="1"/>
    <col min="10766" max="10790" width="2.4140625" style="76" customWidth="1"/>
    <col min="10791" max="10792" width="3.33203125" style="76" customWidth="1"/>
    <col min="10793" max="10793" width="14.33203125" style="76" customWidth="1"/>
    <col min="10794" max="11018" width="8.6640625" style="76"/>
    <col min="11019" max="11019" width="14.33203125" style="76" customWidth="1"/>
    <col min="11020" max="11021" width="3.33203125" style="76" customWidth="1"/>
    <col min="11022" max="11046" width="2.4140625" style="76" customWidth="1"/>
    <col min="11047" max="11048" width="3.33203125" style="76" customWidth="1"/>
    <col min="11049" max="11049" width="14.33203125" style="76" customWidth="1"/>
    <col min="11050" max="11274" width="8.6640625" style="76"/>
    <col min="11275" max="11275" width="14.33203125" style="76" customWidth="1"/>
    <col min="11276" max="11277" width="3.33203125" style="76" customWidth="1"/>
    <col min="11278" max="11302" width="2.4140625" style="76" customWidth="1"/>
    <col min="11303" max="11304" width="3.33203125" style="76" customWidth="1"/>
    <col min="11305" max="11305" width="14.33203125" style="76" customWidth="1"/>
    <col min="11306" max="11530" width="8.6640625" style="76"/>
    <col min="11531" max="11531" width="14.33203125" style="76" customWidth="1"/>
    <col min="11532" max="11533" width="3.33203125" style="76" customWidth="1"/>
    <col min="11534" max="11558" width="2.4140625" style="76" customWidth="1"/>
    <col min="11559" max="11560" width="3.33203125" style="76" customWidth="1"/>
    <col min="11561" max="11561" width="14.33203125" style="76" customWidth="1"/>
    <col min="11562" max="11786" width="8.6640625" style="76"/>
    <col min="11787" max="11787" width="14.33203125" style="76" customWidth="1"/>
    <col min="11788" max="11789" width="3.33203125" style="76" customWidth="1"/>
    <col min="11790" max="11814" width="2.4140625" style="76" customWidth="1"/>
    <col min="11815" max="11816" width="3.33203125" style="76" customWidth="1"/>
    <col min="11817" max="11817" width="14.33203125" style="76" customWidth="1"/>
    <col min="11818" max="12042" width="8.6640625" style="76"/>
    <col min="12043" max="12043" width="14.33203125" style="76" customWidth="1"/>
    <col min="12044" max="12045" width="3.33203125" style="76" customWidth="1"/>
    <col min="12046" max="12070" width="2.4140625" style="76" customWidth="1"/>
    <col min="12071" max="12072" width="3.33203125" style="76" customWidth="1"/>
    <col min="12073" max="12073" width="14.33203125" style="76" customWidth="1"/>
    <col min="12074" max="12298" width="8.6640625" style="76"/>
    <col min="12299" max="12299" width="14.33203125" style="76" customWidth="1"/>
    <col min="12300" max="12301" width="3.33203125" style="76" customWidth="1"/>
    <col min="12302" max="12326" width="2.4140625" style="76" customWidth="1"/>
    <col min="12327" max="12328" width="3.33203125" style="76" customWidth="1"/>
    <col min="12329" max="12329" width="14.33203125" style="76" customWidth="1"/>
    <col min="12330" max="12554" width="8.6640625" style="76"/>
    <col min="12555" max="12555" width="14.33203125" style="76" customWidth="1"/>
    <col min="12556" max="12557" width="3.33203125" style="76" customWidth="1"/>
    <col min="12558" max="12582" width="2.4140625" style="76" customWidth="1"/>
    <col min="12583" max="12584" width="3.33203125" style="76" customWidth="1"/>
    <col min="12585" max="12585" width="14.33203125" style="76" customWidth="1"/>
    <col min="12586" max="12810" width="8.6640625" style="76"/>
    <col min="12811" max="12811" width="14.33203125" style="76" customWidth="1"/>
    <col min="12812" max="12813" width="3.33203125" style="76" customWidth="1"/>
    <col min="12814" max="12838" width="2.4140625" style="76" customWidth="1"/>
    <col min="12839" max="12840" width="3.33203125" style="76" customWidth="1"/>
    <col min="12841" max="12841" width="14.33203125" style="76" customWidth="1"/>
    <col min="12842" max="13066" width="8.6640625" style="76"/>
    <col min="13067" max="13067" width="14.33203125" style="76" customWidth="1"/>
    <col min="13068" max="13069" width="3.33203125" style="76" customWidth="1"/>
    <col min="13070" max="13094" width="2.4140625" style="76" customWidth="1"/>
    <col min="13095" max="13096" width="3.33203125" style="76" customWidth="1"/>
    <col min="13097" max="13097" width="14.33203125" style="76" customWidth="1"/>
    <col min="13098" max="13322" width="8.6640625" style="76"/>
    <col min="13323" max="13323" width="14.33203125" style="76" customWidth="1"/>
    <col min="13324" max="13325" width="3.33203125" style="76" customWidth="1"/>
    <col min="13326" max="13350" width="2.4140625" style="76" customWidth="1"/>
    <col min="13351" max="13352" width="3.33203125" style="76" customWidth="1"/>
    <col min="13353" max="13353" width="14.33203125" style="76" customWidth="1"/>
    <col min="13354" max="13578" width="8.6640625" style="76"/>
    <col min="13579" max="13579" width="14.33203125" style="76" customWidth="1"/>
    <col min="13580" max="13581" width="3.33203125" style="76" customWidth="1"/>
    <col min="13582" max="13606" width="2.4140625" style="76" customWidth="1"/>
    <col min="13607" max="13608" width="3.33203125" style="76" customWidth="1"/>
    <col min="13609" max="13609" width="14.33203125" style="76" customWidth="1"/>
    <col min="13610" max="13834" width="8.6640625" style="76"/>
    <col min="13835" max="13835" width="14.33203125" style="76" customWidth="1"/>
    <col min="13836" max="13837" width="3.33203125" style="76" customWidth="1"/>
    <col min="13838" max="13862" width="2.4140625" style="76" customWidth="1"/>
    <col min="13863" max="13864" width="3.33203125" style="76" customWidth="1"/>
    <col min="13865" max="13865" width="14.33203125" style="76" customWidth="1"/>
    <col min="13866" max="14090" width="8.6640625" style="76"/>
    <col min="14091" max="14091" width="14.33203125" style="76" customWidth="1"/>
    <col min="14092" max="14093" width="3.33203125" style="76" customWidth="1"/>
    <col min="14094" max="14118" width="2.4140625" style="76" customWidth="1"/>
    <col min="14119" max="14120" width="3.33203125" style="76" customWidth="1"/>
    <col min="14121" max="14121" width="14.33203125" style="76" customWidth="1"/>
    <col min="14122" max="14346" width="8.6640625" style="76"/>
    <col min="14347" max="14347" width="14.33203125" style="76" customWidth="1"/>
    <col min="14348" max="14349" width="3.33203125" style="76" customWidth="1"/>
    <col min="14350" max="14374" width="2.4140625" style="76" customWidth="1"/>
    <col min="14375" max="14376" width="3.33203125" style="76" customWidth="1"/>
    <col min="14377" max="14377" width="14.33203125" style="76" customWidth="1"/>
    <col min="14378" max="14602" width="8.6640625" style="76"/>
    <col min="14603" max="14603" width="14.33203125" style="76" customWidth="1"/>
    <col min="14604" max="14605" width="3.33203125" style="76" customWidth="1"/>
    <col min="14606" max="14630" width="2.4140625" style="76" customWidth="1"/>
    <col min="14631" max="14632" width="3.33203125" style="76" customWidth="1"/>
    <col min="14633" max="14633" width="14.33203125" style="76" customWidth="1"/>
    <col min="14634" max="14858" width="8.6640625" style="76"/>
    <col min="14859" max="14859" width="14.33203125" style="76" customWidth="1"/>
    <col min="14860" max="14861" width="3.33203125" style="76" customWidth="1"/>
    <col min="14862" max="14886" width="2.4140625" style="76" customWidth="1"/>
    <col min="14887" max="14888" width="3.33203125" style="76" customWidth="1"/>
    <col min="14889" max="14889" width="14.33203125" style="76" customWidth="1"/>
    <col min="14890" max="15114" width="8.6640625" style="76"/>
    <col min="15115" max="15115" width="14.33203125" style="76" customWidth="1"/>
    <col min="15116" max="15117" width="3.33203125" style="76" customWidth="1"/>
    <col min="15118" max="15142" width="2.4140625" style="76" customWidth="1"/>
    <col min="15143" max="15144" width="3.33203125" style="76" customWidth="1"/>
    <col min="15145" max="15145" width="14.33203125" style="76" customWidth="1"/>
    <col min="15146" max="15370" width="8.6640625" style="76"/>
    <col min="15371" max="15371" width="14.33203125" style="76" customWidth="1"/>
    <col min="15372" max="15373" width="3.33203125" style="76" customWidth="1"/>
    <col min="15374" max="15398" width="2.4140625" style="76" customWidth="1"/>
    <col min="15399" max="15400" width="3.33203125" style="76" customWidth="1"/>
    <col min="15401" max="15401" width="14.33203125" style="76" customWidth="1"/>
    <col min="15402" max="15626" width="8.6640625" style="76"/>
    <col min="15627" max="15627" width="14.33203125" style="76" customWidth="1"/>
    <col min="15628" max="15629" width="3.33203125" style="76" customWidth="1"/>
    <col min="15630" max="15654" width="2.4140625" style="76" customWidth="1"/>
    <col min="15655" max="15656" width="3.33203125" style="76" customWidth="1"/>
    <col min="15657" max="15657" width="14.33203125" style="76" customWidth="1"/>
    <col min="15658" max="15882" width="8.6640625" style="76"/>
    <col min="15883" max="15883" width="14.33203125" style="76" customWidth="1"/>
    <col min="15884" max="15885" width="3.33203125" style="76" customWidth="1"/>
    <col min="15886" max="15910" width="2.4140625" style="76" customWidth="1"/>
    <col min="15911" max="15912" width="3.33203125" style="76" customWidth="1"/>
    <col min="15913" max="15913" width="14.33203125" style="76" customWidth="1"/>
    <col min="15914" max="16138" width="8.6640625" style="76"/>
    <col min="16139" max="16139" width="14.33203125" style="76" customWidth="1"/>
    <col min="16140" max="16141" width="3.33203125" style="76" customWidth="1"/>
    <col min="16142" max="16166" width="2.4140625" style="76" customWidth="1"/>
    <col min="16167" max="16168" width="3.33203125" style="76" customWidth="1"/>
    <col min="16169" max="16169" width="14.33203125" style="76" customWidth="1"/>
    <col min="16170" max="16384" width="8.6640625" style="76"/>
  </cols>
  <sheetData>
    <row r="1" spans="1:44" ht="29.5" x14ac:dyDescent="0.55000000000000004">
      <c r="A1" s="75" t="s">
        <v>2439</v>
      </c>
      <c r="AP1" s="78"/>
      <c r="AQ1" s="78"/>
      <c r="AR1" s="78"/>
    </row>
    <row r="2" spans="1:44" ht="25" customHeight="1" x14ac:dyDescent="0.55000000000000004">
      <c r="A2" s="75"/>
      <c r="AP2" s="78"/>
      <c r="AQ2" s="78"/>
      <c r="AR2" s="78"/>
    </row>
    <row r="3" spans="1:44" ht="25" customHeight="1" x14ac:dyDescent="0.55000000000000004">
      <c r="A3" s="79"/>
      <c r="AP3" s="78"/>
      <c r="AQ3" s="78"/>
      <c r="AR3" s="78"/>
    </row>
    <row r="4" spans="1:44" ht="25" customHeight="1" x14ac:dyDescent="0.55000000000000004">
      <c r="A4" s="79"/>
      <c r="AP4" s="78"/>
      <c r="AQ4" s="78"/>
      <c r="AR4" s="78"/>
    </row>
    <row r="5" spans="1:44" ht="25" customHeight="1" x14ac:dyDescent="0.55000000000000004">
      <c r="A5" s="79"/>
      <c r="AP5" s="78"/>
      <c r="AQ5" s="78"/>
      <c r="AR5" s="137" t="s">
        <v>2552</v>
      </c>
    </row>
    <row r="6" spans="1:44" ht="22.5" x14ac:dyDescent="0.55000000000000004">
      <c r="A6" s="79"/>
      <c r="AP6" s="80"/>
    </row>
    <row r="7" spans="1:44" ht="28" customHeight="1" x14ac:dyDescent="0.55000000000000004"/>
    <row r="8" spans="1:44" ht="28" customHeight="1" thickBot="1" x14ac:dyDescent="0.6">
      <c r="E8" s="81">
        <v>1</v>
      </c>
      <c r="F8" s="81"/>
      <c r="G8" s="81">
        <v>2</v>
      </c>
      <c r="H8" s="81"/>
      <c r="I8" s="81">
        <v>3</v>
      </c>
      <c r="J8" s="81"/>
      <c r="K8" s="81">
        <v>4</v>
      </c>
      <c r="L8" s="81"/>
      <c r="M8" s="81">
        <v>5</v>
      </c>
      <c r="N8" s="81"/>
      <c r="O8" s="81">
        <v>6</v>
      </c>
      <c r="P8" s="81"/>
      <c r="Q8" s="81">
        <v>7</v>
      </c>
      <c r="R8" s="81"/>
      <c r="S8" s="81">
        <v>8</v>
      </c>
      <c r="T8" s="81"/>
      <c r="U8" s="81">
        <v>9</v>
      </c>
      <c r="V8" s="81"/>
      <c r="W8" s="81">
        <v>10</v>
      </c>
      <c r="X8" s="81"/>
      <c r="Y8" s="81">
        <v>11</v>
      </c>
      <c r="Z8" s="81"/>
      <c r="AA8" s="81">
        <v>12</v>
      </c>
      <c r="AB8" s="81"/>
      <c r="AC8" s="81">
        <v>13</v>
      </c>
      <c r="AD8" s="81"/>
      <c r="AE8" s="81">
        <v>14</v>
      </c>
      <c r="AF8" s="81"/>
      <c r="AG8" s="81">
        <v>15</v>
      </c>
      <c r="AH8" s="81"/>
      <c r="AI8" s="81">
        <v>16</v>
      </c>
      <c r="AJ8" s="81"/>
      <c r="AK8" s="81">
        <v>17</v>
      </c>
      <c r="AL8" s="81"/>
      <c r="AM8" s="81">
        <v>18</v>
      </c>
    </row>
    <row r="9" spans="1:44" ht="20" customHeight="1" x14ac:dyDescent="0.55000000000000004"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1"/>
      <c r="AN9" s="112"/>
    </row>
    <row r="10" spans="1:44" ht="46" customHeight="1" x14ac:dyDescent="0.55000000000000004">
      <c r="C10" s="82" t="s">
        <v>1935</v>
      </c>
      <c r="D10" s="113"/>
      <c r="E10" s="114" t="str">
        <f>'PF272'!Y230</f>
        <v>VSSD</v>
      </c>
      <c r="F10" s="115"/>
      <c r="G10" s="116">
        <f>'PF272'!Y51</f>
        <v>0</v>
      </c>
      <c r="H10" s="115"/>
      <c r="I10" s="116">
        <f>'PF272'!Y48</f>
        <v>0</v>
      </c>
      <c r="J10" s="115"/>
      <c r="K10" s="116">
        <f>'PF272'!Y221</f>
        <v>0</v>
      </c>
      <c r="L10" s="115"/>
      <c r="M10" s="116">
        <f>'PF272'!Y219</f>
        <v>0</v>
      </c>
      <c r="N10" s="115"/>
      <c r="O10" s="116">
        <f>'PF272'!Y40</f>
        <v>0</v>
      </c>
      <c r="P10" s="115"/>
      <c r="Q10" s="116">
        <f>'PF272'!Y39</f>
        <v>0</v>
      </c>
      <c r="R10" s="115"/>
      <c r="S10" s="116">
        <f>'PF272'!Y35</f>
        <v>0</v>
      </c>
      <c r="T10" s="115"/>
      <c r="U10" s="116">
        <f>'PF272'!Y212</f>
        <v>0</v>
      </c>
      <c r="V10" s="115"/>
      <c r="W10" s="116">
        <f>'PF272'!Y208</f>
        <v>0</v>
      </c>
      <c r="X10" s="115"/>
      <c r="Y10" s="116">
        <f>'PF272'!Y207</f>
        <v>0</v>
      </c>
      <c r="Z10" s="115"/>
      <c r="AA10" s="116">
        <f>'PF272'!Y28</f>
        <v>0</v>
      </c>
      <c r="AB10" s="115"/>
      <c r="AC10" s="116">
        <f>'PF272'!Y27</f>
        <v>0</v>
      </c>
      <c r="AD10" s="115"/>
      <c r="AE10" s="116">
        <f>'PF272'!Y19</f>
        <v>0</v>
      </c>
      <c r="AF10" s="115"/>
      <c r="AG10" s="116">
        <f>'PF272'!Y15</f>
        <v>0</v>
      </c>
      <c r="AH10" s="115"/>
      <c r="AI10" s="116">
        <f>'PF272'!Y14</f>
        <v>0</v>
      </c>
      <c r="AJ10" s="115"/>
      <c r="AK10" s="116">
        <f>'PF272'!Y12</f>
        <v>0</v>
      </c>
      <c r="AL10" s="115"/>
      <c r="AM10" s="117" t="str">
        <f>'PF272'!Y276</f>
        <v>VSSD</v>
      </c>
      <c r="AN10" s="118"/>
      <c r="AO10" s="83"/>
    </row>
    <row r="11" spans="1:44" ht="10" customHeight="1" x14ac:dyDescent="0.55000000000000004">
      <c r="C11" s="84"/>
      <c r="D11" s="113"/>
      <c r="E11" s="115"/>
      <c r="F11" s="115"/>
      <c r="G11" s="115" t="s">
        <v>1960</v>
      </c>
      <c r="H11" s="115"/>
      <c r="I11" s="115" t="s">
        <v>1936</v>
      </c>
      <c r="J11" s="115"/>
      <c r="K11" s="115" t="s">
        <v>2134</v>
      </c>
      <c r="L11" s="115"/>
      <c r="M11" s="115" t="s">
        <v>2144</v>
      </c>
      <c r="N11" s="115"/>
      <c r="O11" s="115" t="s">
        <v>2114</v>
      </c>
      <c r="P11" s="115"/>
      <c r="Q11" s="115" t="s">
        <v>2154</v>
      </c>
      <c r="R11" s="115"/>
      <c r="S11" s="115" t="s">
        <v>2159</v>
      </c>
      <c r="T11" s="115"/>
      <c r="U11" s="115" t="s">
        <v>2160</v>
      </c>
      <c r="V11" s="115"/>
      <c r="W11" s="115" t="s">
        <v>2176</v>
      </c>
      <c r="X11" s="115"/>
      <c r="Y11" s="115" t="s">
        <v>2175</v>
      </c>
      <c r="Z11" s="115"/>
      <c r="AA11" s="115" t="s">
        <v>2193</v>
      </c>
      <c r="AB11" s="115"/>
      <c r="AC11" s="115" t="s">
        <v>2192</v>
      </c>
      <c r="AD11" s="115"/>
      <c r="AE11" s="115" t="s">
        <v>2209</v>
      </c>
      <c r="AF11" s="115"/>
      <c r="AG11" s="115" t="s">
        <v>2218</v>
      </c>
      <c r="AH11" s="115"/>
      <c r="AI11" s="115" t="s">
        <v>2235</v>
      </c>
      <c r="AJ11" s="115"/>
      <c r="AK11" s="115" t="s">
        <v>2236</v>
      </c>
      <c r="AL11" s="115"/>
      <c r="AM11" s="115"/>
      <c r="AN11" s="118"/>
    </row>
    <row r="12" spans="1:44" ht="46" customHeight="1" x14ac:dyDescent="0.55000000000000004">
      <c r="C12" s="82" t="s">
        <v>1940</v>
      </c>
      <c r="D12" s="113"/>
      <c r="E12" s="116">
        <f>'PF272'!Y53</f>
        <v>0</v>
      </c>
      <c r="F12" s="115"/>
      <c r="G12" s="116">
        <f>'PF272'!Y52</f>
        <v>0</v>
      </c>
      <c r="H12" s="115"/>
      <c r="I12" s="116">
        <f>'PF272'!Y49</f>
        <v>0</v>
      </c>
      <c r="J12" s="115"/>
      <c r="K12" s="116">
        <f>'PF272'!Y46</f>
        <v>0</v>
      </c>
      <c r="L12" s="115"/>
      <c r="M12" s="116">
        <f>'PF272'!Y220</f>
        <v>0</v>
      </c>
      <c r="N12" s="115"/>
      <c r="O12" s="116">
        <f>'PF272'!Y41</f>
        <v>0</v>
      </c>
      <c r="P12" s="115"/>
      <c r="Q12" s="116">
        <f>'PF272'!Y215</f>
        <v>0</v>
      </c>
      <c r="R12" s="115"/>
      <c r="S12" s="116">
        <f>'PF272'!Y36</f>
        <v>0</v>
      </c>
      <c r="T12" s="115"/>
      <c r="U12" s="116">
        <f>'PF272'!Y213</f>
        <v>0</v>
      </c>
      <c r="V12" s="115"/>
      <c r="W12" s="116">
        <f>'PF272'!Y209</f>
        <v>0</v>
      </c>
      <c r="X12" s="115"/>
      <c r="Y12" s="116">
        <f>'PF272'!Y32</f>
        <v>0</v>
      </c>
      <c r="Z12" s="115"/>
      <c r="AA12" s="116">
        <f>'PF272'!Y29</f>
        <v>0</v>
      </c>
      <c r="AB12" s="115"/>
      <c r="AC12" s="116">
        <f>'PF272'!Y23</f>
        <v>0</v>
      </c>
      <c r="AD12" s="115"/>
      <c r="AE12" s="116">
        <f>'PF272'!Y20</f>
        <v>0</v>
      </c>
      <c r="AF12" s="115"/>
      <c r="AG12" s="116">
        <f>'PF272'!Y16</f>
        <v>0</v>
      </c>
      <c r="AH12" s="115"/>
      <c r="AI12" s="116">
        <f>'PF272'!Y13</f>
        <v>0</v>
      </c>
      <c r="AJ12" s="115"/>
      <c r="AK12" s="116">
        <f>'PF272'!Y11</f>
        <v>0</v>
      </c>
      <c r="AL12" s="115"/>
      <c r="AM12" s="116">
        <f>'PF272'!Y10</f>
        <v>0</v>
      </c>
      <c r="AN12" s="118"/>
    </row>
    <row r="13" spans="1:44" ht="10" customHeight="1" x14ac:dyDescent="0.55000000000000004">
      <c r="C13" s="82"/>
      <c r="D13" s="113"/>
      <c r="E13" s="115" t="s">
        <v>1961</v>
      </c>
      <c r="F13" s="115"/>
      <c r="G13" s="115" t="s">
        <v>2075</v>
      </c>
      <c r="H13" s="115"/>
      <c r="I13" s="115" t="s">
        <v>1959</v>
      </c>
      <c r="J13" s="115"/>
      <c r="K13" s="115" t="s">
        <v>1937</v>
      </c>
      <c r="L13" s="115"/>
      <c r="M13" s="115" t="s">
        <v>2145</v>
      </c>
      <c r="N13" s="115"/>
      <c r="O13" s="115" t="s">
        <v>2115</v>
      </c>
      <c r="P13" s="115"/>
      <c r="Q13" s="115" t="s">
        <v>2143</v>
      </c>
      <c r="R13" s="115"/>
      <c r="S13" s="115" t="s">
        <v>2151</v>
      </c>
      <c r="T13" s="115"/>
      <c r="U13" s="115" t="s">
        <v>2161</v>
      </c>
      <c r="V13" s="115"/>
      <c r="W13" s="115" t="s">
        <v>2168</v>
      </c>
      <c r="X13" s="115"/>
      <c r="Y13" s="115" t="s">
        <v>2186</v>
      </c>
      <c r="Z13" s="115"/>
      <c r="AA13" s="115" t="s">
        <v>2183</v>
      </c>
      <c r="AB13" s="115"/>
      <c r="AC13" s="115" t="s">
        <v>2201</v>
      </c>
      <c r="AD13" s="115"/>
      <c r="AE13" s="115" t="s">
        <v>2210</v>
      </c>
      <c r="AF13" s="115"/>
      <c r="AG13" s="115" t="s">
        <v>2219</v>
      </c>
      <c r="AH13" s="115"/>
      <c r="AI13" s="115" t="s">
        <v>2237</v>
      </c>
      <c r="AJ13" s="115"/>
      <c r="AK13" s="115" t="s">
        <v>2241</v>
      </c>
      <c r="AL13" s="115"/>
      <c r="AM13" s="115" t="s">
        <v>2191</v>
      </c>
      <c r="AN13" s="118"/>
    </row>
    <row r="14" spans="1:44" ht="46" customHeight="1" x14ac:dyDescent="0.55000000000000004">
      <c r="C14" s="82" t="s">
        <v>1941</v>
      </c>
      <c r="D14" s="113"/>
      <c r="E14" s="116">
        <f>'PF272'!Y222</f>
        <v>0</v>
      </c>
      <c r="F14" s="115"/>
      <c r="G14" s="116">
        <f>'PF272'!Y223</f>
        <v>0</v>
      </c>
      <c r="H14" s="115"/>
      <c r="I14" s="127">
        <f>'PF272'!Y50</f>
        <v>0</v>
      </c>
      <c r="J14" s="115"/>
      <c r="K14" s="116">
        <f>'PF272'!Y47</f>
        <v>0</v>
      </c>
      <c r="L14" s="115"/>
      <c r="M14" s="116">
        <f>'PF272'!Y44</f>
        <v>0</v>
      </c>
      <c r="N14" s="115"/>
      <c r="O14" s="116">
        <f>'PF272'!Y42</f>
        <v>0</v>
      </c>
      <c r="P14" s="115"/>
      <c r="Q14" s="116">
        <f>'PF272'!Y216</f>
        <v>0</v>
      </c>
      <c r="R14" s="115"/>
      <c r="S14" s="127">
        <f>'PF272'!Y37</f>
        <v>0</v>
      </c>
      <c r="T14" s="128"/>
      <c r="U14" s="127">
        <f>'PF272'!Y214</f>
        <v>0</v>
      </c>
      <c r="V14" s="128"/>
      <c r="W14" s="129">
        <f>'PF272'!Y210</f>
        <v>0</v>
      </c>
      <c r="X14" s="128"/>
      <c r="Y14" s="127">
        <f>'PF272'!Y33</f>
        <v>0</v>
      </c>
      <c r="Z14" s="128"/>
      <c r="AA14" s="127">
        <f>'PF272'!Y30</f>
        <v>0</v>
      </c>
      <c r="AB14" s="128"/>
      <c r="AC14" s="127">
        <f>'PF272'!Y24</f>
        <v>0</v>
      </c>
      <c r="AD14" s="128"/>
      <c r="AE14" s="127">
        <f>'PF272'!Y21</f>
        <v>0</v>
      </c>
      <c r="AF14" s="115"/>
      <c r="AG14" s="116">
        <f>'PF272'!Y17</f>
        <v>0</v>
      </c>
      <c r="AH14" s="115"/>
      <c r="AI14" s="116">
        <f>'PF272'!Y206</f>
        <v>0</v>
      </c>
      <c r="AJ14" s="115"/>
      <c r="AK14" s="116">
        <f>'PF272'!Y205</f>
        <v>0</v>
      </c>
      <c r="AL14" s="115"/>
      <c r="AM14" s="116">
        <f>'PF272'!Y204</f>
        <v>0</v>
      </c>
      <c r="AN14" s="118"/>
    </row>
    <row r="15" spans="1:44" ht="10" customHeight="1" x14ac:dyDescent="0.55000000000000004">
      <c r="C15" s="82"/>
      <c r="D15" s="113"/>
      <c r="E15" s="115" t="s">
        <v>2076</v>
      </c>
      <c r="F15" s="115"/>
      <c r="G15" s="115" t="s">
        <v>2094</v>
      </c>
      <c r="H15" s="115"/>
      <c r="I15" s="115" t="s">
        <v>2489</v>
      </c>
      <c r="J15" s="115"/>
      <c r="K15" s="115" t="s">
        <v>2093</v>
      </c>
      <c r="L15" s="115"/>
      <c r="M15" s="115" t="s">
        <v>2110</v>
      </c>
      <c r="N15" s="115"/>
      <c r="O15" s="115" t="s">
        <v>2116</v>
      </c>
      <c r="P15" s="115"/>
      <c r="Q15" s="115" t="s">
        <v>2131</v>
      </c>
      <c r="R15" s="115"/>
      <c r="S15" s="115" t="s">
        <v>2152</v>
      </c>
      <c r="T15" s="115"/>
      <c r="U15" s="115" t="s">
        <v>2162</v>
      </c>
      <c r="V15" s="115"/>
      <c r="W15" s="115" t="s">
        <v>2512</v>
      </c>
      <c r="X15" s="115"/>
      <c r="Y15" s="115" t="s">
        <v>2177</v>
      </c>
      <c r="Z15" s="115"/>
      <c r="AA15" s="115" t="s">
        <v>2184</v>
      </c>
      <c r="AB15" s="115"/>
      <c r="AC15" s="115" t="s">
        <v>2202</v>
      </c>
      <c r="AD15" s="115"/>
      <c r="AE15" s="115" t="s">
        <v>2199</v>
      </c>
      <c r="AF15" s="115"/>
      <c r="AG15" s="115" t="s">
        <v>2220</v>
      </c>
      <c r="AH15" s="115"/>
      <c r="AI15" s="115" t="s">
        <v>2257</v>
      </c>
      <c r="AJ15" s="115"/>
      <c r="AK15" s="115" t="s">
        <v>2258</v>
      </c>
      <c r="AL15" s="115"/>
      <c r="AM15" s="115" t="s">
        <v>2277</v>
      </c>
      <c r="AN15" s="118"/>
    </row>
    <row r="16" spans="1:44" ht="46" customHeight="1" x14ac:dyDescent="0.55000000000000004">
      <c r="C16" s="82" t="s">
        <v>1942</v>
      </c>
      <c r="D16" s="113"/>
      <c r="E16" s="116">
        <f>'PF272'!Y224</f>
        <v>0</v>
      </c>
      <c r="F16" s="115"/>
      <c r="G16" s="116">
        <f>'PF272'!Y225</f>
        <v>0</v>
      </c>
      <c r="H16" s="115"/>
      <c r="I16" s="116">
        <f>'PF272'!Y226</f>
        <v>0</v>
      </c>
      <c r="J16" s="115"/>
      <c r="K16" s="116">
        <f>'PF272'!Y227</f>
        <v>0</v>
      </c>
      <c r="L16" s="115"/>
      <c r="M16" s="116">
        <f>'PF272'!Y45</f>
        <v>0</v>
      </c>
      <c r="N16" s="115"/>
      <c r="O16" s="116">
        <f>'PF272'!Y43</f>
        <v>0</v>
      </c>
      <c r="P16" s="115"/>
      <c r="Q16" s="116">
        <f>'PF272'!Y217</f>
        <v>0</v>
      </c>
      <c r="R16" s="115"/>
      <c r="S16" s="116">
        <f>'PF272'!Y38</f>
        <v>0</v>
      </c>
      <c r="T16" s="115"/>
      <c r="U16" s="114" t="str">
        <f>'PF272'!Y247</f>
        <v>VSSD</v>
      </c>
      <c r="V16" s="115"/>
      <c r="W16" s="116">
        <f>'PF272'!Y211</f>
        <v>0</v>
      </c>
      <c r="X16" s="115"/>
      <c r="Y16" s="116">
        <f>'PF272'!Y34</f>
        <v>0</v>
      </c>
      <c r="Z16" s="115"/>
      <c r="AA16" s="116">
        <f>'PF272'!Y31</f>
        <v>0</v>
      </c>
      <c r="AB16" s="115"/>
      <c r="AC16" s="116">
        <f>'PF272'!Y25</f>
        <v>0</v>
      </c>
      <c r="AD16" s="115"/>
      <c r="AE16" s="116">
        <f>'PF272'!Y22</f>
        <v>0</v>
      </c>
      <c r="AF16" s="115"/>
      <c r="AG16" s="116">
        <f>'PF272'!Y18</f>
        <v>0</v>
      </c>
      <c r="AH16" s="115"/>
      <c r="AI16" s="116">
        <f>'PF272'!Y203</f>
        <v>0</v>
      </c>
      <c r="AJ16" s="115"/>
      <c r="AK16" s="116">
        <f>'PF272'!Y202</f>
        <v>0</v>
      </c>
      <c r="AL16" s="115"/>
      <c r="AM16" s="116">
        <f>'PF272'!Y201</f>
        <v>0</v>
      </c>
      <c r="AN16" s="118"/>
    </row>
    <row r="17" spans="3:40" ht="10" customHeight="1" x14ac:dyDescent="0.55000000000000004">
      <c r="C17" s="82"/>
      <c r="D17" s="113"/>
      <c r="E17" s="115" t="s">
        <v>1978</v>
      </c>
      <c r="F17" s="115"/>
      <c r="G17" s="115" t="s">
        <v>1962</v>
      </c>
      <c r="H17" s="115"/>
      <c r="I17" s="115" t="s">
        <v>2077</v>
      </c>
      <c r="J17" s="115"/>
      <c r="K17" s="115" t="s">
        <v>2490</v>
      </c>
      <c r="L17" s="115"/>
      <c r="M17" s="115" t="s">
        <v>2497</v>
      </c>
      <c r="N17" s="115"/>
      <c r="O17" s="115" t="s">
        <v>2499</v>
      </c>
      <c r="P17" s="115"/>
      <c r="Q17" s="115" t="s">
        <v>2504</v>
      </c>
      <c r="R17" s="115"/>
      <c r="S17" s="115" t="s">
        <v>2507</v>
      </c>
      <c r="T17" s="115"/>
      <c r="U17" s="115"/>
      <c r="V17" s="115"/>
      <c r="W17" s="115" t="s">
        <v>2513</v>
      </c>
      <c r="X17" s="115"/>
      <c r="Y17" s="115" t="s">
        <v>2516</v>
      </c>
      <c r="Z17" s="115"/>
      <c r="AA17" s="115" t="s">
        <v>2519</v>
      </c>
      <c r="AB17" s="115"/>
      <c r="AC17" s="115" t="s">
        <v>2524</v>
      </c>
      <c r="AD17" s="115"/>
      <c r="AE17" s="115" t="s">
        <v>2529</v>
      </c>
      <c r="AF17" s="115"/>
      <c r="AG17" s="115" t="s">
        <v>2531</v>
      </c>
      <c r="AH17" s="115"/>
      <c r="AI17" s="115" t="s">
        <v>2540</v>
      </c>
      <c r="AJ17" s="115"/>
      <c r="AK17" s="115" t="s">
        <v>2278</v>
      </c>
      <c r="AL17" s="115"/>
      <c r="AM17" s="115" t="s">
        <v>2242</v>
      </c>
      <c r="AN17" s="118"/>
    </row>
    <row r="18" spans="3:40" ht="46" customHeight="1" x14ac:dyDescent="0.55000000000000004">
      <c r="C18" s="82" t="s">
        <v>1943</v>
      </c>
      <c r="D18" s="113"/>
      <c r="E18" s="116">
        <f>'PF272'!Y54</f>
        <v>0</v>
      </c>
      <c r="F18" s="115"/>
      <c r="G18" s="116">
        <f>'PF272'!Y55</f>
        <v>0</v>
      </c>
      <c r="H18" s="115"/>
      <c r="I18" s="116">
        <f>'PF272'!Y228</f>
        <v>0</v>
      </c>
      <c r="J18" s="115"/>
      <c r="K18" s="116">
        <f>'PF272'!Y229</f>
        <v>0</v>
      </c>
      <c r="L18" s="115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8"/>
      <c r="AA18" s="128"/>
      <c r="AB18" s="128"/>
      <c r="AC18" s="128"/>
      <c r="AD18" s="128"/>
      <c r="AE18" s="128"/>
      <c r="AF18" s="115"/>
      <c r="AG18" s="116">
        <f>'PF272'!Y200</f>
        <v>0</v>
      </c>
      <c r="AH18" s="115"/>
      <c r="AI18" s="116">
        <f>'PF272'!Y199</f>
        <v>0</v>
      </c>
      <c r="AJ18" s="115"/>
      <c r="AK18" s="116">
        <f>'PF272'!Y169</f>
        <v>0</v>
      </c>
      <c r="AL18" s="115"/>
      <c r="AM18" s="116">
        <f>'PF272'!Y168</f>
        <v>0</v>
      </c>
      <c r="AN18" s="118"/>
    </row>
    <row r="19" spans="3:40" ht="10" customHeight="1" x14ac:dyDescent="0.55000000000000004">
      <c r="C19" s="82"/>
      <c r="D19" s="113"/>
      <c r="E19" s="115" t="s">
        <v>1963</v>
      </c>
      <c r="F19" s="115"/>
      <c r="G19" s="115" t="s">
        <v>2078</v>
      </c>
      <c r="H19" s="115"/>
      <c r="I19" s="115" t="s">
        <v>2096</v>
      </c>
      <c r="J19" s="115"/>
      <c r="K19" s="115" t="s">
        <v>2117</v>
      </c>
      <c r="L19" s="115"/>
      <c r="M19" s="128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28"/>
      <c r="AF19" s="115"/>
      <c r="AG19" s="115" t="s">
        <v>2260</v>
      </c>
      <c r="AH19" s="115"/>
      <c r="AI19" s="115" t="s">
        <v>1979</v>
      </c>
      <c r="AJ19" s="115"/>
      <c r="AK19" s="115" t="s">
        <v>2213</v>
      </c>
      <c r="AL19" s="115"/>
      <c r="AM19" s="115" t="s">
        <v>2221</v>
      </c>
      <c r="AN19" s="118"/>
    </row>
    <row r="20" spans="3:40" ht="46" customHeight="1" x14ac:dyDescent="0.55000000000000004">
      <c r="C20" s="82" t="s">
        <v>1944</v>
      </c>
      <c r="D20" s="113"/>
      <c r="E20" s="116">
        <f>'PF272'!Y56</f>
        <v>0</v>
      </c>
      <c r="F20" s="115"/>
      <c r="G20" s="116">
        <f>'PF272'!Y57</f>
        <v>0</v>
      </c>
      <c r="H20" s="115"/>
      <c r="I20" s="116">
        <f>'PF272'!Y58</f>
        <v>0</v>
      </c>
      <c r="J20" s="115"/>
      <c r="K20" s="116">
        <f>'PF272'!Y59</f>
        <v>0</v>
      </c>
      <c r="L20" s="115"/>
      <c r="M20" s="128"/>
      <c r="N20" s="115"/>
      <c r="O20" s="119" t="str">
        <f>'PF272'!Y233</f>
        <v>VCCD</v>
      </c>
      <c r="P20" s="115"/>
      <c r="Q20" s="116">
        <f>'PF272'!Y218</f>
        <v>0</v>
      </c>
      <c r="R20" s="115"/>
      <c r="S20" s="119" t="str">
        <f>'PF272'!Y241</f>
        <v>VDDD</v>
      </c>
      <c r="T20" s="115"/>
      <c r="U20" s="119" t="str">
        <f>'PF272'!Y248</f>
        <v>VDDIO_1</v>
      </c>
      <c r="V20" s="115"/>
      <c r="W20" s="119" t="str">
        <f>'PF272'!Y254</f>
        <v>VDDIO_1</v>
      </c>
      <c r="X20" s="115"/>
      <c r="Y20" s="119" t="str">
        <f>'PF272'!Y260</f>
        <v>VDDIO_1</v>
      </c>
      <c r="Z20" s="115"/>
      <c r="AA20" s="129">
        <f>'PF272'!Y26</f>
        <v>0</v>
      </c>
      <c r="AB20" s="115"/>
      <c r="AC20" s="119" t="str">
        <f>'PF272'!Y268</f>
        <v>VCCD</v>
      </c>
      <c r="AD20" s="115"/>
      <c r="AE20" s="128"/>
      <c r="AF20" s="115"/>
      <c r="AG20" s="129">
        <f>'PF272'!Y167</f>
        <v>0</v>
      </c>
      <c r="AH20" s="115"/>
      <c r="AI20" s="116">
        <f>'PF272'!Y166</f>
        <v>0</v>
      </c>
      <c r="AJ20" s="115"/>
      <c r="AK20" s="116">
        <f>'PF272'!Y165</f>
        <v>0</v>
      </c>
      <c r="AL20" s="115"/>
      <c r="AM20" s="116">
        <f>'PF272'!Y157</f>
        <v>0</v>
      </c>
      <c r="AN20" s="118"/>
    </row>
    <row r="21" spans="3:40" ht="10" customHeight="1" x14ac:dyDescent="0.55000000000000004">
      <c r="C21" s="82"/>
      <c r="D21" s="113"/>
      <c r="E21" s="115" t="s">
        <v>1964</v>
      </c>
      <c r="F21" s="115"/>
      <c r="G21" s="115" t="s">
        <v>2079</v>
      </c>
      <c r="H21" s="115"/>
      <c r="I21" s="115" t="s">
        <v>2097</v>
      </c>
      <c r="J21" s="115"/>
      <c r="K21" s="115" t="s">
        <v>2118</v>
      </c>
      <c r="L21" s="115"/>
      <c r="M21" s="128"/>
      <c r="N21" s="115"/>
      <c r="O21" s="115"/>
      <c r="P21" s="115"/>
      <c r="Q21" s="115" t="s">
        <v>2133</v>
      </c>
      <c r="R21" s="115"/>
      <c r="S21" s="115"/>
      <c r="T21" s="115"/>
      <c r="U21" s="115"/>
      <c r="V21" s="115"/>
      <c r="W21" s="115"/>
      <c r="X21" s="115"/>
      <c r="Y21" s="115"/>
      <c r="Z21" s="115"/>
      <c r="AA21" s="115" t="s">
        <v>2520</v>
      </c>
      <c r="AB21" s="115"/>
      <c r="AC21" s="115"/>
      <c r="AD21" s="115"/>
      <c r="AE21" s="128"/>
      <c r="AF21" s="115"/>
      <c r="AG21" s="128" t="s">
        <v>2532</v>
      </c>
      <c r="AH21" s="115"/>
      <c r="AI21" s="115" t="s">
        <v>2243</v>
      </c>
      <c r="AJ21" s="115"/>
      <c r="AK21" s="115" t="s">
        <v>2261</v>
      </c>
      <c r="AL21" s="115"/>
      <c r="AM21" s="115" t="s">
        <v>2281</v>
      </c>
      <c r="AN21" s="118"/>
    </row>
    <row r="22" spans="3:40" ht="46" customHeight="1" x14ac:dyDescent="0.55000000000000004">
      <c r="C22" s="82" t="s">
        <v>1945</v>
      </c>
      <c r="D22" s="113"/>
      <c r="E22" s="116">
        <f>'PF272'!Y60</f>
        <v>0</v>
      </c>
      <c r="F22" s="115"/>
      <c r="G22" s="116">
        <f>'PF272'!Y61</f>
        <v>0</v>
      </c>
      <c r="H22" s="115"/>
      <c r="I22" s="116">
        <f>'PF272'!Y62</f>
        <v>0</v>
      </c>
      <c r="J22" s="115"/>
      <c r="K22" s="116">
        <f>'PF272'!Y63</f>
        <v>0</v>
      </c>
      <c r="L22" s="115"/>
      <c r="M22" s="128"/>
      <c r="N22" s="115"/>
      <c r="O22" s="127">
        <f>'PF272'!Y64</f>
        <v>0</v>
      </c>
      <c r="P22" s="115"/>
      <c r="Q22" s="114" t="str">
        <f>'PF272'!Y239</f>
        <v>VSSD</v>
      </c>
      <c r="R22" s="115"/>
      <c r="S22" s="115"/>
      <c r="T22" s="115"/>
      <c r="U22" s="115"/>
      <c r="V22" s="115"/>
      <c r="W22" s="115"/>
      <c r="X22" s="115"/>
      <c r="Y22" s="115"/>
      <c r="Z22" s="115"/>
      <c r="AA22" s="114" t="str">
        <f>'PF272'!Y266</f>
        <v>VSSD</v>
      </c>
      <c r="AB22" s="115"/>
      <c r="AC22" s="116">
        <f>'PF272'!Y164</f>
        <v>0</v>
      </c>
      <c r="AD22" s="115"/>
      <c r="AE22" s="128"/>
      <c r="AF22" s="115"/>
      <c r="AG22" s="127">
        <f>'PF272'!Y163</f>
        <v>0</v>
      </c>
      <c r="AH22" s="115"/>
      <c r="AI22" s="116">
        <f>'PF272'!Y162</f>
        <v>0</v>
      </c>
      <c r="AJ22" s="115"/>
      <c r="AK22" s="116">
        <f>'PF272'!Y161</f>
        <v>0</v>
      </c>
      <c r="AL22" s="115"/>
      <c r="AM22" s="116">
        <f>'PF272'!Y156</f>
        <v>0</v>
      </c>
      <c r="AN22" s="118"/>
    </row>
    <row r="23" spans="3:40" ht="10" customHeight="1" x14ac:dyDescent="0.55000000000000004">
      <c r="C23" s="82"/>
      <c r="D23" s="113"/>
      <c r="E23" s="115" t="s">
        <v>2135</v>
      </c>
      <c r="F23" s="115"/>
      <c r="G23" s="115" t="s">
        <v>2119</v>
      </c>
      <c r="H23" s="115"/>
      <c r="I23" s="115" t="s">
        <v>1965</v>
      </c>
      <c r="J23" s="115"/>
      <c r="K23" s="115" t="s">
        <v>2080</v>
      </c>
      <c r="L23" s="115"/>
      <c r="M23" s="128"/>
      <c r="N23" s="115"/>
      <c r="O23" s="115" t="s">
        <v>2500</v>
      </c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A23" s="115"/>
      <c r="AB23" s="115"/>
      <c r="AC23" s="115" t="s">
        <v>2525</v>
      </c>
      <c r="AD23" s="115"/>
      <c r="AE23" s="128"/>
      <c r="AF23" s="115"/>
      <c r="AG23" s="128" t="s">
        <v>2244</v>
      </c>
      <c r="AH23" s="115"/>
      <c r="AI23" s="115" t="s">
        <v>2262</v>
      </c>
      <c r="AJ23" s="115"/>
      <c r="AK23" s="115" t="s">
        <v>2222</v>
      </c>
      <c r="AL23" s="115"/>
      <c r="AM23" s="115" t="s">
        <v>2282</v>
      </c>
      <c r="AN23" s="118"/>
    </row>
    <row r="24" spans="3:40" ht="46" customHeight="1" x14ac:dyDescent="0.55000000000000004">
      <c r="C24" s="82" t="s">
        <v>1946</v>
      </c>
      <c r="D24" s="113"/>
      <c r="E24" s="116">
        <f>'PF272'!Y67</f>
        <v>0</v>
      </c>
      <c r="F24" s="115"/>
      <c r="G24" s="116">
        <f>'PF272'!Y68</f>
        <v>0</v>
      </c>
      <c r="H24" s="115"/>
      <c r="I24" s="116">
        <f>'PF272'!Y65</f>
        <v>0</v>
      </c>
      <c r="J24" s="115"/>
      <c r="K24" s="116">
        <f>'PF272'!Y66</f>
        <v>0</v>
      </c>
      <c r="L24" s="115"/>
      <c r="M24" s="128"/>
      <c r="N24" s="115"/>
      <c r="O24" s="130" t="str">
        <f>'PF272'!Y234</f>
        <v>VDDIO_3</v>
      </c>
      <c r="P24" s="115"/>
      <c r="Q24" s="115"/>
      <c r="R24" s="115"/>
      <c r="S24" s="114" t="str">
        <f>'PF272'!Y242</f>
        <v>VSSIO_3</v>
      </c>
      <c r="T24" s="115"/>
      <c r="U24" s="114" t="str">
        <f>'PF272'!Y249</f>
        <v>VSSD</v>
      </c>
      <c r="V24" s="115"/>
      <c r="W24" s="114" t="str">
        <f>'PF272'!Y255</f>
        <v>VSSD</v>
      </c>
      <c r="X24" s="115"/>
      <c r="Y24" s="114" t="str">
        <f>'PF272'!Y261</f>
        <v>VSSD</v>
      </c>
      <c r="Z24" s="115"/>
      <c r="AA24" s="115"/>
      <c r="AB24" s="115"/>
      <c r="AC24" s="130" t="str">
        <f>'PF272'!Y269</f>
        <v>VDDD</v>
      </c>
      <c r="AD24" s="115"/>
      <c r="AE24" s="128"/>
      <c r="AF24" s="115"/>
      <c r="AG24" s="129">
        <f>'PF272'!Y160</f>
        <v>0</v>
      </c>
      <c r="AH24" s="115"/>
      <c r="AI24" s="116">
        <f>'PF272'!Y159</f>
        <v>0</v>
      </c>
      <c r="AJ24" s="115"/>
      <c r="AK24" s="116">
        <f>'PF272'!Y158</f>
        <v>0</v>
      </c>
      <c r="AL24" s="115"/>
      <c r="AM24" s="116">
        <f>'PF272'!Y155</f>
        <v>0</v>
      </c>
      <c r="AN24" s="118"/>
    </row>
    <row r="25" spans="3:40" ht="10" customHeight="1" x14ac:dyDescent="0.55000000000000004">
      <c r="C25" s="82"/>
      <c r="D25" s="113"/>
      <c r="E25" s="115" t="s">
        <v>1967</v>
      </c>
      <c r="F25" s="115"/>
      <c r="G25" s="115" t="s">
        <v>2082</v>
      </c>
      <c r="H25" s="115"/>
      <c r="I25" s="115" t="s">
        <v>1966</v>
      </c>
      <c r="J25" s="115"/>
      <c r="K25" s="115" t="s">
        <v>2081</v>
      </c>
      <c r="L25" s="115"/>
      <c r="M25" s="128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  <c r="AA25" s="115"/>
      <c r="AB25" s="115"/>
      <c r="AC25" s="115"/>
      <c r="AD25" s="115"/>
      <c r="AE25" s="128"/>
      <c r="AF25" s="115"/>
      <c r="AG25" s="128" t="s">
        <v>2533</v>
      </c>
      <c r="AH25" s="115"/>
      <c r="AI25" s="115" t="s">
        <v>2245</v>
      </c>
      <c r="AJ25" s="115"/>
      <c r="AK25" s="115" t="s">
        <v>2263</v>
      </c>
      <c r="AL25" s="115"/>
      <c r="AM25" s="115" t="s">
        <v>2283</v>
      </c>
      <c r="AN25" s="118"/>
    </row>
    <row r="26" spans="3:40" ht="46" customHeight="1" x14ac:dyDescent="0.55000000000000004">
      <c r="C26" s="82" t="s">
        <v>1947</v>
      </c>
      <c r="D26" s="113"/>
      <c r="E26" s="116">
        <f>'PF272'!Y69</f>
        <v>0</v>
      </c>
      <c r="F26" s="115"/>
      <c r="G26" s="116">
        <f>'PF272'!Y70</f>
        <v>0</v>
      </c>
      <c r="H26" s="115"/>
      <c r="I26" s="116">
        <f>'PF272'!Y170</f>
        <v>0</v>
      </c>
      <c r="J26" s="115"/>
      <c r="K26" s="116">
        <f>'PF272'!Y171</f>
        <v>0</v>
      </c>
      <c r="L26" s="115"/>
      <c r="M26" s="128"/>
      <c r="N26" s="115"/>
      <c r="O26" s="130" t="str">
        <f>'PF272'!Y235</f>
        <v>VDDIO_3</v>
      </c>
      <c r="P26" s="115"/>
      <c r="Q26" s="115"/>
      <c r="R26" s="115"/>
      <c r="S26" s="114" t="str">
        <f>'PF272'!Y243</f>
        <v>VSSIO_3</v>
      </c>
      <c r="T26" s="115"/>
      <c r="U26" s="114" t="str">
        <f>'PF272'!Y250</f>
        <v>VSSD</v>
      </c>
      <c r="V26" s="115"/>
      <c r="W26" s="114" t="str">
        <f>'PF272'!Y256</f>
        <v>VSSD</v>
      </c>
      <c r="X26" s="115"/>
      <c r="Y26" s="114" t="str">
        <f>'PF272'!Y262</f>
        <v>VSSD</v>
      </c>
      <c r="Z26" s="115"/>
      <c r="AA26" s="115"/>
      <c r="AB26" s="115"/>
      <c r="AC26" s="130" t="str">
        <f>'PF272'!Y270</f>
        <v>VDDD</v>
      </c>
      <c r="AD26" s="115"/>
      <c r="AE26" s="128"/>
      <c r="AF26" s="115"/>
      <c r="AG26" s="117" t="str">
        <f>'PF272'!Y275</f>
        <v>VSSD</v>
      </c>
      <c r="AH26" s="115"/>
      <c r="AI26" s="116">
        <f>'PF272'!Y154</f>
        <v>0</v>
      </c>
      <c r="AJ26" s="115"/>
      <c r="AK26" s="116">
        <f>'PF272'!Y153</f>
        <v>0</v>
      </c>
      <c r="AL26" s="115"/>
      <c r="AM26" s="120" t="str">
        <f>'PF272'!Y277</f>
        <v>DRV_VOUT</v>
      </c>
      <c r="AN26" s="118"/>
    </row>
    <row r="27" spans="3:40" ht="10" customHeight="1" x14ac:dyDescent="0.55000000000000004">
      <c r="C27" s="82"/>
      <c r="D27" s="113"/>
      <c r="E27" s="115" t="s">
        <v>2099</v>
      </c>
      <c r="F27" s="115"/>
      <c r="G27" s="115" t="s">
        <v>2120</v>
      </c>
      <c r="H27" s="115"/>
      <c r="I27" s="115" t="s">
        <v>2100</v>
      </c>
      <c r="J27" s="115"/>
      <c r="K27" s="115" t="s">
        <v>1968</v>
      </c>
      <c r="L27" s="115"/>
      <c r="M27" s="128"/>
      <c r="N27" s="115"/>
      <c r="O27" s="115"/>
      <c r="P27" s="115"/>
      <c r="Q27" s="115"/>
      <c r="R27" s="115"/>
      <c r="S27" s="115"/>
      <c r="T27" s="115"/>
      <c r="U27" s="115"/>
      <c r="V27" s="115"/>
      <c r="W27" s="115"/>
      <c r="X27" s="115"/>
      <c r="Y27" s="115"/>
      <c r="Z27" s="115"/>
      <c r="AA27" s="115"/>
      <c r="AB27" s="115"/>
      <c r="AC27" s="115"/>
      <c r="AD27" s="115"/>
      <c r="AE27" s="128"/>
      <c r="AF27" s="115"/>
      <c r="AG27" s="128"/>
      <c r="AH27" s="115"/>
      <c r="AI27" s="115" t="s">
        <v>2246</v>
      </c>
      <c r="AJ27" s="115"/>
      <c r="AK27" s="115" t="s">
        <v>2264</v>
      </c>
      <c r="AL27" s="115"/>
      <c r="AM27" s="115"/>
      <c r="AN27" s="118"/>
    </row>
    <row r="28" spans="3:40" ht="46" customHeight="1" x14ac:dyDescent="0.55000000000000004">
      <c r="C28" s="82" t="s">
        <v>1948</v>
      </c>
      <c r="D28" s="113"/>
      <c r="E28" s="116">
        <f>'PF272'!Y172</f>
        <v>0</v>
      </c>
      <c r="F28" s="115"/>
      <c r="G28" s="116">
        <f>'PF272'!Y173</f>
        <v>0</v>
      </c>
      <c r="H28" s="115"/>
      <c r="I28" s="116">
        <f>'PF272'!Y174</f>
        <v>0</v>
      </c>
      <c r="J28" s="115"/>
      <c r="K28" s="116">
        <f>'PF272'!Y175</f>
        <v>0</v>
      </c>
      <c r="L28" s="115"/>
      <c r="M28" s="128"/>
      <c r="N28" s="115"/>
      <c r="O28" s="131" t="str">
        <f>'PF272'!Y236</f>
        <v>VREFH</v>
      </c>
      <c r="P28" s="115"/>
      <c r="Q28" s="115"/>
      <c r="R28" s="115"/>
      <c r="S28" s="131" t="str">
        <f>'PF272'!Y244</f>
        <v>VREFL</v>
      </c>
      <c r="T28" s="115"/>
      <c r="U28" s="114" t="str">
        <f>'PF272'!Y251</f>
        <v>VSSD</v>
      </c>
      <c r="V28" s="115"/>
      <c r="W28" s="114" t="str">
        <f>'PF272'!Y257</f>
        <v>VSSD</v>
      </c>
      <c r="X28" s="115"/>
      <c r="Y28" s="114" t="str">
        <f>'PF272'!Y263</f>
        <v>VSSD</v>
      </c>
      <c r="Z28" s="115"/>
      <c r="AA28" s="115"/>
      <c r="AB28" s="115"/>
      <c r="AC28" s="130" t="str">
        <f>'PF272'!Y271</f>
        <v>VDDD</v>
      </c>
      <c r="AD28" s="115"/>
      <c r="AE28" s="128"/>
      <c r="AF28" s="115"/>
      <c r="AG28" s="129">
        <f>'PF272'!Y146</f>
        <v>0</v>
      </c>
      <c r="AH28" s="115"/>
      <c r="AI28" s="116">
        <f>'PF272'!Y145</f>
        <v>0</v>
      </c>
      <c r="AJ28" s="115"/>
      <c r="AK28" s="116">
        <f>'PF272'!Y152</f>
        <v>0</v>
      </c>
      <c r="AL28" s="115"/>
      <c r="AM28" s="121" t="str">
        <f>'PF272'!Y278</f>
        <v>XRES_L</v>
      </c>
      <c r="AN28" s="118"/>
    </row>
    <row r="29" spans="3:40" ht="10" customHeight="1" x14ac:dyDescent="0.55000000000000004">
      <c r="C29" s="82"/>
      <c r="D29" s="113"/>
      <c r="E29" s="115" t="s">
        <v>2083</v>
      </c>
      <c r="F29" s="115"/>
      <c r="G29" s="115" t="s">
        <v>2101</v>
      </c>
      <c r="H29" s="115"/>
      <c r="I29" s="115" t="s">
        <v>1969</v>
      </c>
      <c r="J29" s="115"/>
      <c r="K29" s="115" t="s">
        <v>2491</v>
      </c>
      <c r="L29" s="115"/>
      <c r="M29" s="128"/>
      <c r="N29" s="115"/>
      <c r="O29" s="115"/>
      <c r="P29" s="115"/>
      <c r="Q29" s="115"/>
      <c r="R29" s="115"/>
      <c r="S29" s="115"/>
      <c r="T29" s="115"/>
      <c r="U29" s="115"/>
      <c r="V29" s="115"/>
      <c r="W29" s="115"/>
      <c r="X29" s="115"/>
      <c r="Y29" s="115"/>
      <c r="Z29" s="115"/>
      <c r="AA29" s="115"/>
      <c r="AB29" s="115"/>
      <c r="AC29" s="115"/>
      <c r="AD29" s="115"/>
      <c r="AE29" s="128"/>
      <c r="AF29" s="115"/>
      <c r="AG29" s="128" t="s">
        <v>2534</v>
      </c>
      <c r="AH29" s="115"/>
      <c r="AI29" s="115" t="s">
        <v>2225</v>
      </c>
      <c r="AJ29" s="115"/>
      <c r="AK29" s="115" t="s">
        <v>2265</v>
      </c>
      <c r="AL29" s="115"/>
      <c r="AM29" s="115"/>
      <c r="AN29" s="118"/>
    </row>
    <row r="30" spans="3:40" ht="46" customHeight="1" x14ac:dyDescent="0.55000000000000004">
      <c r="C30" s="82" t="s">
        <v>1949</v>
      </c>
      <c r="D30" s="113"/>
      <c r="E30" s="116">
        <f>'PF272'!Y176</f>
        <v>0</v>
      </c>
      <c r="F30" s="115"/>
      <c r="G30" s="116">
        <f>'PF272'!Y177</f>
        <v>0</v>
      </c>
      <c r="H30" s="115"/>
      <c r="I30" s="116">
        <f>'PF272'!Y178</f>
        <v>0</v>
      </c>
      <c r="J30" s="115"/>
      <c r="K30" s="116">
        <f>'PF272'!Y179</f>
        <v>0</v>
      </c>
      <c r="L30" s="115"/>
      <c r="M30" s="128"/>
      <c r="N30" s="115"/>
      <c r="O30" s="130" t="str">
        <f>'PF272'!Y237</f>
        <v>VDDA</v>
      </c>
      <c r="P30" s="115"/>
      <c r="Q30" s="115"/>
      <c r="R30" s="115"/>
      <c r="S30" s="114" t="str">
        <f>'PF272'!Y245</f>
        <v>VSSA</v>
      </c>
      <c r="T30" s="115"/>
      <c r="U30" s="114" t="str">
        <f>'PF272'!Y252</f>
        <v>VSSIO_4</v>
      </c>
      <c r="V30" s="115"/>
      <c r="W30" s="114" t="str">
        <f>'PF272'!Y258</f>
        <v>VSSIO_4</v>
      </c>
      <c r="X30" s="115"/>
      <c r="Y30" s="114" t="str">
        <f>'PF272'!Y264</f>
        <v>VSSD_1</v>
      </c>
      <c r="Z30" s="115"/>
      <c r="AA30" s="115"/>
      <c r="AB30" s="115"/>
      <c r="AC30" s="130" t="str">
        <f>'PF272'!Y272</f>
        <v>VDDD</v>
      </c>
      <c r="AD30" s="115"/>
      <c r="AE30" s="128"/>
      <c r="AF30" s="115"/>
      <c r="AG30" s="129">
        <f>'PF272'!Y144</f>
        <v>0</v>
      </c>
      <c r="AH30" s="115"/>
      <c r="AI30" s="116">
        <f>'PF272'!Y143</f>
        <v>0</v>
      </c>
      <c r="AJ30" s="115"/>
      <c r="AK30" s="116">
        <f>'PF272'!Y151</f>
        <v>0</v>
      </c>
      <c r="AL30" s="115"/>
      <c r="AM30" s="117" t="str">
        <f>'PF272'!Y279</f>
        <v>VSSD_2</v>
      </c>
      <c r="AN30" s="118"/>
    </row>
    <row r="31" spans="3:40" ht="10" customHeight="1" x14ac:dyDescent="0.55000000000000004">
      <c r="C31" s="82"/>
      <c r="D31" s="113"/>
      <c r="E31" s="115" t="s">
        <v>2102</v>
      </c>
      <c r="F31" s="115"/>
      <c r="G31" s="115" t="s">
        <v>1970</v>
      </c>
      <c r="H31" s="115"/>
      <c r="I31" s="115" t="s">
        <v>2085</v>
      </c>
      <c r="J31" s="115"/>
      <c r="K31" s="115" t="s">
        <v>2103</v>
      </c>
      <c r="L31" s="115"/>
      <c r="M31" s="128"/>
      <c r="N31" s="115"/>
      <c r="O31" s="115"/>
      <c r="P31" s="115"/>
      <c r="Q31" s="115"/>
      <c r="R31" s="115"/>
      <c r="S31" s="115"/>
      <c r="T31" s="115"/>
      <c r="U31" s="115"/>
      <c r="V31" s="115"/>
      <c r="W31" s="115"/>
      <c r="X31" s="115"/>
      <c r="Y31" s="115"/>
      <c r="Z31" s="115"/>
      <c r="AA31" s="115"/>
      <c r="AB31" s="115"/>
      <c r="AC31" s="115"/>
      <c r="AD31" s="115"/>
      <c r="AE31" s="128"/>
      <c r="AF31" s="115"/>
      <c r="AG31" s="128" t="s">
        <v>2535</v>
      </c>
      <c r="AH31" s="115"/>
      <c r="AI31" s="115" t="s">
        <v>2247</v>
      </c>
      <c r="AJ31" s="115"/>
      <c r="AK31" s="115" t="s">
        <v>2266</v>
      </c>
      <c r="AL31" s="115"/>
      <c r="AM31" s="115"/>
      <c r="AN31" s="118"/>
    </row>
    <row r="32" spans="3:40" ht="46" customHeight="1" x14ac:dyDescent="0.55000000000000004">
      <c r="C32" s="82" t="s">
        <v>1950</v>
      </c>
      <c r="D32" s="113"/>
      <c r="E32" s="116">
        <f>'PF272'!Y71</f>
        <v>0</v>
      </c>
      <c r="F32" s="115"/>
      <c r="G32" s="116">
        <f>'PF272'!Y180</f>
        <v>0</v>
      </c>
      <c r="H32" s="115"/>
      <c r="I32" s="116">
        <f>'PF272'!Y181</f>
        <v>0</v>
      </c>
      <c r="J32" s="115"/>
      <c r="K32" s="116">
        <f>'PF272'!Y182</f>
        <v>0</v>
      </c>
      <c r="L32" s="115"/>
      <c r="M32" s="128"/>
      <c r="N32" s="115"/>
      <c r="O32" s="127">
        <f>'PF272'!Y79</f>
        <v>0</v>
      </c>
      <c r="P32" s="115"/>
      <c r="Q32" s="114" t="str">
        <f>'PF272'!Y240</f>
        <v>VSSD</v>
      </c>
      <c r="R32" s="115"/>
      <c r="S32" s="115"/>
      <c r="T32" s="115"/>
      <c r="U32" s="115"/>
      <c r="V32" s="115"/>
      <c r="W32" s="115"/>
      <c r="X32" s="115"/>
      <c r="Y32" s="115"/>
      <c r="Z32" s="115"/>
      <c r="AA32" s="114" t="str">
        <f>'PF272'!Y267</f>
        <v>VSSD</v>
      </c>
      <c r="AB32" s="115"/>
      <c r="AC32" s="116">
        <f>'PF272'!Y142</f>
        <v>0</v>
      </c>
      <c r="AD32" s="115"/>
      <c r="AE32" s="128"/>
      <c r="AF32" s="115"/>
      <c r="AG32" s="129">
        <f>'PF272'!Y141</f>
        <v>0</v>
      </c>
      <c r="AH32" s="115"/>
      <c r="AI32" s="116">
        <f>'PF272'!Y140</f>
        <v>0</v>
      </c>
      <c r="AJ32" s="115"/>
      <c r="AK32" s="116">
        <f>'PF272'!Y149</f>
        <v>0</v>
      </c>
      <c r="AL32" s="115"/>
      <c r="AM32" s="116">
        <f>'PF272'!Y150</f>
        <v>0</v>
      </c>
      <c r="AN32" s="118"/>
    </row>
    <row r="33" spans="1:16173" ht="10" customHeight="1" x14ac:dyDescent="0.55000000000000004">
      <c r="C33" s="82"/>
      <c r="D33" s="113"/>
      <c r="E33" s="115" t="s">
        <v>2121</v>
      </c>
      <c r="F33" s="115"/>
      <c r="G33" s="115" t="s">
        <v>1971</v>
      </c>
      <c r="H33" s="115"/>
      <c r="I33" s="115" t="s">
        <v>2086</v>
      </c>
      <c r="J33" s="115"/>
      <c r="K33" s="115" t="s">
        <v>2104</v>
      </c>
      <c r="L33" s="115"/>
      <c r="M33" s="128"/>
      <c r="N33" s="115"/>
      <c r="O33" s="115" t="s">
        <v>2501</v>
      </c>
      <c r="P33" s="115"/>
      <c r="Q33" s="115"/>
      <c r="R33" s="115"/>
      <c r="S33" s="115"/>
      <c r="T33" s="115"/>
      <c r="U33" s="115"/>
      <c r="V33" s="115"/>
      <c r="W33" s="115"/>
      <c r="X33" s="115"/>
      <c r="Y33" s="115"/>
      <c r="Z33" s="115"/>
      <c r="AA33" s="115"/>
      <c r="AB33" s="115"/>
      <c r="AC33" s="115" t="s">
        <v>2526</v>
      </c>
      <c r="AD33" s="115"/>
      <c r="AE33" s="128"/>
      <c r="AF33" s="115"/>
      <c r="AG33" s="128" t="s">
        <v>2536</v>
      </c>
      <c r="AH33" s="115"/>
      <c r="AI33" s="115" t="s">
        <v>2248</v>
      </c>
      <c r="AJ33" s="115"/>
      <c r="AK33" s="115" t="s">
        <v>2268</v>
      </c>
      <c r="AL33" s="115"/>
      <c r="AM33" s="115" t="s">
        <v>2284</v>
      </c>
      <c r="AN33" s="118"/>
    </row>
    <row r="34" spans="1:16173" ht="46" customHeight="1" x14ac:dyDescent="0.55000000000000004">
      <c r="C34" s="82" t="s">
        <v>1951</v>
      </c>
      <c r="D34" s="113"/>
      <c r="E34" s="116">
        <f>'PF272'!Y72</f>
        <v>0</v>
      </c>
      <c r="F34" s="115"/>
      <c r="G34" s="116">
        <f>'PF272'!Y73</f>
        <v>0</v>
      </c>
      <c r="H34" s="115"/>
      <c r="I34" s="116">
        <f>'PF272'!Y74</f>
        <v>0</v>
      </c>
      <c r="J34" s="115"/>
      <c r="K34" s="116">
        <f>'PF272'!Y75</f>
        <v>0</v>
      </c>
      <c r="L34" s="115"/>
      <c r="M34" s="128"/>
      <c r="N34" s="115"/>
      <c r="O34" s="119" t="str">
        <f>'PF272'!Y238</f>
        <v>VCCD</v>
      </c>
      <c r="P34" s="115"/>
      <c r="Q34" s="116">
        <f>'PF272'!Y103</f>
        <v>0</v>
      </c>
      <c r="R34" s="115"/>
      <c r="S34" s="119" t="str">
        <f>'PF272'!Y246</f>
        <v>VDDIO_2</v>
      </c>
      <c r="T34" s="115"/>
      <c r="U34" s="132" t="str">
        <f>'PF272'!Y253</f>
        <v>VDDIO_4</v>
      </c>
      <c r="V34" s="115"/>
      <c r="W34" s="132" t="str">
        <f>'PF272'!Y259</f>
        <v>VDDIO_4</v>
      </c>
      <c r="X34" s="115"/>
      <c r="Y34" s="130" t="str">
        <f>'PF272'!Y265</f>
        <v>VDDD</v>
      </c>
      <c r="Z34" s="115"/>
      <c r="AA34" s="127">
        <f>'PF272'!Y117</f>
        <v>0</v>
      </c>
      <c r="AB34" s="115"/>
      <c r="AC34" s="130" t="str">
        <f>'PF272'!Y273</f>
        <v>VCCD</v>
      </c>
      <c r="AD34" s="115"/>
      <c r="AE34" s="128"/>
      <c r="AF34" s="115"/>
      <c r="AG34" s="129">
        <f>'PF272'!Y138</f>
        <v>0</v>
      </c>
      <c r="AH34" s="115"/>
      <c r="AI34" s="116">
        <f>'PF272'!Y139</f>
        <v>0</v>
      </c>
      <c r="AJ34" s="115"/>
      <c r="AK34" s="116">
        <f>'PF272'!Y147</f>
        <v>0</v>
      </c>
      <c r="AL34" s="115"/>
      <c r="AM34" s="116">
        <f>'PF272'!Y148</f>
        <v>0</v>
      </c>
      <c r="AN34" s="118"/>
    </row>
    <row r="35" spans="1:16173" ht="10" customHeight="1" x14ac:dyDescent="0.55000000000000004">
      <c r="C35" s="82"/>
      <c r="D35" s="113"/>
      <c r="E35" s="115" t="s">
        <v>2122</v>
      </c>
      <c r="F35" s="115"/>
      <c r="G35" s="115" t="s">
        <v>2123</v>
      </c>
      <c r="H35" s="115"/>
      <c r="I35" s="115" t="s">
        <v>2124</v>
      </c>
      <c r="J35" s="115"/>
      <c r="K35" s="115" t="s">
        <v>2492</v>
      </c>
      <c r="L35" s="115"/>
      <c r="M35" s="128"/>
      <c r="N35" s="115"/>
      <c r="O35" s="115"/>
      <c r="P35" s="115"/>
      <c r="Q35" s="115" t="s">
        <v>2505</v>
      </c>
      <c r="R35" s="115"/>
      <c r="S35" s="115"/>
      <c r="T35" s="115"/>
      <c r="U35" s="115"/>
      <c r="V35" s="115"/>
      <c r="W35" s="115"/>
      <c r="X35" s="115"/>
      <c r="Y35" s="115"/>
      <c r="Z35" s="115"/>
      <c r="AA35" s="115" t="s">
        <v>2521</v>
      </c>
      <c r="AB35" s="115"/>
      <c r="AC35" s="115"/>
      <c r="AD35" s="115"/>
      <c r="AE35" s="128"/>
      <c r="AF35" s="115"/>
      <c r="AG35" s="128" t="s">
        <v>2537</v>
      </c>
      <c r="AH35" s="115"/>
      <c r="AI35" s="115" t="s">
        <v>2249</v>
      </c>
      <c r="AJ35" s="115"/>
      <c r="AK35" s="115" t="s">
        <v>2269</v>
      </c>
      <c r="AL35" s="115"/>
      <c r="AM35" s="115" t="s">
        <v>2285</v>
      </c>
      <c r="AN35" s="118"/>
    </row>
    <row r="36" spans="1:16173" ht="46" customHeight="1" x14ac:dyDescent="0.55000000000000004">
      <c r="C36" s="82" t="s">
        <v>1952</v>
      </c>
      <c r="D36" s="113"/>
      <c r="E36" s="116">
        <f>'PF272'!Y76</f>
        <v>0</v>
      </c>
      <c r="F36" s="115"/>
      <c r="G36" s="116">
        <f>'PF272'!Y77</f>
        <v>0</v>
      </c>
      <c r="H36" s="115"/>
      <c r="I36" s="116">
        <f>'PF272'!Y78</f>
        <v>0</v>
      </c>
      <c r="J36" s="115"/>
      <c r="K36" s="116">
        <f>'PF272'!Y80</f>
        <v>0</v>
      </c>
      <c r="L36" s="115"/>
      <c r="M36" s="128"/>
      <c r="N36" s="128"/>
      <c r="O36" s="128"/>
      <c r="P36" s="128"/>
      <c r="Q36" s="128"/>
      <c r="R36" s="128"/>
      <c r="S36" s="128"/>
      <c r="T36" s="128"/>
      <c r="U36" s="128"/>
      <c r="V36" s="128"/>
      <c r="W36" s="128"/>
      <c r="X36" s="128"/>
      <c r="Y36" s="128"/>
      <c r="Z36" s="128"/>
      <c r="AA36" s="128"/>
      <c r="AB36" s="128"/>
      <c r="AC36" s="128"/>
      <c r="AD36" s="128"/>
      <c r="AE36" s="128"/>
      <c r="AF36" s="115"/>
      <c r="AG36" s="127">
        <f>'PF272'!Y133</f>
        <v>0</v>
      </c>
      <c r="AH36" s="115"/>
      <c r="AI36" s="116">
        <f>'PF272'!Y137</f>
        <v>0</v>
      </c>
      <c r="AJ36" s="115"/>
      <c r="AK36" s="116">
        <f>'PF272'!Y136</f>
        <v>0</v>
      </c>
      <c r="AL36" s="115"/>
      <c r="AM36" s="117" t="str">
        <f>'PF272'!Y280</f>
        <v>VSSD_2</v>
      </c>
      <c r="AN36" s="118"/>
    </row>
    <row r="37" spans="1:16173" ht="10" customHeight="1" x14ac:dyDescent="0.55000000000000004">
      <c r="C37" s="82"/>
      <c r="D37" s="113"/>
      <c r="E37" s="115" t="s">
        <v>2087</v>
      </c>
      <c r="F37" s="115"/>
      <c r="G37" s="115" t="s">
        <v>2105</v>
      </c>
      <c r="H37" s="115"/>
      <c r="I37" s="115" t="s">
        <v>1973</v>
      </c>
      <c r="J37" s="115"/>
      <c r="K37" s="115" t="s">
        <v>2493</v>
      </c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5"/>
      <c r="AA37" s="115"/>
      <c r="AB37" s="115"/>
      <c r="AC37" s="115"/>
      <c r="AD37" s="115"/>
      <c r="AE37" s="115"/>
      <c r="AF37" s="115"/>
      <c r="AG37" s="115" t="s">
        <v>2230</v>
      </c>
      <c r="AH37" s="115"/>
      <c r="AI37" s="115" t="s">
        <v>2214</v>
      </c>
      <c r="AJ37" s="115"/>
      <c r="AK37" s="115" t="s">
        <v>2229</v>
      </c>
      <c r="AL37" s="115"/>
      <c r="AM37" s="115"/>
      <c r="AN37" s="118"/>
    </row>
    <row r="38" spans="1:16173" ht="46" customHeight="1" x14ac:dyDescent="0.55000000000000004">
      <c r="C38" s="82" t="s">
        <v>1953</v>
      </c>
      <c r="D38" s="113"/>
      <c r="E38" s="116">
        <f>'PF272'!Y82</f>
        <v>0</v>
      </c>
      <c r="F38" s="115"/>
      <c r="G38" s="116">
        <f>'PF272'!Y83</f>
        <v>0</v>
      </c>
      <c r="H38" s="115"/>
      <c r="I38" s="116">
        <f>'PF272'!Y84</f>
        <v>0</v>
      </c>
      <c r="J38" s="115"/>
      <c r="K38" s="116">
        <f>'PF272'!Y81</f>
        <v>0</v>
      </c>
      <c r="L38" s="115"/>
      <c r="M38" s="114" t="str">
        <f>'PF272'!Y232</f>
        <v>VSSD</v>
      </c>
      <c r="N38" s="115"/>
      <c r="O38" s="129">
        <f>'PF272'!Y102</f>
        <v>0</v>
      </c>
      <c r="P38" s="128"/>
      <c r="Q38" s="127">
        <f>'PF272'!Y105</f>
        <v>0</v>
      </c>
      <c r="R38" s="128"/>
      <c r="S38" s="129">
        <f>'PF272'!Y184</f>
        <v>0</v>
      </c>
      <c r="T38" s="128"/>
      <c r="U38" s="129">
        <f>'PF272'!Y188</f>
        <v>0</v>
      </c>
      <c r="V38" s="128"/>
      <c r="W38" s="129">
        <f>'PF272'!Y192</f>
        <v>0</v>
      </c>
      <c r="X38" s="128"/>
      <c r="Y38" s="129">
        <f>'PF272'!Y196</f>
        <v>0</v>
      </c>
      <c r="Z38" s="128"/>
      <c r="AA38" s="129">
        <f>'PF272'!Y198</f>
        <v>0</v>
      </c>
      <c r="AB38" s="128"/>
      <c r="AC38" s="129">
        <f>'PF272'!Y115</f>
        <v>0</v>
      </c>
      <c r="AD38" s="128"/>
      <c r="AE38" s="114" t="str">
        <f>'PF272'!Y274</f>
        <v>VSSD</v>
      </c>
      <c r="AF38" s="128"/>
      <c r="AG38" s="129">
        <f>'PF272'!Y132</f>
        <v>0</v>
      </c>
      <c r="AH38" s="128"/>
      <c r="AI38" s="127">
        <f>'PF272'!Y131</f>
        <v>0</v>
      </c>
      <c r="AJ38" s="115"/>
      <c r="AK38" s="116">
        <f>'PF272'!Y135</f>
        <v>0</v>
      </c>
      <c r="AL38" s="115"/>
      <c r="AM38" s="116">
        <f>'PF272'!Y134</f>
        <v>0</v>
      </c>
      <c r="AN38" s="118"/>
    </row>
    <row r="39" spans="1:16173" ht="10" customHeight="1" x14ac:dyDescent="0.55000000000000004">
      <c r="C39" s="82"/>
      <c r="D39" s="113"/>
      <c r="E39" s="115" t="s">
        <v>2088</v>
      </c>
      <c r="F39" s="115"/>
      <c r="G39" s="115" t="s">
        <v>2106</v>
      </c>
      <c r="H39" s="115"/>
      <c r="I39" s="115" t="s">
        <v>1974</v>
      </c>
      <c r="J39" s="115"/>
      <c r="K39" s="115" t="s">
        <v>2494</v>
      </c>
      <c r="L39" s="115"/>
      <c r="M39" s="115"/>
      <c r="N39" s="115"/>
      <c r="O39" s="115" t="s">
        <v>2502</v>
      </c>
      <c r="P39" s="115"/>
      <c r="Q39" s="115" t="s">
        <v>2147</v>
      </c>
      <c r="R39" s="115"/>
      <c r="S39" s="115" t="s">
        <v>2508</v>
      </c>
      <c r="T39" s="115"/>
      <c r="U39" s="115" t="s">
        <v>2510</v>
      </c>
      <c r="V39" s="115"/>
      <c r="W39" s="115" t="s">
        <v>2514</v>
      </c>
      <c r="X39" s="115"/>
      <c r="Y39" s="115" t="s">
        <v>2517</v>
      </c>
      <c r="Z39" s="115"/>
      <c r="AA39" s="115" t="s">
        <v>2522</v>
      </c>
      <c r="AB39" s="115"/>
      <c r="AC39" s="115" t="s">
        <v>2527</v>
      </c>
      <c r="AD39" s="115"/>
      <c r="AE39" s="115"/>
      <c r="AF39" s="115"/>
      <c r="AG39" s="115" t="s">
        <v>2538</v>
      </c>
      <c r="AH39" s="115"/>
      <c r="AI39" s="115" t="s">
        <v>2215</v>
      </c>
      <c r="AJ39" s="115"/>
      <c r="AK39" s="115" t="s">
        <v>2250</v>
      </c>
      <c r="AL39" s="115"/>
      <c r="AM39" s="115" t="s">
        <v>2270</v>
      </c>
      <c r="AN39" s="118"/>
    </row>
    <row r="40" spans="1:16173" ht="46" customHeight="1" x14ac:dyDescent="0.55000000000000004">
      <c r="C40" s="82" t="s">
        <v>1954</v>
      </c>
      <c r="D40" s="113"/>
      <c r="E40" s="116">
        <f>'PF272'!Y85</f>
        <v>0</v>
      </c>
      <c r="F40" s="115"/>
      <c r="G40" s="116">
        <f>'PF272'!Y86</f>
        <v>0</v>
      </c>
      <c r="H40" s="115"/>
      <c r="I40" s="116">
        <f>'PF272'!Y87</f>
        <v>0</v>
      </c>
      <c r="J40" s="115"/>
      <c r="K40" s="116">
        <f>'PF272'!Y95</f>
        <v>0</v>
      </c>
      <c r="L40" s="115"/>
      <c r="M40" s="116">
        <f>'PF272'!Y97</f>
        <v>0</v>
      </c>
      <c r="N40" s="115"/>
      <c r="O40" s="116">
        <f>'PF272'!Y101</f>
        <v>0</v>
      </c>
      <c r="P40" s="115"/>
      <c r="Q40" s="116">
        <f>'PF272'!Y104</f>
        <v>0</v>
      </c>
      <c r="R40" s="115"/>
      <c r="S40" s="116">
        <f>'PF272'!Y183</f>
        <v>0</v>
      </c>
      <c r="T40" s="115"/>
      <c r="U40" s="116">
        <f>'PF272'!Y187</f>
        <v>0</v>
      </c>
      <c r="V40" s="115"/>
      <c r="W40" s="116">
        <f>'PF272'!Y191</f>
        <v>0</v>
      </c>
      <c r="X40" s="115"/>
      <c r="Y40" s="116">
        <f>'PF272'!Y195</f>
        <v>0</v>
      </c>
      <c r="Z40" s="115"/>
      <c r="AA40" s="116">
        <f>'PF272'!Y197</f>
        <v>0</v>
      </c>
      <c r="AB40" s="115"/>
      <c r="AC40" s="116">
        <f>'PF272'!Y114</f>
        <v>0</v>
      </c>
      <c r="AD40" s="115"/>
      <c r="AE40" s="116">
        <f>'PF272'!Y116</f>
        <v>0</v>
      </c>
      <c r="AF40" s="115"/>
      <c r="AG40" s="116">
        <f>'PF272'!Y122</f>
        <v>0</v>
      </c>
      <c r="AH40" s="115"/>
      <c r="AI40" s="116">
        <f>'PF272'!Y130</f>
        <v>0</v>
      </c>
      <c r="AJ40" s="115"/>
      <c r="AK40" s="116">
        <f>'PF272'!Y129</f>
        <v>0</v>
      </c>
      <c r="AL40" s="115"/>
      <c r="AM40" s="116">
        <f>'PF272'!Y128</f>
        <v>0</v>
      </c>
      <c r="AN40" s="118"/>
    </row>
    <row r="41" spans="1:16173" ht="10" customHeight="1" x14ac:dyDescent="0.55000000000000004">
      <c r="C41" s="82"/>
      <c r="D41" s="113"/>
      <c r="E41" s="115" t="s">
        <v>2089</v>
      </c>
      <c r="F41" s="115"/>
      <c r="G41" s="115" t="s">
        <v>2107</v>
      </c>
      <c r="H41" s="115"/>
      <c r="I41" s="115" t="s">
        <v>1975</v>
      </c>
      <c r="J41" s="115"/>
      <c r="K41" s="115" t="s">
        <v>2495</v>
      </c>
      <c r="L41" s="115"/>
      <c r="M41" s="115" t="s">
        <v>2129</v>
      </c>
      <c r="N41" s="115"/>
      <c r="O41" s="115" t="s">
        <v>2139</v>
      </c>
      <c r="P41" s="115"/>
      <c r="Q41" s="115" t="s">
        <v>2146</v>
      </c>
      <c r="R41" s="115"/>
      <c r="S41" s="115" t="s">
        <v>2158</v>
      </c>
      <c r="T41" s="115"/>
      <c r="U41" s="115" t="s">
        <v>2166</v>
      </c>
      <c r="V41" s="115"/>
      <c r="W41" s="115" t="s">
        <v>2172</v>
      </c>
      <c r="X41" s="115"/>
      <c r="Y41" s="115" t="s">
        <v>2189</v>
      </c>
      <c r="Z41" s="115"/>
      <c r="AA41" s="115" t="s">
        <v>2197</v>
      </c>
      <c r="AB41" s="115"/>
      <c r="AC41" s="115" t="s">
        <v>2196</v>
      </c>
      <c r="AD41" s="115"/>
      <c r="AE41" s="115" t="s">
        <v>2198</v>
      </c>
      <c r="AF41" s="115"/>
      <c r="AG41" s="115" t="s">
        <v>2217</v>
      </c>
      <c r="AH41" s="115"/>
      <c r="AI41" s="115" t="s">
        <v>2276</v>
      </c>
      <c r="AJ41" s="115"/>
      <c r="AK41" s="115" t="s">
        <v>2256</v>
      </c>
      <c r="AL41" s="115"/>
      <c r="AM41" s="115" t="s">
        <v>2239</v>
      </c>
      <c r="AN41" s="118"/>
    </row>
    <row r="42" spans="1:16173" ht="46" customHeight="1" x14ac:dyDescent="0.55000000000000004">
      <c r="C42" s="82" t="s">
        <v>1955</v>
      </c>
      <c r="D42" s="113"/>
      <c r="E42" s="116">
        <f>'PF272'!Y88</f>
        <v>0</v>
      </c>
      <c r="F42" s="115"/>
      <c r="G42" s="116">
        <f>'PF272'!Y89</f>
        <v>0</v>
      </c>
      <c r="H42" s="115"/>
      <c r="I42" s="116">
        <f>'PF272'!Y92</f>
        <v>0</v>
      </c>
      <c r="J42" s="115"/>
      <c r="K42" s="116">
        <f>'PF272'!Y94</f>
        <v>0</v>
      </c>
      <c r="L42" s="115"/>
      <c r="M42" s="116">
        <f>'PF272'!Y96</f>
        <v>0</v>
      </c>
      <c r="N42" s="115"/>
      <c r="O42" s="116">
        <f>'PF272'!Y100</f>
        <v>0</v>
      </c>
      <c r="P42" s="115"/>
      <c r="Q42" s="116">
        <f>'PF272'!Y107</f>
        <v>0</v>
      </c>
      <c r="R42" s="115"/>
      <c r="S42" s="116">
        <f>'PF272'!Y109</f>
        <v>0</v>
      </c>
      <c r="T42" s="115"/>
      <c r="U42" s="116">
        <f>'PF272'!Y186</f>
        <v>0</v>
      </c>
      <c r="V42" s="115"/>
      <c r="W42" s="116">
        <f>'PF272'!Y190</f>
        <v>0</v>
      </c>
      <c r="X42" s="115"/>
      <c r="Y42" s="116">
        <f>'PF272'!Y194</f>
        <v>0</v>
      </c>
      <c r="Z42" s="115"/>
      <c r="AA42" s="116">
        <f>'PF272'!Y111</f>
        <v>0</v>
      </c>
      <c r="AB42" s="115"/>
      <c r="AC42" s="116">
        <f>'PF272'!Y113</f>
        <v>0</v>
      </c>
      <c r="AD42" s="115"/>
      <c r="AE42" s="116">
        <f>'PF272'!Y119</f>
        <v>0</v>
      </c>
      <c r="AF42" s="115"/>
      <c r="AG42" s="116">
        <f>'PF272'!Y121</f>
        <v>0</v>
      </c>
      <c r="AH42" s="115"/>
      <c r="AI42" s="116">
        <f>'PF272'!Y124</f>
        <v>0</v>
      </c>
      <c r="AJ42" s="115"/>
      <c r="AK42" s="116">
        <f>'PF272'!Y127</f>
        <v>0</v>
      </c>
      <c r="AL42" s="115"/>
      <c r="AM42" s="116">
        <f>'PF272'!Y126</f>
        <v>0</v>
      </c>
      <c r="AN42" s="118"/>
    </row>
    <row r="43" spans="1:16173" ht="10" customHeight="1" x14ac:dyDescent="0.55000000000000004">
      <c r="C43" s="82"/>
      <c r="D43" s="113"/>
      <c r="E43" s="115" t="s">
        <v>2090</v>
      </c>
      <c r="F43" s="115"/>
      <c r="G43" s="115" t="s">
        <v>1976</v>
      </c>
      <c r="H43" s="115"/>
      <c r="I43" s="115" t="s">
        <v>2109</v>
      </c>
      <c r="J43" s="115"/>
      <c r="K43" s="115" t="s">
        <v>2496</v>
      </c>
      <c r="L43" s="115"/>
      <c r="M43" s="115" t="s">
        <v>2498</v>
      </c>
      <c r="N43" s="115"/>
      <c r="O43" s="115" t="s">
        <v>2503</v>
      </c>
      <c r="P43" s="115"/>
      <c r="Q43" s="115" t="s">
        <v>2506</v>
      </c>
      <c r="R43" s="115"/>
      <c r="S43" s="115" t="s">
        <v>2509</v>
      </c>
      <c r="T43" s="115"/>
      <c r="U43" s="115" t="s">
        <v>2511</v>
      </c>
      <c r="V43" s="115"/>
      <c r="W43" s="115" t="s">
        <v>2515</v>
      </c>
      <c r="X43" s="115"/>
      <c r="Y43" s="115" t="s">
        <v>2518</v>
      </c>
      <c r="Z43" s="115"/>
      <c r="AA43" s="115" t="s">
        <v>2523</v>
      </c>
      <c r="AB43" s="115"/>
      <c r="AC43" s="115" t="s">
        <v>2528</v>
      </c>
      <c r="AD43" s="115"/>
      <c r="AE43" s="115" t="s">
        <v>2530</v>
      </c>
      <c r="AF43" s="115"/>
      <c r="AG43" s="115" t="s">
        <v>2539</v>
      </c>
      <c r="AH43" s="115"/>
      <c r="AI43" s="115" t="s">
        <v>2541</v>
      </c>
      <c r="AJ43" s="115"/>
      <c r="AK43" s="115" t="s">
        <v>2240</v>
      </c>
      <c r="AL43" s="115"/>
      <c r="AM43" s="115" t="s">
        <v>2232</v>
      </c>
      <c r="AN43" s="118"/>
    </row>
    <row r="44" spans="1:16173" s="77" customFormat="1" ht="46" customHeight="1" x14ac:dyDescent="0.55000000000000004">
      <c r="A44" s="76"/>
      <c r="B44" s="76"/>
      <c r="C44" s="82" t="s">
        <v>1956</v>
      </c>
      <c r="D44" s="113"/>
      <c r="E44" s="114" t="str">
        <f>'PF272'!Y231</f>
        <v>VSSD</v>
      </c>
      <c r="F44" s="115"/>
      <c r="G44" s="116">
        <f>'PF272'!Y90</f>
        <v>0</v>
      </c>
      <c r="H44" s="115"/>
      <c r="I44" s="116">
        <f>'PF272'!Y91</f>
        <v>0</v>
      </c>
      <c r="J44" s="115"/>
      <c r="K44" s="116">
        <f>'PF272'!Y93</f>
        <v>0</v>
      </c>
      <c r="L44" s="115"/>
      <c r="M44" s="116">
        <f>'PF272'!Y98</f>
        <v>0</v>
      </c>
      <c r="N44" s="115"/>
      <c r="O44" s="116">
        <f>'PF272'!Y99</f>
        <v>0</v>
      </c>
      <c r="P44" s="115"/>
      <c r="Q44" s="116">
        <f>'PF272'!Y106</f>
        <v>0</v>
      </c>
      <c r="R44" s="115"/>
      <c r="S44" s="116">
        <f>'PF272'!Y108</f>
        <v>0</v>
      </c>
      <c r="T44" s="115"/>
      <c r="U44" s="116">
        <f>'PF272'!Y185</f>
        <v>0</v>
      </c>
      <c r="V44" s="115"/>
      <c r="W44" s="116">
        <f>'PF272'!Y189</f>
        <v>0</v>
      </c>
      <c r="X44" s="115"/>
      <c r="Y44" s="116">
        <f>'PF272'!Y193</f>
        <v>0</v>
      </c>
      <c r="Z44" s="115"/>
      <c r="AA44" s="116">
        <f>'PF272'!Y110</f>
        <v>0</v>
      </c>
      <c r="AB44" s="115"/>
      <c r="AC44" s="116">
        <f>'PF272'!Y112</f>
        <v>0</v>
      </c>
      <c r="AD44" s="115"/>
      <c r="AE44" s="116">
        <f>'PF272'!Y118</f>
        <v>0</v>
      </c>
      <c r="AF44" s="115"/>
      <c r="AG44" s="116">
        <f>'PF272'!Y120</f>
        <v>0</v>
      </c>
      <c r="AH44" s="115"/>
      <c r="AI44" s="116">
        <f>'PF272'!Y123</f>
        <v>0</v>
      </c>
      <c r="AJ44" s="115"/>
      <c r="AK44" s="116">
        <f>'PF272'!Y125</f>
        <v>0</v>
      </c>
      <c r="AL44" s="115"/>
      <c r="AM44" s="117" t="str">
        <f>'PF272'!Y281</f>
        <v>VSSD</v>
      </c>
      <c r="AN44" s="118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  <c r="BV44" s="76"/>
      <c r="BW44" s="76"/>
      <c r="BX44" s="76"/>
      <c r="BY44" s="76"/>
      <c r="BZ44" s="76"/>
      <c r="CA44" s="76"/>
      <c r="CB44" s="76"/>
      <c r="CC44" s="76"/>
      <c r="CD44" s="76"/>
      <c r="CE44" s="76"/>
      <c r="CF44" s="76"/>
      <c r="CG44" s="76"/>
      <c r="CH44" s="76"/>
      <c r="CI44" s="76"/>
      <c r="CJ44" s="76"/>
      <c r="CK44" s="76"/>
      <c r="CL44" s="76"/>
      <c r="CM44" s="76"/>
      <c r="CN44" s="76"/>
      <c r="CO44" s="76"/>
      <c r="CP44" s="76"/>
      <c r="CQ44" s="76"/>
      <c r="CR44" s="76"/>
      <c r="CS44" s="76"/>
      <c r="CT44" s="76"/>
      <c r="CU44" s="76"/>
      <c r="CV44" s="76"/>
      <c r="CW44" s="76"/>
      <c r="CX44" s="76"/>
      <c r="CY44" s="76"/>
      <c r="CZ44" s="76"/>
      <c r="DA44" s="76"/>
      <c r="DB44" s="76"/>
      <c r="DC44" s="76"/>
      <c r="DD44" s="76"/>
      <c r="DE44" s="76"/>
      <c r="DF44" s="76"/>
      <c r="DG44" s="76"/>
      <c r="DH44" s="76"/>
      <c r="DI44" s="76"/>
      <c r="DJ44" s="76"/>
      <c r="DK44" s="76"/>
      <c r="DL44" s="76"/>
      <c r="DM44" s="76"/>
      <c r="DN44" s="76"/>
      <c r="DO44" s="76"/>
      <c r="DP44" s="76"/>
      <c r="DQ44" s="76"/>
      <c r="DR44" s="76"/>
      <c r="DS44" s="76"/>
      <c r="DT44" s="76"/>
      <c r="DU44" s="76"/>
      <c r="DV44" s="76"/>
      <c r="DW44" s="76"/>
      <c r="DX44" s="76"/>
      <c r="DY44" s="76"/>
      <c r="DZ44" s="76"/>
      <c r="EA44" s="76"/>
      <c r="EB44" s="76"/>
      <c r="EC44" s="76"/>
      <c r="ED44" s="76"/>
      <c r="EE44" s="76"/>
      <c r="EF44" s="76"/>
      <c r="EG44" s="76"/>
      <c r="EH44" s="76"/>
      <c r="EI44" s="76"/>
      <c r="EJ44" s="76"/>
      <c r="EK44" s="76"/>
      <c r="EL44" s="76"/>
      <c r="EM44" s="76"/>
      <c r="EN44" s="76"/>
      <c r="EO44" s="76"/>
      <c r="EP44" s="76"/>
      <c r="EQ44" s="76"/>
      <c r="ER44" s="76"/>
      <c r="ES44" s="76"/>
      <c r="ET44" s="76"/>
      <c r="EU44" s="76"/>
      <c r="EV44" s="76"/>
      <c r="EW44" s="76"/>
      <c r="EX44" s="76"/>
      <c r="EY44" s="76"/>
      <c r="EZ44" s="76"/>
      <c r="FA44" s="76"/>
      <c r="FB44" s="76"/>
      <c r="FC44" s="76"/>
      <c r="FD44" s="76"/>
      <c r="FE44" s="76"/>
      <c r="FF44" s="76"/>
      <c r="FG44" s="76"/>
      <c r="FH44" s="76"/>
      <c r="FI44" s="76"/>
      <c r="FJ44" s="76"/>
      <c r="FK44" s="76"/>
      <c r="FL44" s="76"/>
      <c r="FM44" s="76"/>
      <c r="FN44" s="76"/>
      <c r="FO44" s="76"/>
      <c r="FP44" s="76"/>
      <c r="FQ44" s="76"/>
      <c r="FR44" s="76"/>
      <c r="FS44" s="76"/>
      <c r="FT44" s="76"/>
      <c r="FU44" s="76"/>
      <c r="FV44" s="76"/>
      <c r="FW44" s="76"/>
      <c r="FX44" s="76"/>
      <c r="FY44" s="76"/>
      <c r="FZ44" s="76"/>
      <c r="GA44" s="76"/>
      <c r="GB44" s="76"/>
      <c r="GC44" s="76"/>
      <c r="GD44" s="76"/>
      <c r="GE44" s="76"/>
      <c r="GF44" s="76"/>
      <c r="GG44" s="76"/>
      <c r="GH44" s="76"/>
      <c r="GI44" s="76"/>
      <c r="GJ44" s="76"/>
      <c r="GK44" s="76"/>
      <c r="GL44" s="76"/>
      <c r="GM44" s="76"/>
      <c r="GN44" s="76"/>
      <c r="GO44" s="76"/>
      <c r="GP44" s="76"/>
      <c r="GQ44" s="76"/>
      <c r="GR44" s="76"/>
      <c r="GS44" s="76"/>
      <c r="GT44" s="76"/>
      <c r="GU44" s="76"/>
      <c r="GV44" s="76"/>
      <c r="GW44" s="76"/>
      <c r="GX44" s="76"/>
      <c r="GY44" s="76"/>
      <c r="GZ44" s="76"/>
      <c r="HA44" s="76"/>
      <c r="HB44" s="76"/>
      <c r="HC44" s="76"/>
      <c r="HD44" s="76"/>
      <c r="HE44" s="76"/>
      <c r="HF44" s="76"/>
      <c r="HG44" s="76"/>
      <c r="HH44" s="76"/>
      <c r="HI44" s="76"/>
      <c r="HJ44" s="76"/>
      <c r="HK44" s="76"/>
      <c r="HL44" s="76"/>
      <c r="HM44" s="76"/>
      <c r="HN44" s="76"/>
      <c r="HO44" s="76"/>
      <c r="HP44" s="76"/>
      <c r="HQ44" s="76"/>
      <c r="HR44" s="76"/>
      <c r="HS44" s="76"/>
      <c r="HT44" s="76"/>
      <c r="HU44" s="76"/>
      <c r="HV44" s="76"/>
      <c r="HW44" s="76"/>
      <c r="HX44" s="76"/>
      <c r="HY44" s="76"/>
      <c r="HZ44" s="76"/>
      <c r="IA44" s="76"/>
      <c r="IB44" s="76"/>
      <c r="IC44" s="76"/>
      <c r="ID44" s="76"/>
      <c r="IE44" s="76"/>
      <c r="IF44" s="76"/>
      <c r="IG44" s="76"/>
      <c r="IH44" s="76"/>
      <c r="II44" s="76"/>
      <c r="IJ44" s="76"/>
      <c r="IK44" s="76"/>
      <c r="IL44" s="76"/>
      <c r="IM44" s="76"/>
      <c r="IN44" s="76"/>
      <c r="IO44" s="76"/>
      <c r="IP44" s="76"/>
      <c r="IQ44" s="76"/>
      <c r="IR44" s="76"/>
      <c r="IS44" s="76"/>
      <c r="IT44" s="76"/>
      <c r="IU44" s="76"/>
      <c r="IV44" s="76"/>
      <c r="IW44" s="76"/>
      <c r="IX44" s="76"/>
      <c r="IY44" s="76"/>
      <c r="IZ44" s="76"/>
      <c r="JA44" s="76"/>
      <c r="JB44" s="76"/>
      <c r="JC44" s="76"/>
      <c r="JD44" s="76"/>
      <c r="JE44" s="76"/>
      <c r="JF44" s="76"/>
      <c r="JG44" s="76"/>
      <c r="JH44" s="76"/>
      <c r="JI44" s="76"/>
      <c r="JJ44" s="76"/>
      <c r="JK44" s="76"/>
      <c r="JL44" s="76"/>
      <c r="JM44" s="76"/>
      <c r="JN44" s="76"/>
      <c r="JO44" s="76"/>
      <c r="JP44" s="76"/>
      <c r="JQ44" s="76"/>
      <c r="JR44" s="76"/>
      <c r="JS44" s="76"/>
      <c r="JT44" s="76"/>
      <c r="JU44" s="76"/>
      <c r="JV44" s="76"/>
      <c r="JW44" s="76"/>
      <c r="JX44" s="76"/>
      <c r="JY44" s="76"/>
      <c r="JZ44" s="76"/>
      <c r="KA44" s="76"/>
      <c r="KB44" s="76"/>
      <c r="KC44" s="76"/>
      <c r="KD44" s="76"/>
      <c r="KE44" s="76"/>
      <c r="KF44" s="76"/>
      <c r="KG44" s="76"/>
      <c r="KH44" s="76"/>
      <c r="KI44" s="76"/>
      <c r="KJ44" s="76"/>
      <c r="KK44" s="76"/>
      <c r="KL44" s="76"/>
      <c r="KM44" s="76"/>
      <c r="KN44" s="76"/>
      <c r="KO44" s="76"/>
      <c r="KP44" s="76"/>
      <c r="KQ44" s="76"/>
      <c r="KR44" s="76"/>
      <c r="KS44" s="76"/>
      <c r="KT44" s="76"/>
      <c r="KU44" s="76"/>
      <c r="KV44" s="76"/>
      <c r="KW44" s="76"/>
      <c r="KX44" s="76"/>
      <c r="KY44" s="76"/>
      <c r="KZ44" s="76"/>
      <c r="LA44" s="76"/>
      <c r="LB44" s="76"/>
      <c r="LC44" s="76"/>
      <c r="LD44" s="76"/>
      <c r="LE44" s="76"/>
      <c r="LF44" s="76"/>
      <c r="LG44" s="76"/>
      <c r="LH44" s="76"/>
      <c r="LI44" s="76"/>
      <c r="LJ44" s="76"/>
      <c r="LK44" s="76"/>
      <c r="LL44" s="76"/>
      <c r="LM44" s="76"/>
      <c r="LN44" s="76"/>
      <c r="LO44" s="76"/>
      <c r="LP44" s="76"/>
      <c r="LQ44" s="76"/>
      <c r="LR44" s="76"/>
      <c r="LS44" s="76"/>
      <c r="LT44" s="76"/>
      <c r="LU44" s="76"/>
      <c r="LV44" s="76"/>
      <c r="LW44" s="76"/>
      <c r="LX44" s="76"/>
      <c r="LY44" s="76"/>
      <c r="LZ44" s="76"/>
      <c r="MA44" s="76"/>
      <c r="MB44" s="76"/>
      <c r="MC44" s="76"/>
      <c r="MD44" s="76"/>
      <c r="ME44" s="76"/>
      <c r="MF44" s="76"/>
      <c r="MG44" s="76"/>
      <c r="MH44" s="76"/>
      <c r="MI44" s="76"/>
      <c r="MJ44" s="76"/>
      <c r="MK44" s="76"/>
      <c r="ML44" s="76"/>
      <c r="MM44" s="76"/>
      <c r="MN44" s="76"/>
      <c r="MO44" s="76"/>
      <c r="MP44" s="76"/>
      <c r="MQ44" s="76"/>
      <c r="MR44" s="76"/>
      <c r="MS44" s="76"/>
      <c r="MT44" s="76"/>
      <c r="MU44" s="76"/>
      <c r="MV44" s="76"/>
      <c r="MW44" s="76"/>
      <c r="MX44" s="76"/>
      <c r="MY44" s="76"/>
      <c r="MZ44" s="76"/>
      <c r="NA44" s="76"/>
      <c r="NB44" s="76"/>
      <c r="NC44" s="76"/>
      <c r="ND44" s="76"/>
      <c r="NE44" s="76"/>
      <c r="NF44" s="76"/>
      <c r="NG44" s="76"/>
      <c r="NH44" s="76"/>
      <c r="NI44" s="76"/>
      <c r="NJ44" s="76"/>
      <c r="NK44" s="76"/>
      <c r="NL44" s="76"/>
      <c r="NM44" s="76"/>
      <c r="NN44" s="76"/>
      <c r="NO44" s="76"/>
      <c r="NP44" s="76"/>
      <c r="NQ44" s="76"/>
      <c r="NR44" s="76"/>
      <c r="NS44" s="76"/>
      <c r="NT44" s="76"/>
      <c r="NU44" s="76"/>
      <c r="NV44" s="76"/>
      <c r="NW44" s="76"/>
      <c r="NX44" s="76"/>
      <c r="NY44" s="76"/>
      <c r="NZ44" s="76"/>
      <c r="OA44" s="76"/>
      <c r="OB44" s="76"/>
      <c r="OC44" s="76"/>
      <c r="OD44" s="76"/>
      <c r="OE44" s="76"/>
      <c r="OF44" s="76"/>
      <c r="OG44" s="76"/>
      <c r="OH44" s="76"/>
      <c r="OI44" s="76"/>
      <c r="OJ44" s="76"/>
      <c r="OK44" s="76"/>
      <c r="OL44" s="76"/>
      <c r="OM44" s="76"/>
      <c r="ON44" s="76"/>
      <c r="OO44" s="76"/>
      <c r="OP44" s="76"/>
      <c r="OQ44" s="76"/>
      <c r="OR44" s="76"/>
      <c r="OS44" s="76"/>
      <c r="OT44" s="76"/>
      <c r="OU44" s="76"/>
      <c r="OV44" s="76"/>
      <c r="OW44" s="76"/>
      <c r="OX44" s="76"/>
      <c r="OY44" s="76"/>
      <c r="OZ44" s="76"/>
      <c r="PA44" s="76"/>
      <c r="PB44" s="76"/>
      <c r="PC44" s="76"/>
      <c r="PD44" s="76"/>
      <c r="PE44" s="76"/>
      <c r="PF44" s="76"/>
      <c r="PG44" s="76"/>
      <c r="PH44" s="76"/>
      <c r="PI44" s="76"/>
      <c r="PJ44" s="76"/>
      <c r="PK44" s="76"/>
      <c r="PL44" s="76"/>
      <c r="PM44" s="76"/>
      <c r="PN44" s="76"/>
      <c r="PO44" s="76"/>
      <c r="PP44" s="76"/>
      <c r="PQ44" s="76"/>
      <c r="PR44" s="76"/>
      <c r="PS44" s="76"/>
      <c r="PT44" s="76"/>
      <c r="PU44" s="76"/>
      <c r="PV44" s="76"/>
      <c r="PW44" s="76"/>
      <c r="PX44" s="76"/>
      <c r="PY44" s="76"/>
      <c r="PZ44" s="76"/>
      <c r="QA44" s="76"/>
      <c r="QB44" s="76"/>
      <c r="QC44" s="76"/>
      <c r="QD44" s="76"/>
      <c r="QE44" s="76"/>
      <c r="QF44" s="76"/>
      <c r="QG44" s="76"/>
      <c r="QH44" s="76"/>
      <c r="QI44" s="76"/>
      <c r="QJ44" s="76"/>
      <c r="QK44" s="76"/>
      <c r="QL44" s="76"/>
      <c r="QM44" s="76"/>
      <c r="QN44" s="76"/>
      <c r="QO44" s="76"/>
      <c r="QP44" s="76"/>
      <c r="QQ44" s="76"/>
      <c r="QR44" s="76"/>
      <c r="QS44" s="76"/>
      <c r="QT44" s="76"/>
      <c r="QU44" s="76"/>
      <c r="QV44" s="76"/>
      <c r="QW44" s="76"/>
      <c r="QX44" s="76"/>
      <c r="QY44" s="76"/>
      <c r="QZ44" s="76"/>
      <c r="RA44" s="76"/>
      <c r="RB44" s="76"/>
      <c r="RC44" s="76"/>
      <c r="RD44" s="76"/>
      <c r="RE44" s="76"/>
      <c r="RF44" s="76"/>
      <c r="RG44" s="76"/>
      <c r="RH44" s="76"/>
      <c r="RI44" s="76"/>
      <c r="RJ44" s="76"/>
      <c r="RK44" s="76"/>
      <c r="RL44" s="76"/>
      <c r="RM44" s="76"/>
      <c r="RN44" s="76"/>
      <c r="RO44" s="76"/>
      <c r="RP44" s="76"/>
      <c r="RQ44" s="76"/>
      <c r="RR44" s="76"/>
      <c r="RS44" s="76"/>
      <c r="RT44" s="76"/>
      <c r="RU44" s="76"/>
      <c r="RV44" s="76"/>
      <c r="RW44" s="76"/>
      <c r="RX44" s="76"/>
      <c r="RY44" s="76"/>
      <c r="RZ44" s="76"/>
      <c r="SA44" s="76"/>
      <c r="SB44" s="76"/>
      <c r="SC44" s="76"/>
      <c r="SD44" s="76"/>
      <c r="SE44" s="76"/>
      <c r="SF44" s="76"/>
      <c r="SG44" s="76"/>
      <c r="SH44" s="76"/>
      <c r="SI44" s="76"/>
      <c r="SJ44" s="76"/>
      <c r="SK44" s="76"/>
      <c r="SL44" s="76"/>
      <c r="SM44" s="76"/>
      <c r="SN44" s="76"/>
      <c r="SO44" s="76"/>
      <c r="SP44" s="76"/>
      <c r="SQ44" s="76"/>
      <c r="SR44" s="76"/>
      <c r="SS44" s="76"/>
      <c r="ST44" s="76"/>
      <c r="SU44" s="76"/>
      <c r="SV44" s="76"/>
      <c r="SW44" s="76"/>
      <c r="SX44" s="76"/>
      <c r="SY44" s="76"/>
      <c r="SZ44" s="76"/>
      <c r="TA44" s="76"/>
      <c r="TB44" s="76"/>
      <c r="TC44" s="76"/>
      <c r="TD44" s="76"/>
      <c r="TE44" s="76"/>
      <c r="TF44" s="76"/>
      <c r="TG44" s="76"/>
      <c r="TH44" s="76"/>
      <c r="TI44" s="76"/>
      <c r="TJ44" s="76"/>
      <c r="TK44" s="76"/>
      <c r="TL44" s="76"/>
      <c r="TM44" s="76"/>
      <c r="TN44" s="76"/>
      <c r="TO44" s="76"/>
      <c r="TP44" s="76"/>
      <c r="TQ44" s="76"/>
      <c r="TR44" s="76"/>
      <c r="TS44" s="76"/>
      <c r="TT44" s="76"/>
      <c r="TU44" s="76"/>
      <c r="TV44" s="76"/>
      <c r="TW44" s="76"/>
      <c r="TX44" s="76"/>
      <c r="TY44" s="76"/>
      <c r="TZ44" s="76"/>
      <c r="UA44" s="76"/>
      <c r="UB44" s="76"/>
      <c r="UC44" s="76"/>
      <c r="UD44" s="76"/>
      <c r="UE44" s="76"/>
      <c r="UF44" s="76"/>
      <c r="UG44" s="76"/>
      <c r="UH44" s="76"/>
      <c r="UI44" s="76"/>
      <c r="UJ44" s="76"/>
      <c r="UK44" s="76"/>
      <c r="UL44" s="76"/>
      <c r="UM44" s="76"/>
      <c r="UN44" s="76"/>
      <c r="UO44" s="76"/>
      <c r="UP44" s="76"/>
      <c r="UQ44" s="76"/>
      <c r="UR44" s="76"/>
      <c r="US44" s="76"/>
      <c r="UT44" s="76"/>
      <c r="UU44" s="76"/>
      <c r="UV44" s="76"/>
      <c r="UW44" s="76"/>
      <c r="UX44" s="76"/>
      <c r="UY44" s="76"/>
      <c r="UZ44" s="76"/>
      <c r="VA44" s="76"/>
      <c r="VB44" s="76"/>
      <c r="VC44" s="76"/>
      <c r="VD44" s="76"/>
      <c r="VE44" s="76"/>
      <c r="VF44" s="76"/>
      <c r="VG44" s="76"/>
      <c r="VH44" s="76"/>
      <c r="VI44" s="76"/>
      <c r="VJ44" s="76"/>
      <c r="VK44" s="76"/>
      <c r="VL44" s="76"/>
      <c r="VM44" s="76"/>
      <c r="VN44" s="76"/>
      <c r="VO44" s="76"/>
      <c r="VP44" s="76"/>
      <c r="VQ44" s="76"/>
      <c r="VR44" s="76"/>
      <c r="VS44" s="76"/>
      <c r="VT44" s="76"/>
      <c r="VU44" s="76"/>
      <c r="VV44" s="76"/>
      <c r="VW44" s="76"/>
      <c r="VX44" s="76"/>
      <c r="VY44" s="76"/>
      <c r="VZ44" s="76"/>
      <c r="WA44" s="76"/>
      <c r="WB44" s="76"/>
      <c r="WC44" s="76"/>
      <c r="WD44" s="76"/>
      <c r="WE44" s="76"/>
      <c r="WF44" s="76"/>
      <c r="WG44" s="76"/>
      <c r="WH44" s="76"/>
      <c r="WI44" s="76"/>
      <c r="WJ44" s="76"/>
      <c r="WK44" s="76"/>
      <c r="WL44" s="76"/>
      <c r="WM44" s="76"/>
      <c r="WN44" s="76"/>
      <c r="WO44" s="76"/>
      <c r="WP44" s="76"/>
      <c r="WQ44" s="76"/>
      <c r="WR44" s="76"/>
      <c r="WS44" s="76"/>
      <c r="WT44" s="76"/>
      <c r="WU44" s="76"/>
      <c r="WV44" s="76"/>
      <c r="WW44" s="76"/>
      <c r="WX44" s="76"/>
      <c r="WY44" s="76"/>
      <c r="WZ44" s="76"/>
      <c r="XA44" s="76"/>
      <c r="XB44" s="76"/>
      <c r="XC44" s="76"/>
      <c r="XD44" s="76"/>
      <c r="XE44" s="76"/>
      <c r="XF44" s="76"/>
      <c r="XG44" s="76"/>
      <c r="XH44" s="76"/>
      <c r="XI44" s="76"/>
      <c r="XJ44" s="76"/>
      <c r="XK44" s="76"/>
      <c r="XL44" s="76"/>
      <c r="XM44" s="76"/>
      <c r="XN44" s="76"/>
      <c r="XO44" s="76"/>
      <c r="XP44" s="76"/>
      <c r="XQ44" s="76"/>
      <c r="XR44" s="76"/>
      <c r="XS44" s="76"/>
      <c r="XT44" s="76"/>
      <c r="XU44" s="76"/>
      <c r="XV44" s="76"/>
      <c r="XW44" s="76"/>
      <c r="XX44" s="76"/>
      <c r="XY44" s="76"/>
      <c r="XZ44" s="76"/>
      <c r="YA44" s="76"/>
      <c r="YB44" s="76"/>
      <c r="YC44" s="76"/>
      <c r="YD44" s="76"/>
      <c r="YE44" s="76"/>
      <c r="YF44" s="76"/>
      <c r="YG44" s="76"/>
      <c r="YH44" s="76"/>
      <c r="YI44" s="76"/>
      <c r="YJ44" s="76"/>
      <c r="YK44" s="76"/>
      <c r="YL44" s="76"/>
      <c r="YM44" s="76"/>
      <c r="YN44" s="76"/>
      <c r="YO44" s="76"/>
      <c r="YP44" s="76"/>
      <c r="YQ44" s="76"/>
      <c r="YR44" s="76"/>
      <c r="YS44" s="76"/>
      <c r="YT44" s="76"/>
      <c r="YU44" s="76"/>
      <c r="YV44" s="76"/>
      <c r="YW44" s="76"/>
      <c r="YX44" s="76"/>
      <c r="YY44" s="76"/>
      <c r="YZ44" s="76"/>
      <c r="ZA44" s="76"/>
      <c r="ZB44" s="76"/>
      <c r="ZC44" s="76"/>
      <c r="ZD44" s="76"/>
      <c r="ZE44" s="76"/>
      <c r="ZF44" s="76"/>
      <c r="ZG44" s="76"/>
      <c r="ZH44" s="76"/>
      <c r="ZI44" s="76"/>
      <c r="ZJ44" s="76"/>
      <c r="ZK44" s="76"/>
      <c r="ZL44" s="76"/>
      <c r="ZM44" s="76"/>
      <c r="ZN44" s="76"/>
      <c r="ZO44" s="76"/>
      <c r="ZP44" s="76"/>
      <c r="ZQ44" s="76"/>
      <c r="ZR44" s="76"/>
      <c r="ZS44" s="76"/>
      <c r="ZT44" s="76"/>
      <c r="ZU44" s="76"/>
      <c r="ZV44" s="76"/>
      <c r="ZW44" s="76"/>
      <c r="ZX44" s="76"/>
      <c r="ZY44" s="76"/>
      <c r="ZZ44" s="76"/>
      <c r="AAA44" s="76"/>
      <c r="AAB44" s="76"/>
      <c r="AAC44" s="76"/>
      <c r="AAD44" s="76"/>
      <c r="AAE44" s="76"/>
      <c r="AAF44" s="76"/>
      <c r="AAG44" s="76"/>
      <c r="AAH44" s="76"/>
      <c r="AAI44" s="76"/>
      <c r="AAJ44" s="76"/>
      <c r="AAK44" s="76"/>
      <c r="AAL44" s="76"/>
      <c r="AAM44" s="76"/>
      <c r="AAN44" s="76"/>
      <c r="AAO44" s="76"/>
      <c r="AAP44" s="76"/>
      <c r="AAQ44" s="76"/>
      <c r="AAR44" s="76"/>
      <c r="AAS44" s="76"/>
      <c r="AAT44" s="76"/>
      <c r="AAU44" s="76"/>
      <c r="AAV44" s="76"/>
      <c r="AAW44" s="76"/>
      <c r="AAX44" s="76"/>
      <c r="AAY44" s="76"/>
      <c r="AAZ44" s="76"/>
      <c r="ABA44" s="76"/>
      <c r="ABB44" s="76"/>
      <c r="ABC44" s="76"/>
      <c r="ABD44" s="76"/>
      <c r="ABE44" s="76"/>
      <c r="ABF44" s="76"/>
      <c r="ABG44" s="76"/>
      <c r="ABH44" s="76"/>
      <c r="ABI44" s="76"/>
      <c r="ABJ44" s="76"/>
      <c r="ABK44" s="76"/>
      <c r="ABL44" s="76"/>
      <c r="ABM44" s="76"/>
      <c r="ABN44" s="76"/>
      <c r="ABO44" s="76"/>
      <c r="ABP44" s="76"/>
      <c r="ABQ44" s="76"/>
      <c r="ABR44" s="76"/>
      <c r="ABS44" s="76"/>
      <c r="ABT44" s="76"/>
      <c r="ABU44" s="76"/>
      <c r="ABV44" s="76"/>
      <c r="ABW44" s="76"/>
      <c r="ABX44" s="76"/>
      <c r="ABY44" s="76"/>
      <c r="ABZ44" s="76"/>
      <c r="ACA44" s="76"/>
      <c r="ACB44" s="76"/>
      <c r="ACC44" s="76"/>
      <c r="ACD44" s="76"/>
      <c r="ACE44" s="76"/>
      <c r="ACF44" s="76"/>
      <c r="ACG44" s="76"/>
      <c r="ACH44" s="76"/>
      <c r="ACI44" s="76"/>
      <c r="ACJ44" s="76"/>
      <c r="ACK44" s="76"/>
      <c r="ACL44" s="76"/>
      <c r="ACM44" s="76"/>
      <c r="ACN44" s="76"/>
      <c r="ACO44" s="76"/>
      <c r="ACP44" s="76"/>
      <c r="ACQ44" s="76"/>
      <c r="ACR44" s="76"/>
      <c r="ACS44" s="76"/>
      <c r="ACT44" s="76"/>
      <c r="ACU44" s="76"/>
      <c r="ACV44" s="76"/>
      <c r="ACW44" s="76"/>
      <c r="ACX44" s="76"/>
      <c r="ACY44" s="76"/>
      <c r="ACZ44" s="76"/>
      <c r="ADA44" s="76"/>
      <c r="ADB44" s="76"/>
      <c r="ADC44" s="76"/>
      <c r="ADD44" s="76"/>
      <c r="ADE44" s="76"/>
      <c r="ADF44" s="76"/>
      <c r="ADG44" s="76"/>
      <c r="ADH44" s="76"/>
      <c r="ADI44" s="76"/>
      <c r="ADJ44" s="76"/>
      <c r="ADK44" s="76"/>
      <c r="ADL44" s="76"/>
      <c r="ADM44" s="76"/>
      <c r="ADN44" s="76"/>
      <c r="ADO44" s="76"/>
      <c r="ADP44" s="76"/>
      <c r="ADQ44" s="76"/>
      <c r="ADR44" s="76"/>
      <c r="ADS44" s="76"/>
      <c r="ADT44" s="76"/>
      <c r="ADU44" s="76"/>
      <c r="ADV44" s="76"/>
      <c r="ADW44" s="76"/>
      <c r="ADX44" s="76"/>
      <c r="ADY44" s="76"/>
      <c r="ADZ44" s="76"/>
      <c r="AEA44" s="76"/>
      <c r="AEB44" s="76"/>
      <c r="AEC44" s="76"/>
      <c r="AED44" s="76"/>
      <c r="AEE44" s="76"/>
      <c r="AEF44" s="76"/>
      <c r="AEG44" s="76"/>
      <c r="AEH44" s="76"/>
      <c r="AEI44" s="76"/>
      <c r="AEJ44" s="76"/>
      <c r="AEK44" s="76"/>
      <c r="AEL44" s="76"/>
      <c r="AEM44" s="76"/>
      <c r="AEN44" s="76"/>
      <c r="AEO44" s="76"/>
      <c r="AEP44" s="76"/>
      <c r="AEQ44" s="76"/>
      <c r="AER44" s="76"/>
      <c r="AES44" s="76"/>
      <c r="AET44" s="76"/>
      <c r="AEU44" s="76"/>
      <c r="AEV44" s="76"/>
      <c r="AEW44" s="76"/>
      <c r="AEX44" s="76"/>
      <c r="AEY44" s="76"/>
      <c r="AEZ44" s="76"/>
      <c r="AFA44" s="76"/>
      <c r="AFB44" s="76"/>
      <c r="AFC44" s="76"/>
      <c r="AFD44" s="76"/>
      <c r="AFE44" s="76"/>
      <c r="AFF44" s="76"/>
      <c r="AFG44" s="76"/>
      <c r="AFH44" s="76"/>
      <c r="AFI44" s="76"/>
      <c r="AFJ44" s="76"/>
      <c r="AFK44" s="76"/>
      <c r="AFL44" s="76"/>
      <c r="AFM44" s="76"/>
      <c r="AFN44" s="76"/>
      <c r="AFO44" s="76"/>
      <c r="AFP44" s="76"/>
      <c r="AFQ44" s="76"/>
      <c r="AFR44" s="76"/>
      <c r="AFS44" s="76"/>
      <c r="AFT44" s="76"/>
      <c r="AFU44" s="76"/>
      <c r="AFV44" s="76"/>
      <c r="AFW44" s="76"/>
      <c r="AFX44" s="76"/>
      <c r="AFY44" s="76"/>
      <c r="AFZ44" s="76"/>
      <c r="AGA44" s="76"/>
      <c r="AGB44" s="76"/>
      <c r="AGC44" s="76"/>
      <c r="AGD44" s="76"/>
      <c r="AGE44" s="76"/>
      <c r="AGF44" s="76"/>
      <c r="AGG44" s="76"/>
      <c r="AGH44" s="76"/>
      <c r="AGI44" s="76"/>
      <c r="AGJ44" s="76"/>
      <c r="AGK44" s="76"/>
      <c r="AGL44" s="76"/>
      <c r="AGM44" s="76"/>
      <c r="AGN44" s="76"/>
      <c r="AGO44" s="76"/>
      <c r="AGP44" s="76"/>
      <c r="AGQ44" s="76"/>
      <c r="AGR44" s="76"/>
      <c r="AGS44" s="76"/>
      <c r="AGT44" s="76"/>
      <c r="AGU44" s="76"/>
      <c r="AGV44" s="76"/>
      <c r="AGW44" s="76"/>
      <c r="AGX44" s="76"/>
      <c r="AGY44" s="76"/>
      <c r="AGZ44" s="76"/>
      <c r="AHA44" s="76"/>
      <c r="AHB44" s="76"/>
      <c r="AHC44" s="76"/>
      <c r="AHD44" s="76"/>
      <c r="AHE44" s="76"/>
      <c r="AHF44" s="76"/>
      <c r="AHG44" s="76"/>
      <c r="AHH44" s="76"/>
      <c r="AHI44" s="76"/>
      <c r="AHJ44" s="76"/>
      <c r="AHK44" s="76"/>
      <c r="AHL44" s="76"/>
      <c r="AHM44" s="76"/>
      <c r="AHN44" s="76"/>
      <c r="AHO44" s="76"/>
      <c r="AHP44" s="76"/>
      <c r="AHQ44" s="76"/>
      <c r="AHR44" s="76"/>
      <c r="AHS44" s="76"/>
      <c r="AHT44" s="76"/>
      <c r="AHU44" s="76"/>
      <c r="AHV44" s="76"/>
      <c r="AHW44" s="76"/>
      <c r="AHX44" s="76"/>
      <c r="AHY44" s="76"/>
      <c r="AHZ44" s="76"/>
      <c r="AIA44" s="76"/>
      <c r="AIB44" s="76"/>
      <c r="AIC44" s="76"/>
      <c r="AID44" s="76"/>
      <c r="AIE44" s="76"/>
      <c r="AIF44" s="76"/>
      <c r="AIG44" s="76"/>
      <c r="AIH44" s="76"/>
      <c r="AII44" s="76"/>
      <c r="AIJ44" s="76"/>
      <c r="AIK44" s="76"/>
      <c r="AIL44" s="76"/>
      <c r="AIM44" s="76"/>
      <c r="AIN44" s="76"/>
      <c r="AIO44" s="76"/>
      <c r="AIP44" s="76"/>
      <c r="AIQ44" s="76"/>
      <c r="AIR44" s="76"/>
      <c r="AIS44" s="76"/>
      <c r="AIT44" s="76"/>
      <c r="AIU44" s="76"/>
      <c r="AIV44" s="76"/>
      <c r="AIW44" s="76"/>
      <c r="AIX44" s="76"/>
      <c r="AIY44" s="76"/>
      <c r="AIZ44" s="76"/>
      <c r="AJA44" s="76"/>
      <c r="AJB44" s="76"/>
      <c r="AJC44" s="76"/>
      <c r="AJD44" s="76"/>
      <c r="AJE44" s="76"/>
      <c r="AJF44" s="76"/>
      <c r="AJG44" s="76"/>
      <c r="AJH44" s="76"/>
      <c r="AJI44" s="76"/>
      <c r="AJJ44" s="76"/>
      <c r="AJK44" s="76"/>
      <c r="AJL44" s="76"/>
      <c r="AJM44" s="76"/>
      <c r="AJN44" s="76"/>
      <c r="AJO44" s="76"/>
      <c r="AJP44" s="76"/>
      <c r="AJQ44" s="76"/>
      <c r="AJR44" s="76"/>
      <c r="AJS44" s="76"/>
      <c r="AJT44" s="76"/>
      <c r="AJU44" s="76"/>
      <c r="AJV44" s="76"/>
      <c r="AJW44" s="76"/>
      <c r="AJX44" s="76"/>
      <c r="AJY44" s="76"/>
      <c r="AJZ44" s="76"/>
      <c r="AKA44" s="76"/>
      <c r="AKB44" s="76"/>
      <c r="AKC44" s="76"/>
      <c r="AKD44" s="76"/>
      <c r="AKE44" s="76"/>
      <c r="AKF44" s="76"/>
      <c r="AKG44" s="76"/>
      <c r="AKH44" s="76"/>
      <c r="AKI44" s="76"/>
      <c r="AKJ44" s="76"/>
      <c r="AKK44" s="76"/>
      <c r="AKL44" s="76"/>
      <c r="AKM44" s="76"/>
      <c r="AKN44" s="76"/>
      <c r="AKO44" s="76"/>
      <c r="AKP44" s="76"/>
      <c r="AKQ44" s="76"/>
      <c r="AKR44" s="76"/>
      <c r="AKS44" s="76"/>
      <c r="AKT44" s="76"/>
      <c r="AKU44" s="76"/>
      <c r="AKV44" s="76"/>
      <c r="AKW44" s="76"/>
      <c r="AKX44" s="76"/>
      <c r="AKY44" s="76"/>
      <c r="AKZ44" s="76"/>
      <c r="ALA44" s="76"/>
      <c r="ALB44" s="76"/>
      <c r="ALC44" s="76"/>
      <c r="ALD44" s="76"/>
      <c r="ALE44" s="76"/>
      <c r="ALF44" s="76"/>
      <c r="ALG44" s="76"/>
      <c r="ALH44" s="76"/>
      <c r="ALI44" s="76"/>
      <c r="ALJ44" s="76"/>
      <c r="ALK44" s="76"/>
      <c r="ALL44" s="76"/>
      <c r="ALM44" s="76"/>
      <c r="ALN44" s="76"/>
      <c r="ALO44" s="76"/>
      <c r="ALP44" s="76"/>
      <c r="ALQ44" s="76"/>
      <c r="ALR44" s="76"/>
      <c r="ALS44" s="76"/>
      <c r="ALT44" s="76"/>
      <c r="ALU44" s="76"/>
      <c r="ALV44" s="76"/>
      <c r="ALW44" s="76"/>
      <c r="ALX44" s="76"/>
      <c r="ALY44" s="76"/>
      <c r="ALZ44" s="76"/>
      <c r="AMA44" s="76"/>
      <c r="AMB44" s="76"/>
      <c r="AMC44" s="76"/>
      <c r="AMD44" s="76"/>
      <c r="AME44" s="76"/>
      <c r="AMF44" s="76"/>
      <c r="AMG44" s="76"/>
      <c r="AMH44" s="76"/>
      <c r="AMI44" s="76"/>
      <c r="AMJ44" s="76"/>
      <c r="AMK44" s="76"/>
      <c r="AML44" s="76"/>
      <c r="AMM44" s="76"/>
      <c r="AMN44" s="76"/>
      <c r="AMO44" s="76"/>
      <c r="AMP44" s="76"/>
      <c r="AMQ44" s="76"/>
      <c r="AMR44" s="76"/>
      <c r="AMS44" s="76"/>
      <c r="AMT44" s="76"/>
      <c r="AMU44" s="76"/>
      <c r="AMV44" s="76"/>
      <c r="AMW44" s="76"/>
      <c r="AMX44" s="76"/>
      <c r="AMY44" s="76"/>
      <c r="AMZ44" s="76"/>
      <c r="ANA44" s="76"/>
      <c r="ANB44" s="76"/>
      <c r="ANC44" s="76"/>
      <c r="AND44" s="76"/>
      <c r="ANE44" s="76"/>
      <c r="ANF44" s="76"/>
      <c r="ANG44" s="76"/>
      <c r="ANH44" s="76"/>
      <c r="ANI44" s="76"/>
      <c r="ANJ44" s="76"/>
      <c r="ANK44" s="76"/>
      <c r="ANL44" s="76"/>
      <c r="ANM44" s="76"/>
      <c r="ANN44" s="76"/>
      <c r="ANO44" s="76"/>
      <c r="ANP44" s="76"/>
      <c r="ANQ44" s="76"/>
      <c r="ANR44" s="76"/>
      <c r="ANS44" s="76"/>
      <c r="ANT44" s="76"/>
      <c r="ANU44" s="76"/>
      <c r="ANV44" s="76"/>
      <c r="ANW44" s="76"/>
      <c r="ANX44" s="76"/>
      <c r="ANY44" s="76"/>
      <c r="ANZ44" s="76"/>
      <c r="AOA44" s="76"/>
      <c r="AOB44" s="76"/>
      <c r="AOC44" s="76"/>
      <c r="AOD44" s="76"/>
      <c r="AOE44" s="76"/>
      <c r="AOF44" s="76"/>
      <c r="AOG44" s="76"/>
      <c r="AOH44" s="76"/>
      <c r="AOI44" s="76"/>
      <c r="AOJ44" s="76"/>
      <c r="AOK44" s="76"/>
      <c r="AOL44" s="76"/>
      <c r="AOM44" s="76"/>
      <c r="AON44" s="76"/>
      <c r="AOO44" s="76"/>
      <c r="AOP44" s="76"/>
      <c r="AOQ44" s="76"/>
      <c r="AOR44" s="76"/>
      <c r="AOS44" s="76"/>
      <c r="AOT44" s="76"/>
      <c r="AOU44" s="76"/>
      <c r="AOV44" s="76"/>
      <c r="AOW44" s="76"/>
      <c r="AOX44" s="76"/>
      <c r="AOY44" s="76"/>
      <c r="AOZ44" s="76"/>
      <c r="APA44" s="76"/>
      <c r="APB44" s="76"/>
      <c r="APC44" s="76"/>
      <c r="APD44" s="76"/>
      <c r="APE44" s="76"/>
      <c r="APF44" s="76"/>
      <c r="APG44" s="76"/>
      <c r="APH44" s="76"/>
      <c r="API44" s="76"/>
      <c r="APJ44" s="76"/>
      <c r="APK44" s="76"/>
      <c r="APL44" s="76"/>
      <c r="APM44" s="76"/>
      <c r="APN44" s="76"/>
      <c r="APO44" s="76"/>
      <c r="APP44" s="76"/>
      <c r="APQ44" s="76"/>
      <c r="APR44" s="76"/>
      <c r="APS44" s="76"/>
      <c r="APT44" s="76"/>
      <c r="APU44" s="76"/>
      <c r="APV44" s="76"/>
      <c r="APW44" s="76"/>
      <c r="APX44" s="76"/>
      <c r="APY44" s="76"/>
      <c r="APZ44" s="76"/>
      <c r="AQA44" s="76"/>
      <c r="AQB44" s="76"/>
      <c r="AQC44" s="76"/>
      <c r="AQD44" s="76"/>
      <c r="AQE44" s="76"/>
      <c r="AQF44" s="76"/>
      <c r="AQG44" s="76"/>
      <c r="AQH44" s="76"/>
      <c r="AQI44" s="76"/>
      <c r="AQJ44" s="76"/>
      <c r="AQK44" s="76"/>
      <c r="AQL44" s="76"/>
      <c r="AQM44" s="76"/>
      <c r="AQN44" s="76"/>
      <c r="AQO44" s="76"/>
      <c r="AQP44" s="76"/>
      <c r="AQQ44" s="76"/>
      <c r="AQR44" s="76"/>
      <c r="AQS44" s="76"/>
      <c r="AQT44" s="76"/>
      <c r="AQU44" s="76"/>
      <c r="AQV44" s="76"/>
      <c r="AQW44" s="76"/>
      <c r="AQX44" s="76"/>
      <c r="AQY44" s="76"/>
      <c r="AQZ44" s="76"/>
      <c r="ARA44" s="76"/>
      <c r="ARB44" s="76"/>
      <c r="ARC44" s="76"/>
      <c r="ARD44" s="76"/>
      <c r="ARE44" s="76"/>
      <c r="ARF44" s="76"/>
      <c r="ARG44" s="76"/>
      <c r="ARH44" s="76"/>
      <c r="ARI44" s="76"/>
      <c r="ARJ44" s="76"/>
      <c r="ARK44" s="76"/>
      <c r="ARL44" s="76"/>
      <c r="ARM44" s="76"/>
      <c r="ARN44" s="76"/>
      <c r="ARO44" s="76"/>
      <c r="ARP44" s="76"/>
      <c r="ARQ44" s="76"/>
      <c r="ARR44" s="76"/>
      <c r="ARS44" s="76"/>
      <c r="ART44" s="76"/>
      <c r="ARU44" s="76"/>
      <c r="ARV44" s="76"/>
      <c r="ARW44" s="76"/>
      <c r="ARX44" s="76"/>
      <c r="ARY44" s="76"/>
      <c r="ARZ44" s="76"/>
      <c r="ASA44" s="76"/>
      <c r="ASB44" s="76"/>
      <c r="ASC44" s="76"/>
      <c r="ASD44" s="76"/>
      <c r="ASE44" s="76"/>
      <c r="ASF44" s="76"/>
      <c r="ASG44" s="76"/>
      <c r="ASH44" s="76"/>
      <c r="ASI44" s="76"/>
      <c r="ASJ44" s="76"/>
      <c r="ASK44" s="76"/>
      <c r="ASL44" s="76"/>
      <c r="ASM44" s="76"/>
      <c r="ASN44" s="76"/>
      <c r="ASO44" s="76"/>
      <c r="ASP44" s="76"/>
      <c r="ASQ44" s="76"/>
      <c r="ASR44" s="76"/>
      <c r="ASS44" s="76"/>
      <c r="AST44" s="76"/>
      <c r="ASU44" s="76"/>
      <c r="ASV44" s="76"/>
      <c r="ASW44" s="76"/>
      <c r="ASX44" s="76"/>
      <c r="ASY44" s="76"/>
      <c r="ASZ44" s="76"/>
      <c r="ATA44" s="76"/>
      <c r="ATB44" s="76"/>
      <c r="ATC44" s="76"/>
      <c r="ATD44" s="76"/>
      <c r="ATE44" s="76"/>
      <c r="ATF44" s="76"/>
      <c r="ATG44" s="76"/>
      <c r="ATH44" s="76"/>
      <c r="ATI44" s="76"/>
      <c r="ATJ44" s="76"/>
      <c r="ATK44" s="76"/>
      <c r="ATL44" s="76"/>
      <c r="ATM44" s="76"/>
      <c r="ATN44" s="76"/>
      <c r="ATO44" s="76"/>
      <c r="ATP44" s="76"/>
      <c r="ATQ44" s="76"/>
      <c r="ATR44" s="76"/>
      <c r="ATS44" s="76"/>
      <c r="ATT44" s="76"/>
      <c r="ATU44" s="76"/>
      <c r="ATV44" s="76"/>
      <c r="ATW44" s="76"/>
      <c r="ATX44" s="76"/>
      <c r="ATY44" s="76"/>
      <c r="ATZ44" s="76"/>
      <c r="AUA44" s="76"/>
      <c r="AUB44" s="76"/>
      <c r="AUC44" s="76"/>
      <c r="AUD44" s="76"/>
      <c r="AUE44" s="76"/>
      <c r="AUF44" s="76"/>
      <c r="AUG44" s="76"/>
      <c r="AUH44" s="76"/>
      <c r="AUI44" s="76"/>
      <c r="AUJ44" s="76"/>
      <c r="AUK44" s="76"/>
      <c r="AUL44" s="76"/>
      <c r="AUM44" s="76"/>
      <c r="AUN44" s="76"/>
      <c r="AUO44" s="76"/>
      <c r="AUP44" s="76"/>
      <c r="AUQ44" s="76"/>
      <c r="AUR44" s="76"/>
      <c r="AUS44" s="76"/>
      <c r="AUT44" s="76"/>
      <c r="AUU44" s="76"/>
      <c r="AUV44" s="76"/>
      <c r="AUW44" s="76"/>
      <c r="AUX44" s="76"/>
      <c r="AUY44" s="76"/>
      <c r="AUZ44" s="76"/>
      <c r="AVA44" s="76"/>
      <c r="AVB44" s="76"/>
      <c r="AVC44" s="76"/>
      <c r="AVD44" s="76"/>
      <c r="AVE44" s="76"/>
      <c r="AVF44" s="76"/>
      <c r="AVG44" s="76"/>
      <c r="AVH44" s="76"/>
      <c r="AVI44" s="76"/>
      <c r="AVJ44" s="76"/>
      <c r="AVK44" s="76"/>
      <c r="AVL44" s="76"/>
      <c r="AVM44" s="76"/>
      <c r="AVN44" s="76"/>
      <c r="AVO44" s="76"/>
      <c r="AVP44" s="76"/>
      <c r="AVQ44" s="76"/>
      <c r="AVR44" s="76"/>
      <c r="AVS44" s="76"/>
      <c r="AVT44" s="76"/>
      <c r="AVU44" s="76"/>
      <c r="AVV44" s="76"/>
      <c r="AVW44" s="76"/>
      <c r="AVX44" s="76"/>
      <c r="AVY44" s="76"/>
      <c r="AVZ44" s="76"/>
      <c r="AWA44" s="76"/>
      <c r="AWB44" s="76"/>
      <c r="AWC44" s="76"/>
      <c r="AWD44" s="76"/>
      <c r="AWE44" s="76"/>
      <c r="AWF44" s="76"/>
      <c r="AWG44" s="76"/>
      <c r="AWH44" s="76"/>
      <c r="AWI44" s="76"/>
      <c r="AWJ44" s="76"/>
      <c r="AWK44" s="76"/>
      <c r="AWL44" s="76"/>
      <c r="AWM44" s="76"/>
      <c r="AWN44" s="76"/>
      <c r="AWO44" s="76"/>
      <c r="AWP44" s="76"/>
      <c r="AWQ44" s="76"/>
      <c r="AWR44" s="76"/>
      <c r="AWS44" s="76"/>
      <c r="AWT44" s="76"/>
      <c r="AWU44" s="76"/>
      <c r="AWV44" s="76"/>
      <c r="AWW44" s="76"/>
      <c r="AWX44" s="76"/>
      <c r="AWY44" s="76"/>
      <c r="AWZ44" s="76"/>
      <c r="AXA44" s="76"/>
      <c r="AXB44" s="76"/>
      <c r="AXC44" s="76"/>
      <c r="AXD44" s="76"/>
      <c r="AXE44" s="76"/>
      <c r="AXF44" s="76"/>
      <c r="AXG44" s="76"/>
      <c r="AXH44" s="76"/>
      <c r="AXI44" s="76"/>
      <c r="AXJ44" s="76"/>
      <c r="AXK44" s="76"/>
      <c r="AXL44" s="76"/>
      <c r="AXM44" s="76"/>
      <c r="AXN44" s="76"/>
      <c r="AXO44" s="76"/>
      <c r="AXP44" s="76"/>
      <c r="AXQ44" s="76"/>
      <c r="AXR44" s="76"/>
      <c r="AXS44" s="76"/>
      <c r="AXT44" s="76"/>
      <c r="AXU44" s="76"/>
      <c r="AXV44" s="76"/>
      <c r="AXW44" s="76"/>
      <c r="AXX44" s="76"/>
      <c r="AXY44" s="76"/>
      <c r="AXZ44" s="76"/>
      <c r="AYA44" s="76"/>
      <c r="AYB44" s="76"/>
      <c r="AYC44" s="76"/>
      <c r="AYD44" s="76"/>
      <c r="AYE44" s="76"/>
      <c r="AYF44" s="76"/>
      <c r="AYG44" s="76"/>
      <c r="AYH44" s="76"/>
      <c r="AYI44" s="76"/>
      <c r="AYJ44" s="76"/>
      <c r="AYK44" s="76"/>
      <c r="AYL44" s="76"/>
      <c r="AYM44" s="76"/>
      <c r="AYN44" s="76"/>
      <c r="AYO44" s="76"/>
      <c r="AYP44" s="76"/>
      <c r="AYQ44" s="76"/>
      <c r="AYR44" s="76"/>
      <c r="AYS44" s="76"/>
      <c r="AYT44" s="76"/>
      <c r="AYU44" s="76"/>
      <c r="AYV44" s="76"/>
      <c r="AYW44" s="76"/>
      <c r="AYX44" s="76"/>
      <c r="AYY44" s="76"/>
      <c r="AYZ44" s="76"/>
      <c r="AZA44" s="76"/>
      <c r="AZB44" s="76"/>
      <c r="AZC44" s="76"/>
      <c r="AZD44" s="76"/>
      <c r="AZE44" s="76"/>
      <c r="AZF44" s="76"/>
      <c r="AZG44" s="76"/>
      <c r="AZH44" s="76"/>
      <c r="AZI44" s="76"/>
      <c r="AZJ44" s="76"/>
      <c r="AZK44" s="76"/>
      <c r="AZL44" s="76"/>
      <c r="AZM44" s="76"/>
      <c r="AZN44" s="76"/>
      <c r="AZO44" s="76"/>
      <c r="AZP44" s="76"/>
      <c r="AZQ44" s="76"/>
      <c r="AZR44" s="76"/>
      <c r="AZS44" s="76"/>
      <c r="AZT44" s="76"/>
      <c r="AZU44" s="76"/>
      <c r="AZV44" s="76"/>
      <c r="AZW44" s="76"/>
      <c r="AZX44" s="76"/>
      <c r="AZY44" s="76"/>
      <c r="AZZ44" s="76"/>
      <c r="BAA44" s="76"/>
      <c r="BAB44" s="76"/>
      <c r="BAC44" s="76"/>
      <c r="BAD44" s="76"/>
      <c r="BAE44" s="76"/>
      <c r="BAF44" s="76"/>
      <c r="BAG44" s="76"/>
      <c r="BAH44" s="76"/>
      <c r="BAI44" s="76"/>
      <c r="BAJ44" s="76"/>
      <c r="BAK44" s="76"/>
      <c r="BAL44" s="76"/>
      <c r="BAM44" s="76"/>
      <c r="BAN44" s="76"/>
      <c r="BAO44" s="76"/>
      <c r="BAP44" s="76"/>
      <c r="BAQ44" s="76"/>
      <c r="BAR44" s="76"/>
      <c r="BAS44" s="76"/>
      <c r="BAT44" s="76"/>
      <c r="BAU44" s="76"/>
      <c r="BAV44" s="76"/>
      <c r="BAW44" s="76"/>
      <c r="BAX44" s="76"/>
      <c r="BAY44" s="76"/>
      <c r="BAZ44" s="76"/>
      <c r="BBA44" s="76"/>
      <c r="BBB44" s="76"/>
      <c r="BBC44" s="76"/>
      <c r="BBD44" s="76"/>
      <c r="BBE44" s="76"/>
      <c r="BBF44" s="76"/>
      <c r="BBG44" s="76"/>
      <c r="BBH44" s="76"/>
      <c r="BBI44" s="76"/>
      <c r="BBJ44" s="76"/>
      <c r="BBK44" s="76"/>
      <c r="BBL44" s="76"/>
      <c r="BBM44" s="76"/>
      <c r="BBN44" s="76"/>
      <c r="BBO44" s="76"/>
      <c r="BBP44" s="76"/>
      <c r="BBQ44" s="76"/>
      <c r="BBR44" s="76"/>
      <c r="BBS44" s="76"/>
      <c r="BBT44" s="76"/>
      <c r="BBU44" s="76"/>
      <c r="BBV44" s="76"/>
      <c r="BBW44" s="76"/>
      <c r="BBX44" s="76"/>
      <c r="BBY44" s="76"/>
      <c r="BBZ44" s="76"/>
      <c r="BCA44" s="76"/>
      <c r="BCB44" s="76"/>
      <c r="BCC44" s="76"/>
      <c r="BCD44" s="76"/>
      <c r="BCE44" s="76"/>
      <c r="BCF44" s="76"/>
      <c r="BCG44" s="76"/>
      <c r="BCH44" s="76"/>
      <c r="BCI44" s="76"/>
      <c r="BCJ44" s="76"/>
      <c r="BCK44" s="76"/>
      <c r="BCL44" s="76"/>
      <c r="BCM44" s="76"/>
      <c r="BCN44" s="76"/>
      <c r="BCO44" s="76"/>
      <c r="BCP44" s="76"/>
      <c r="BCQ44" s="76"/>
      <c r="BCR44" s="76"/>
      <c r="BCS44" s="76"/>
      <c r="BCT44" s="76"/>
      <c r="BCU44" s="76"/>
      <c r="BCV44" s="76"/>
      <c r="BCW44" s="76"/>
      <c r="BCX44" s="76"/>
      <c r="BCY44" s="76"/>
      <c r="BCZ44" s="76"/>
      <c r="BDA44" s="76"/>
      <c r="BDB44" s="76"/>
      <c r="BDC44" s="76"/>
      <c r="BDD44" s="76"/>
      <c r="BDE44" s="76"/>
      <c r="BDF44" s="76"/>
      <c r="BDG44" s="76"/>
      <c r="BDH44" s="76"/>
      <c r="BDI44" s="76"/>
      <c r="BDJ44" s="76"/>
      <c r="BDK44" s="76"/>
      <c r="BDL44" s="76"/>
      <c r="BDM44" s="76"/>
      <c r="BDN44" s="76"/>
      <c r="BDO44" s="76"/>
      <c r="BDP44" s="76"/>
      <c r="BDQ44" s="76"/>
      <c r="BDR44" s="76"/>
      <c r="BDS44" s="76"/>
      <c r="BDT44" s="76"/>
      <c r="BDU44" s="76"/>
      <c r="BDV44" s="76"/>
      <c r="BDW44" s="76"/>
      <c r="BDX44" s="76"/>
      <c r="BDY44" s="76"/>
      <c r="BDZ44" s="76"/>
      <c r="BEA44" s="76"/>
      <c r="BEB44" s="76"/>
      <c r="BEC44" s="76"/>
      <c r="BED44" s="76"/>
      <c r="BEE44" s="76"/>
      <c r="BEF44" s="76"/>
      <c r="BEG44" s="76"/>
      <c r="BEH44" s="76"/>
      <c r="BEI44" s="76"/>
      <c r="BEJ44" s="76"/>
      <c r="BEK44" s="76"/>
      <c r="BEL44" s="76"/>
      <c r="BEM44" s="76"/>
      <c r="BEN44" s="76"/>
      <c r="BEO44" s="76"/>
      <c r="BEP44" s="76"/>
      <c r="BEQ44" s="76"/>
      <c r="BER44" s="76"/>
      <c r="BES44" s="76"/>
      <c r="BET44" s="76"/>
      <c r="BEU44" s="76"/>
      <c r="BEV44" s="76"/>
      <c r="BEW44" s="76"/>
      <c r="BEX44" s="76"/>
      <c r="BEY44" s="76"/>
      <c r="BEZ44" s="76"/>
      <c r="BFA44" s="76"/>
      <c r="BFB44" s="76"/>
      <c r="BFC44" s="76"/>
      <c r="BFD44" s="76"/>
      <c r="BFE44" s="76"/>
      <c r="BFF44" s="76"/>
      <c r="BFG44" s="76"/>
      <c r="BFH44" s="76"/>
      <c r="BFI44" s="76"/>
      <c r="BFJ44" s="76"/>
      <c r="BFK44" s="76"/>
      <c r="BFL44" s="76"/>
      <c r="BFM44" s="76"/>
      <c r="BFN44" s="76"/>
      <c r="BFO44" s="76"/>
      <c r="BFP44" s="76"/>
      <c r="BFQ44" s="76"/>
      <c r="BFR44" s="76"/>
      <c r="BFS44" s="76"/>
      <c r="BFT44" s="76"/>
      <c r="BFU44" s="76"/>
      <c r="BFV44" s="76"/>
      <c r="BFW44" s="76"/>
      <c r="BFX44" s="76"/>
      <c r="BFY44" s="76"/>
      <c r="BFZ44" s="76"/>
      <c r="BGA44" s="76"/>
      <c r="BGB44" s="76"/>
      <c r="BGC44" s="76"/>
      <c r="BGD44" s="76"/>
      <c r="BGE44" s="76"/>
      <c r="BGF44" s="76"/>
      <c r="BGG44" s="76"/>
      <c r="BGH44" s="76"/>
      <c r="BGI44" s="76"/>
      <c r="BGJ44" s="76"/>
      <c r="BGK44" s="76"/>
      <c r="BGL44" s="76"/>
      <c r="BGM44" s="76"/>
      <c r="BGN44" s="76"/>
      <c r="BGO44" s="76"/>
      <c r="BGP44" s="76"/>
      <c r="BGQ44" s="76"/>
      <c r="BGR44" s="76"/>
      <c r="BGS44" s="76"/>
      <c r="BGT44" s="76"/>
      <c r="BGU44" s="76"/>
      <c r="BGV44" s="76"/>
      <c r="BGW44" s="76"/>
      <c r="BGX44" s="76"/>
      <c r="BGY44" s="76"/>
      <c r="BGZ44" s="76"/>
      <c r="BHA44" s="76"/>
      <c r="BHB44" s="76"/>
      <c r="BHC44" s="76"/>
      <c r="BHD44" s="76"/>
      <c r="BHE44" s="76"/>
      <c r="BHF44" s="76"/>
      <c r="BHG44" s="76"/>
      <c r="BHH44" s="76"/>
      <c r="BHI44" s="76"/>
      <c r="BHJ44" s="76"/>
      <c r="BHK44" s="76"/>
      <c r="BHL44" s="76"/>
      <c r="BHM44" s="76"/>
      <c r="BHN44" s="76"/>
      <c r="BHO44" s="76"/>
      <c r="BHP44" s="76"/>
      <c r="BHQ44" s="76"/>
      <c r="BHR44" s="76"/>
      <c r="BHS44" s="76"/>
      <c r="BHT44" s="76"/>
      <c r="BHU44" s="76"/>
      <c r="BHV44" s="76"/>
      <c r="BHW44" s="76"/>
      <c r="BHX44" s="76"/>
      <c r="BHY44" s="76"/>
      <c r="BHZ44" s="76"/>
      <c r="BIA44" s="76"/>
      <c r="BIB44" s="76"/>
      <c r="BIC44" s="76"/>
      <c r="BID44" s="76"/>
      <c r="BIE44" s="76"/>
      <c r="BIF44" s="76"/>
      <c r="BIG44" s="76"/>
      <c r="BIH44" s="76"/>
      <c r="BII44" s="76"/>
      <c r="BIJ44" s="76"/>
      <c r="BIK44" s="76"/>
      <c r="BIL44" s="76"/>
      <c r="BIM44" s="76"/>
      <c r="BIN44" s="76"/>
      <c r="BIO44" s="76"/>
      <c r="BIP44" s="76"/>
      <c r="BIQ44" s="76"/>
      <c r="BIR44" s="76"/>
      <c r="BIS44" s="76"/>
      <c r="BIT44" s="76"/>
      <c r="BIU44" s="76"/>
      <c r="BIV44" s="76"/>
      <c r="BIW44" s="76"/>
      <c r="BIX44" s="76"/>
      <c r="BIY44" s="76"/>
      <c r="BIZ44" s="76"/>
      <c r="BJA44" s="76"/>
      <c r="BJB44" s="76"/>
      <c r="BJC44" s="76"/>
      <c r="BJD44" s="76"/>
      <c r="BJE44" s="76"/>
      <c r="BJF44" s="76"/>
      <c r="BJG44" s="76"/>
      <c r="BJH44" s="76"/>
      <c r="BJI44" s="76"/>
      <c r="BJJ44" s="76"/>
      <c r="BJK44" s="76"/>
      <c r="BJL44" s="76"/>
      <c r="BJM44" s="76"/>
      <c r="BJN44" s="76"/>
      <c r="BJO44" s="76"/>
      <c r="BJP44" s="76"/>
      <c r="BJQ44" s="76"/>
      <c r="BJR44" s="76"/>
      <c r="BJS44" s="76"/>
      <c r="BJT44" s="76"/>
      <c r="BJU44" s="76"/>
      <c r="BJV44" s="76"/>
      <c r="BJW44" s="76"/>
      <c r="BJX44" s="76"/>
      <c r="BJY44" s="76"/>
      <c r="BJZ44" s="76"/>
      <c r="BKA44" s="76"/>
      <c r="BKB44" s="76"/>
      <c r="BKC44" s="76"/>
      <c r="BKD44" s="76"/>
      <c r="BKE44" s="76"/>
      <c r="BKF44" s="76"/>
      <c r="BKG44" s="76"/>
      <c r="BKH44" s="76"/>
      <c r="BKI44" s="76"/>
      <c r="BKJ44" s="76"/>
      <c r="BKK44" s="76"/>
      <c r="BKL44" s="76"/>
      <c r="BKM44" s="76"/>
      <c r="BKN44" s="76"/>
      <c r="BKO44" s="76"/>
      <c r="BKP44" s="76"/>
      <c r="BKQ44" s="76"/>
      <c r="BKR44" s="76"/>
      <c r="BKS44" s="76"/>
      <c r="BKT44" s="76"/>
      <c r="BKU44" s="76"/>
      <c r="BKV44" s="76"/>
      <c r="BKW44" s="76"/>
      <c r="BKX44" s="76"/>
      <c r="BKY44" s="76"/>
      <c r="BKZ44" s="76"/>
      <c r="BLA44" s="76"/>
      <c r="BLB44" s="76"/>
      <c r="BLC44" s="76"/>
      <c r="BLD44" s="76"/>
      <c r="BLE44" s="76"/>
      <c r="BLF44" s="76"/>
      <c r="BLG44" s="76"/>
      <c r="BLH44" s="76"/>
      <c r="BLI44" s="76"/>
      <c r="BLJ44" s="76"/>
      <c r="BLK44" s="76"/>
      <c r="BLL44" s="76"/>
      <c r="BLM44" s="76"/>
      <c r="BLN44" s="76"/>
      <c r="BLO44" s="76"/>
      <c r="BLP44" s="76"/>
      <c r="BLQ44" s="76"/>
      <c r="BLR44" s="76"/>
      <c r="BLS44" s="76"/>
      <c r="BLT44" s="76"/>
      <c r="BLU44" s="76"/>
      <c r="BLV44" s="76"/>
      <c r="BLW44" s="76"/>
      <c r="BLX44" s="76"/>
      <c r="BLY44" s="76"/>
      <c r="BLZ44" s="76"/>
      <c r="BMA44" s="76"/>
      <c r="BMB44" s="76"/>
      <c r="BMC44" s="76"/>
      <c r="BMD44" s="76"/>
      <c r="BME44" s="76"/>
      <c r="BMF44" s="76"/>
      <c r="BMG44" s="76"/>
      <c r="BMH44" s="76"/>
      <c r="BMI44" s="76"/>
      <c r="BMJ44" s="76"/>
      <c r="BMK44" s="76"/>
      <c r="BML44" s="76"/>
      <c r="BMM44" s="76"/>
      <c r="BMN44" s="76"/>
      <c r="BMO44" s="76"/>
      <c r="BMP44" s="76"/>
      <c r="BMQ44" s="76"/>
      <c r="BMR44" s="76"/>
      <c r="BMS44" s="76"/>
      <c r="BMT44" s="76"/>
      <c r="BMU44" s="76"/>
      <c r="BMV44" s="76"/>
      <c r="BMW44" s="76"/>
      <c r="BMX44" s="76"/>
      <c r="BMY44" s="76"/>
      <c r="BMZ44" s="76"/>
      <c r="BNA44" s="76"/>
      <c r="BNB44" s="76"/>
      <c r="BNC44" s="76"/>
      <c r="BND44" s="76"/>
      <c r="BNE44" s="76"/>
      <c r="BNF44" s="76"/>
      <c r="BNG44" s="76"/>
      <c r="BNH44" s="76"/>
      <c r="BNI44" s="76"/>
      <c r="BNJ44" s="76"/>
      <c r="BNK44" s="76"/>
      <c r="BNL44" s="76"/>
      <c r="BNM44" s="76"/>
      <c r="BNN44" s="76"/>
      <c r="BNO44" s="76"/>
      <c r="BNP44" s="76"/>
      <c r="BNQ44" s="76"/>
      <c r="BNR44" s="76"/>
      <c r="BNS44" s="76"/>
      <c r="BNT44" s="76"/>
      <c r="BNU44" s="76"/>
      <c r="BNV44" s="76"/>
      <c r="BNW44" s="76"/>
      <c r="BNX44" s="76"/>
      <c r="BNY44" s="76"/>
      <c r="BNZ44" s="76"/>
      <c r="BOA44" s="76"/>
      <c r="BOB44" s="76"/>
      <c r="BOC44" s="76"/>
      <c r="BOD44" s="76"/>
      <c r="BOE44" s="76"/>
      <c r="BOF44" s="76"/>
      <c r="BOG44" s="76"/>
      <c r="BOH44" s="76"/>
      <c r="BOI44" s="76"/>
      <c r="BOJ44" s="76"/>
      <c r="BOK44" s="76"/>
      <c r="BOL44" s="76"/>
      <c r="BOM44" s="76"/>
      <c r="BON44" s="76"/>
      <c r="BOO44" s="76"/>
      <c r="BOP44" s="76"/>
      <c r="BOQ44" s="76"/>
      <c r="BOR44" s="76"/>
      <c r="BOS44" s="76"/>
      <c r="BOT44" s="76"/>
      <c r="BOU44" s="76"/>
      <c r="BOV44" s="76"/>
      <c r="BOW44" s="76"/>
      <c r="BOX44" s="76"/>
      <c r="BOY44" s="76"/>
      <c r="BOZ44" s="76"/>
      <c r="BPA44" s="76"/>
      <c r="BPB44" s="76"/>
      <c r="BPC44" s="76"/>
      <c r="BPD44" s="76"/>
      <c r="BPE44" s="76"/>
      <c r="BPF44" s="76"/>
      <c r="BPG44" s="76"/>
      <c r="BPH44" s="76"/>
      <c r="BPI44" s="76"/>
      <c r="BPJ44" s="76"/>
      <c r="BPK44" s="76"/>
      <c r="BPL44" s="76"/>
      <c r="BPM44" s="76"/>
      <c r="BPN44" s="76"/>
      <c r="BPO44" s="76"/>
      <c r="BPP44" s="76"/>
      <c r="BPQ44" s="76"/>
      <c r="BPR44" s="76"/>
      <c r="BPS44" s="76"/>
      <c r="BPT44" s="76"/>
      <c r="BPU44" s="76"/>
      <c r="BPV44" s="76"/>
      <c r="BPW44" s="76"/>
      <c r="BPX44" s="76"/>
      <c r="BPY44" s="76"/>
      <c r="BPZ44" s="76"/>
      <c r="BQA44" s="76"/>
      <c r="BQB44" s="76"/>
      <c r="BQC44" s="76"/>
      <c r="BQD44" s="76"/>
      <c r="BQE44" s="76"/>
      <c r="BQF44" s="76"/>
      <c r="BQG44" s="76"/>
      <c r="BQH44" s="76"/>
      <c r="BQI44" s="76"/>
      <c r="BQJ44" s="76"/>
      <c r="BQK44" s="76"/>
      <c r="BQL44" s="76"/>
      <c r="BQM44" s="76"/>
      <c r="BQN44" s="76"/>
      <c r="BQO44" s="76"/>
      <c r="BQP44" s="76"/>
      <c r="BQQ44" s="76"/>
      <c r="BQR44" s="76"/>
      <c r="BQS44" s="76"/>
      <c r="BQT44" s="76"/>
      <c r="BQU44" s="76"/>
      <c r="BQV44" s="76"/>
      <c r="BQW44" s="76"/>
      <c r="BQX44" s="76"/>
      <c r="BQY44" s="76"/>
      <c r="BQZ44" s="76"/>
      <c r="BRA44" s="76"/>
      <c r="BRB44" s="76"/>
      <c r="BRC44" s="76"/>
      <c r="BRD44" s="76"/>
      <c r="BRE44" s="76"/>
      <c r="BRF44" s="76"/>
      <c r="BRG44" s="76"/>
      <c r="BRH44" s="76"/>
      <c r="BRI44" s="76"/>
      <c r="BRJ44" s="76"/>
      <c r="BRK44" s="76"/>
      <c r="BRL44" s="76"/>
      <c r="BRM44" s="76"/>
      <c r="BRN44" s="76"/>
      <c r="BRO44" s="76"/>
      <c r="BRP44" s="76"/>
      <c r="BRQ44" s="76"/>
      <c r="BRR44" s="76"/>
      <c r="BRS44" s="76"/>
      <c r="BRT44" s="76"/>
      <c r="BRU44" s="76"/>
      <c r="BRV44" s="76"/>
      <c r="BRW44" s="76"/>
      <c r="BRX44" s="76"/>
      <c r="BRY44" s="76"/>
      <c r="BRZ44" s="76"/>
      <c r="BSA44" s="76"/>
      <c r="BSB44" s="76"/>
      <c r="BSC44" s="76"/>
      <c r="BSD44" s="76"/>
      <c r="BSE44" s="76"/>
      <c r="BSF44" s="76"/>
      <c r="BSG44" s="76"/>
      <c r="BSH44" s="76"/>
      <c r="BSI44" s="76"/>
      <c r="BSJ44" s="76"/>
      <c r="BSK44" s="76"/>
      <c r="BSL44" s="76"/>
      <c r="BSM44" s="76"/>
      <c r="BSN44" s="76"/>
      <c r="BSO44" s="76"/>
      <c r="BSP44" s="76"/>
      <c r="BSQ44" s="76"/>
      <c r="BSR44" s="76"/>
      <c r="BSS44" s="76"/>
      <c r="BST44" s="76"/>
      <c r="BSU44" s="76"/>
      <c r="BSV44" s="76"/>
      <c r="BSW44" s="76"/>
      <c r="BSX44" s="76"/>
      <c r="BSY44" s="76"/>
      <c r="BSZ44" s="76"/>
      <c r="BTA44" s="76"/>
      <c r="BTB44" s="76"/>
      <c r="BTC44" s="76"/>
      <c r="BTD44" s="76"/>
      <c r="BTE44" s="76"/>
      <c r="BTF44" s="76"/>
      <c r="BTG44" s="76"/>
      <c r="BTH44" s="76"/>
      <c r="BTI44" s="76"/>
      <c r="BTJ44" s="76"/>
      <c r="BTK44" s="76"/>
      <c r="BTL44" s="76"/>
      <c r="BTM44" s="76"/>
      <c r="BTN44" s="76"/>
      <c r="BTO44" s="76"/>
      <c r="BTP44" s="76"/>
      <c r="BTQ44" s="76"/>
      <c r="BTR44" s="76"/>
      <c r="BTS44" s="76"/>
      <c r="BTT44" s="76"/>
      <c r="BTU44" s="76"/>
      <c r="BTV44" s="76"/>
      <c r="BTW44" s="76"/>
      <c r="BTX44" s="76"/>
      <c r="BTY44" s="76"/>
      <c r="BTZ44" s="76"/>
      <c r="BUA44" s="76"/>
      <c r="BUB44" s="76"/>
      <c r="BUC44" s="76"/>
      <c r="BUD44" s="76"/>
      <c r="BUE44" s="76"/>
      <c r="BUF44" s="76"/>
      <c r="BUG44" s="76"/>
      <c r="BUH44" s="76"/>
      <c r="BUI44" s="76"/>
      <c r="BUJ44" s="76"/>
      <c r="BUK44" s="76"/>
      <c r="BUL44" s="76"/>
      <c r="BUM44" s="76"/>
      <c r="BUN44" s="76"/>
      <c r="BUO44" s="76"/>
      <c r="BUP44" s="76"/>
      <c r="BUQ44" s="76"/>
      <c r="BUR44" s="76"/>
      <c r="BUS44" s="76"/>
      <c r="BUT44" s="76"/>
      <c r="BUU44" s="76"/>
      <c r="BUV44" s="76"/>
      <c r="BUW44" s="76"/>
      <c r="BUX44" s="76"/>
      <c r="BUY44" s="76"/>
      <c r="BUZ44" s="76"/>
      <c r="BVA44" s="76"/>
      <c r="BVB44" s="76"/>
      <c r="BVC44" s="76"/>
      <c r="BVD44" s="76"/>
      <c r="BVE44" s="76"/>
      <c r="BVF44" s="76"/>
      <c r="BVG44" s="76"/>
      <c r="BVH44" s="76"/>
      <c r="BVI44" s="76"/>
      <c r="BVJ44" s="76"/>
      <c r="BVK44" s="76"/>
      <c r="BVL44" s="76"/>
      <c r="BVM44" s="76"/>
      <c r="BVN44" s="76"/>
      <c r="BVO44" s="76"/>
      <c r="BVP44" s="76"/>
      <c r="BVQ44" s="76"/>
      <c r="BVR44" s="76"/>
      <c r="BVS44" s="76"/>
      <c r="BVT44" s="76"/>
      <c r="BVU44" s="76"/>
      <c r="BVV44" s="76"/>
      <c r="BVW44" s="76"/>
      <c r="BVX44" s="76"/>
      <c r="BVY44" s="76"/>
      <c r="BVZ44" s="76"/>
      <c r="BWA44" s="76"/>
      <c r="BWB44" s="76"/>
      <c r="BWC44" s="76"/>
      <c r="BWD44" s="76"/>
      <c r="BWE44" s="76"/>
      <c r="BWF44" s="76"/>
      <c r="BWG44" s="76"/>
      <c r="BWH44" s="76"/>
      <c r="BWI44" s="76"/>
      <c r="BWJ44" s="76"/>
      <c r="BWK44" s="76"/>
      <c r="BWL44" s="76"/>
      <c r="BWM44" s="76"/>
      <c r="BWN44" s="76"/>
      <c r="BWO44" s="76"/>
      <c r="BWP44" s="76"/>
      <c r="BWQ44" s="76"/>
      <c r="BWR44" s="76"/>
      <c r="BWS44" s="76"/>
      <c r="BWT44" s="76"/>
      <c r="BWU44" s="76"/>
      <c r="BWV44" s="76"/>
      <c r="BWW44" s="76"/>
      <c r="BWX44" s="76"/>
      <c r="BWY44" s="76"/>
      <c r="BWZ44" s="76"/>
      <c r="BXA44" s="76"/>
      <c r="BXB44" s="76"/>
      <c r="BXC44" s="76"/>
      <c r="BXD44" s="76"/>
      <c r="BXE44" s="76"/>
      <c r="BXF44" s="76"/>
      <c r="BXG44" s="76"/>
      <c r="BXH44" s="76"/>
      <c r="BXI44" s="76"/>
      <c r="BXJ44" s="76"/>
      <c r="BXK44" s="76"/>
      <c r="BXL44" s="76"/>
      <c r="BXM44" s="76"/>
      <c r="BXN44" s="76"/>
      <c r="BXO44" s="76"/>
      <c r="BXP44" s="76"/>
      <c r="BXQ44" s="76"/>
      <c r="BXR44" s="76"/>
      <c r="BXS44" s="76"/>
      <c r="BXT44" s="76"/>
      <c r="BXU44" s="76"/>
      <c r="BXV44" s="76"/>
      <c r="BXW44" s="76"/>
      <c r="BXX44" s="76"/>
      <c r="BXY44" s="76"/>
      <c r="BXZ44" s="76"/>
      <c r="BYA44" s="76"/>
      <c r="BYB44" s="76"/>
      <c r="BYC44" s="76"/>
      <c r="BYD44" s="76"/>
      <c r="BYE44" s="76"/>
      <c r="BYF44" s="76"/>
      <c r="BYG44" s="76"/>
      <c r="BYH44" s="76"/>
      <c r="BYI44" s="76"/>
      <c r="BYJ44" s="76"/>
      <c r="BYK44" s="76"/>
      <c r="BYL44" s="76"/>
      <c r="BYM44" s="76"/>
      <c r="BYN44" s="76"/>
      <c r="BYO44" s="76"/>
      <c r="BYP44" s="76"/>
      <c r="BYQ44" s="76"/>
      <c r="BYR44" s="76"/>
      <c r="BYS44" s="76"/>
      <c r="BYT44" s="76"/>
      <c r="BYU44" s="76"/>
      <c r="BYV44" s="76"/>
      <c r="BYW44" s="76"/>
      <c r="BYX44" s="76"/>
      <c r="BYY44" s="76"/>
      <c r="BYZ44" s="76"/>
      <c r="BZA44" s="76"/>
      <c r="BZB44" s="76"/>
      <c r="BZC44" s="76"/>
      <c r="BZD44" s="76"/>
      <c r="BZE44" s="76"/>
      <c r="BZF44" s="76"/>
      <c r="BZG44" s="76"/>
      <c r="BZH44" s="76"/>
      <c r="BZI44" s="76"/>
      <c r="BZJ44" s="76"/>
      <c r="BZK44" s="76"/>
      <c r="BZL44" s="76"/>
      <c r="BZM44" s="76"/>
      <c r="BZN44" s="76"/>
      <c r="BZO44" s="76"/>
      <c r="BZP44" s="76"/>
      <c r="BZQ44" s="76"/>
      <c r="BZR44" s="76"/>
      <c r="BZS44" s="76"/>
      <c r="BZT44" s="76"/>
      <c r="BZU44" s="76"/>
      <c r="BZV44" s="76"/>
      <c r="BZW44" s="76"/>
      <c r="BZX44" s="76"/>
      <c r="BZY44" s="76"/>
      <c r="BZZ44" s="76"/>
      <c r="CAA44" s="76"/>
      <c r="CAB44" s="76"/>
      <c r="CAC44" s="76"/>
      <c r="CAD44" s="76"/>
      <c r="CAE44" s="76"/>
      <c r="CAF44" s="76"/>
      <c r="CAG44" s="76"/>
      <c r="CAH44" s="76"/>
      <c r="CAI44" s="76"/>
      <c r="CAJ44" s="76"/>
      <c r="CAK44" s="76"/>
      <c r="CAL44" s="76"/>
      <c r="CAM44" s="76"/>
      <c r="CAN44" s="76"/>
      <c r="CAO44" s="76"/>
      <c r="CAP44" s="76"/>
      <c r="CAQ44" s="76"/>
      <c r="CAR44" s="76"/>
      <c r="CAS44" s="76"/>
      <c r="CAT44" s="76"/>
      <c r="CAU44" s="76"/>
      <c r="CAV44" s="76"/>
      <c r="CAW44" s="76"/>
      <c r="CAX44" s="76"/>
      <c r="CAY44" s="76"/>
      <c r="CAZ44" s="76"/>
      <c r="CBA44" s="76"/>
      <c r="CBB44" s="76"/>
      <c r="CBC44" s="76"/>
      <c r="CBD44" s="76"/>
      <c r="CBE44" s="76"/>
      <c r="CBF44" s="76"/>
      <c r="CBG44" s="76"/>
      <c r="CBH44" s="76"/>
      <c r="CBI44" s="76"/>
      <c r="CBJ44" s="76"/>
      <c r="CBK44" s="76"/>
      <c r="CBL44" s="76"/>
      <c r="CBM44" s="76"/>
      <c r="CBN44" s="76"/>
      <c r="CBO44" s="76"/>
      <c r="CBP44" s="76"/>
      <c r="CBQ44" s="76"/>
      <c r="CBR44" s="76"/>
      <c r="CBS44" s="76"/>
      <c r="CBT44" s="76"/>
      <c r="CBU44" s="76"/>
      <c r="CBV44" s="76"/>
      <c r="CBW44" s="76"/>
      <c r="CBX44" s="76"/>
      <c r="CBY44" s="76"/>
      <c r="CBZ44" s="76"/>
      <c r="CCA44" s="76"/>
      <c r="CCB44" s="76"/>
      <c r="CCC44" s="76"/>
      <c r="CCD44" s="76"/>
      <c r="CCE44" s="76"/>
      <c r="CCF44" s="76"/>
      <c r="CCG44" s="76"/>
      <c r="CCH44" s="76"/>
      <c r="CCI44" s="76"/>
      <c r="CCJ44" s="76"/>
      <c r="CCK44" s="76"/>
      <c r="CCL44" s="76"/>
      <c r="CCM44" s="76"/>
      <c r="CCN44" s="76"/>
      <c r="CCO44" s="76"/>
      <c r="CCP44" s="76"/>
      <c r="CCQ44" s="76"/>
      <c r="CCR44" s="76"/>
      <c r="CCS44" s="76"/>
      <c r="CCT44" s="76"/>
      <c r="CCU44" s="76"/>
      <c r="CCV44" s="76"/>
      <c r="CCW44" s="76"/>
      <c r="CCX44" s="76"/>
      <c r="CCY44" s="76"/>
      <c r="CCZ44" s="76"/>
      <c r="CDA44" s="76"/>
      <c r="CDB44" s="76"/>
      <c r="CDC44" s="76"/>
      <c r="CDD44" s="76"/>
      <c r="CDE44" s="76"/>
      <c r="CDF44" s="76"/>
      <c r="CDG44" s="76"/>
      <c r="CDH44" s="76"/>
      <c r="CDI44" s="76"/>
      <c r="CDJ44" s="76"/>
      <c r="CDK44" s="76"/>
      <c r="CDL44" s="76"/>
      <c r="CDM44" s="76"/>
      <c r="CDN44" s="76"/>
      <c r="CDO44" s="76"/>
      <c r="CDP44" s="76"/>
      <c r="CDQ44" s="76"/>
      <c r="CDR44" s="76"/>
      <c r="CDS44" s="76"/>
      <c r="CDT44" s="76"/>
      <c r="CDU44" s="76"/>
      <c r="CDV44" s="76"/>
      <c r="CDW44" s="76"/>
      <c r="CDX44" s="76"/>
      <c r="CDY44" s="76"/>
      <c r="CDZ44" s="76"/>
      <c r="CEA44" s="76"/>
      <c r="CEB44" s="76"/>
      <c r="CEC44" s="76"/>
      <c r="CED44" s="76"/>
      <c r="CEE44" s="76"/>
      <c r="CEF44" s="76"/>
      <c r="CEG44" s="76"/>
      <c r="CEH44" s="76"/>
      <c r="CEI44" s="76"/>
      <c r="CEJ44" s="76"/>
      <c r="CEK44" s="76"/>
      <c r="CEL44" s="76"/>
      <c r="CEM44" s="76"/>
      <c r="CEN44" s="76"/>
      <c r="CEO44" s="76"/>
      <c r="CEP44" s="76"/>
      <c r="CEQ44" s="76"/>
      <c r="CER44" s="76"/>
      <c r="CES44" s="76"/>
      <c r="CET44" s="76"/>
      <c r="CEU44" s="76"/>
      <c r="CEV44" s="76"/>
      <c r="CEW44" s="76"/>
      <c r="CEX44" s="76"/>
      <c r="CEY44" s="76"/>
      <c r="CEZ44" s="76"/>
      <c r="CFA44" s="76"/>
      <c r="CFB44" s="76"/>
      <c r="CFC44" s="76"/>
      <c r="CFD44" s="76"/>
      <c r="CFE44" s="76"/>
      <c r="CFF44" s="76"/>
      <c r="CFG44" s="76"/>
      <c r="CFH44" s="76"/>
      <c r="CFI44" s="76"/>
      <c r="CFJ44" s="76"/>
      <c r="CFK44" s="76"/>
      <c r="CFL44" s="76"/>
      <c r="CFM44" s="76"/>
      <c r="CFN44" s="76"/>
      <c r="CFO44" s="76"/>
      <c r="CFP44" s="76"/>
      <c r="CFQ44" s="76"/>
      <c r="CFR44" s="76"/>
      <c r="CFS44" s="76"/>
      <c r="CFT44" s="76"/>
      <c r="CFU44" s="76"/>
      <c r="CFV44" s="76"/>
      <c r="CFW44" s="76"/>
      <c r="CFX44" s="76"/>
      <c r="CFY44" s="76"/>
      <c r="CFZ44" s="76"/>
      <c r="CGA44" s="76"/>
      <c r="CGB44" s="76"/>
      <c r="CGC44" s="76"/>
      <c r="CGD44" s="76"/>
      <c r="CGE44" s="76"/>
      <c r="CGF44" s="76"/>
      <c r="CGG44" s="76"/>
      <c r="CGH44" s="76"/>
      <c r="CGI44" s="76"/>
      <c r="CGJ44" s="76"/>
      <c r="CGK44" s="76"/>
      <c r="CGL44" s="76"/>
      <c r="CGM44" s="76"/>
      <c r="CGN44" s="76"/>
      <c r="CGO44" s="76"/>
      <c r="CGP44" s="76"/>
      <c r="CGQ44" s="76"/>
      <c r="CGR44" s="76"/>
      <c r="CGS44" s="76"/>
      <c r="CGT44" s="76"/>
      <c r="CGU44" s="76"/>
      <c r="CGV44" s="76"/>
      <c r="CGW44" s="76"/>
      <c r="CGX44" s="76"/>
      <c r="CGY44" s="76"/>
      <c r="CGZ44" s="76"/>
      <c r="CHA44" s="76"/>
      <c r="CHB44" s="76"/>
      <c r="CHC44" s="76"/>
      <c r="CHD44" s="76"/>
      <c r="CHE44" s="76"/>
      <c r="CHF44" s="76"/>
      <c r="CHG44" s="76"/>
      <c r="CHH44" s="76"/>
      <c r="CHI44" s="76"/>
      <c r="CHJ44" s="76"/>
      <c r="CHK44" s="76"/>
      <c r="CHL44" s="76"/>
      <c r="CHM44" s="76"/>
      <c r="CHN44" s="76"/>
      <c r="CHO44" s="76"/>
      <c r="CHP44" s="76"/>
      <c r="CHQ44" s="76"/>
      <c r="CHR44" s="76"/>
      <c r="CHS44" s="76"/>
      <c r="CHT44" s="76"/>
      <c r="CHU44" s="76"/>
      <c r="CHV44" s="76"/>
      <c r="CHW44" s="76"/>
      <c r="CHX44" s="76"/>
      <c r="CHY44" s="76"/>
      <c r="CHZ44" s="76"/>
      <c r="CIA44" s="76"/>
      <c r="CIB44" s="76"/>
      <c r="CIC44" s="76"/>
      <c r="CID44" s="76"/>
      <c r="CIE44" s="76"/>
      <c r="CIF44" s="76"/>
      <c r="CIG44" s="76"/>
      <c r="CIH44" s="76"/>
      <c r="CII44" s="76"/>
      <c r="CIJ44" s="76"/>
      <c r="CIK44" s="76"/>
      <c r="CIL44" s="76"/>
      <c r="CIM44" s="76"/>
      <c r="CIN44" s="76"/>
      <c r="CIO44" s="76"/>
      <c r="CIP44" s="76"/>
      <c r="CIQ44" s="76"/>
      <c r="CIR44" s="76"/>
      <c r="CIS44" s="76"/>
      <c r="CIT44" s="76"/>
      <c r="CIU44" s="76"/>
      <c r="CIV44" s="76"/>
      <c r="CIW44" s="76"/>
      <c r="CIX44" s="76"/>
      <c r="CIY44" s="76"/>
      <c r="CIZ44" s="76"/>
      <c r="CJA44" s="76"/>
      <c r="CJB44" s="76"/>
      <c r="CJC44" s="76"/>
      <c r="CJD44" s="76"/>
      <c r="CJE44" s="76"/>
      <c r="CJF44" s="76"/>
      <c r="CJG44" s="76"/>
      <c r="CJH44" s="76"/>
      <c r="CJI44" s="76"/>
      <c r="CJJ44" s="76"/>
      <c r="CJK44" s="76"/>
      <c r="CJL44" s="76"/>
      <c r="CJM44" s="76"/>
      <c r="CJN44" s="76"/>
      <c r="CJO44" s="76"/>
      <c r="CJP44" s="76"/>
      <c r="CJQ44" s="76"/>
      <c r="CJR44" s="76"/>
      <c r="CJS44" s="76"/>
      <c r="CJT44" s="76"/>
      <c r="CJU44" s="76"/>
      <c r="CJV44" s="76"/>
      <c r="CJW44" s="76"/>
      <c r="CJX44" s="76"/>
      <c r="CJY44" s="76"/>
      <c r="CJZ44" s="76"/>
      <c r="CKA44" s="76"/>
      <c r="CKB44" s="76"/>
      <c r="CKC44" s="76"/>
      <c r="CKD44" s="76"/>
      <c r="CKE44" s="76"/>
      <c r="CKF44" s="76"/>
      <c r="CKG44" s="76"/>
      <c r="CKH44" s="76"/>
      <c r="CKI44" s="76"/>
      <c r="CKJ44" s="76"/>
      <c r="CKK44" s="76"/>
      <c r="CKL44" s="76"/>
      <c r="CKM44" s="76"/>
      <c r="CKN44" s="76"/>
      <c r="CKO44" s="76"/>
      <c r="CKP44" s="76"/>
      <c r="CKQ44" s="76"/>
      <c r="CKR44" s="76"/>
      <c r="CKS44" s="76"/>
      <c r="CKT44" s="76"/>
      <c r="CKU44" s="76"/>
      <c r="CKV44" s="76"/>
      <c r="CKW44" s="76"/>
      <c r="CKX44" s="76"/>
      <c r="CKY44" s="76"/>
      <c r="CKZ44" s="76"/>
      <c r="CLA44" s="76"/>
      <c r="CLB44" s="76"/>
      <c r="CLC44" s="76"/>
      <c r="CLD44" s="76"/>
      <c r="CLE44" s="76"/>
      <c r="CLF44" s="76"/>
      <c r="CLG44" s="76"/>
      <c r="CLH44" s="76"/>
      <c r="CLI44" s="76"/>
      <c r="CLJ44" s="76"/>
      <c r="CLK44" s="76"/>
      <c r="CLL44" s="76"/>
      <c r="CLM44" s="76"/>
      <c r="CLN44" s="76"/>
      <c r="CLO44" s="76"/>
      <c r="CLP44" s="76"/>
      <c r="CLQ44" s="76"/>
      <c r="CLR44" s="76"/>
      <c r="CLS44" s="76"/>
      <c r="CLT44" s="76"/>
      <c r="CLU44" s="76"/>
      <c r="CLV44" s="76"/>
      <c r="CLW44" s="76"/>
      <c r="CLX44" s="76"/>
      <c r="CLY44" s="76"/>
      <c r="CLZ44" s="76"/>
      <c r="CMA44" s="76"/>
      <c r="CMB44" s="76"/>
      <c r="CMC44" s="76"/>
      <c r="CMD44" s="76"/>
      <c r="CME44" s="76"/>
      <c r="CMF44" s="76"/>
      <c r="CMG44" s="76"/>
      <c r="CMH44" s="76"/>
      <c r="CMI44" s="76"/>
      <c r="CMJ44" s="76"/>
      <c r="CMK44" s="76"/>
      <c r="CML44" s="76"/>
      <c r="CMM44" s="76"/>
      <c r="CMN44" s="76"/>
      <c r="CMO44" s="76"/>
      <c r="CMP44" s="76"/>
      <c r="CMQ44" s="76"/>
      <c r="CMR44" s="76"/>
      <c r="CMS44" s="76"/>
      <c r="CMT44" s="76"/>
      <c r="CMU44" s="76"/>
      <c r="CMV44" s="76"/>
      <c r="CMW44" s="76"/>
      <c r="CMX44" s="76"/>
      <c r="CMY44" s="76"/>
      <c r="CMZ44" s="76"/>
      <c r="CNA44" s="76"/>
      <c r="CNB44" s="76"/>
      <c r="CNC44" s="76"/>
      <c r="CND44" s="76"/>
      <c r="CNE44" s="76"/>
      <c r="CNF44" s="76"/>
      <c r="CNG44" s="76"/>
      <c r="CNH44" s="76"/>
      <c r="CNI44" s="76"/>
      <c r="CNJ44" s="76"/>
      <c r="CNK44" s="76"/>
      <c r="CNL44" s="76"/>
      <c r="CNM44" s="76"/>
      <c r="CNN44" s="76"/>
      <c r="CNO44" s="76"/>
      <c r="CNP44" s="76"/>
      <c r="CNQ44" s="76"/>
      <c r="CNR44" s="76"/>
      <c r="CNS44" s="76"/>
      <c r="CNT44" s="76"/>
      <c r="CNU44" s="76"/>
      <c r="CNV44" s="76"/>
      <c r="CNW44" s="76"/>
      <c r="CNX44" s="76"/>
      <c r="CNY44" s="76"/>
      <c r="CNZ44" s="76"/>
      <c r="COA44" s="76"/>
      <c r="COB44" s="76"/>
      <c r="COC44" s="76"/>
      <c r="COD44" s="76"/>
      <c r="COE44" s="76"/>
      <c r="COF44" s="76"/>
      <c r="COG44" s="76"/>
      <c r="COH44" s="76"/>
      <c r="COI44" s="76"/>
      <c r="COJ44" s="76"/>
      <c r="COK44" s="76"/>
      <c r="COL44" s="76"/>
      <c r="COM44" s="76"/>
      <c r="CON44" s="76"/>
      <c r="COO44" s="76"/>
      <c r="COP44" s="76"/>
      <c r="COQ44" s="76"/>
      <c r="COR44" s="76"/>
      <c r="COS44" s="76"/>
      <c r="COT44" s="76"/>
      <c r="COU44" s="76"/>
      <c r="COV44" s="76"/>
      <c r="COW44" s="76"/>
      <c r="COX44" s="76"/>
      <c r="COY44" s="76"/>
      <c r="COZ44" s="76"/>
      <c r="CPA44" s="76"/>
      <c r="CPB44" s="76"/>
      <c r="CPC44" s="76"/>
      <c r="CPD44" s="76"/>
      <c r="CPE44" s="76"/>
      <c r="CPF44" s="76"/>
      <c r="CPG44" s="76"/>
      <c r="CPH44" s="76"/>
      <c r="CPI44" s="76"/>
      <c r="CPJ44" s="76"/>
      <c r="CPK44" s="76"/>
      <c r="CPL44" s="76"/>
      <c r="CPM44" s="76"/>
      <c r="CPN44" s="76"/>
      <c r="CPO44" s="76"/>
      <c r="CPP44" s="76"/>
      <c r="CPQ44" s="76"/>
      <c r="CPR44" s="76"/>
      <c r="CPS44" s="76"/>
      <c r="CPT44" s="76"/>
      <c r="CPU44" s="76"/>
      <c r="CPV44" s="76"/>
      <c r="CPW44" s="76"/>
      <c r="CPX44" s="76"/>
      <c r="CPY44" s="76"/>
      <c r="CPZ44" s="76"/>
      <c r="CQA44" s="76"/>
      <c r="CQB44" s="76"/>
      <c r="CQC44" s="76"/>
      <c r="CQD44" s="76"/>
      <c r="CQE44" s="76"/>
      <c r="CQF44" s="76"/>
      <c r="CQG44" s="76"/>
      <c r="CQH44" s="76"/>
      <c r="CQI44" s="76"/>
      <c r="CQJ44" s="76"/>
      <c r="CQK44" s="76"/>
      <c r="CQL44" s="76"/>
      <c r="CQM44" s="76"/>
      <c r="CQN44" s="76"/>
      <c r="CQO44" s="76"/>
      <c r="CQP44" s="76"/>
      <c r="CQQ44" s="76"/>
      <c r="CQR44" s="76"/>
      <c r="CQS44" s="76"/>
      <c r="CQT44" s="76"/>
      <c r="CQU44" s="76"/>
      <c r="CQV44" s="76"/>
      <c r="CQW44" s="76"/>
      <c r="CQX44" s="76"/>
      <c r="CQY44" s="76"/>
      <c r="CQZ44" s="76"/>
      <c r="CRA44" s="76"/>
      <c r="CRB44" s="76"/>
      <c r="CRC44" s="76"/>
      <c r="CRD44" s="76"/>
      <c r="CRE44" s="76"/>
      <c r="CRF44" s="76"/>
      <c r="CRG44" s="76"/>
      <c r="CRH44" s="76"/>
      <c r="CRI44" s="76"/>
      <c r="CRJ44" s="76"/>
      <c r="CRK44" s="76"/>
      <c r="CRL44" s="76"/>
      <c r="CRM44" s="76"/>
      <c r="CRN44" s="76"/>
      <c r="CRO44" s="76"/>
      <c r="CRP44" s="76"/>
      <c r="CRQ44" s="76"/>
      <c r="CRR44" s="76"/>
      <c r="CRS44" s="76"/>
      <c r="CRT44" s="76"/>
      <c r="CRU44" s="76"/>
      <c r="CRV44" s="76"/>
      <c r="CRW44" s="76"/>
      <c r="CRX44" s="76"/>
      <c r="CRY44" s="76"/>
      <c r="CRZ44" s="76"/>
      <c r="CSA44" s="76"/>
      <c r="CSB44" s="76"/>
      <c r="CSC44" s="76"/>
      <c r="CSD44" s="76"/>
      <c r="CSE44" s="76"/>
      <c r="CSF44" s="76"/>
      <c r="CSG44" s="76"/>
      <c r="CSH44" s="76"/>
      <c r="CSI44" s="76"/>
      <c r="CSJ44" s="76"/>
      <c r="CSK44" s="76"/>
      <c r="CSL44" s="76"/>
      <c r="CSM44" s="76"/>
      <c r="CSN44" s="76"/>
      <c r="CSO44" s="76"/>
      <c r="CSP44" s="76"/>
      <c r="CSQ44" s="76"/>
      <c r="CSR44" s="76"/>
      <c r="CSS44" s="76"/>
      <c r="CST44" s="76"/>
      <c r="CSU44" s="76"/>
      <c r="CSV44" s="76"/>
      <c r="CSW44" s="76"/>
      <c r="CSX44" s="76"/>
      <c r="CSY44" s="76"/>
      <c r="CSZ44" s="76"/>
      <c r="CTA44" s="76"/>
      <c r="CTB44" s="76"/>
      <c r="CTC44" s="76"/>
      <c r="CTD44" s="76"/>
      <c r="CTE44" s="76"/>
      <c r="CTF44" s="76"/>
      <c r="CTG44" s="76"/>
      <c r="CTH44" s="76"/>
      <c r="CTI44" s="76"/>
      <c r="CTJ44" s="76"/>
      <c r="CTK44" s="76"/>
      <c r="CTL44" s="76"/>
      <c r="CTM44" s="76"/>
      <c r="CTN44" s="76"/>
      <c r="CTO44" s="76"/>
      <c r="CTP44" s="76"/>
      <c r="CTQ44" s="76"/>
      <c r="CTR44" s="76"/>
      <c r="CTS44" s="76"/>
      <c r="CTT44" s="76"/>
      <c r="CTU44" s="76"/>
      <c r="CTV44" s="76"/>
      <c r="CTW44" s="76"/>
      <c r="CTX44" s="76"/>
      <c r="CTY44" s="76"/>
      <c r="CTZ44" s="76"/>
      <c r="CUA44" s="76"/>
      <c r="CUB44" s="76"/>
      <c r="CUC44" s="76"/>
      <c r="CUD44" s="76"/>
      <c r="CUE44" s="76"/>
      <c r="CUF44" s="76"/>
      <c r="CUG44" s="76"/>
      <c r="CUH44" s="76"/>
      <c r="CUI44" s="76"/>
      <c r="CUJ44" s="76"/>
      <c r="CUK44" s="76"/>
      <c r="CUL44" s="76"/>
      <c r="CUM44" s="76"/>
      <c r="CUN44" s="76"/>
      <c r="CUO44" s="76"/>
      <c r="CUP44" s="76"/>
      <c r="CUQ44" s="76"/>
      <c r="CUR44" s="76"/>
      <c r="CUS44" s="76"/>
      <c r="CUT44" s="76"/>
      <c r="CUU44" s="76"/>
      <c r="CUV44" s="76"/>
      <c r="CUW44" s="76"/>
      <c r="CUX44" s="76"/>
      <c r="CUY44" s="76"/>
      <c r="CUZ44" s="76"/>
      <c r="CVA44" s="76"/>
      <c r="CVB44" s="76"/>
      <c r="CVC44" s="76"/>
      <c r="CVD44" s="76"/>
      <c r="CVE44" s="76"/>
      <c r="CVF44" s="76"/>
      <c r="CVG44" s="76"/>
      <c r="CVH44" s="76"/>
      <c r="CVI44" s="76"/>
      <c r="CVJ44" s="76"/>
      <c r="CVK44" s="76"/>
      <c r="CVL44" s="76"/>
      <c r="CVM44" s="76"/>
      <c r="CVN44" s="76"/>
      <c r="CVO44" s="76"/>
      <c r="CVP44" s="76"/>
      <c r="CVQ44" s="76"/>
      <c r="CVR44" s="76"/>
      <c r="CVS44" s="76"/>
      <c r="CVT44" s="76"/>
      <c r="CVU44" s="76"/>
      <c r="CVV44" s="76"/>
      <c r="CVW44" s="76"/>
      <c r="CVX44" s="76"/>
      <c r="CVY44" s="76"/>
      <c r="CVZ44" s="76"/>
      <c r="CWA44" s="76"/>
      <c r="CWB44" s="76"/>
      <c r="CWC44" s="76"/>
      <c r="CWD44" s="76"/>
      <c r="CWE44" s="76"/>
      <c r="CWF44" s="76"/>
      <c r="CWG44" s="76"/>
      <c r="CWH44" s="76"/>
      <c r="CWI44" s="76"/>
      <c r="CWJ44" s="76"/>
      <c r="CWK44" s="76"/>
      <c r="CWL44" s="76"/>
      <c r="CWM44" s="76"/>
      <c r="CWN44" s="76"/>
      <c r="CWO44" s="76"/>
      <c r="CWP44" s="76"/>
      <c r="CWQ44" s="76"/>
      <c r="CWR44" s="76"/>
      <c r="CWS44" s="76"/>
      <c r="CWT44" s="76"/>
      <c r="CWU44" s="76"/>
      <c r="CWV44" s="76"/>
      <c r="CWW44" s="76"/>
      <c r="CWX44" s="76"/>
      <c r="CWY44" s="76"/>
      <c r="CWZ44" s="76"/>
      <c r="CXA44" s="76"/>
      <c r="CXB44" s="76"/>
      <c r="CXC44" s="76"/>
      <c r="CXD44" s="76"/>
      <c r="CXE44" s="76"/>
      <c r="CXF44" s="76"/>
      <c r="CXG44" s="76"/>
      <c r="CXH44" s="76"/>
      <c r="CXI44" s="76"/>
      <c r="CXJ44" s="76"/>
      <c r="CXK44" s="76"/>
      <c r="CXL44" s="76"/>
      <c r="CXM44" s="76"/>
      <c r="CXN44" s="76"/>
      <c r="CXO44" s="76"/>
      <c r="CXP44" s="76"/>
      <c r="CXQ44" s="76"/>
      <c r="CXR44" s="76"/>
      <c r="CXS44" s="76"/>
      <c r="CXT44" s="76"/>
      <c r="CXU44" s="76"/>
      <c r="CXV44" s="76"/>
      <c r="CXW44" s="76"/>
      <c r="CXX44" s="76"/>
      <c r="CXY44" s="76"/>
      <c r="CXZ44" s="76"/>
      <c r="CYA44" s="76"/>
      <c r="CYB44" s="76"/>
      <c r="CYC44" s="76"/>
      <c r="CYD44" s="76"/>
      <c r="CYE44" s="76"/>
      <c r="CYF44" s="76"/>
      <c r="CYG44" s="76"/>
      <c r="CYH44" s="76"/>
      <c r="CYI44" s="76"/>
      <c r="CYJ44" s="76"/>
      <c r="CYK44" s="76"/>
      <c r="CYL44" s="76"/>
      <c r="CYM44" s="76"/>
      <c r="CYN44" s="76"/>
      <c r="CYO44" s="76"/>
      <c r="CYP44" s="76"/>
      <c r="CYQ44" s="76"/>
      <c r="CYR44" s="76"/>
      <c r="CYS44" s="76"/>
      <c r="CYT44" s="76"/>
      <c r="CYU44" s="76"/>
      <c r="CYV44" s="76"/>
      <c r="CYW44" s="76"/>
      <c r="CYX44" s="76"/>
      <c r="CYY44" s="76"/>
      <c r="CYZ44" s="76"/>
      <c r="CZA44" s="76"/>
      <c r="CZB44" s="76"/>
      <c r="CZC44" s="76"/>
      <c r="CZD44" s="76"/>
      <c r="CZE44" s="76"/>
      <c r="CZF44" s="76"/>
      <c r="CZG44" s="76"/>
      <c r="CZH44" s="76"/>
      <c r="CZI44" s="76"/>
      <c r="CZJ44" s="76"/>
      <c r="CZK44" s="76"/>
      <c r="CZL44" s="76"/>
      <c r="CZM44" s="76"/>
      <c r="CZN44" s="76"/>
      <c r="CZO44" s="76"/>
      <c r="CZP44" s="76"/>
      <c r="CZQ44" s="76"/>
      <c r="CZR44" s="76"/>
      <c r="CZS44" s="76"/>
      <c r="CZT44" s="76"/>
      <c r="CZU44" s="76"/>
      <c r="CZV44" s="76"/>
      <c r="CZW44" s="76"/>
      <c r="CZX44" s="76"/>
      <c r="CZY44" s="76"/>
      <c r="CZZ44" s="76"/>
      <c r="DAA44" s="76"/>
      <c r="DAB44" s="76"/>
      <c r="DAC44" s="76"/>
      <c r="DAD44" s="76"/>
      <c r="DAE44" s="76"/>
      <c r="DAF44" s="76"/>
      <c r="DAG44" s="76"/>
      <c r="DAH44" s="76"/>
      <c r="DAI44" s="76"/>
      <c r="DAJ44" s="76"/>
      <c r="DAK44" s="76"/>
      <c r="DAL44" s="76"/>
      <c r="DAM44" s="76"/>
      <c r="DAN44" s="76"/>
      <c r="DAO44" s="76"/>
      <c r="DAP44" s="76"/>
      <c r="DAQ44" s="76"/>
      <c r="DAR44" s="76"/>
      <c r="DAS44" s="76"/>
      <c r="DAT44" s="76"/>
      <c r="DAU44" s="76"/>
      <c r="DAV44" s="76"/>
      <c r="DAW44" s="76"/>
      <c r="DAX44" s="76"/>
      <c r="DAY44" s="76"/>
      <c r="DAZ44" s="76"/>
      <c r="DBA44" s="76"/>
      <c r="DBB44" s="76"/>
      <c r="DBC44" s="76"/>
      <c r="DBD44" s="76"/>
      <c r="DBE44" s="76"/>
      <c r="DBF44" s="76"/>
      <c r="DBG44" s="76"/>
      <c r="DBH44" s="76"/>
      <c r="DBI44" s="76"/>
      <c r="DBJ44" s="76"/>
      <c r="DBK44" s="76"/>
      <c r="DBL44" s="76"/>
      <c r="DBM44" s="76"/>
      <c r="DBN44" s="76"/>
      <c r="DBO44" s="76"/>
      <c r="DBP44" s="76"/>
      <c r="DBQ44" s="76"/>
      <c r="DBR44" s="76"/>
      <c r="DBS44" s="76"/>
      <c r="DBT44" s="76"/>
      <c r="DBU44" s="76"/>
      <c r="DBV44" s="76"/>
      <c r="DBW44" s="76"/>
      <c r="DBX44" s="76"/>
      <c r="DBY44" s="76"/>
      <c r="DBZ44" s="76"/>
      <c r="DCA44" s="76"/>
      <c r="DCB44" s="76"/>
      <c r="DCC44" s="76"/>
      <c r="DCD44" s="76"/>
      <c r="DCE44" s="76"/>
      <c r="DCF44" s="76"/>
      <c r="DCG44" s="76"/>
      <c r="DCH44" s="76"/>
      <c r="DCI44" s="76"/>
      <c r="DCJ44" s="76"/>
      <c r="DCK44" s="76"/>
      <c r="DCL44" s="76"/>
      <c r="DCM44" s="76"/>
      <c r="DCN44" s="76"/>
      <c r="DCO44" s="76"/>
      <c r="DCP44" s="76"/>
      <c r="DCQ44" s="76"/>
      <c r="DCR44" s="76"/>
      <c r="DCS44" s="76"/>
      <c r="DCT44" s="76"/>
      <c r="DCU44" s="76"/>
      <c r="DCV44" s="76"/>
      <c r="DCW44" s="76"/>
      <c r="DCX44" s="76"/>
      <c r="DCY44" s="76"/>
      <c r="DCZ44" s="76"/>
      <c r="DDA44" s="76"/>
      <c r="DDB44" s="76"/>
      <c r="DDC44" s="76"/>
      <c r="DDD44" s="76"/>
      <c r="DDE44" s="76"/>
      <c r="DDF44" s="76"/>
      <c r="DDG44" s="76"/>
      <c r="DDH44" s="76"/>
      <c r="DDI44" s="76"/>
      <c r="DDJ44" s="76"/>
      <c r="DDK44" s="76"/>
      <c r="DDL44" s="76"/>
      <c r="DDM44" s="76"/>
      <c r="DDN44" s="76"/>
      <c r="DDO44" s="76"/>
      <c r="DDP44" s="76"/>
      <c r="DDQ44" s="76"/>
      <c r="DDR44" s="76"/>
      <c r="DDS44" s="76"/>
      <c r="DDT44" s="76"/>
      <c r="DDU44" s="76"/>
      <c r="DDV44" s="76"/>
      <c r="DDW44" s="76"/>
      <c r="DDX44" s="76"/>
      <c r="DDY44" s="76"/>
      <c r="DDZ44" s="76"/>
      <c r="DEA44" s="76"/>
      <c r="DEB44" s="76"/>
      <c r="DEC44" s="76"/>
      <c r="DED44" s="76"/>
      <c r="DEE44" s="76"/>
      <c r="DEF44" s="76"/>
      <c r="DEG44" s="76"/>
      <c r="DEH44" s="76"/>
      <c r="DEI44" s="76"/>
      <c r="DEJ44" s="76"/>
      <c r="DEK44" s="76"/>
      <c r="DEL44" s="76"/>
      <c r="DEM44" s="76"/>
      <c r="DEN44" s="76"/>
      <c r="DEO44" s="76"/>
      <c r="DEP44" s="76"/>
      <c r="DEQ44" s="76"/>
      <c r="DER44" s="76"/>
      <c r="DES44" s="76"/>
      <c r="DET44" s="76"/>
      <c r="DEU44" s="76"/>
      <c r="DEV44" s="76"/>
      <c r="DEW44" s="76"/>
      <c r="DEX44" s="76"/>
      <c r="DEY44" s="76"/>
      <c r="DEZ44" s="76"/>
      <c r="DFA44" s="76"/>
      <c r="DFB44" s="76"/>
      <c r="DFC44" s="76"/>
      <c r="DFD44" s="76"/>
      <c r="DFE44" s="76"/>
      <c r="DFF44" s="76"/>
      <c r="DFG44" s="76"/>
      <c r="DFH44" s="76"/>
      <c r="DFI44" s="76"/>
      <c r="DFJ44" s="76"/>
      <c r="DFK44" s="76"/>
      <c r="DFL44" s="76"/>
      <c r="DFM44" s="76"/>
      <c r="DFN44" s="76"/>
      <c r="DFO44" s="76"/>
      <c r="DFP44" s="76"/>
      <c r="DFQ44" s="76"/>
      <c r="DFR44" s="76"/>
      <c r="DFS44" s="76"/>
      <c r="DFT44" s="76"/>
      <c r="DFU44" s="76"/>
      <c r="DFV44" s="76"/>
      <c r="DFW44" s="76"/>
      <c r="DFX44" s="76"/>
      <c r="DFY44" s="76"/>
      <c r="DFZ44" s="76"/>
      <c r="DGA44" s="76"/>
      <c r="DGB44" s="76"/>
      <c r="DGC44" s="76"/>
      <c r="DGD44" s="76"/>
      <c r="DGE44" s="76"/>
      <c r="DGF44" s="76"/>
      <c r="DGG44" s="76"/>
      <c r="DGH44" s="76"/>
      <c r="DGI44" s="76"/>
      <c r="DGJ44" s="76"/>
      <c r="DGK44" s="76"/>
      <c r="DGL44" s="76"/>
      <c r="DGM44" s="76"/>
      <c r="DGN44" s="76"/>
      <c r="DGO44" s="76"/>
      <c r="DGP44" s="76"/>
      <c r="DGQ44" s="76"/>
      <c r="DGR44" s="76"/>
      <c r="DGS44" s="76"/>
      <c r="DGT44" s="76"/>
      <c r="DGU44" s="76"/>
      <c r="DGV44" s="76"/>
      <c r="DGW44" s="76"/>
      <c r="DGX44" s="76"/>
      <c r="DGY44" s="76"/>
      <c r="DGZ44" s="76"/>
      <c r="DHA44" s="76"/>
      <c r="DHB44" s="76"/>
      <c r="DHC44" s="76"/>
      <c r="DHD44" s="76"/>
      <c r="DHE44" s="76"/>
      <c r="DHF44" s="76"/>
      <c r="DHG44" s="76"/>
      <c r="DHH44" s="76"/>
      <c r="DHI44" s="76"/>
      <c r="DHJ44" s="76"/>
      <c r="DHK44" s="76"/>
      <c r="DHL44" s="76"/>
      <c r="DHM44" s="76"/>
      <c r="DHN44" s="76"/>
      <c r="DHO44" s="76"/>
      <c r="DHP44" s="76"/>
      <c r="DHQ44" s="76"/>
      <c r="DHR44" s="76"/>
      <c r="DHS44" s="76"/>
      <c r="DHT44" s="76"/>
      <c r="DHU44" s="76"/>
      <c r="DHV44" s="76"/>
      <c r="DHW44" s="76"/>
      <c r="DHX44" s="76"/>
      <c r="DHY44" s="76"/>
      <c r="DHZ44" s="76"/>
      <c r="DIA44" s="76"/>
      <c r="DIB44" s="76"/>
      <c r="DIC44" s="76"/>
      <c r="DID44" s="76"/>
      <c r="DIE44" s="76"/>
      <c r="DIF44" s="76"/>
      <c r="DIG44" s="76"/>
      <c r="DIH44" s="76"/>
      <c r="DII44" s="76"/>
      <c r="DIJ44" s="76"/>
      <c r="DIK44" s="76"/>
      <c r="DIL44" s="76"/>
      <c r="DIM44" s="76"/>
      <c r="DIN44" s="76"/>
      <c r="DIO44" s="76"/>
      <c r="DIP44" s="76"/>
      <c r="DIQ44" s="76"/>
      <c r="DIR44" s="76"/>
      <c r="DIS44" s="76"/>
      <c r="DIT44" s="76"/>
      <c r="DIU44" s="76"/>
      <c r="DIV44" s="76"/>
      <c r="DIW44" s="76"/>
      <c r="DIX44" s="76"/>
      <c r="DIY44" s="76"/>
      <c r="DIZ44" s="76"/>
      <c r="DJA44" s="76"/>
      <c r="DJB44" s="76"/>
      <c r="DJC44" s="76"/>
      <c r="DJD44" s="76"/>
      <c r="DJE44" s="76"/>
      <c r="DJF44" s="76"/>
      <c r="DJG44" s="76"/>
      <c r="DJH44" s="76"/>
      <c r="DJI44" s="76"/>
      <c r="DJJ44" s="76"/>
      <c r="DJK44" s="76"/>
      <c r="DJL44" s="76"/>
      <c r="DJM44" s="76"/>
      <c r="DJN44" s="76"/>
      <c r="DJO44" s="76"/>
      <c r="DJP44" s="76"/>
      <c r="DJQ44" s="76"/>
      <c r="DJR44" s="76"/>
      <c r="DJS44" s="76"/>
      <c r="DJT44" s="76"/>
      <c r="DJU44" s="76"/>
      <c r="DJV44" s="76"/>
      <c r="DJW44" s="76"/>
      <c r="DJX44" s="76"/>
      <c r="DJY44" s="76"/>
      <c r="DJZ44" s="76"/>
      <c r="DKA44" s="76"/>
      <c r="DKB44" s="76"/>
      <c r="DKC44" s="76"/>
      <c r="DKD44" s="76"/>
      <c r="DKE44" s="76"/>
      <c r="DKF44" s="76"/>
      <c r="DKG44" s="76"/>
      <c r="DKH44" s="76"/>
      <c r="DKI44" s="76"/>
      <c r="DKJ44" s="76"/>
      <c r="DKK44" s="76"/>
      <c r="DKL44" s="76"/>
      <c r="DKM44" s="76"/>
      <c r="DKN44" s="76"/>
      <c r="DKO44" s="76"/>
      <c r="DKP44" s="76"/>
      <c r="DKQ44" s="76"/>
      <c r="DKR44" s="76"/>
      <c r="DKS44" s="76"/>
      <c r="DKT44" s="76"/>
      <c r="DKU44" s="76"/>
      <c r="DKV44" s="76"/>
      <c r="DKW44" s="76"/>
      <c r="DKX44" s="76"/>
      <c r="DKY44" s="76"/>
      <c r="DKZ44" s="76"/>
      <c r="DLA44" s="76"/>
      <c r="DLB44" s="76"/>
      <c r="DLC44" s="76"/>
      <c r="DLD44" s="76"/>
      <c r="DLE44" s="76"/>
      <c r="DLF44" s="76"/>
      <c r="DLG44" s="76"/>
      <c r="DLH44" s="76"/>
      <c r="DLI44" s="76"/>
      <c r="DLJ44" s="76"/>
      <c r="DLK44" s="76"/>
      <c r="DLL44" s="76"/>
      <c r="DLM44" s="76"/>
      <c r="DLN44" s="76"/>
      <c r="DLO44" s="76"/>
      <c r="DLP44" s="76"/>
      <c r="DLQ44" s="76"/>
      <c r="DLR44" s="76"/>
      <c r="DLS44" s="76"/>
      <c r="DLT44" s="76"/>
      <c r="DLU44" s="76"/>
      <c r="DLV44" s="76"/>
      <c r="DLW44" s="76"/>
      <c r="DLX44" s="76"/>
      <c r="DLY44" s="76"/>
      <c r="DLZ44" s="76"/>
      <c r="DMA44" s="76"/>
      <c r="DMB44" s="76"/>
      <c r="DMC44" s="76"/>
      <c r="DMD44" s="76"/>
      <c r="DME44" s="76"/>
      <c r="DMF44" s="76"/>
      <c r="DMG44" s="76"/>
      <c r="DMH44" s="76"/>
      <c r="DMI44" s="76"/>
      <c r="DMJ44" s="76"/>
      <c r="DMK44" s="76"/>
      <c r="DML44" s="76"/>
      <c r="DMM44" s="76"/>
      <c r="DMN44" s="76"/>
      <c r="DMO44" s="76"/>
      <c r="DMP44" s="76"/>
      <c r="DMQ44" s="76"/>
      <c r="DMR44" s="76"/>
      <c r="DMS44" s="76"/>
      <c r="DMT44" s="76"/>
      <c r="DMU44" s="76"/>
      <c r="DMV44" s="76"/>
      <c r="DMW44" s="76"/>
      <c r="DMX44" s="76"/>
      <c r="DMY44" s="76"/>
      <c r="DMZ44" s="76"/>
      <c r="DNA44" s="76"/>
      <c r="DNB44" s="76"/>
      <c r="DNC44" s="76"/>
      <c r="DND44" s="76"/>
      <c r="DNE44" s="76"/>
      <c r="DNF44" s="76"/>
      <c r="DNG44" s="76"/>
      <c r="DNH44" s="76"/>
      <c r="DNI44" s="76"/>
      <c r="DNJ44" s="76"/>
      <c r="DNK44" s="76"/>
      <c r="DNL44" s="76"/>
      <c r="DNM44" s="76"/>
      <c r="DNN44" s="76"/>
      <c r="DNO44" s="76"/>
      <c r="DNP44" s="76"/>
      <c r="DNQ44" s="76"/>
      <c r="DNR44" s="76"/>
      <c r="DNS44" s="76"/>
      <c r="DNT44" s="76"/>
      <c r="DNU44" s="76"/>
      <c r="DNV44" s="76"/>
      <c r="DNW44" s="76"/>
      <c r="DNX44" s="76"/>
      <c r="DNY44" s="76"/>
      <c r="DNZ44" s="76"/>
      <c r="DOA44" s="76"/>
      <c r="DOB44" s="76"/>
      <c r="DOC44" s="76"/>
      <c r="DOD44" s="76"/>
      <c r="DOE44" s="76"/>
      <c r="DOF44" s="76"/>
      <c r="DOG44" s="76"/>
      <c r="DOH44" s="76"/>
      <c r="DOI44" s="76"/>
      <c r="DOJ44" s="76"/>
      <c r="DOK44" s="76"/>
      <c r="DOL44" s="76"/>
      <c r="DOM44" s="76"/>
      <c r="DON44" s="76"/>
      <c r="DOO44" s="76"/>
      <c r="DOP44" s="76"/>
      <c r="DOQ44" s="76"/>
      <c r="DOR44" s="76"/>
      <c r="DOS44" s="76"/>
      <c r="DOT44" s="76"/>
      <c r="DOU44" s="76"/>
      <c r="DOV44" s="76"/>
      <c r="DOW44" s="76"/>
      <c r="DOX44" s="76"/>
      <c r="DOY44" s="76"/>
      <c r="DOZ44" s="76"/>
      <c r="DPA44" s="76"/>
      <c r="DPB44" s="76"/>
      <c r="DPC44" s="76"/>
      <c r="DPD44" s="76"/>
      <c r="DPE44" s="76"/>
      <c r="DPF44" s="76"/>
      <c r="DPG44" s="76"/>
      <c r="DPH44" s="76"/>
      <c r="DPI44" s="76"/>
      <c r="DPJ44" s="76"/>
      <c r="DPK44" s="76"/>
      <c r="DPL44" s="76"/>
      <c r="DPM44" s="76"/>
      <c r="DPN44" s="76"/>
      <c r="DPO44" s="76"/>
      <c r="DPP44" s="76"/>
      <c r="DPQ44" s="76"/>
      <c r="DPR44" s="76"/>
      <c r="DPS44" s="76"/>
      <c r="DPT44" s="76"/>
      <c r="DPU44" s="76"/>
      <c r="DPV44" s="76"/>
      <c r="DPW44" s="76"/>
      <c r="DPX44" s="76"/>
      <c r="DPY44" s="76"/>
      <c r="DPZ44" s="76"/>
      <c r="DQA44" s="76"/>
      <c r="DQB44" s="76"/>
      <c r="DQC44" s="76"/>
      <c r="DQD44" s="76"/>
      <c r="DQE44" s="76"/>
      <c r="DQF44" s="76"/>
      <c r="DQG44" s="76"/>
      <c r="DQH44" s="76"/>
      <c r="DQI44" s="76"/>
      <c r="DQJ44" s="76"/>
      <c r="DQK44" s="76"/>
      <c r="DQL44" s="76"/>
      <c r="DQM44" s="76"/>
      <c r="DQN44" s="76"/>
      <c r="DQO44" s="76"/>
      <c r="DQP44" s="76"/>
      <c r="DQQ44" s="76"/>
      <c r="DQR44" s="76"/>
      <c r="DQS44" s="76"/>
      <c r="DQT44" s="76"/>
      <c r="DQU44" s="76"/>
      <c r="DQV44" s="76"/>
      <c r="DQW44" s="76"/>
      <c r="DQX44" s="76"/>
      <c r="DQY44" s="76"/>
      <c r="DQZ44" s="76"/>
      <c r="DRA44" s="76"/>
      <c r="DRB44" s="76"/>
      <c r="DRC44" s="76"/>
      <c r="DRD44" s="76"/>
      <c r="DRE44" s="76"/>
      <c r="DRF44" s="76"/>
      <c r="DRG44" s="76"/>
      <c r="DRH44" s="76"/>
      <c r="DRI44" s="76"/>
      <c r="DRJ44" s="76"/>
      <c r="DRK44" s="76"/>
      <c r="DRL44" s="76"/>
      <c r="DRM44" s="76"/>
      <c r="DRN44" s="76"/>
      <c r="DRO44" s="76"/>
      <c r="DRP44" s="76"/>
      <c r="DRQ44" s="76"/>
      <c r="DRR44" s="76"/>
      <c r="DRS44" s="76"/>
      <c r="DRT44" s="76"/>
      <c r="DRU44" s="76"/>
      <c r="DRV44" s="76"/>
      <c r="DRW44" s="76"/>
      <c r="DRX44" s="76"/>
      <c r="DRY44" s="76"/>
      <c r="DRZ44" s="76"/>
      <c r="DSA44" s="76"/>
      <c r="DSB44" s="76"/>
      <c r="DSC44" s="76"/>
      <c r="DSD44" s="76"/>
      <c r="DSE44" s="76"/>
      <c r="DSF44" s="76"/>
      <c r="DSG44" s="76"/>
      <c r="DSH44" s="76"/>
      <c r="DSI44" s="76"/>
      <c r="DSJ44" s="76"/>
      <c r="DSK44" s="76"/>
      <c r="DSL44" s="76"/>
      <c r="DSM44" s="76"/>
      <c r="DSN44" s="76"/>
      <c r="DSO44" s="76"/>
      <c r="DSP44" s="76"/>
      <c r="DSQ44" s="76"/>
      <c r="DSR44" s="76"/>
      <c r="DSS44" s="76"/>
      <c r="DST44" s="76"/>
      <c r="DSU44" s="76"/>
      <c r="DSV44" s="76"/>
      <c r="DSW44" s="76"/>
      <c r="DSX44" s="76"/>
      <c r="DSY44" s="76"/>
      <c r="DSZ44" s="76"/>
      <c r="DTA44" s="76"/>
      <c r="DTB44" s="76"/>
      <c r="DTC44" s="76"/>
      <c r="DTD44" s="76"/>
      <c r="DTE44" s="76"/>
      <c r="DTF44" s="76"/>
      <c r="DTG44" s="76"/>
      <c r="DTH44" s="76"/>
      <c r="DTI44" s="76"/>
      <c r="DTJ44" s="76"/>
      <c r="DTK44" s="76"/>
      <c r="DTL44" s="76"/>
      <c r="DTM44" s="76"/>
      <c r="DTN44" s="76"/>
      <c r="DTO44" s="76"/>
      <c r="DTP44" s="76"/>
      <c r="DTQ44" s="76"/>
      <c r="DTR44" s="76"/>
      <c r="DTS44" s="76"/>
      <c r="DTT44" s="76"/>
      <c r="DTU44" s="76"/>
      <c r="DTV44" s="76"/>
      <c r="DTW44" s="76"/>
      <c r="DTX44" s="76"/>
      <c r="DTY44" s="76"/>
      <c r="DTZ44" s="76"/>
      <c r="DUA44" s="76"/>
      <c r="DUB44" s="76"/>
      <c r="DUC44" s="76"/>
      <c r="DUD44" s="76"/>
      <c r="DUE44" s="76"/>
      <c r="DUF44" s="76"/>
      <c r="DUG44" s="76"/>
      <c r="DUH44" s="76"/>
      <c r="DUI44" s="76"/>
      <c r="DUJ44" s="76"/>
      <c r="DUK44" s="76"/>
      <c r="DUL44" s="76"/>
      <c r="DUM44" s="76"/>
      <c r="DUN44" s="76"/>
      <c r="DUO44" s="76"/>
      <c r="DUP44" s="76"/>
      <c r="DUQ44" s="76"/>
      <c r="DUR44" s="76"/>
      <c r="DUS44" s="76"/>
      <c r="DUT44" s="76"/>
      <c r="DUU44" s="76"/>
      <c r="DUV44" s="76"/>
      <c r="DUW44" s="76"/>
      <c r="DUX44" s="76"/>
      <c r="DUY44" s="76"/>
      <c r="DUZ44" s="76"/>
      <c r="DVA44" s="76"/>
      <c r="DVB44" s="76"/>
      <c r="DVC44" s="76"/>
      <c r="DVD44" s="76"/>
      <c r="DVE44" s="76"/>
      <c r="DVF44" s="76"/>
      <c r="DVG44" s="76"/>
      <c r="DVH44" s="76"/>
      <c r="DVI44" s="76"/>
      <c r="DVJ44" s="76"/>
      <c r="DVK44" s="76"/>
      <c r="DVL44" s="76"/>
      <c r="DVM44" s="76"/>
      <c r="DVN44" s="76"/>
      <c r="DVO44" s="76"/>
      <c r="DVP44" s="76"/>
      <c r="DVQ44" s="76"/>
      <c r="DVR44" s="76"/>
      <c r="DVS44" s="76"/>
      <c r="DVT44" s="76"/>
      <c r="DVU44" s="76"/>
      <c r="DVV44" s="76"/>
      <c r="DVW44" s="76"/>
      <c r="DVX44" s="76"/>
      <c r="DVY44" s="76"/>
      <c r="DVZ44" s="76"/>
      <c r="DWA44" s="76"/>
      <c r="DWB44" s="76"/>
      <c r="DWC44" s="76"/>
      <c r="DWD44" s="76"/>
      <c r="DWE44" s="76"/>
      <c r="DWF44" s="76"/>
      <c r="DWG44" s="76"/>
      <c r="DWH44" s="76"/>
      <c r="DWI44" s="76"/>
      <c r="DWJ44" s="76"/>
      <c r="DWK44" s="76"/>
      <c r="DWL44" s="76"/>
      <c r="DWM44" s="76"/>
      <c r="DWN44" s="76"/>
      <c r="DWO44" s="76"/>
      <c r="DWP44" s="76"/>
      <c r="DWQ44" s="76"/>
      <c r="DWR44" s="76"/>
      <c r="DWS44" s="76"/>
      <c r="DWT44" s="76"/>
      <c r="DWU44" s="76"/>
      <c r="DWV44" s="76"/>
      <c r="DWW44" s="76"/>
      <c r="DWX44" s="76"/>
      <c r="DWY44" s="76"/>
      <c r="DWZ44" s="76"/>
      <c r="DXA44" s="76"/>
      <c r="DXB44" s="76"/>
      <c r="DXC44" s="76"/>
      <c r="DXD44" s="76"/>
      <c r="DXE44" s="76"/>
      <c r="DXF44" s="76"/>
      <c r="DXG44" s="76"/>
      <c r="DXH44" s="76"/>
      <c r="DXI44" s="76"/>
      <c r="DXJ44" s="76"/>
      <c r="DXK44" s="76"/>
      <c r="DXL44" s="76"/>
      <c r="DXM44" s="76"/>
      <c r="DXN44" s="76"/>
      <c r="DXO44" s="76"/>
      <c r="DXP44" s="76"/>
      <c r="DXQ44" s="76"/>
      <c r="DXR44" s="76"/>
      <c r="DXS44" s="76"/>
      <c r="DXT44" s="76"/>
      <c r="DXU44" s="76"/>
      <c r="DXV44" s="76"/>
      <c r="DXW44" s="76"/>
      <c r="DXX44" s="76"/>
      <c r="DXY44" s="76"/>
      <c r="DXZ44" s="76"/>
      <c r="DYA44" s="76"/>
      <c r="DYB44" s="76"/>
      <c r="DYC44" s="76"/>
      <c r="DYD44" s="76"/>
      <c r="DYE44" s="76"/>
      <c r="DYF44" s="76"/>
      <c r="DYG44" s="76"/>
      <c r="DYH44" s="76"/>
      <c r="DYI44" s="76"/>
      <c r="DYJ44" s="76"/>
      <c r="DYK44" s="76"/>
      <c r="DYL44" s="76"/>
      <c r="DYM44" s="76"/>
      <c r="DYN44" s="76"/>
      <c r="DYO44" s="76"/>
      <c r="DYP44" s="76"/>
      <c r="DYQ44" s="76"/>
      <c r="DYR44" s="76"/>
      <c r="DYS44" s="76"/>
      <c r="DYT44" s="76"/>
      <c r="DYU44" s="76"/>
      <c r="DYV44" s="76"/>
      <c r="DYW44" s="76"/>
      <c r="DYX44" s="76"/>
      <c r="DYY44" s="76"/>
      <c r="DYZ44" s="76"/>
      <c r="DZA44" s="76"/>
      <c r="DZB44" s="76"/>
      <c r="DZC44" s="76"/>
      <c r="DZD44" s="76"/>
      <c r="DZE44" s="76"/>
      <c r="DZF44" s="76"/>
      <c r="DZG44" s="76"/>
      <c r="DZH44" s="76"/>
      <c r="DZI44" s="76"/>
      <c r="DZJ44" s="76"/>
      <c r="DZK44" s="76"/>
      <c r="DZL44" s="76"/>
      <c r="DZM44" s="76"/>
      <c r="DZN44" s="76"/>
      <c r="DZO44" s="76"/>
      <c r="DZP44" s="76"/>
      <c r="DZQ44" s="76"/>
      <c r="DZR44" s="76"/>
      <c r="DZS44" s="76"/>
      <c r="DZT44" s="76"/>
      <c r="DZU44" s="76"/>
      <c r="DZV44" s="76"/>
      <c r="DZW44" s="76"/>
      <c r="DZX44" s="76"/>
      <c r="DZY44" s="76"/>
      <c r="DZZ44" s="76"/>
      <c r="EAA44" s="76"/>
      <c r="EAB44" s="76"/>
      <c r="EAC44" s="76"/>
      <c r="EAD44" s="76"/>
      <c r="EAE44" s="76"/>
      <c r="EAF44" s="76"/>
      <c r="EAG44" s="76"/>
      <c r="EAH44" s="76"/>
      <c r="EAI44" s="76"/>
      <c r="EAJ44" s="76"/>
      <c r="EAK44" s="76"/>
      <c r="EAL44" s="76"/>
      <c r="EAM44" s="76"/>
      <c r="EAN44" s="76"/>
      <c r="EAO44" s="76"/>
      <c r="EAP44" s="76"/>
      <c r="EAQ44" s="76"/>
      <c r="EAR44" s="76"/>
      <c r="EAS44" s="76"/>
      <c r="EAT44" s="76"/>
      <c r="EAU44" s="76"/>
      <c r="EAV44" s="76"/>
      <c r="EAW44" s="76"/>
      <c r="EAX44" s="76"/>
      <c r="EAY44" s="76"/>
      <c r="EAZ44" s="76"/>
      <c r="EBA44" s="76"/>
      <c r="EBB44" s="76"/>
      <c r="EBC44" s="76"/>
      <c r="EBD44" s="76"/>
      <c r="EBE44" s="76"/>
      <c r="EBF44" s="76"/>
      <c r="EBG44" s="76"/>
      <c r="EBH44" s="76"/>
      <c r="EBI44" s="76"/>
      <c r="EBJ44" s="76"/>
      <c r="EBK44" s="76"/>
      <c r="EBL44" s="76"/>
      <c r="EBM44" s="76"/>
      <c r="EBN44" s="76"/>
      <c r="EBO44" s="76"/>
      <c r="EBP44" s="76"/>
      <c r="EBQ44" s="76"/>
      <c r="EBR44" s="76"/>
      <c r="EBS44" s="76"/>
      <c r="EBT44" s="76"/>
      <c r="EBU44" s="76"/>
      <c r="EBV44" s="76"/>
      <c r="EBW44" s="76"/>
      <c r="EBX44" s="76"/>
      <c r="EBY44" s="76"/>
      <c r="EBZ44" s="76"/>
      <c r="ECA44" s="76"/>
      <c r="ECB44" s="76"/>
      <c r="ECC44" s="76"/>
      <c r="ECD44" s="76"/>
      <c r="ECE44" s="76"/>
      <c r="ECF44" s="76"/>
      <c r="ECG44" s="76"/>
      <c r="ECH44" s="76"/>
      <c r="ECI44" s="76"/>
      <c r="ECJ44" s="76"/>
      <c r="ECK44" s="76"/>
      <c r="ECL44" s="76"/>
      <c r="ECM44" s="76"/>
      <c r="ECN44" s="76"/>
      <c r="ECO44" s="76"/>
      <c r="ECP44" s="76"/>
      <c r="ECQ44" s="76"/>
      <c r="ECR44" s="76"/>
      <c r="ECS44" s="76"/>
      <c r="ECT44" s="76"/>
      <c r="ECU44" s="76"/>
      <c r="ECV44" s="76"/>
      <c r="ECW44" s="76"/>
      <c r="ECX44" s="76"/>
      <c r="ECY44" s="76"/>
      <c r="ECZ44" s="76"/>
      <c r="EDA44" s="76"/>
      <c r="EDB44" s="76"/>
      <c r="EDC44" s="76"/>
      <c r="EDD44" s="76"/>
      <c r="EDE44" s="76"/>
      <c r="EDF44" s="76"/>
      <c r="EDG44" s="76"/>
      <c r="EDH44" s="76"/>
      <c r="EDI44" s="76"/>
      <c r="EDJ44" s="76"/>
      <c r="EDK44" s="76"/>
      <c r="EDL44" s="76"/>
      <c r="EDM44" s="76"/>
      <c r="EDN44" s="76"/>
      <c r="EDO44" s="76"/>
      <c r="EDP44" s="76"/>
      <c r="EDQ44" s="76"/>
      <c r="EDR44" s="76"/>
      <c r="EDS44" s="76"/>
      <c r="EDT44" s="76"/>
      <c r="EDU44" s="76"/>
      <c r="EDV44" s="76"/>
      <c r="EDW44" s="76"/>
      <c r="EDX44" s="76"/>
      <c r="EDY44" s="76"/>
      <c r="EDZ44" s="76"/>
      <c r="EEA44" s="76"/>
      <c r="EEB44" s="76"/>
      <c r="EEC44" s="76"/>
      <c r="EED44" s="76"/>
      <c r="EEE44" s="76"/>
      <c r="EEF44" s="76"/>
      <c r="EEG44" s="76"/>
      <c r="EEH44" s="76"/>
      <c r="EEI44" s="76"/>
      <c r="EEJ44" s="76"/>
      <c r="EEK44" s="76"/>
      <c r="EEL44" s="76"/>
      <c r="EEM44" s="76"/>
      <c r="EEN44" s="76"/>
      <c r="EEO44" s="76"/>
      <c r="EEP44" s="76"/>
      <c r="EEQ44" s="76"/>
      <c r="EER44" s="76"/>
      <c r="EES44" s="76"/>
      <c r="EET44" s="76"/>
      <c r="EEU44" s="76"/>
      <c r="EEV44" s="76"/>
      <c r="EEW44" s="76"/>
      <c r="EEX44" s="76"/>
      <c r="EEY44" s="76"/>
      <c r="EEZ44" s="76"/>
      <c r="EFA44" s="76"/>
      <c r="EFB44" s="76"/>
      <c r="EFC44" s="76"/>
      <c r="EFD44" s="76"/>
      <c r="EFE44" s="76"/>
      <c r="EFF44" s="76"/>
      <c r="EFG44" s="76"/>
      <c r="EFH44" s="76"/>
      <c r="EFI44" s="76"/>
      <c r="EFJ44" s="76"/>
      <c r="EFK44" s="76"/>
      <c r="EFL44" s="76"/>
      <c r="EFM44" s="76"/>
      <c r="EFN44" s="76"/>
      <c r="EFO44" s="76"/>
      <c r="EFP44" s="76"/>
      <c r="EFQ44" s="76"/>
      <c r="EFR44" s="76"/>
      <c r="EFS44" s="76"/>
      <c r="EFT44" s="76"/>
      <c r="EFU44" s="76"/>
      <c r="EFV44" s="76"/>
      <c r="EFW44" s="76"/>
      <c r="EFX44" s="76"/>
      <c r="EFY44" s="76"/>
      <c r="EFZ44" s="76"/>
      <c r="EGA44" s="76"/>
      <c r="EGB44" s="76"/>
      <c r="EGC44" s="76"/>
      <c r="EGD44" s="76"/>
      <c r="EGE44" s="76"/>
      <c r="EGF44" s="76"/>
      <c r="EGG44" s="76"/>
      <c r="EGH44" s="76"/>
      <c r="EGI44" s="76"/>
      <c r="EGJ44" s="76"/>
      <c r="EGK44" s="76"/>
      <c r="EGL44" s="76"/>
      <c r="EGM44" s="76"/>
      <c r="EGN44" s="76"/>
      <c r="EGO44" s="76"/>
      <c r="EGP44" s="76"/>
      <c r="EGQ44" s="76"/>
      <c r="EGR44" s="76"/>
      <c r="EGS44" s="76"/>
      <c r="EGT44" s="76"/>
      <c r="EGU44" s="76"/>
      <c r="EGV44" s="76"/>
      <c r="EGW44" s="76"/>
      <c r="EGX44" s="76"/>
      <c r="EGY44" s="76"/>
      <c r="EGZ44" s="76"/>
      <c r="EHA44" s="76"/>
      <c r="EHB44" s="76"/>
      <c r="EHC44" s="76"/>
      <c r="EHD44" s="76"/>
      <c r="EHE44" s="76"/>
      <c r="EHF44" s="76"/>
      <c r="EHG44" s="76"/>
      <c r="EHH44" s="76"/>
      <c r="EHI44" s="76"/>
      <c r="EHJ44" s="76"/>
      <c r="EHK44" s="76"/>
      <c r="EHL44" s="76"/>
      <c r="EHM44" s="76"/>
      <c r="EHN44" s="76"/>
      <c r="EHO44" s="76"/>
      <c r="EHP44" s="76"/>
      <c r="EHQ44" s="76"/>
      <c r="EHR44" s="76"/>
      <c r="EHS44" s="76"/>
      <c r="EHT44" s="76"/>
      <c r="EHU44" s="76"/>
      <c r="EHV44" s="76"/>
      <c r="EHW44" s="76"/>
      <c r="EHX44" s="76"/>
      <c r="EHY44" s="76"/>
      <c r="EHZ44" s="76"/>
      <c r="EIA44" s="76"/>
      <c r="EIB44" s="76"/>
      <c r="EIC44" s="76"/>
      <c r="EID44" s="76"/>
      <c r="EIE44" s="76"/>
      <c r="EIF44" s="76"/>
      <c r="EIG44" s="76"/>
      <c r="EIH44" s="76"/>
      <c r="EII44" s="76"/>
      <c r="EIJ44" s="76"/>
      <c r="EIK44" s="76"/>
      <c r="EIL44" s="76"/>
      <c r="EIM44" s="76"/>
      <c r="EIN44" s="76"/>
      <c r="EIO44" s="76"/>
      <c r="EIP44" s="76"/>
      <c r="EIQ44" s="76"/>
      <c r="EIR44" s="76"/>
      <c r="EIS44" s="76"/>
      <c r="EIT44" s="76"/>
      <c r="EIU44" s="76"/>
      <c r="EIV44" s="76"/>
      <c r="EIW44" s="76"/>
      <c r="EIX44" s="76"/>
      <c r="EIY44" s="76"/>
      <c r="EIZ44" s="76"/>
      <c r="EJA44" s="76"/>
      <c r="EJB44" s="76"/>
      <c r="EJC44" s="76"/>
      <c r="EJD44" s="76"/>
      <c r="EJE44" s="76"/>
      <c r="EJF44" s="76"/>
      <c r="EJG44" s="76"/>
      <c r="EJH44" s="76"/>
      <c r="EJI44" s="76"/>
      <c r="EJJ44" s="76"/>
      <c r="EJK44" s="76"/>
      <c r="EJL44" s="76"/>
      <c r="EJM44" s="76"/>
      <c r="EJN44" s="76"/>
      <c r="EJO44" s="76"/>
      <c r="EJP44" s="76"/>
      <c r="EJQ44" s="76"/>
      <c r="EJR44" s="76"/>
      <c r="EJS44" s="76"/>
      <c r="EJT44" s="76"/>
      <c r="EJU44" s="76"/>
      <c r="EJV44" s="76"/>
      <c r="EJW44" s="76"/>
      <c r="EJX44" s="76"/>
      <c r="EJY44" s="76"/>
      <c r="EJZ44" s="76"/>
      <c r="EKA44" s="76"/>
      <c r="EKB44" s="76"/>
      <c r="EKC44" s="76"/>
      <c r="EKD44" s="76"/>
      <c r="EKE44" s="76"/>
      <c r="EKF44" s="76"/>
      <c r="EKG44" s="76"/>
      <c r="EKH44" s="76"/>
      <c r="EKI44" s="76"/>
      <c r="EKJ44" s="76"/>
      <c r="EKK44" s="76"/>
      <c r="EKL44" s="76"/>
      <c r="EKM44" s="76"/>
      <c r="EKN44" s="76"/>
      <c r="EKO44" s="76"/>
      <c r="EKP44" s="76"/>
      <c r="EKQ44" s="76"/>
      <c r="EKR44" s="76"/>
      <c r="EKS44" s="76"/>
      <c r="EKT44" s="76"/>
      <c r="EKU44" s="76"/>
      <c r="EKV44" s="76"/>
      <c r="EKW44" s="76"/>
      <c r="EKX44" s="76"/>
      <c r="EKY44" s="76"/>
      <c r="EKZ44" s="76"/>
      <c r="ELA44" s="76"/>
      <c r="ELB44" s="76"/>
      <c r="ELC44" s="76"/>
      <c r="ELD44" s="76"/>
      <c r="ELE44" s="76"/>
      <c r="ELF44" s="76"/>
      <c r="ELG44" s="76"/>
      <c r="ELH44" s="76"/>
      <c r="ELI44" s="76"/>
      <c r="ELJ44" s="76"/>
      <c r="ELK44" s="76"/>
      <c r="ELL44" s="76"/>
      <c r="ELM44" s="76"/>
      <c r="ELN44" s="76"/>
      <c r="ELO44" s="76"/>
      <c r="ELP44" s="76"/>
      <c r="ELQ44" s="76"/>
      <c r="ELR44" s="76"/>
      <c r="ELS44" s="76"/>
      <c r="ELT44" s="76"/>
      <c r="ELU44" s="76"/>
      <c r="ELV44" s="76"/>
      <c r="ELW44" s="76"/>
      <c r="ELX44" s="76"/>
      <c r="ELY44" s="76"/>
      <c r="ELZ44" s="76"/>
      <c r="EMA44" s="76"/>
      <c r="EMB44" s="76"/>
      <c r="EMC44" s="76"/>
      <c r="EMD44" s="76"/>
      <c r="EME44" s="76"/>
      <c r="EMF44" s="76"/>
      <c r="EMG44" s="76"/>
      <c r="EMH44" s="76"/>
      <c r="EMI44" s="76"/>
      <c r="EMJ44" s="76"/>
      <c r="EMK44" s="76"/>
      <c r="EML44" s="76"/>
      <c r="EMM44" s="76"/>
      <c r="EMN44" s="76"/>
      <c r="EMO44" s="76"/>
      <c r="EMP44" s="76"/>
      <c r="EMQ44" s="76"/>
      <c r="EMR44" s="76"/>
      <c r="EMS44" s="76"/>
      <c r="EMT44" s="76"/>
      <c r="EMU44" s="76"/>
      <c r="EMV44" s="76"/>
      <c r="EMW44" s="76"/>
      <c r="EMX44" s="76"/>
      <c r="EMY44" s="76"/>
      <c r="EMZ44" s="76"/>
      <c r="ENA44" s="76"/>
      <c r="ENB44" s="76"/>
      <c r="ENC44" s="76"/>
      <c r="END44" s="76"/>
      <c r="ENE44" s="76"/>
      <c r="ENF44" s="76"/>
      <c r="ENG44" s="76"/>
      <c r="ENH44" s="76"/>
      <c r="ENI44" s="76"/>
      <c r="ENJ44" s="76"/>
      <c r="ENK44" s="76"/>
      <c r="ENL44" s="76"/>
      <c r="ENM44" s="76"/>
      <c r="ENN44" s="76"/>
      <c r="ENO44" s="76"/>
      <c r="ENP44" s="76"/>
      <c r="ENQ44" s="76"/>
      <c r="ENR44" s="76"/>
      <c r="ENS44" s="76"/>
      <c r="ENT44" s="76"/>
      <c r="ENU44" s="76"/>
      <c r="ENV44" s="76"/>
      <c r="ENW44" s="76"/>
      <c r="ENX44" s="76"/>
      <c r="ENY44" s="76"/>
      <c r="ENZ44" s="76"/>
      <c r="EOA44" s="76"/>
      <c r="EOB44" s="76"/>
      <c r="EOC44" s="76"/>
      <c r="EOD44" s="76"/>
      <c r="EOE44" s="76"/>
      <c r="EOF44" s="76"/>
      <c r="EOG44" s="76"/>
      <c r="EOH44" s="76"/>
      <c r="EOI44" s="76"/>
      <c r="EOJ44" s="76"/>
      <c r="EOK44" s="76"/>
      <c r="EOL44" s="76"/>
      <c r="EOM44" s="76"/>
      <c r="EON44" s="76"/>
      <c r="EOO44" s="76"/>
      <c r="EOP44" s="76"/>
      <c r="EOQ44" s="76"/>
      <c r="EOR44" s="76"/>
      <c r="EOS44" s="76"/>
      <c r="EOT44" s="76"/>
      <c r="EOU44" s="76"/>
      <c r="EOV44" s="76"/>
      <c r="EOW44" s="76"/>
      <c r="EOX44" s="76"/>
      <c r="EOY44" s="76"/>
      <c r="EOZ44" s="76"/>
      <c r="EPA44" s="76"/>
      <c r="EPB44" s="76"/>
      <c r="EPC44" s="76"/>
      <c r="EPD44" s="76"/>
      <c r="EPE44" s="76"/>
      <c r="EPF44" s="76"/>
      <c r="EPG44" s="76"/>
      <c r="EPH44" s="76"/>
      <c r="EPI44" s="76"/>
      <c r="EPJ44" s="76"/>
      <c r="EPK44" s="76"/>
      <c r="EPL44" s="76"/>
      <c r="EPM44" s="76"/>
      <c r="EPN44" s="76"/>
      <c r="EPO44" s="76"/>
      <c r="EPP44" s="76"/>
      <c r="EPQ44" s="76"/>
      <c r="EPR44" s="76"/>
      <c r="EPS44" s="76"/>
      <c r="EPT44" s="76"/>
      <c r="EPU44" s="76"/>
      <c r="EPV44" s="76"/>
      <c r="EPW44" s="76"/>
      <c r="EPX44" s="76"/>
      <c r="EPY44" s="76"/>
      <c r="EPZ44" s="76"/>
      <c r="EQA44" s="76"/>
      <c r="EQB44" s="76"/>
      <c r="EQC44" s="76"/>
      <c r="EQD44" s="76"/>
      <c r="EQE44" s="76"/>
      <c r="EQF44" s="76"/>
      <c r="EQG44" s="76"/>
      <c r="EQH44" s="76"/>
      <c r="EQI44" s="76"/>
      <c r="EQJ44" s="76"/>
      <c r="EQK44" s="76"/>
      <c r="EQL44" s="76"/>
      <c r="EQM44" s="76"/>
      <c r="EQN44" s="76"/>
      <c r="EQO44" s="76"/>
      <c r="EQP44" s="76"/>
      <c r="EQQ44" s="76"/>
      <c r="EQR44" s="76"/>
      <c r="EQS44" s="76"/>
      <c r="EQT44" s="76"/>
      <c r="EQU44" s="76"/>
      <c r="EQV44" s="76"/>
      <c r="EQW44" s="76"/>
      <c r="EQX44" s="76"/>
      <c r="EQY44" s="76"/>
      <c r="EQZ44" s="76"/>
      <c r="ERA44" s="76"/>
      <c r="ERB44" s="76"/>
      <c r="ERC44" s="76"/>
      <c r="ERD44" s="76"/>
      <c r="ERE44" s="76"/>
      <c r="ERF44" s="76"/>
      <c r="ERG44" s="76"/>
      <c r="ERH44" s="76"/>
      <c r="ERI44" s="76"/>
      <c r="ERJ44" s="76"/>
      <c r="ERK44" s="76"/>
      <c r="ERL44" s="76"/>
      <c r="ERM44" s="76"/>
      <c r="ERN44" s="76"/>
      <c r="ERO44" s="76"/>
      <c r="ERP44" s="76"/>
      <c r="ERQ44" s="76"/>
      <c r="ERR44" s="76"/>
      <c r="ERS44" s="76"/>
      <c r="ERT44" s="76"/>
      <c r="ERU44" s="76"/>
      <c r="ERV44" s="76"/>
      <c r="ERW44" s="76"/>
      <c r="ERX44" s="76"/>
      <c r="ERY44" s="76"/>
      <c r="ERZ44" s="76"/>
      <c r="ESA44" s="76"/>
      <c r="ESB44" s="76"/>
      <c r="ESC44" s="76"/>
      <c r="ESD44" s="76"/>
      <c r="ESE44" s="76"/>
      <c r="ESF44" s="76"/>
      <c r="ESG44" s="76"/>
      <c r="ESH44" s="76"/>
      <c r="ESI44" s="76"/>
      <c r="ESJ44" s="76"/>
      <c r="ESK44" s="76"/>
      <c r="ESL44" s="76"/>
      <c r="ESM44" s="76"/>
      <c r="ESN44" s="76"/>
      <c r="ESO44" s="76"/>
      <c r="ESP44" s="76"/>
      <c r="ESQ44" s="76"/>
      <c r="ESR44" s="76"/>
      <c r="ESS44" s="76"/>
      <c r="EST44" s="76"/>
      <c r="ESU44" s="76"/>
      <c r="ESV44" s="76"/>
      <c r="ESW44" s="76"/>
      <c r="ESX44" s="76"/>
      <c r="ESY44" s="76"/>
      <c r="ESZ44" s="76"/>
      <c r="ETA44" s="76"/>
      <c r="ETB44" s="76"/>
      <c r="ETC44" s="76"/>
      <c r="ETD44" s="76"/>
      <c r="ETE44" s="76"/>
      <c r="ETF44" s="76"/>
      <c r="ETG44" s="76"/>
      <c r="ETH44" s="76"/>
      <c r="ETI44" s="76"/>
      <c r="ETJ44" s="76"/>
      <c r="ETK44" s="76"/>
      <c r="ETL44" s="76"/>
      <c r="ETM44" s="76"/>
      <c r="ETN44" s="76"/>
      <c r="ETO44" s="76"/>
      <c r="ETP44" s="76"/>
      <c r="ETQ44" s="76"/>
      <c r="ETR44" s="76"/>
      <c r="ETS44" s="76"/>
      <c r="ETT44" s="76"/>
      <c r="ETU44" s="76"/>
      <c r="ETV44" s="76"/>
      <c r="ETW44" s="76"/>
      <c r="ETX44" s="76"/>
      <c r="ETY44" s="76"/>
      <c r="ETZ44" s="76"/>
      <c r="EUA44" s="76"/>
      <c r="EUB44" s="76"/>
      <c r="EUC44" s="76"/>
      <c r="EUD44" s="76"/>
      <c r="EUE44" s="76"/>
      <c r="EUF44" s="76"/>
      <c r="EUG44" s="76"/>
      <c r="EUH44" s="76"/>
      <c r="EUI44" s="76"/>
      <c r="EUJ44" s="76"/>
      <c r="EUK44" s="76"/>
      <c r="EUL44" s="76"/>
      <c r="EUM44" s="76"/>
      <c r="EUN44" s="76"/>
      <c r="EUO44" s="76"/>
      <c r="EUP44" s="76"/>
      <c r="EUQ44" s="76"/>
      <c r="EUR44" s="76"/>
      <c r="EUS44" s="76"/>
      <c r="EUT44" s="76"/>
      <c r="EUU44" s="76"/>
      <c r="EUV44" s="76"/>
      <c r="EUW44" s="76"/>
      <c r="EUX44" s="76"/>
      <c r="EUY44" s="76"/>
      <c r="EUZ44" s="76"/>
      <c r="EVA44" s="76"/>
      <c r="EVB44" s="76"/>
      <c r="EVC44" s="76"/>
      <c r="EVD44" s="76"/>
      <c r="EVE44" s="76"/>
      <c r="EVF44" s="76"/>
      <c r="EVG44" s="76"/>
      <c r="EVH44" s="76"/>
      <c r="EVI44" s="76"/>
      <c r="EVJ44" s="76"/>
      <c r="EVK44" s="76"/>
      <c r="EVL44" s="76"/>
      <c r="EVM44" s="76"/>
      <c r="EVN44" s="76"/>
      <c r="EVO44" s="76"/>
      <c r="EVP44" s="76"/>
      <c r="EVQ44" s="76"/>
      <c r="EVR44" s="76"/>
      <c r="EVS44" s="76"/>
      <c r="EVT44" s="76"/>
      <c r="EVU44" s="76"/>
      <c r="EVV44" s="76"/>
      <c r="EVW44" s="76"/>
      <c r="EVX44" s="76"/>
      <c r="EVY44" s="76"/>
      <c r="EVZ44" s="76"/>
      <c r="EWA44" s="76"/>
      <c r="EWB44" s="76"/>
      <c r="EWC44" s="76"/>
      <c r="EWD44" s="76"/>
      <c r="EWE44" s="76"/>
      <c r="EWF44" s="76"/>
      <c r="EWG44" s="76"/>
      <c r="EWH44" s="76"/>
      <c r="EWI44" s="76"/>
      <c r="EWJ44" s="76"/>
      <c r="EWK44" s="76"/>
      <c r="EWL44" s="76"/>
      <c r="EWM44" s="76"/>
      <c r="EWN44" s="76"/>
      <c r="EWO44" s="76"/>
      <c r="EWP44" s="76"/>
      <c r="EWQ44" s="76"/>
      <c r="EWR44" s="76"/>
      <c r="EWS44" s="76"/>
      <c r="EWT44" s="76"/>
      <c r="EWU44" s="76"/>
      <c r="EWV44" s="76"/>
      <c r="EWW44" s="76"/>
      <c r="EWX44" s="76"/>
      <c r="EWY44" s="76"/>
      <c r="EWZ44" s="76"/>
      <c r="EXA44" s="76"/>
      <c r="EXB44" s="76"/>
      <c r="EXC44" s="76"/>
      <c r="EXD44" s="76"/>
      <c r="EXE44" s="76"/>
      <c r="EXF44" s="76"/>
      <c r="EXG44" s="76"/>
      <c r="EXH44" s="76"/>
      <c r="EXI44" s="76"/>
      <c r="EXJ44" s="76"/>
      <c r="EXK44" s="76"/>
      <c r="EXL44" s="76"/>
      <c r="EXM44" s="76"/>
      <c r="EXN44" s="76"/>
      <c r="EXO44" s="76"/>
      <c r="EXP44" s="76"/>
      <c r="EXQ44" s="76"/>
      <c r="EXR44" s="76"/>
      <c r="EXS44" s="76"/>
      <c r="EXT44" s="76"/>
      <c r="EXU44" s="76"/>
      <c r="EXV44" s="76"/>
      <c r="EXW44" s="76"/>
      <c r="EXX44" s="76"/>
      <c r="EXY44" s="76"/>
      <c r="EXZ44" s="76"/>
      <c r="EYA44" s="76"/>
      <c r="EYB44" s="76"/>
      <c r="EYC44" s="76"/>
      <c r="EYD44" s="76"/>
      <c r="EYE44" s="76"/>
      <c r="EYF44" s="76"/>
      <c r="EYG44" s="76"/>
      <c r="EYH44" s="76"/>
      <c r="EYI44" s="76"/>
      <c r="EYJ44" s="76"/>
      <c r="EYK44" s="76"/>
      <c r="EYL44" s="76"/>
      <c r="EYM44" s="76"/>
      <c r="EYN44" s="76"/>
      <c r="EYO44" s="76"/>
      <c r="EYP44" s="76"/>
      <c r="EYQ44" s="76"/>
      <c r="EYR44" s="76"/>
      <c r="EYS44" s="76"/>
      <c r="EYT44" s="76"/>
      <c r="EYU44" s="76"/>
      <c r="EYV44" s="76"/>
      <c r="EYW44" s="76"/>
      <c r="EYX44" s="76"/>
      <c r="EYY44" s="76"/>
      <c r="EYZ44" s="76"/>
      <c r="EZA44" s="76"/>
      <c r="EZB44" s="76"/>
      <c r="EZC44" s="76"/>
      <c r="EZD44" s="76"/>
      <c r="EZE44" s="76"/>
      <c r="EZF44" s="76"/>
      <c r="EZG44" s="76"/>
      <c r="EZH44" s="76"/>
      <c r="EZI44" s="76"/>
      <c r="EZJ44" s="76"/>
      <c r="EZK44" s="76"/>
      <c r="EZL44" s="76"/>
      <c r="EZM44" s="76"/>
      <c r="EZN44" s="76"/>
      <c r="EZO44" s="76"/>
      <c r="EZP44" s="76"/>
      <c r="EZQ44" s="76"/>
      <c r="EZR44" s="76"/>
      <c r="EZS44" s="76"/>
      <c r="EZT44" s="76"/>
      <c r="EZU44" s="76"/>
      <c r="EZV44" s="76"/>
      <c r="EZW44" s="76"/>
      <c r="EZX44" s="76"/>
      <c r="EZY44" s="76"/>
      <c r="EZZ44" s="76"/>
      <c r="FAA44" s="76"/>
      <c r="FAB44" s="76"/>
      <c r="FAC44" s="76"/>
      <c r="FAD44" s="76"/>
      <c r="FAE44" s="76"/>
      <c r="FAF44" s="76"/>
      <c r="FAG44" s="76"/>
      <c r="FAH44" s="76"/>
      <c r="FAI44" s="76"/>
      <c r="FAJ44" s="76"/>
      <c r="FAK44" s="76"/>
      <c r="FAL44" s="76"/>
      <c r="FAM44" s="76"/>
      <c r="FAN44" s="76"/>
      <c r="FAO44" s="76"/>
      <c r="FAP44" s="76"/>
      <c r="FAQ44" s="76"/>
      <c r="FAR44" s="76"/>
      <c r="FAS44" s="76"/>
      <c r="FAT44" s="76"/>
      <c r="FAU44" s="76"/>
      <c r="FAV44" s="76"/>
      <c r="FAW44" s="76"/>
      <c r="FAX44" s="76"/>
      <c r="FAY44" s="76"/>
      <c r="FAZ44" s="76"/>
      <c r="FBA44" s="76"/>
      <c r="FBB44" s="76"/>
      <c r="FBC44" s="76"/>
      <c r="FBD44" s="76"/>
      <c r="FBE44" s="76"/>
      <c r="FBF44" s="76"/>
      <c r="FBG44" s="76"/>
      <c r="FBH44" s="76"/>
      <c r="FBI44" s="76"/>
      <c r="FBJ44" s="76"/>
      <c r="FBK44" s="76"/>
      <c r="FBL44" s="76"/>
      <c r="FBM44" s="76"/>
      <c r="FBN44" s="76"/>
      <c r="FBO44" s="76"/>
      <c r="FBP44" s="76"/>
      <c r="FBQ44" s="76"/>
      <c r="FBR44" s="76"/>
      <c r="FBS44" s="76"/>
      <c r="FBT44" s="76"/>
      <c r="FBU44" s="76"/>
      <c r="FBV44" s="76"/>
      <c r="FBW44" s="76"/>
      <c r="FBX44" s="76"/>
      <c r="FBY44" s="76"/>
      <c r="FBZ44" s="76"/>
      <c r="FCA44" s="76"/>
      <c r="FCB44" s="76"/>
      <c r="FCC44" s="76"/>
      <c r="FCD44" s="76"/>
      <c r="FCE44" s="76"/>
      <c r="FCF44" s="76"/>
      <c r="FCG44" s="76"/>
      <c r="FCH44" s="76"/>
      <c r="FCI44" s="76"/>
      <c r="FCJ44" s="76"/>
      <c r="FCK44" s="76"/>
      <c r="FCL44" s="76"/>
      <c r="FCM44" s="76"/>
      <c r="FCN44" s="76"/>
      <c r="FCO44" s="76"/>
      <c r="FCP44" s="76"/>
      <c r="FCQ44" s="76"/>
      <c r="FCR44" s="76"/>
      <c r="FCS44" s="76"/>
      <c r="FCT44" s="76"/>
      <c r="FCU44" s="76"/>
      <c r="FCV44" s="76"/>
      <c r="FCW44" s="76"/>
      <c r="FCX44" s="76"/>
      <c r="FCY44" s="76"/>
      <c r="FCZ44" s="76"/>
      <c r="FDA44" s="76"/>
      <c r="FDB44" s="76"/>
      <c r="FDC44" s="76"/>
      <c r="FDD44" s="76"/>
      <c r="FDE44" s="76"/>
      <c r="FDF44" s="76"/>
      <c r="FDG44" s="76"/>
      <c r="FDH44" s="76"/>
      <c r="FDI44" s="76"/>
      <c r="FDJ44" s="76"/>
      <c r="FDK44" s="76"/>
      <c r="FDL44" s="76"/>
      <c r="FDM44" s="76"/>
      <c r="FDN44" s="76"/>
      <c r="FDO44" s="76"/>
      <c r="FDP44" s="76"/>
      <c r="FDQ44" s="76"/>
      <c r="FDR44" s="76"/>
      <c r="FDS44" s="76"/>
      <c r="FDT44" s="76"/>
      <c r="FDU44" s="76"/>
      <c r="FDV44" s="76"/>
      <c r="FDW44" s="76"/>
      <c r="FDX44" s="76"/>
      <c r="FDY44" s="76"/>
      <c r="FDZ44" s="76"/>
      <c r="FEA44" s="76"/>
      <c r="FEB44" s="76"/>
      <c r="FEC44" s="76"/>
      <c r="FED44" s="76"/>
      <c r="FEE44" s="76"/>
      <c r="FEF44" s="76"/>
      <c r="FEG44" s="76"/>
      <c r="FEH44" s="76"/>
      <c r="FEI44" s="76"/>
      <c r="FEJ44" s="76"/>
      <c r="FEK44" s="76"/>
      <c r="FEL44" s="76"/>
      <c r="FEM44" s="76"/>
      <c r="FEN44" s="76"/>
      <c r="FEO44" s="76"/>
      <c r="FEP44" s="76"/>
      <c r="FEQ44" s="76"/>
      <c r="FER44" s="76"/>
      <c r="FES44" s="76"/>
      <c r="FET44" s="76"/>
      <c r="FEU44" s="76"/>
      <c r="FEV44" s="76"/>
      <c r="FEW44" s="76"/>
      <c r="FEX44" s="76"/>
      <c r="FEY44" s="76"/>
      <c r="FEZ44" s="76"/>
      <c r="FFA44" s="76"/>
      <c r="FFB44" s="76"/>
      <c r="FFC44" s="76"/>
      <c r="FFD44" s="76"/>
      <c r="FFE44" s="76"/>
      <c r="FFF44" s="76"/>
      <c r="FFG44" s="76"/>
      <c r="FFH44" s="76"/>
      <c r="FFI44" s="76"/>
      <c r="FFJ44" s="76"/>
      <c r="FFK44" s="76"/>
      <c r="FFL44" s="76"/>
      <c r="FFM44" s="76"/>
      <c r="FFN44" s="76"/>
      <c r="FFO44" s="76"/>
      <c r="FFP44" s="76"/>
      <c r="FFQ44" s="76"/>
      <c r="FFR44" s="76"/>
      <c r="FFS44" s="76"/>
      <c r="FFT44" s="76"/>
      <c r="FFU44" s="76"/>
      <c r="FFV44" s="76"/>
      <c r="FFW44" s="76"/>
      <c r="FFX44" s="76"/>
      <c r="FFY44" s="76"/>
      <c r="FFZ44" s="76"/>
      <c r="FGA44" s="76"/>
      <c r="FGB44" s="76"/>
      <c r="FGC44" s="76"/>
      <c r="FGD44" s="76"/>
      <c r="FGE44" s="76"/>
      <c r="FGF44" s="76"/>
      <c r="FGG44" s="76"/>
      <c r="FGH44" s="76"/>
      <c r="FGI44" s="76"/>
      <c r="FGJ44" s="76"/>
      <c r="FGK44" s="76"/>
      <c r="FGL44" s="76"/>
      <c r="FGM44" s="76"/>
      <c r="FGN44" s="76"/>
      <c r="FGO44" s="76"/>
      <c r="FGP44" s="76"/>
      <c r="FGQ44" s="76"/>
      <c r="FGR44" s="76"/>
      <c r="FGS44" s="76"/>
      <c r="FGT44" s="76"/>
      <c r="FGU44" s="76"/>
      <c r="FGV44" s="76"/>
      <c r="FGW44" s="76"/>
      <c r="FGX44" s="76"/>
      <c r="FGY44" s="76"/>
      <c r="FGZ44" s="76"/>
      <c r="FHA44" s="76"/>
      <c r="FHB44" s="76"/>
      <c r="FHC44" s="76"/>
      <c r="FHD44" s="76"/>
      <c r="FHE44" s="76"/>
      <c r="FHF44" s="76"/>
      <c r="FHG44" s="76"/>
      <c r="FHH44" s="76"/>
      <c r="FHI44" s="76"/>
      <c r="FHJ44" s="76"/>
      <c r="FHK44" s="76"/>
      <c r="FHL44" s="76"/>
      <c r="FHM44" s="76"/>
      <c r="FHN44" s="76"/>
      <c r="FHO44" s="76"/>
      <c r="FHP44" s="76"/>
      <c r="FHQ44" s="76"/>
      <c r="FHR44" s="76"/>
      <c r="FHS44" s="76"/>
      <c r="FHT44" s="76"/>
      <c r="FHU44" s="76"/>
      <c r="FHV44" s="76"/>
      <c r="FHW44" s="76"/>
      <c r="FHX44" s="76"/>
      <c r="FHY44" s="76"/>
      <c r="FHZ44" s="76"/>
      <c r="FIA44" s="76"/>
      <c r="FIB44" s="76"/>
      <c r="FIC44" s="76"/>
      <c r="FID44" s="76"/>
      <c r="FIE44" s="76"/>
      <c r="FIF44" s="76"/>
      <c r="FIG44" s="76"/>
      <c r="FIH44" s="76"/>
      <c r="FII44" s="76"/>
      <c r="FIJ44" s="76"/>
      <c r="FIK44" s="76"/>
      <c r="FIL44" s="76"/>
      <c r="FIM44" s="76"/>
      <c r="FIN44" s="76"/>
      <c r="FIO44" s="76"/>
      <c r="FIP44" s="76"/>
      <c r="FIQ44" s="76"/>
      <c r="FIR44" s="76"/>
      <c r="FIS44" s="76"/>
      <c r="FIT44" s="76"/>
      <c r="FIU44" s="76"/>
      <c r="FIV44" s="76"/>
      <c r="FIW44" s="76"/>
      <c r="FIX44" s="76"/>
      <c r="FIY44" s="76"/>
      <c r="FIZ44" s="76"/>
      <c r="FJA44" s="76"/>
      <c r="FJB44" s="76"/>
      <c r="FJC44" s="76"/>
      <c r="FJD44" s="76"/>
      <c r="FJE44" s="76"/>
      <c r="FJF44" s="76"/>
      <c r="FJG44" s="76"/>
      <c r="FJH44" s="76"/>
      <c r="FJI44" s="76"/>
      <c r="FJJ44" s="76"/>
      <c r="FJK44" s="76"/>
      <c r="FJL44" s="76"/>
      <c r="FJM44" s="76"/>
      <c r="FJN44" s="76"/>
      <c r="FJO44" s="76"/>
      <c r="FJP44" s="76"/>
      <c r="FJQ44" s="76"/>
      <c r="FJR44" s="76"/>
      <c r="FJS44" s="76"/>
      <c r="FJT44" s="76"/>
      <c r="FJU44" s="76"/>
      <c r="FJV44" s="76"/>
      <c r="FJW44" s="76"/>
      <c r="FJX44" s="76"/>
      <c r="FJY44" s="76"/>
      <c r="FJZ44" s="76"/>
      <c r="FKA44" s="76"/>
      <c r="FKB44" s="76"/>
      <c r="FKC44" s="76"/>
      <c r="FKD44" s="76"/>
      <c r="FKE44" s="76"/>
      <c r="FKF44" s="76"/>
      <c r="FKG44" s="76"/>
      <c r="FKH44" s="76"/>
      <c r="FKI44" s="76"/>
      <c r="FKJ44" s="76"/>
      <c r="FKK44" s="76"/>
      <c r="FKL44" s="76"/>
      <c r="FKM44" s="76"/>
      <c r="FKN44" s="76"/>
      <c r="FKO44" s="76"/>
      <c r="FKP44" s="76"/>
      <c r="FKQ44" s="76"/>
      <c r="FKR44" s="76"/>
      <c r="FKS44" s="76"/>
      <c r="FKT44" s="76"/>
      <c r="FKU44" s="76"/>
      <c r="FKV44" s="76"/>
      <c r="FKW44" s="76"/>
      <c r="FKX44" s="76"/>
      <c r="FKY44" s="76"/>
      <c r="FKZ44" s="76"/>
      <c r="FLA44" s="76"/>
      <c r="FLB44" s="76"/>
      <c r="FLC44" s="76"/>
      <c r="FLD44" s="76"/>
      <c r="FLE44" s="76"/>
      <c r="FLF44" s="76"/>
      <c r="FLG44" s="76"/>
      <c r="FLH44" s="76"/>
      <c r="FLI44" s="76"/>
      <c r="FLJ44" s="76"/>
      <c r="FLK44" s="76"/>
      <c r="FLL44" s="76"/>
      <c r="FLM44" s="76"/>
      <c r="FLN44" s="76"/>
      <c r="FLO44" s="76"/>
      <c r="FLP44" s="76"/>
      <c r="FLQ44" s="76"/>
      <c r="FLR44" s="76"/>
      <c r="FLS44" s="76"/>
      <c r="FLT44" s="76"/>
      <c r="FLU44" s="76"/>
      <c r="FLV44" s="76"/>
      <c r="FLW44" s="76"/>
      <c r="FLX44" s="76"/>
      <c r="FLY44" s="76"/>
      <c r="FLZ44" s="76"/>
      <c r="FMA44" s="76"/>
      <c r="FMB44" s="76"/>
      <c r="FMC44" s="76"/>
      <c r="FMD44" s="76"/>
      <c r="FME44" s="76"/>
      <c r="FMF44" s="76"/>
      <c r="FMG44" s="76"/>
      <c r="FMH44" s="76"/>
      <c r="FMI44" s="76"/>
      <c r="FMJ44" s="76"/>
      <c r="FMK44" s="76"/>
      <c r="FML44" s="76"/>
      <c r="FMM44" s="76"/>
      <c r="FMN44" s="76"/>
      <c r="FMO44" s="76"/>
      <c r="FMP44" s="76"/>
      <c r="FMQ44" s="76"/>
      <c r="FMR44" s="76"/>
      <c r="FMS44" s="76"/>
      <c r="FMT44" s="76"/>
      <c r="FMU44" s="76"/>
      <c r="FMV44" s="76"/>
      <c r="FMW44" s="76"/>
      <c r="FMX44" s="76"/>
      <c r="FMY44" s="76"/>
      <c r="FMZ44" s="76"/>
      <c r="FNA44" s="76"/>
      <c r="FNB44" s="76"/>
      <c r="FNC44" s="76"/>
      <c r="FND44" s="76"/>
      <c r="FNE44" s="76"/>
      <c r="FNF44" s="76"/>
      <c r="FNG44" s="76"/>
      <c r="FNH44" s="76"/>
      <c r="FNI44" s="76"/>
      <c r="FNJ44" s="76"/>
      <c r="FNK44" s="76"/>
      <c r="FNL44" s="76"/>
      <c r="FNM44" s="76"/>
      <c r="FNN44" s="76"/>
      <c r="FNO44" s="76"/>
      <c r="FNP44" s="76"/>
      <c r="FNQ44" s="76"/>
      <c r="FNR44" s="76"/>
      <c r="FNS44" s="76"/>
      <c r="FNT44" s="76"/>
      <c r="FNU44" s="76"/>
      <c r="FNV44" s="76"/>
      <c r="FNW44" s="76"/>
      <c r="FNX44" s="76"/>
      <c r="FNY44" s="76"/>
      <c r="FNZ44" s="76"/>
      <c r="FOA44" s="76"/>
      <c r="FOB44" s="76"/>
      <c r="FOC44" s="76"/>
      <c r="FOD44" s="76"/>
      <c r="FOE44" s="76"/>
      <c r="FOF44" s="76"/>
      <c r="FOG44" s="76"/>
      <c r="FOH44" s="76"/>
      <c r="FOI44" s="76"/>
      <c r="FOJ44" s="76"/>
      <c r="FOK44" s="76"/>
      <c r="FOL44" s="76"/>
      <c r="FOM44" s="76"/>
      <c r="FON44" s="76"/>
      <c r="FOO44" s="76"/>
      <c r="FOP44" s="76"/>
      <c r="FOQ44" s="76"/>
      <c r="FOR44" s="76"/>
      <c r="FOS44" s="76"/>
      <c r="FOT44" s="76"/>
      <c r="FOU44" s="76"/>
      <c r="FOV44" s="76"/>
      <c r="FOW44" s="76"/>
      <c r="FOX44" s="76"/>
      <c r="FOY44" s="76"/>
      <c r="FOZ44" s="76"/>
      <c r="FPA44" s="76"/>
      <c r="FPB44" s="76"/>
      <c r="FPC44" s="76"/>
      <c r="FPD44" s="76"/>
      <c r="FPE44" s="76"/>
      <c r="FPF44" s="76"/>
      <c r="FPG44" s="76"/>
      <c r="FPH44" s="76"/>
      <c r="FPI44" s="76"/>
      <c r="FPJ44" s="76"/>
      <c r="FPK44" s="76"/>
      <c r="FPL44" s="76"/>
      <c r="FPM44" s="76"/>
      <c r="FPN44" s="76"/>
      <c r="FPO44" s="76"/>
      <c r="FPP44" s="76"/>
      <c r="FPQ44" s="76"/>
      <c r="FPR44" s="76"/>
      <c r="FPS44" s="76"/>
      <c r="FPT44" s="76"/>
      <c r="FPU44" s="76"/>
      <c r="FPV44" s="76"/>
      <c r="FPW44" s="76"/>
      <c r="FPX44" s="76"/>
      <c r="FPY44" s="76"/>
      <c r="FPZ44" s="76"/>
      <c r="FQA44" s="76"/>
      <c r="FQB44" s="76"/>
      <c r="FQC44" s="76"/>
      <c r="FQD44" s="76"/>
      <c r="FQE44" s="76"/>
      <c r="FQF44" s="76"/>
      <c r="FQG44" s="76"/>
      <c r="FQH44" s="76"/>
      <c r="FQI44" s="76"/>
      <c r="FQJ44" s="76"/>
      <c r="FQK44" s="76"/>
      <c r="FQL44" s="76"/>
      <c r="FQM44" s="76"/>
      <c r="FQN44" s="76"/>
      <c r="FQO44" s="76"/>
      <c r="FQP44" s="76"/>
      <c r="FQQ44" s="76"/>
      <c r="FQR44" s="76"/>
      <c r="FQS44" s="76"/>
      <c r="FQT44" s="76"/>
      <c r="FQU44" s="76"/>
      <c r="FQV44" s="76"/>
      <c r="FQW44" s="76"/>
      <c r="FQX44" s="76"/>
      <c r="FQY44" s="76"/>
      <c r="FQZ44" s="76"/>
      <c r="FRA44" s="76"/>
      <c r="FRB44" s="76"/>
      <c r="FRC44" s="76"/>
      <c r="FRD44" s="76"/>
      <c r="FRE44" s="76"/>
      <c r="FRF44" s="76"/>
      <c r="FRG44" s="76"/>
      <c r="FRH44" s="76"/>
      <c r="FRI44" s="76"/>
      <c r="FRJ44" s="76"/>
      <c r="FRK44" s="76"/>
      <c r="FRL44" s="76"/>
      <c r="FRM44" s="76"/>
      <c r="FRN44" s="76"/>
      <c r="FRO44" s="76"/>
      <c r="FRP44" s="76"/>
      <c r="FRQ44" s="76"/>
      <c r="FRR44" s="76"/>
      <c r="FRS44" s="76"/>
      <c r="FRT44" s="76"/>
      <c r="FRU44" s="76"/>
      <c r="FRV44" s="76"/>
      <c r="FRW44" s="76"/>
      <c r="FRX44" s="76"/>
      <c r="FRY44" s="76"/>
      <c r="FRZ44" s="76"/>
      <c r="FSA44" s="76"/>
      <c r="FSB44" s="76"/>
      <c r="FSC44" s="76"/>
      <c r="FSD44" s="76"/>
      <c r="FSE44" s="76"/>
      <c r="FSF44" s="76"/>
      <c r="FSG44" s="76"/>
      <c r="FSH44" s="76"/>
      <c r="FSI44" s="76"/>
      <c r="FSJ44" s="76"/>
      <c r="FSK44" s="76"/>
      <c r="FSL44" s="76"/>
      <c r="FSM44" s="76"/>
      <c r="FSN44" s="76"/>
      <c r="FSO44" s="76"/>
      <c r="FSP44" s="76"/>
      <c r="FSQ44" s="76"/>
      <c r="FSR44" s="76"/>
      <c r="FSS44" s="76"/>
      <c r="FST44" s="76"/>
      <c r="FSU44" s="76"/>
      <c r="FSV44" s="76"/>
      <c r="FSW44" s="76"/>
      <c r="FSX44" s="76"/>
      <c r="FSY44" s="76"/>
      <c r="FSZ44" s="76"/>
      <c r="FTA44" s="76"/>
      <c r="FTB44" s="76"/>
      <c r="FTC44" s="76"/>
      <c r="FTD44" s="76"/>
      <c r="FTE44" s="76"/>
      <c r="FTF44" s="76"/>
      <c r="FTG44" s="76"/>
      <c r="FTH44" s="76"/>
      <c r="FTI44" s="76"/>
      <c r="FTJ44" s="76"/>
      <c r="FTK44" s="76"/>
      <c r="FTL44" s="76"/>
      <c r="FTM44" s="76"/>
      <c r="FTN44" s="76"/>
      <c r="FTO44" s="76"/>
      <c r="FTP44" s="76"/>
      <c r="FTQ44" s="76"/>
      <c r="FTR44" s="76"/>
      <c r="FTS44" s="76"/>
      <c r="FTT44" s="76"/>
      <c r="FTU44" s="76"/>
      <c r="FTV44" s="76"/>
      <c r="FTW44" s="76"/>
      <c r="FTX44" s="76"/>
      <c r="FTY44" s="76"/>
      <c r="FTZ44" s="76"/>
      <c r="FUA44" s="76"/>
      <c r="FUB44" s="76"/>
      <c r="FUC44" s="76"/>
      <c r="FUD44" s="76"/>
      <c r="FUE44" s="76"/>
      <c r="FUF44" s="76"/>
      <c r="FUG44" s="76"/>
      <c r="FUH44" s="76"/>
      <c r="FUI44" s="76"/>
      <c r="FUJ44" s="76"/>
      <c r="FUK44" s="76"/>
      <c r="FUL44" s="76"/>
      <c r="FUM44" s="76"/>
      <c r="FUN44" s="76"/>
      <c r="FUO44" s="76"/>
      <c r="FUP44" s="76"/>
      <c r="FUQ44" s="76"/>
      <c r="FUR44" s="76"/>
      <c r="FUS44" s="76"/>
      <c r="FUT44" s="76"/>
      <c r="FUU44" s="76"/>
      <c r="FUV44" s="76"/>
      <c r="FUW44" s="76"/>
      <c r="FUX44" s="76"/>
      <c r="FUY44" s="76"/>
      <c r="FUZ44" s="76"/>
      <c r="FVA44" s="76"/>
      <c r="FVB44" s="76"/>
      <c r="FVC44" s="76"/>
      <c r="FVD44" s="76"/>
      <c r="FVE44" s="76"/>
      <c r="FVF44" s="76"/>
      <c r="FVG44" s="76"/>
      <c r="FVH44" s="76"/>
      <c r="FVI44" s="76"/>
      <c r="FVJ44" s="76"/>
      <c r="FVK44" s="76"/>
      <c r="FVL44" s="76"/>
      <c r="FVM44" s="76"/>
      <c r="FVN44" s="76"/>
      <c r="FVO44" s="76"/>
      <c r="FVP44" s="76"/>
      <c r="FVQ44" s="76"/>
      <c r="FVR44" s="76"/>
      <c r="FVS44" s="76"/>
      <c r="FVT44" s="76"/>
      <c r="FVU44" s="76"/>
      <c r="FVV44" s="76"/>
      <c r="FVW44" s="76"/>
      <c r="FVX44" s="76"/>
      <c r="FVY44" s="76"/>
      <c r="FVZ44" s="76"/>
      <c r="FWA44" s="76"/>
      <c r="FWB44" s="76"/>
      <c r="FWC44" s="76"/>
      <c r="FWD44" s="76"/>
      <c r="FWE44" s="76"/>
      <c r="FWF44" s="76"/>
      <c r="FWG44" s="76"/>
      <c r="FWH44" s="76"/>
      <c r="FWI44" s="76"/>
      <c r="FWJ44" s="76"/>
      <c r="FWK44" s="76"/>
      <c r="FWL44" s="76"/>
      <c r="FWM44" s="76"/>
      <c r="FWN44" s="76"/>
      <c r="FWO44" s="76"/>
      <c r="FWP44" s="76"/>
      <c r="FWQ44" s="76"/>
      <c r="FWR44" s="76"/>
      <c r="FWS44" s="76"/>
      <c r="FWT44" s="76"/>
      <c r="FWU44" s="76"/>
      <c r="FWV44" s="76"/>
      <c r="FWW44" s="76"/>
      <c r="FWX44" s="76"/>
      <c r="FWY44" s="76"/>
      <c r="FWZ44" s="76"/>
      <c r="FXA44" s="76"/>
      <c r="FXB44" s="76"/>
      <c r="FXC44" s="76"/>
      <c r="FXD44" s="76"/>
      <c r="FXE44" s="76"/>
      <c r="FXF44" s="76"/>
      <c r="FXG44" s="76"/>
      <c r="FXH44" s="76"/>
      <c r="FXI44" s="76"/>
      <c r="FXJ44" s="76"/>
      <c r="FXK44" s="76"/>
      <c r="FXL44" s="76"/>
      <c r="FXM44" s="76"/>
      <c r="FXN44" s="76"/>
      <c r="FXO44" s="76"/>
      <c r="FXP44" s="76"/>
      <c r="FXQ44" s="76"/>
      <c r="FXR44" s="76"/>
      <c r="FXS44" s="76"/>
      <c r="FXT44" s="76"/>
      <c r="FXU44" s="76"/>
      <c r="FXV44" s="76"/>
      <c r="FXW44" s="76"/>
      <c r="FXX44" s="76"/>
      <c r="FXY44" s="76"/>
      <c r="FXZ44" s="76"/>
      <c r="FYA44" s="76"/>
      <c r="FYB44" s="76"/>
      <c r="FYC44" s="76"/>
      <c r="FYD44" s="76"/>
      <c r="FYE44" s="76"/>
      <c r="FYF44" s="76"/>
      <c r="FYG44" s="76"/>
      <c r="FYH44" s="76"/>
      <c r="FYI44" s="76"/>
      <c r="FYJ44" s="76"/>
      <c r="FYK44" s="76"/>
      <c r="FYL44" s="76"/>
      <c r="FYM44" s="76"/>
      <c r="FYN44" s="76"/>
      <c r="FYO44" s="76"/>
      <c r="FYP44" s="76"/>
      <c r="FYQ44" s="76"/>
      <c r="FYR44" s="76"/>
      <c r="FYS44" s="76"/>
      <c r="FYT44" s="76"/>
      <c r="FYU44" s="76"/>
      <c r="FYV44" s="76"/>
      <c r="FYW44" s="76"/>
      <c r="FYX44" s="76"/>
      <c r="FYY44" s="76"/>
      <c r="FYZ44" s="76"/>
      <c r="FZA44" s="76"/>
      <c r="FZB44" s="76"/>
      <c r="FZC44" s="76"/>
      <c r="FZD44" s="76"/>
      <c r="FZE44" s="76"/>
      <c r="FZF44" s="76"/>
      <c r="FZG44" s="76"/>
      <c r="FZH44" s="76"/>
      <c r="FZI44" s="76"/>
      <c r="FZJ44" s="76"/>
      <c r="FZK44" s="76"/>
      <c r="FZL44" s="76"/>
      <c r="FZM44" s="76"/>
      <c r="FZN44" s="76"/>
      <c r="FZO44" s="76"/>
      <c r="FZP44" s="76"/>
      <c r="FZQ44" s="76"/>
      <c r="FZR44" s="76"/>
      <c r="FZS44" s="76"/>
      <c r="FZT44" s="76"/>
      <c r="FZU44" s="76"/>
      <c r="FZV44" s="76"/>
      <c r="FZW44" s="76"/>
      <c r="FZX44" s="76"/>
      <c r="FZY44" s="76"/>
      <c r="FZZ44" s="76"/>
      <c r="GAA44" s="76"/>
      <c r="GAB44" s="76"/>
      <c r="GAC44" s="76"/>
      <c r="GAD44" s="76"/>
      <c r="GAE44" s="76"/>
      <c r="GAF44" s="76"/>
      <c r="GAG44" s="76"/>
      <c r="GAH44" s="76"/>
      <c r="GAI44" s="76"/>
      <c r="GAJ44" s="76"/>
      <c r="GAK44" s="76"/>
      <c r="GAL44" s="76"/>
      <c r="GAM44" s="76"/>
      <c r="GAN44" s="76"/>
      <c r="GAO44" s="76"/>
      <c r="GAP44" s="76"/>
      <c r="GAQ44" s="76"/>
      <c r="GAR44" s="76"/>
      <c r="GAS44" s="76"/>
      <c r="GAT44" s="76"/>
      <c r="GAU44" s="76"/>
      <c r="GAV44" s="76"/>
      <c r="GAW44" s="76"/>
      <c r="GAX44" s="76"/>
      <c r="GAY44" s="76"/>
      <c r="GAZ44" s="76"/>
      <c r="GBA44" s="76"/>
      <c r="GBB44" s="76"/>
      <c r="GBC44" s="76"/>
      <c r="GBD44" s="76"/>
      <c r="GBE44" s="76"/>
      <c r="GBF44" s="76"/>
      <c r="GBG44" s="76"/>
      <c r="GBH44" s="76"/>
      <c r="GBI44" s="76"/>
      <c r="GBJ44" s="76"/>
      <c r="GBK44" s="76"/>
      <c r="GBL44" s="76"/>
      <c r="GBM44" s="76"/>
      <c r="GBN44" s="76"/>
      <c r="GBO44" s="76"/>
      <c r="GBP44" s="76"/>
      <c r="GBQ44" s="76"/>
      <c r="GBR44" s="76"/>
      <c r="GBS44" s="76"/>
      <c r="GBT44" s="76"/>
      <c r="GBU44" s="76"/>
      <c r="GBV44" s="76"/>
      <c r="GBW44" s="76"/>
      <c r="GBX44" s="76"/>
      <c r="GBY44" s="76"/>
      <c r="GBZ44" s="76"/>
      <c r="GCA44" s="76"/>
      <c r="GCB44" s="76"/>
      <c r="GCC44" s="76"/>
      <c r="GCD44" s="76"/>
      <c r="GCE44" s="76"/>
      <c r="GCF44" s="76"/>
      <c r="GCG44" s="76"/>
      <c r="GCH44" s="76"/>
      <c r="GCI44" s="76"/>
      <c r="GCJ44" s="76"/>
      <c r="GCK44" s="76"/>
      <c r="GCL44" s="76"/>
      <c r="GCM44" s="76"/>
      <c r="GCN44" s="76"/>
      <c r="GCO44" s="76"/>
      <c r="GCP44" s="76"/>
      <c r="GCQ44" s="76"/>
      <c r="GCR44" s="76"/>
      <c r="GCS44" s="76"/>
      <c r="GCT44" s="76"/>
      <c r="GCU44" s="76"/>
      <c r="GCV44" s="76"/>
      <c r="GCW44" s="76"/>
      <c r="GCX44" s="76"/>
      <c r="GCY44" s="76"/>
      <c r="GCZ44" s="76"/>
      <c r="GDA44" s="76"/>
      <c r="GDB44" s="76"/>
      <c r="GDC44" s="76"/>
      <c r="GDD44" s="76"/>
      <c r="GDE44" s="76"/>
      <c r="GDF44" s="76"/>
      <c r="GDG44" s="76"/>
      <c r="GDH44" s="76"/>
      <c r="GDI44" s="76"/>
      <c r="GDJ44" s="76"/>
      <c r="GDK44" s="76"/>
      <c r="GDL44" s="76"/>
      <c r="GDM44" s="76"/>
      <c r="GDN44" s="76"/>
      <c r="GDO44" s="76"/>
      <c r="GDP44" s="76"/>
      <c r="GDQ44" s="76"/>
      <c r="GDR44" s="76"/>
      <c r="GDS44" s="76"/>
      <c r="GDT44" s="76"/>
      <c r="GDU44" s="76"/>
      <c r="GDV44" s="76"/>
      <c r="GDW44" s="76"/>
      <c r="GDX44" s="76"/>
      <c r="GDY44" s="76"/>
      <c r="GDZ44" s="76"/>
      <c r="GEA44" s="76"/>
      <c r="GEB44" s="76"/>
      <c r="GEC44" s="76"/>
      <c r="GED44" s="76"/>
      <c r="GEE44" s="76"/>
      <c r="GEF44" s="76"/>
      <c r="GEG44" s="76"/>
      <c r="GEH44" s="76"/>
      <c r="GEI44" s="76"/>
      <c r="GEJ44" s="76"/>
      <c r="GEK44" s="76"/>
      <c r="GEL44" s="76"/>
      <c r="GEM44" s="76"/>
      <c r="GEN44" s="76"/>
      <c r="GEO44" s="76"/>
      <c r="GEP44" s="76"/>
      <c r="GEQ44" s="76"/>
      <c r="GER44" s="76"/>
      <c r="GES44" s="76"/>
      <c r="GET44" s="76"/>
      <c r="GEU44" s="76"/>
      <c r="GEV44" s="76"/>
      <c r="GEW44" s="76"/>
      <c r="GEX44" s="76"/>
      <c r="GEY44" s="76"/>
      <c r="GEZ44" s="76"/>
      <c r="GFA44" s="76"/>
      <c r="GFB44" s="76"/>
      <c r="GFC44" s="76"/>
      <c r="GFD44" s="76"/>
      <c r="GFE44" s="76"/>
      <c r="GFF44" s="76"/>
      <c r="GFG44" s="76"/>
      <c r="GFH44" s="76"/>
      <c r="GFI44" s="76"/>
      <c r="GFJ44" s="76"/>
      <c r="GFK44" s="76"/>
      <c r="GFL44" s="76"/>
      <c r="GFM44" s="76"/>
      <c r="GFN44" s="76"/>
      <c r="GFO44" s="76"/>
      <c r="GFP44" s="76"/>
      <c r="GFQ44" s="76"/>
      <c r="GFR44" s="76"/>
      <c r="GFS44" s="76"/>
      <c r="GFT44" s="76"/>
      <c r="GFU44" s="76"/>
      <c r="GFV44" s="76"/>
      <c r="GFW44" s="76"/>
      <c r="GFX44" s="76"/>
      <c r="GFY44" s="76"/>
      <c r="GFZ44" s="76"/>
      <c r="GGA44" s="76"/>
      <c r="GGB44" s="76"/>
      <c r="GGC44" s="76"/>
      <c r="GGD44" s="76"/>
      <c r="GGE44" s="76"/>
      <c r="GGF44" s="76"/>
      <c r="GGG44" s="76"/>
      <c r="GGH44" s="76"/>
      <c r="GGI44" s="76"/>
      <c r="GGJ44" s="76"/>
      <c r="GGK44" s="76"/>
      <c r="GGL44" s="76"/>
      <c r="GGM44" s="76"/>
      <c r="GGN44" s="76"/>
      <c r="GGO44" s="76"/>
      <c r="GGP44" s="76"/>
      <c r="GGQ44" s="76"/>
      <c r="GGR44" s="76"/>
      <c r="GGS44" s="76"/>
      <c r="GGT44" s="76"/>
      <c r="GGU44" s="76"/>
      <c r="GGV44" s="76"/>
      <c r="GGW44" s="76"/>
      <c r="GGX44" s="76"/>
      <c r="GGY44" s="76"/>
      <c r="GGZ44" s="76"/>
      <c r="GHA44" s="76"/>
      <c r="GHB44" s="76"/>
      <c r="GHC44" s="76"/>
      <c r="GHD44" s="76"/>
      <c r="GHE44" s="76"/>
      <c r="GHF44" s="76"/>
      <c r="GHG44" s="76"/>
      <c r="GHH44" s="76"/>
      <c r="GHI44" s="76"/>
      <c r="GHJ44" s="76"/>
      <c r="GHK44" s="76"/>
      <c r="GHL44" s="76"/>
      <c r="GHM44" s="76"/>
      <c r="GHN44" s="76"/>
      <c r="GHO44" s="76"/>
      <c r="GHP44" s="76"/>
      <c r="GHQ44" s="76"/>
      <c r="GHR44" s="76"/>
      <c r="GHS44" s="76"/>
      <c r="GHT44" s="76"/>
      <c r="GHU44" s="76"/>
      <c r="GHV44" s="76"/>
      <c r="GHW44" s="76"/>
      <c r="GHX44" s="76"/>
      <c r="GHY44" s="76"/>
      <c r="GHZ44" s="76"/>
      <c r="GIA44" s="76"/>
      <c r="GIB44" s="76"/>
      <c r="GIC44" s="76"/>
      <c r="GID44" s="76"/>
      <c r="GIE44" s="76"/>
      <c r="GIF44" s="76"/>
      <c r="GIG44" s="76"/>
      <c r="GIH44" s="76"/>
      <c r="GII44" s="76"/>
      <c r="GIJ44" s="76"/>
      <c r="GIK44" s="76"/>
      <c r="GIL44" s="76"/>
      <c r="GIM44" s="76"/>
      <c r="GIN44" s="76"/>
      <c r="GIO44" s="76"/>
      <c r="GIP44" s="76"/>
      <c r="GIQ44" s="76"/>
      <c r="GIR44" s="76"/>
      <c r="GIS44" s="76"/>
      <c r="GIT44" s="76"/>
      <c r="GIU44" s="76"/>
      <c r="GIV44" s="76"/>
      <c r="GIW44" s="76"/>
      <c r="GIX44" s="76"/>
      <c r="GIY44" s="76"/>
      <c r="GIZ44" s="76"/>
      <c r="GJA44" s="76"/>
      <c r="GJB44" s="76"/>
      <c r="GJC44" s="76"/>
      <c r="GJD44" s="76"/>
      <c r="GJE44" s="76"/>
      <c r="GJF44" s="76"/>
      <c r="GJG44" s="76"/>
      <c r="GJH44" s="76"/>
      <c r="GJI44" s="76"/>
      <c r="GJJ44" s="76"/>
      <c r="GJK44" s="76"/>
      <c r="GJL44" s="76"/>
      <c r="GJM44" s="76"/>
      <c r="GJN44" s="76"/>
      <c r="GJO44" s="76"/>
      <c r="GJP44" s="76"/>
      <c r="GJQ44" s="76"/>
      <c r="GJR44" s="76"/>
      <c r="GJS44" s="76"/>
      <c r="GJT44" s="76"/>
      <c r="GJU44" s="76"/>
      <c r="GJV44" s="76"/>
      <c r="GJW44" s="76"/>
      <c r="GJX44" s="76"/>
      <c r="GJY44" s="76"/>
      <c r="GJZ44" s="76"/>
      <c r="GKA44" s="76"/>
      <c r="GKB44" s="76"/>
      <c r="GKC44" s="76"/>
      <c r="GKD44" s="76"/>
      <c r="GKE44" s="76"/>
      <c r="GKF44" s="76"/>
      <c r="GKG44" s="76"/>
      <c r="GKH44" s="76"/>
      <c r="GKI44" s="76"/>
      <c r="GKJ44" s="76"/>
      <c r="GKK44" s="76"/>
      <c r="GKL44" s="76"/>
      <c r="GKM44" s="76"/>
      <c r="GKN44" s="76"/>
      <c r="GKO44" s="76"/>
      <c r="GKP44" s="76"/>
      <c r="GKQ44" s="76"/>
      <c r="GKR44" s="76"/>
      <c r="GKS44" s="76"/>
      <c r="GKT44" s="76"/>
      <c r="GKU44" s="76"/>
      <c r="GKV44" s="76"/>
      <c r="GKW44" s="76"/>
      <c r="GKX44" s="76"/>
      <c r="GKY44" s="76"/>
      <c r="GKZ44" s="76"/>
      <c r="GLA44" s="76"/>
      <c r="GLB44" s="76"/>
      <c r="GLC44" s="76"/>
      <c r="GLD44" s="76"/>
      <c r="GLE44" s="76"/>
      <c r="GLF44" s="76"/>
      <c r="GLG44" s="76"/>
      <c r="GLH44" s="76"/>
      <c r="GLI44" s="76"/>
      <c r="GLJ44" s="76"/>
      <c r="GLK44" s="76"/>
      <c r="GLL44" s="76"/>
      <c r="GLM44" s="76"/>
      <c r="GLN44" s="76"/>
      <c r="GLO44" s="76"/>
      <c r="GLP44" s="76"/>
      <c r="GLQ44" s="76"/>
      <c r="GLR44" s="76"/>
      <c r="GLS44" s="76"/>
      <c r="GLT44" s="76"/>
      <c r="GLU44" s="76"/>
      <c r="GLV44" s="76"/>
      <c r="GLW44" s="76"/>
      <c r="GLX44" s="76"/>
      <c r="GLY44" s="76"/>
      <c r="GLZ44" s="76"/>
      <c r="GMA44" s="76"/>
      <c r="GMB44" s="76"/>
      <c r="GMC44" s="76"/>
      <c r="GMD44" s="76"/>
      <c r="GME44" s="76"/>
      <c r="GMF44" s="76"/>
      <c r="GMG44" s="76"/>
      <c r="GMH44" s="76"/>
      <c r="GMI44" s="76"/>
      <c r="GMJ44" s="76"/>
      <c r="GMK44" s="76"/>
      <c r="GML44" s="76"/>
      <c r="GMM44" s="76"/>
      <c r="GMN44" s="76"/>
      <c r="GMO44" s="76"/>
      <c r="GMP44" s="76"/>
      <c r="GMQ44" s="76"/>
      <c r="GMR44" s="76"/>
      <c r="GMS44" s="76"/>
      <c r="GMT44" s="76"/>
      <c r="GMU44" s="76"/>
      <c r="GMV44" s="76"/>
      <c r="GMW44" s="76"/>
      <c r="GMX44" s="76"/>
      <c r="GMY44" s="76"/>
      <c r="GMZ44" s="76"/>
      <c r="GNA44" s="76"/>
      <c r="GNB44" s="76"/>
      <c r="GNC44" s="76"/>
      <c r="GND44" s="76"/>
      <c r="GNE44" s="76"/>
      <c r="GNF44" s="76"/>
      <c r="GNG44" s="76"/>
      <c r="GNH44" s="76"/>
      <c r="GNI44" s="76"/>
      <c r="GNJ44" s="76"/>
      <c r="GNK44" s="76"/>
      <c r="GNL44" s="76"/>
      <c r="GNM44" s="76"/>
      <c r="GNN44" s="76"/>
      <c r="GNO44" s="76"/>
      <c r="GNP44" s="76"/>
      <c r="GNQ44" s="76"/>
      <c r="GNR44" s="76"/>
      <c r="GNS44" s="76"/>
      <c r="GNT44" s="76"/>
      <c r="GNU44" s="76"/>
      <c r="GNV44" s="76"/>
      <c r="GNW44" s="76"/>
      <c r="GNX44" s="76"/>
      <c r="GNY44" s="76"/>
      <c r="GNZ44" s="76"/>
      <c r="GOA44" s="76"/>
      <c r="GOB44" s="76"/>
      <c r="GOC44" s="76"/>
      <c r="GOD44" s="76"/>
      <c r="GOE44" s="76"/>
      <c r="GOF44" s="76"/>
      <c r="GOG44" s="76"/>
      <c r="GOH44" s="76"/>
      <c r="GOI44" s="76"/>
      <c r="GOJ44" s="76"/>
      <c r="GOK44" s="76"/>
      <c r="GOL44" s="76"/>
      <c r="GOM44" s="76"/>
      <c r="GON44" s="76"/>
      <c r="GOO44" s="76"/>
      <c r="GOP44" s="76"/>
      <c r="GOQ44" s="76"/>
      <c r="GOR44" s="76"/>
      <c r="GOS44" s="76"/>
      <c r="GOT44" s="76"/>
      <c r="GOU44" s="76"/>
      <c r="GOV44" s="76"/>
      <c r="GOW44" s="76"/>
      <c r="GOX44" s="76"/>
      <c r="GOY44" s="76"/>
      <c r="GOZ44" s="76"/>
      <c r="GPA44" s="76"/>
      <c r="GPB44" s="76"/>
      <c r="GPC44" s="76"/>
      <c r="GPD44" s="76"/>
      <c r="GPE44" s="76"/>
      <c r="GPF44" s="76"/>
      <c r="GPG44" s="76"/>
      <c r="GPH44" s="76"/>
      <c r="GPI44" s="76"/>
      <c r="GPJ44" s="76"/>
      <c r="GPK44" s="76"/>
      <c r="GPL44" s="76"/>
      <c r="GPM44" s="76"/>
      <c r="GPN44" s="76"/>
      <c r="GPO44" s="76"/>
      <c r="GPP44" s="76"/>
      <c r="GPQ44" s="76"/>
      <c r="GPR44" s="76"/>
      <c r="GPS44" s="76"/>
      <c r="GPT44" s="76"/>
      <c r="GPU44" s="76"/>
      <c r="GPV44" s="76"/>
      <c r="GPW44" s="76"/>
      <c r="GPX44" s="76"/>
      <c r="GPY44" s="76"/>
      <c r="GPZ44" s="76"/>
      <c r="GQA44" s="76"/>
      <c r="GQB44" s="76"/>
      <c r="GQC44" s="76"/>
      <c r="GQD44" s="76"/>
      <c r="GQE44" s="76"/>
      <c r="GQF44" s="76"/>
      <c r="GQG44" s="76"/>
      <c r="GQH44" s="76"/>
      <c r="GQI44" s="76"/>
      <c r="GQJ44" s="76"/>
      <c r="GQK44" s="76"/>
      <c r="GQL44" s="76"/>
      <c r="GQM44" s="76"/>
      <c r="GQN44" s="76"/>
      <c r="GQO44" s="76"/>
      <c r="GQP44" s="76"/>
      <c r="GQQ44" s="76"/>
      <c r="GQR44" s="76"/>
      <c r="GQS44" s="76"/>
      <c r="GQT44" s="76"/>
      <c r="GQU44" s="76"/>
      <c r="GQV44" s="76"/>
      <c r="GQW44" s="76"/>
      <c r="GQX44" s="76"/>
      <c r="GQY44" s="76"/>
      <c r="GQZ44" s="76"/>
      <c r="GRA44" s="76"/>
      <c r="GRB44" s="76"/>
      <c r="GRC44" s="76"/>
      <c r="GRD44" s="76"/>
      <c r="GRE44" s="76"/>
      <c r="GRF44" s="76"/>
      <c r="GRG44" s="76"/>
      <c r="GRH44" s="76"/>
      <c r="GRI44" s="76"/>
      <c r="GRJ44" s="76"/>
      <c r="GRK44" s="76"/>
      <c r="GRL44" s="76"/>
      <c r="GRM44" s="76"/>
      <c r="GRN44" s="76"/>
      <c r="GRO44" s="76"/>
      <c r="GRP44" s="76"/>
      <c r="GRQ44" s="76"/>
      <c r="GRR44" s="76"/>
      <c r="GRS44" s="76"/>
      <c r="GRT44" s="76"/>
      <c r="GRU44" s="76"/>
      <c r="GRV44" s="76"/>
      <c r="GRW44" s="76"/>
      <c r="GRX44" s="76"/>
      <c r="GRY44" s="76"/>
      <c r="GRZ44" s="76"/>
      <c r="GSA44" s="76"/>
      <c r="GSB44" s="76"/>
      <c r="GSC44" s="76"/>
      <c r="GSD44" s="76"/>
      <c r="GSE44" s="76"/>
      <c r="GSF44" s="76"/>
      <c r="GSG44" s="76"/>
      <c r="GSH44" s="76"/>
      <c r="GSI44" s="76"/>
      <c r="GSJ44" s="76"/>
      <c r="GSK44" s="76"/>
      <c r="GSL44" s="76"/>
      <c r="GSM44" s="76"/>
      <c r="GSN44" s="76"/>
      <c r="GSO44" s="76"/>
      <c r="GSP44" s="76"/>
      <c r="GSQ44" s="76"/>
      <c r="GSR44" s="76"/>
      <c r="GSS44" s="76"/>
      <c r="GST44" s="76"/>
      <c r="GSU44" s="76"/>
      <c r="GSV44" s="76"/>
      <c r="GSW44" s="76"/>
      <c r="GSX44" s="76"/>
      <c r="GSY44" s="76"/>
      <c r="GSZ44" s="76"/>
      <c r="GTA44" s="76"/>
      <c r="GTB44" s="76"/>
      <c r="GTC44" s="76"/>
      <c r="GTD44" s="76"/>
      <c r="GTE44" s="76"/>
      <c r="GTF44" s="76"/>
      <c r="GTG44" s="76"/>
      <c r="GTH44" s="76"/>
      <c r="GTI44" s="76"/>
      <c r="GTJ44" s="76"/>
      <c r="GTK44" s="76"/>
      <c r="GTL44" s="76"/>
      <c r="GTM44" s="76"/>
      <c r="GTN44" s="76"/>
      <c r="GTO44" s="76"/>
      <c r="GTP44" s="76"/>
      <c r="GTQ44" s="76"/>
      <c r="GTR44" s="76"/>
      <c r="GTS44" s="76"/>
      <c r="GTT44" s="76"/>
      <c r="GTU44" s="76"/>
      <c r="GTV44" s="76"/>
      <c r="GTW44" s="76"/>
      <c r="GTX44" s="76"/>
      <c r="GTY44" s="76"/>
      <c r="GTZ44" s="76"/>
      <c r="GUA44" s="76"/>
      <c r="GUB44" s="76"/>
      <c r="GUC44" s="76"/>
      <c r="GUD44" s="76"/>
      <c r="GUE44" s="76"/>
      <c r="GUF44" s="76"/>
      <c r="GUG44" s="76"/>
      <c r="GUH44" s="76"/>
      <c r="GUI44" s="76"/>
      <c r="GUJ44" s="76"/>
      <c r="GUK44" s="76"/>
      <c r="GUL44" s="76"/>
      <c r="GUM44" s="76"/>
      <c r="GUN44" s="76"/>
      <c r="GUO44" s="76"/>
      <c r="GUP44" s="76"/>
      <c r="GUQ44" s="76"/>
      <c r="GUR44" s="76"/>
      <c r="GUS44" s="76"/>
      <c r="GUT44" s="76"/>
      <c r="GUU44" s="76"/>
      <c r="GUV44" s="76"/>
      <c r="GUW44" s="76"/>
      <c r="GUX44" s="76"/>
      <c r="GUY44" s="76"/>
      <c r="GUZ44" s="76"/>
      <c r="GVA44" s="76"/>
      <c r="GVB44" s="76"/>
      <c r="GVC44" s="76"/>
      <c r="GVD44" s="76"/>
      <c r="GVE44" s="76"/>
      <c r="GVF44" s="76"/>
      <c r="GVG44" s="76"/>
      <c r="GVH44" s="76"/>
      <c r="GVI44" s="76"/>
      <c r="GVJ44" s="76"/>
      <c r="GVK44" s="76"/>
      <c r="GVL44" s="76"/>
      <c r="GVM44" s="76"/>
      <c r="GVN44" s="76"/>
      <c r="GVO44" s="76"/>
      <c r="GVP44" s="76"/>
      <c r="GVQ44" s="76"/>
      <c r="GVR44" s="76"/>
      <c r="GVS44" s="76"/>
      <c r="GVT44" s="76"/>
      <c r="GVU44" s="76"/>
      <c r="GVV44" s="76"/>
      <c r="GVW44" s="76"/>
      <c r="GVX44" s="76"/>
      <c r="GVY44" s="76"/>
      <c r="GVZ44" s="76"/>
      <c r="GWA44" s="76"/>
      <c r="GWB44" s="76"/>
      <c r="GWC44" s="76"/>
      <c r="GWD44" s="76"/>
      <c r="GWE44" s="76"/>
      <c r="GWF44" s="76"/>
      <c r="GWG44" s="76"/>
      <c r="GWH44" s="76"/>
      <c r="GWI44" s="76"/>
      <c r="GWJ44" s="76"/>
      <c r="GWK44" s="76"/>
      <c r="GWL44" s="76"/>
      <c r="GWM44" s="76"/>
      <c r="GWN44" s="76"/>
      <c r="GWO44" s="76"/>
      <c r="GWP44" s="76"/>
      <c r="GWQ44" s="76"/>
      <c r="GWR44" s="76"/>
      <c r="GWS44" s="76"/>
      <c r="GWT44" s="76"/>
      <c r="GWU44" s="76"/>
      <c r="GWV44" s="76"/>
      <c r="GWW44" s="76"/>
      <c r="GWX44" s="76"/>
      <c r="GWY44" s="76"/>
      <c r="GWZ44" s="76"/>
      <c r="GXA44" s="76"/>
      <c r="GXB44" s="76"/>
      <c r="GXC44" s="76"/>
      <c r="GXD44" s="76"/>
      <c r="GXE44" s="76"/>
      <c r="GXF44" s="76"/>
      <c r="GXG44" s="76"/>
      <c r="GXH44" s="76"/>
      <c r="GXI44" s="76"/>
      <c r="GXJ44" s="76"/>
      <c r="GXK44" s="76"/>
      <c r="GXL44" s="76"/>
      <c r="GXM44" s="76"/>
      <c r="GXN44" s="76"/>
      <c r="GXO44" s="76"/>
      <c r="GXP44" s="76"/>
      <c r="GXQ44" s="76"/>
      <c r="GXR44" s="76"/>
      <c r="GXS44" s="76"/>
      <c r="GXT44" s="76"/>
      <c r="GXU44" s="76"/>
      <c r="GXV44" s="76"/>
      <c r="GXW44" s="76"/>
      <c r="GXX44" s="76"/>
      <c r="GXY44" s="76"/>
      <c r="GXZ44" s="76"/>
      <c r="GYA44" s="76"/>
      <c r="GYB44" s="76"/>
      <c r="GYC44" s="76"/>
      <c r="GYD44" s="76"/>
      <c r="GYE44" s="76"/>
      <c r="GYF44" s="76"/>
      <c r="GYG44" s="76"/>
      <c r="GYH44" s="76"/>
      <c r="GYI44" s="76"/>
      <c r="GYJ44" s="76"/>
      <c r="GYK44" s="76"/>
      <c r="GYL44" s="76"/>
      <c r="GYM44" s="76"/>
      <c r="GYN44" s="76"/>
      <c r="GYO44" s="76"/>
      <c r="GYP44" s="76"/>
      <c r="GYQ44" s="76"/>
      <c r="GYR44" s="76"/>
      <c r="GYS44" s="76"/>
      <c r="GYT44" s="76"/>
      <c r="GYU44" s="76"/>
      <c r="GYV44" s="76"/>
      <c r="GYW44" s="76"/>
      <c r="GYX44" s="76"/>
      <c r="GYY44" s="76"/>
      <c r="GYZ44" s="76"/>
      <c r="GZA44" s="76"/>
      <c r="GZB44" s="76"/>
      <c r="GZC44" s="76"/>
      <c r="GZD44" s="76"/>
      <c r="GZE44" s="76"/>
      <c r="GZF44" s="76"/>
      <c r="GZG44" s="76"/>
      <c r="GZH44" s="76"/>
      <c r="GZI44" s="76"/>
      <c r="GZJ44" s="76"/>
      <c r="GZK44" s="76"/>
      <c r="GZL44" s="76"/>
      <c r="GZM44" s="76"/>
      <c r="GZN44" s="76"/>
      <c r="GZO44" s="76"/>
      <c r="GZP44" s="76"/>
      <c r="GZQ44" s="76"/>
      <c r="GZR44" s="76"/>
      <c r="GZS44" s="76"/>
      <c r="GZT44" s="76"/>
      <c r="GZU44" s="76"/>
      <c r="GZV44" s="76"/>
      <c r="GZW44" s="76"/>
      <c r="GZX44" s="76"/>
      <c r="GZY44" s="76"/>
      <c r="GZZ44" s="76"/>
      <c r="HAA44" s="76"/>
      <c r="HAB44" s="76"/>
      <c r="HAC44" s="76"/>
      <c r="HAD44" s="76"/>
      <c r="HAE44" s="76"/>
      <c r="HAF44" s="76"/>
      <c r="HAG44" s="76"/>
      <c r="HAH44" s="76"/>
      <c r="HAI44" s="76"/>
      <c r="HAJ44" s="76"/>
      <c r="HAK44" s="76"/>
      <c r="HAL44" s="76"/>
      <c r="HAM44" s="76"/>
      <c r="HAN44" s="76"/>
      <c r="HAO44" s="76"/>
      <c r="HAP44" s="76"/>
      <c r="HAQ44" s="76"/>
      <c r="HAR44" s="76"/>
      <c r="HAS44" s="76"/>
      <c r="HAT44" s="76"/>
      <c r="HAU44" s="76"/>
      <c r="HAV44" s="76"/>
      <c r="HAW44" s="76"/>
      <c r="HAX44" s="76"/>
      <c r="HAY44" s="76"/>
      <c r="HAZ44" s="76"/>
      <c r="HBA44" s="76"/>
      <c r="HBB44" s="76"/>
      <c r="HBC44" s="76"/>
      <c r="HBD44" s="76"/>
      <c r="HBE44" s="76"/>
      <c r="HBF44" s="76"/>
      <c r="HBG44" s="76"/>
      <c r="HBH44" s="76"/>
      <c r="HBI44" s="76"/>
      <c r="HBJ44" s="76"/>
      <c r="HBK44" s="76"/>
      <c r="HBL44" s="76"/>
      <c r="HBM44" s="76"/>
      <c r="HBN44" s="76"/>
      <c r="HBO44" s="76"/>
      <c r="HBP44" s="76"/>
      <c r="HBQ44" s="76"/>
      <c r="HBR44" s="76"/>
      <c r="HBS44" s="76"/>
      <c r="HBT44" s="76"/>
      <c r="HBU44" s="76"/>
      <c r="HBV44" s="76"/>
      <c r="HBW44" s="76"/>
      <c r="HBX44" s="76"/>
      <c r="HBY44" s="76"/>
      <c r="HBZ44" s="76"/>
      <c r="HCA44" s="76"/>
      <c r="HCB44" s="76"/>
      <c r="HCC44" s="76"/>
      <c r="HCD44" s="76"/>
      <c r="HCE44" s="76"/>
      <c r="HCF44" s="76"/>
      <c r="HCG44" s="76"/>
      <c r="HCH44" s="76"/>
      <c r="HCI44" s="76"/>
      <c r="HCJ44" s="76"/>
      <c r="HCK44" s="76"/>
      <c r="HCL44" s="76"/>
      <c r="HCM44" s="76"/>
      <c r="HCN44" s="76"/>
      <c r="HCO44" s="76"/>
      <c r="HCP44" s="76"/>
      <c r="HCQ44" s="76"/>
      <c r="HCR44" s="76"/>
      <c r="HCS44" s="76"/>
      <c r="HCT44" s="76"/>
      <c r="HCU44" s="76"/>
      <c r="HCV44" s="76"/>
      <c r="HCW44" s="76"/>
      <c r="HCX44" s="76"/>
      <c r="HCY44" s="76"/>
      <c r="HCZ44" s="76"/>
      <c r="HDA44" s="76"/>
      <c r="HDB44" s="76"/>
      <c r="HDC44" s="76"/>
      <c r="HDD44" s="76"/>
      <c r="HDE44" s="76"/>
      <c r="HDF44" s="76"/>
      <c r="HDG44" s="76"/>
      <c r="HDH44" s="76"/>
      <c r="HDI44" s="76"/>
      <c r="HDJ44" s="76"/>
      <c r="HDK44" s="76"/>
      <c r="HDL44" s="76"/>
      <c r="HDM44" s="76"/>
      <c r="HDN44" s="76"/>
      <c r="HDO44" s="76"/>
      <c r="HDP44" s="76"/>
      <c r="HDQ44" s="76"/>
      <c r="HDR44" s="76"/>
      <c r="HDS44" s="76"/>
      <c r="HDT44" s="76"/>
      <c r="HDU44" s="76"/>
      <c r="HDV44" s="76"/>
      <c r="HDW44" s="76"/>
      <c r="HDX44" s="76"/>
      <c r="HDY44" s="76"/>
      <c r="HDZ44" s="76"/>
      <c r="HEA44" s="76"/>
      <c r="HEB44" s="76"/>
      <c r="HEC44" s="76"/>
      <c r="HED44" s="76"/>
      <c r="HEE44" s="76"/>
      <c r="HEF44" s="76"/>
      <c r="HEG44" s="76"/>
      <c r="HEH44" s="76"/>
      <c r="HEI44" s="76"/>
      <c r="HEJ44" s="76"/>
      <c r="HEK44" s="76"/>
      <c r="HEL44" s="76"/>
      <c r="HEM44" s="76"/>
      <c r="HEN44" s="76"/>
      <c r="HEO44" s="76"/>
      <c r="HEP44" s="76"/>
      <c r="HEQ44" s="76"/>
      <c r="HER44" s="76"/>
      <c r="HES44" s="76"/>
      <c r="HET44" s="76"/>
      <c r="HEU44" s="76"/>
      <c r="HEV44" s="76"/>
      <c r="HEW44" s="76"/>
      <c r="HEX44" s="76"/>
      <c r="HEY44" s="76"/>
      <c r="HEZ44" s="76"/>
      <c r="HFA44" s="76"/>
      <c r="HFB44" s="76"/>
      <c r="HFC44" s="76"/>
      <c r="HFD44" s="76"/>
      <c r="HFE44" s="76"/>
      <c r="HFF44" s="76"/>
      <c r="HFG44" s="76"/>
      <c r="HFH44" s="76"/>
      <c r="HFI44" s="76"/>
      <c r="HFJ44" s="76"/>
      <c r="HFK44" s="76"/>
      <c r="HFL44" s="76"/>
      <c r="HFM44" s="76"/>
      <c r="HFN44" s="76"/>
      <c r="HFO44" s="76"/>
      <c r="HFP44" s="76"/>
      <c r="HFQ44" s="76"/>
      <c r="HFR44" s="76"/>
      <c r="HFS44" s="76"/>
      <c r="HFT44" s="76"/>
      <c r="HFU44" s="76"/>
      <c r="HFV44" s="76"/>
      <c r="HFW44" s="76"/>
      <c r="HFX44" s="76"/>
      <c r="HFY44" s="76"/>
      <c r="HFZ44" s="76"/>
      <c r="HGA44" s="76"/>
      <c r="HGB44" s="76"/>
      <c r="HGC44" s="76"/>
      <c r="HGD44" s="76"/>
      <c r="HGE44" s="76"/>
      <c r="HGF44" s="76"/>
      <c r="HGG44" s="76"/>
      <c r="HGH44" s="76"/>
      <c r="HGI44" s="76"/>
      <c r="HGJ44" s="76"/>
      <c r="HGK44" s="76"/>
      <c r="HGL44" s="76"/>
      <c r="HGM44" s="76"/>
      <c r="HGN44" s="76"/>
      <c r="HGO44" s="76"/>
      <c r="HGP44" s="76"/>
      <c r="HGQ44" s="76"/>
      <c r="HGR44" s="76"/>
      <c r="HGS44" s="76"/>
      <c r="HGT44" s="76"/>
      <c r="HGU44" s="76"/>
      <c r="HGV44" s="76"/>
      <c r="HGW44" s="76"/>
      <c r="HGX44" s="76"/>
      <c r="HGY44" s="76"/>
      <c r="HGZ44" s="76"/>
      <c r="HHA44" s="76"/>
      <c r="HHB44" s="76"/>
      <c r="HHC44" s="76"/>
      <c r="HHD44" s="76"/>
      <c r="HHE44" s="76"/>
      <c r="HHF44" s="76"/>
      <c r="HHG44" s="76"/>
      <c r="HHH44" s="76"/>
      <c r="HHI44" s="76"/>
      <c r="HHJ44" s="76"/>
      <c r="HHK44" s="76"/>
      <c r="HHL44" s="76"/>
      <c r="HHM44" s="76"/>
      <c r="HHN44" s="76"/>
      <c r="HHO44" s="76"/>
      <c r="HHP44" s="76"/>
      <c r="HHQ44" s="76"/>
      <c r="HHR44" s="76"/>
      <c r="HHS44" s="76"/>
      <c r="HHT44" s="76"/>
      <c r="HHU44" s="76"/>
      <c r="HHV44" s="76"/>
      <c r="HHW44" s="76"/>
      <c r="HHX44" s="76"/>
      <c r="HHY44" s="76"/>
      <c r="HHZ44" s="76"/>
      <c r="HIA44" s="76"/>
      <c r="HIB44" s="76"/>
      <c r="HIC44" s="76"/>
      <c r="HID44" s="76"/>
      <c r="HIE44" s="76"/>
      <c r="HIF44" s="76"/>
      <c r="HIG44" s="76"/>
      <c r="HIH44" s="76"/>
      <c r="HII44" s="76"/>
      <c r="HIJ44" s="76"/>
      <c r="HIK44" s="76"/>
      <c r="HIL44" s="76"/>
      <c r="HIM44" s="76"/>
      <c r="HIN44" s="76"/>
      <c r="HIO44" s="76"/>
      <c r="HIP44" s="76"/>
      <c r="HIQ44" s="76"/>
      <c r="HIR44" s="76"/>
      <c r="HIS44" s="76"/>
      <c r="HIT44" s="76"/>
      <c r="HIU44" s="76"/>
      <c r="HIV44" s="76"/>
      <c r="HIW44" s="76"/>
      <c r="HIX44" s="76"/>
      <c r="HIY44" s="76"/>
      <c r="HIZ44" s="76"/>
      <c r="HJA44" s="76"/>
      <c r="HJB44" s="76"/>
      <c r="HJC44" s="76"/>
      <c r="HJD44" s="76"/>
      <c r="HJE44" s="76"/>
      <c r="HJF44" s="76"/>
      <c r="HJG44" s="76"/>
      <c r="HJH44" s="76"/>
      <c r="HJI44" s="76"/>
      <c r="HJJ44" s="76"/>
      <c r="HJK44" s="76"/>
      <c r="HJL44" s="76"/>
      <c r="HJM44" s="76"/>
      <c r="HJN44" s="76"/>
      <c r="HJO44" s="76"/>
      <c r="HJP44" s="76"/>
      <c r="HJQ44" s="76"/>
      <c r="HJR44" s="76"/>
      <c r="HJS44" s="76"/>
      <c r="HJT44" s="76"/>
      <c r="HJU44" s="76"/>
      <c r="HJV44" s="76"/>
      <c r="HJW44" s="76"/>
      <c r="HJX44" s="76"/>
      <c r="HJY44" s="76"/>
      <c r="HJZ44" s="76"/>
      <c r="HKA44" s="76"/>
      <c r="HKB44" s="76"/>
      <c r="HKC44" s="76"/>
      <c r="HKD44" s="76"/>
      <c r="HKE44" s="76"/>
      <c r="HKF44" s="76"/>
      <c r="HKG44" s="76"/>
      <c r="HKH44" s="76"/>
      <c r="HKI44" s="76"/>
      <c r="HKJ44" s="76"/>
      <c r="HKK44" s="76"/>
      <c r="HKL44" s="76"/>
      <c r="HKM44" s="76"/>
      <c r="HKN44" s="76"/>
      <c r="HKO44" s="76"/>
      <c r="HKP44" s="76"/>
      <c r="HKQ44" s="76"/>
      <c r="HKR44" s="76"/>
      <c r="HKS44" s="76"/>
      <c r="HKT44" s="76"/>
      <c r="HKU44" s="76"/>
      <c r="HKV44" s="76"/>
      <c r="HKW44" s="76"/>
      <c r="HKX44" s="76"/>
      <c r="HKY44" s="76"/>
      <c r="HKZ44" s="76"/>
      <c r="HLA44" s="76"/>
      <c r="HLB44" s="76"/>
      <c r="HLC44" s="76"/>
      <c r="HLD44" s="76"/>
      <c r="HLE44" s="76"/>
      <c r="HLF44" s="76"/>
      <c r="HLG44" s="76"/>
      <c r="HLH44" s="76"/>
      <c r="HLI44" s="76"/>
      <c r="HLJ44" s="76"/>
      <c r="HLK44" s="76"/>
      <c r="HLL44" s="76"/>
      <c r="HLM44" s="76"/>
      <c r="HLN44" s="76"/>
      <c r="HLO44" s="76"/>
      <c r="HLP44" s="76"/>
      <c r="HLQ44" s="76"/>
      <c r="HLR44" s="76"/>
      <c r="HLS44" s="76"/>
      <c r="HLT44" s="76"/>
      <c r="HLU44" s="76"/>
      <c r="HLV44" s="76"/>
      <c r="HLW44" s="76"/>
      <c r="HLX44" s="76"/>
      <c r="HLY44" s="76"/>
      <c r="HLZ44" s="76"/>
      <c r="HMA44" s="76"/>
      <c r="HMB44" s="76"/>
      <c r="HMC44" s="76"/>
      <c r="HMD44" s="76"/>
      <c r="HME44" s="76"/>
      <c r="HMF44" s="76"/>
      <c r="HMG44" s="76"/>
      <c r="HMH44" s="76"/>
      <c r="HMI44" s="76"/>
      <c r="HMJ44" s="76"/>
      <c r="HMK44" s="76"/>
      <c r="HML44" s="76"/>
      <c r="HMM44" s="76"/>
      <c r="HMN44" s="76"/>
      <c r="HMO44" s="76"/>
      <c r="HMP44" s="76"/>
      <c r="HMQ44" s="76"/>
      <c r="HMR44" s="76"/>
      <c r="HMS44" s="76"/>
      <c r="HMT44" s="76"/>
      <c r="HMU44" s="76"/>
      <c r="HMV44" s="76"/>
      <c r="HMW44" s="76"/>
      <c r="HMX44" s="76"/>
      <c r="HMY44" s="76"/>
      <c r="HMZ44" s="76"/>
      <c r="HNA44" s="76"/>
      <c r="HNB44" s="76"/>
      <c r="HNC44" s="76"/>
      <c r="HND44" s="76"/>
      <c r="HNE44" s="76"/>
      <c r="HNF44" s="76"/>
      <c r="HNG44" s="76"/>
      <c r="HNH44" s="76"/>
      <c r="HNI44" s="76"/>
      <c r="HNJ44" s="76"/>
      <c r="HNK44" s="76"/>
      <c r="HNL44" s="76"/>
      <c r="HNM44" s="76"/>
      <c r="HNN44" s="76"/>
      <c r="HNO44" s="76"/>
      <c r="HNP44" s="76"/>
      <c r="HNQ44" s="76"/>
      <c r="HNR44" s="76"/>
      <c r="HNS44" s="76"/>
      <c r="HNT44" s="76"/>
      <c r="HNU44" s="76"/>
      <c r="HNV44" s="76"/>
      <c r="HNW44" s="76"/>
      <c r="HNX44" s="76"/>
      <c r="HNY44" s="76"/>
      <c r="HNZ44" s="76"/>
      <c r="HOA44" s="76"/>
      <c r="HOB44" s="76"/>
      <c r="HOC44" s="76"/>
      <c r="HOD44" s="76"/>
      <c r="HOE44" s="76"/>
      <c r="HOF44" s="76"/>
      <c r="HOG44" s="76"/>
      <c r="HOH44" s="76"/>
      <c r="HOI44" s="76"/>
      <c r="HOJ44" s="76"/>
      <c r="HOK44" s="76"/>
      <c r="HOL44" s="76"/>
      <c r="HOM44" s="76"/>
      <c r="HON44" s="76"/>
      <c r="HOO44" s="76"/>
      <c r="HOP44" s="76"/>
      <c r="HOQ44" s="76"/>
      <c r="HOR44" s="76"/>
      <c r="HOS44" s="76"/>
      <c r="HOT44" s="76"/>
      <c r="HOU44" s="76"/>
      <c r="HOV44" s="76"/>
      <c r="HOW44" s="76"/>
      <c r="HOX44" s="76"/>
      <c r="HOY44" s="76"/>
      <c r="HOZ44" s="76"/>
      <c r="HPA44" s="76"/>
      <c r="HPB44" s="76"/>
      <c r="HPC44" s="76"/>
      <c r="HPD44" s="76"/>
      <c r="HPE44" s="76"/>
      <c r="HPF44" s="76"/>
      <c r="HPG44" s="76"/>
      <c r="HPH44" s="76"/>
      <c r="HPI44" s="76"/>
      <c r="HPJ44" s="76"/>
      <c r="HPK44" s="76"/>
      <c r="HPL44" s="76"/>
      <c r="HPM44" s="76"/>
      <c r="HPN44" s="76"/>
      <c r="HPO44" s="76"/>
      <c r="HPP44" s="76"/>
      <c r="HPQ44" s="76"/>
      <c r="HPR44" s="76"/>
      <c r="HPS44" s="76"/>
      <c r="HPT44" s="76"/>
      <c r="HPU44" s="76"/>
      <c r="HPV44" s="76"/>
      <c r="HPW44" s="76"/>
      <c r="HPX44" s="76"/>
      <c r="HPY44" s="76"/>
      <c r="HPZ44" s="76"/>
      <c r="HQA44" s="76"/>
      <c r="HQB44" s="76"/>
      <c r="HQC44" s="76"/>
      <c r="HQD44" s="76"/>
      <c r="HQE44" s="76"/>
      <c r="HQF44" s="76"/>
      <c r="HQG44" s="76"/>
      <c r="HQH44" s="76"/>
      <c r="HQI44" s="76"/>
      <c r="HQJ44" s="76"/>
      <c r="HQK44" s="76"/>
      <c r="HQL44" s="76"/>
      <c r="HQM44" s="76"/>
      <c r="HQN44" s="76"/>
      <c r="HQO44" s="76"/>
      <c r="HQP44" s="76"/>
      <c r="HQQ44" s="76"/>
      <c r="HQR44" s="76"/>
      <c r="HQS44" s="76"/>
      <c r="HQT44" s="76"/>
      <c r="HQU44" s="76"/>
      <c r="HQV44" s="76"/>
      <c r="HQW44" s="76"/>
      <c r="HQX44" s="76"/>
      <c r="HQY44" s="76"/>
      <c r="HQZ44" s="76"/>
      <c r="HRA44" s="76"/>
      <c r="HRB44" s="76"/>
      <c r="HRC44" s="76"/>
      <c r="HRD44" s="76"/>
      <c r="HRE44" s="76"/>
      <c r="HRF44" s="76"/>
      <c r="HRG44" s="76"/>
      <c r="HRH44" s="76"/>
      <c r="HRI44" s="76"/>
      <c r="HRJ44" s="76"/>
      <c r="HRK44" s="76"/>
      <c r="HRL44" s="76"/>
      <c r="HRM44" s="76"/>
      <c r="HRN44" s="76"/>
      <c r="HRO44" s="76"/>
      <c r="HRP44" s="76"/>
      <c r="HRQ44" s="76"/>
      <c r="HRR44" s="76"/>
      <c r="HRS44" s="76"/>
      <c r="HRT44" s="76"/>
      <c r="HRU44" s="76"/>
      <c r="HRV44" s="76"/>
      <c r="HRW44" s="76"/>
      <c r="HRX44" s="76"/>
      <c r="HRY44" s="76"/>
      <c r="HRZ44" s="76"/>
      <c r="HSA44" s="76"/>
      <c r="HSB44" s="76"/>
      <c r="HSC44" s="76"/>
      <c r="HSD44" s="76"/>
      <c r="HSE44" s="76"/>
      <c r="HSF44" s="76"/>
      <c r="HSG44" s="76"/>
      <c r="HSH44" s="76"/>
      <c r="HSI44" s="76"/>
      <c r="HSJ44" s="76"/>
      <c r="HSK44" s="76"/>
      <c r="HSL44" s="76"/>
      <c r="HSM44" s="76"/>
      <c r="HSN44" s="76"/>
      <c r="HSO44" s="76"/>
      <c r="HSP44" s="76"/>
      <c r="HSQ44" s="76"/>
      <c r="HSR44" s="76"/>
      <c r="HSS44" s="76"/>
      <c r="HST44" s="76"/>
      <c r="HSU44" s="76"/>
      <c r="HSV44" s="76"/>
      <c r="HSW44" s="76"/>
      <c r="HSX44" s="76"/>
      <c r="HSY44" s="76"/>
      <c r="HSZ44" s="76"/>
      <c r="HTA44" s="76"/>
      <c r="HTB44" s="76"/>
      <c r="HTC44" s="76"/>
      <c r="HTD44" s="76"/>
      <c r="HTE44" s="76"/>
      <c r="HTF44" s="76"/>
      <c r="HTG44" s="76"/>
      <c r="HTH44" s="76"/>
      <c r="HTI44" s="76"/>
      <c r="HTJ44" s="76"/>
      <c r="HTK44" s="76"/>
      <c r="HTL44" s="76"/>
      <c r="HTM44" s="76"/>
      <c r="HTN44" s="76"/>
      <c r="HTO44" s="76"/>
      <c r="HTP44" s="76"/>
      <c r="HTQ44" s="76"/>
      <c r="HTR44" s="76"/>
      <c r="HTS44" s="76"/>
      <c r="HTT44" s="76"/>
      <c r="HTU44" s="76"/>
      <c r="HTV44" s="76"/>
      <c r="HTW44" s="76"/>
      <c r="HTX44" s="76"/>
      <c r="HTY44" s="76"/>
      <c r="HTZ44" s="76"/>
      <c r="HUA44" s="76"/>
      <c r="HUB44" s="76"/>
      <c r="HUC44" s="76"/>
      <c r="HUD44" s="76"/>
      <c r="HUE44" s="76"/>
      <c r="HUF44" s="76"/>
      <c r="HUG44" s="76"/>
      <c r="HUH44" s="76"/>
      <c r="HUI44" s="76"/>
      <c r="HUJ44" s="76"/>
      <c r="HUK44" s="76"/>
      <c r="HUL44" s="76"/>
      <c r="HUM44" s="76"/>
      <c r="HUN44" s="76"/>
      <c r="HUO44" s="76"/>
      <c r="HUP44" s="76"/>
      <c r="HUQ44" s="76"/>
      <c r="HUR44" s="76"/>
      <c r="HUS44" s="76"/>
      <c r="HUT44" s="76"/>
      <c r="HUU44" s="76"/>
      <c r="HUV44" s="76"/>
      <c r="HUW44" s="76"/>
      <c r="HUX44" s="76"/>
      <c r="HUY44" s="76"/>
      <c r="HUZ44" s="76"/>
      <c r="HVA44" s="76"/>
      <c r="HVB44" s="76"/>
      <c r="HVC44" s="76"/>
      <c r="HVD44" s="76"/>
      <c r="HVE44" s="76"/>
      <c r="HVF44" s="76"/>
      <c r="HVG44" s="76"/>
      <c r="HVH44" s="76"/>
      <c r="HVI44" s="76"/>
      <c r="HVJ44" s="76"/>
      <c r="HVK44" s="76"/>
      <c r="HVL44" s="76"/>
      <c r="HVM44" s="76"/>
      <c r="HVN44" s="76"/>
      <c r="HVO44" s="76"/>
      <c r="HVP44" s="76"/>
      <c r="HVQ44" s="76"/>
      <c r="HVR44" s="76"/>
      <c r="HVS44" s="76"/>
      <c r="HVT44" s="76"/>
      <c r="HVU44" s="76"/>
      <c r="HVV44" s="76"/>
      <c r="HVW44" s="76"/>
      <c r="HVX44" s="76"/>
      <c r="HVY44" s="76"/>
      <c r="HVZ44" s="76"/>
      <c r="HWA44" s="76"/>
      <c r="HWB44" s="76"/>
      <c r="HWC44" s="76"/>
      <c r="HWD44" s="76"/>
      <c r="HWE44" s="76"/>
      <c r="HWF44" s="76"/>
      <c r="HWG44" s="76"/>
      <c r="HWH44" s="76"/>
      <c r="HWI44" s="76"/>
      <c r="HWJ44" s="76"/>
      <c r="HWK44" s="76"/>
      <c r="HWL44" s="76"/>
      <c r="HWM44" s="76"/>
      <c r="HWN44" s="76"/>
      <c r="HWO44" s="76"/>
      <c r="HWP44" s="76"/>
      <c r="HWQ44" s="76"/>
      <c r="HWR44" s="76"/>
      <c r="HWS44" s="76"/>
      <c r="HWT44" s="76"/>
      <c r="HWU44" s="76"/>
      <c r="HWV44" s="76"/>
      <c r="HWW44" s="76"/>
      <c r="HWX44" s="76"/>
      <c r="HWY44" s="76"/>
      <c r="HWZ44" s="76"/>
      <c r="HXA44" s="76"/>
      <c r="HXB44" s="76"/>
      <c r="HXC44" s="76"/>
      <c r="HXD44" s="76"/>
      <c r="HXE44" s="76"/>
      <c r="HXF44" s="76"/>
      <c r="HXG44" s="76"/>
      <c r="HXH44" s="76"/>
      <c r="HXI44" s="76"/>
      <c r="HXJ44" s="76"/>
      <c r="HXK44" s="76"/>
      <c r="HXL44" s="76"/>
      <c r="HXM44" s="76"/>
      <c r="HXN44" s="76"/>
      <c r="HXO44" s="76"/>
      <c r="HXP44" s="76"/>
      <c r="HXQ44" s="76"/>
      <c r="HXR44" s="76"/>
      <c r="HXS44" s="76"/>
      <c r="HXT44" s="76"/>
      <c r="HXU44" s="76"/>
      <c r="HXV44" s="76"/>
      <c r="HXW44" s="76"/>
      <c r="HXX44" s="76"/>
      <c r="HXY44" s="76"/>
      <c r="HXZ44" s="76"/>
      <c r="HYA44" s="76"/>
      <c r="HYB44" s="76"/>
      <c r="HYC44" s="76"/>
      <c r="HYD44" s="76"/>
      <c r="HYE44" s="76"/>
      <c r="HYF44" s="76"/>
      <c r="HYG44" s="76"/>
      <c r="HYH44" s="76"/>
      <c r="HYI44" s="76"/>
      <c r="HYJ44" s="76"/>
      <c r="HYK44" s="76"/>
      <c r="HYL44" s="76"/>
      <c r="HYM44" s="76"/>
      <c r="HYN44" s="76"/>
      <c r="HYO44" s="76"/>
      <c r="HYP44" s="76"/>
      <c r="HYQ44" s="76"/>
      <c r="HYR44" s="76"/>
      <c r="HYS44" s="76"/>
      <c r="HYT44" s="76"/>
      <c r="HYU44" s="76"/>
      <c r="HYV44" s="76"/>
      <c r="HYW44" s="76"/>
      <c r="HYX44" s="76"/>
      <c r="HYY44" s="76"/>
      <c r="HYZ44" s="76"/>
      <c r="HZA44" s="76"/>
      <c r="HZB44" s="76"/>
      <c r="HZC44" s="76"/>
      <c r="HZD44" s="76"/>
      <c r="HZE44" s="76"/>
      <c r="HZF44" s="76"/>
      <c r="HZG44" s="76"/>
      <c r="HZH44" s="76"/>
      <c r="HZI44" s="76"/>
      <c r="HZJ44" s="76"/>
      <c r="HZK44" s="76"/>
      <c r="HZL44" s="76"/>
      <c r="HZM44" s="76"/>
      <c r="HZN44" s="76"/>
      <c r="HZO44" s="76"/>
      <c r="HZP44" s="76"/>
      <c r="HZQ44" s="76"/>
      <c r="HZR44" s="76"/>
      <c r="HZS44" s="76"/>
      <c r="HZT44" s="76"/>
      <c r="HZU44" s="76"/>
      <c r="HZV44" s="76"/>
      <c r="HZW44" s="76"/>
      <c r="HZX44" s="76"/>
      <c r="HZY44" s="76"/>
      <c r="HZZ44" s="76"/>
      <c r="IAA44" s="76"/>
      <c r="IAB44" s="76"/>
      <c r="IAC44" s="76"/>
      <c r="IAD44" s="76"/>
      <c r="IAE44" s="76"/>
      <c r="IAF44" s="76"/>
      <c r="IAG44" s="76"/>
      <c r="IAH44" s="76"/>
      <c r="IAI44" s="76"/>
      <c r="IAJ44" s="76"/>
      <c r="IAK44" s="76"/>
      <c r="IAL44" s="76"/>
      <c r="IAM44" s="76"/>
      <c r="IAN44" s="76"/>
      <c r="IAO44" s="76"/>
      <c r="IAP44" s="76"/>
      <c r="IAQ44" s="76"/>
      <c r="IAR44" s="76"/>
      <c r="IAS44" s="76"/>
      <c r="IAT44" s="76"/>
      <c r="IAU44" s="76"/>
      <c r="IAV44" s="76"/>
      <c r="IAW44" s="76"/>
      <c r="IAX44" s="76"/>
      <c r="IAY44" s="76"/>
      <c r="IAZ44" s="76"/>
      <c r="IBA44" s="76"/>
      <c r="IBB44" s="76"/>
      <c r="IBC44" s="76"/>
      <c r="IBD44" s="76"/>
      <c r="IBE44" s="76"/>
      <c r="IBF44" s="76"/>
      <c r="IBG44" s="76"/>
      <c r="IBH44" s="76"/>
      <c r="IBI44" s="76"/>
      <c r="IBJ44" s="76"/>
      <c r="IBK44" s="76"/>
      <c r="IBL44" s="76"/>
      <c r="IBM44" s="76"/>
      <c r="IBN44" s="76"/>
      <c r="IBO44" s="76"/>
      <c r="IBP44" s="76"/>
      <c r="IBQ44" s="76"/>
      <c r="IBR44" s="76"/>
      <c r="IBS44" s="76"/>
      <c r="IBT44" s="76"/>
      <c r="IBU44" s="76"/>
      <c r="IBV44" s="76"/>
      <c r="IBW44" s="76"/>
      <c r="IBX44" s="76"/>
      <c r="IBY44" s="76"/>
      <c r="IBZ44" s="76"/>
      <c r="ICA44" s="76"/>
      <c r="ICB44" s="76"/>
      <c r="ICC44" s="76"/>
      <c r="ICD44" s="76"/>
      <c r="ICE44" s="76"/>
      <c r="ICF44" s="76"/>
      <c r="ICG44" s="76"/>
      <c r="ICH44" s="76"/>
      <c r="ICI44" s="76"/>
      <c r="ICJ44" s="76"/>
      <c r="ICK44" s="76"/>
      <c r="ICL44" s="76"/>
      <c r="ICM44" s="76"/>
      <c r="ICN44" s="76"/>
      <c r="ICO44" s="76"/>
      <c r="ICP44" s="76"/>
      <c r="ICQ44" s="76"/>
      <c r="ICR44" s="76"/>
      <c r="ICS44" s="76"/>
      <c r="ICT44" s="76"/>
      <c r="ICU44" s="76"/>
      <c r="ICV44" s="76"/>
      <c r="ICW44" s="76"/>
      <c r="ICX44" s="76"/>
      <c r="ICY44" s="76"/>
      <c r="ICZ44" s="76"/>
      <c r="IDA44" s="76"/>
      <c r="IDB44" s="76"/>
      <c r="IDC44" s="76"/>
      <c r="IDD44" s="76"/>
      <c r="IDE44" s="76"/>
      <c r="IDF44" s="76"/>
      <c r="IDG44" s="76"/>
      <c r="IDH44" s="76"/>
      <c r="IDI44" s="76"/>
      <c r="IDJ44" s="76"/>
      <c r="IDK44" s="76"/>
      <c r="IDL44" s="76"/>
      <c r="IDM44" s="76"/>
      <c r="IDN44" s="76"/>
      <c r="IDO44" s="76"/>
      <c r="IDP44" s="76"/>
      <c r="IDQ44" s="76"/>
      <c r="IDR44" s="76"/>
      <c r="IDS44" s="76"/>
      <c r="IDT44" s="76"/>
      <c r="IDU44" s="76"/>
      <c r="IDV44" s="76"/>
      <c r="IDW44" s="76"/>
      <c r="IDX44" s="76"/>
      <c r="IDY44" s="76"/>
      <c r="IDZ44" s="76"/>
      <c r="IEA44" s="76"/>
      <c r="IEB44" s="76"/>
      <c r="IEC44" s="76"/>
      <c r="IED44" s="76"/>
      <c r="IEE44" s="76"/>
      <c r="IEF44" s="76"/>
      <c r="IEG44" s="76"/>
      <c r="IEH44" s="76"/>
      <c r="IEI44" s="76"/>
      <c r="IEJ44" s="76"/>
      <c r="IEK44" s="76"/>
      <c r="IEL44" s="76"/>
      <c r="IEM44" s="76"/>
      <c r="IEN44" s="76"/>
      <c r="IEO44" s="76"/>
      <c r="IEP44" s="76"/>
      <c r="IEQ44" s="76"/>
      <c r="IER44" s="76"/>
      <c r="IES44" s="76"/>
      <c r="IET44" s="76"/>
      <c r="IEU44" s="76"/>
      <c r="IEV44" s="76"/>
      <c r="IEW44" s="76"/>
      <c r="IEX44" s="76"/>
      <c r="IEY44" s="76"/>
      <c r="IEZ44" s="76"/>
      <c r="IFA44" s="76"/>
      <c r="IFB44" s="76"/>
      <c r="IFC44" s="76"/>
      <c r="IFD44" s="76"/>
      <c r="IFE44" s="76"/>
      <c r="IFF44" s="76"/>
      <c r="IFG44" s="76"/>
      <c r="IFH44" s="76"/>
      <c r="IFI44" s="76"/>
      <c r="IFJ44" s="76"/>
      <c r="IFK44" s="76"/>
      <c r="IFL44" s="76"/>
      <c r="IFM44" s="76"/>
      <c r="IFN44" s="76"/>
      <c r="IFO44" s="76"/>
      <c r="IFP44" s="76"/>
      <c r="IFQ44" s="76"/>
      <c r="IFR44" s="76"/>
      <c r="IFS44" s="76"/>
      <c r="IFT44" s="76"/>
      <c r="IFU44" s="76"/>
      <c r="IFV44" s="76"/>
      <c r="IFW44" s="76"/>
      <c r="IFX44" s="76"/>
      <c r="IFY44" s="76"/>
      <c r="IFZ44" s="76"/>
      <c r="IGA44" s="76"/>
      <c r="IGB44" s="76"/>
      <c r="IGC44" s="76"/>
      <c r="IGD44" s="76"/>
      <c r="IGE44" s="76"/>
      <c r="IGF44" s="76"/>
      <c r="IGG44" s="76"/>
      <c r="IGH44" s="76"/>
      <c r="IGI44" s="76"/>
      <c r="IGJ44" s="76"/>
      <c r="IGK44" s="76"/>
      <c r="IGL44" s="76"/>
      <c r="IGM44" s="76"/>
      <c r="IGN44" s="76"/>
      <c r="IGO44" s="76"/>
      <c r="IGP44" s="76"/>
      <c r="IGQ44" s="76"/>
      <c r="IGR44" s="76"/>
      <c r="IGS44" s="76"/>
      <c r="IGT44" s="76"/>
      <c r="IGU44" s="76"/>
      <c r="IGV44" s="76"/>
      <c r="IGW44" s="76"/>
      <c r="IGX44" s="76"/>
      <c r="IGY44" s="76"/>
      <c r="IGZ44" s="76"/>
      <c r="IHA44" s="76"/>
      <c r="IHB44" s="76"/>
      <c r="IHC44" s="76"/>
      <c r="IHD44" s="76"/>
      <c r="IHE44" s="76"/>
      <c r="IHF44" s="76"/>
      <c r="IHG44" s="76"/>
      <c r="IHH44" s="76"/>
      <c r="IHI44" s="76"/>
      <c r="IHJ44" s="76"/>
      <c r="IHK44" s="76"/>
      <c r="IHL44" s="76"/>
      <c r="IHM44" s="76"/>
      <c r="IHN44" s="76"/>
      <c r="IHO44" s="76"/>
      <c r="IHP44" s="76"/>
      <c r="IHQ44" s="76"/>
      <c r="IHR44" s="76"/>
      <c r="IHS44" s="76"/>
      <c r="IHT44" s="76"/>
      <c r="IHU44" s="76"/>
      <c r="IHV44" s="76"/>
      <c r="IHW44" s="76"/>
      <c r="IHX44" s="76"/>
      <c r="IHY44" s="76"/>
      <c r="IHZ44" s="76"/>
      <c r="IIA44" s="76"/>
      <c r="IIB44" s="76"/>
      <c r="IIC44" s="76"/>
      <c r="IID44" s="76"/>
      <c r="IIE44" s="76"/>
      <c r="IIF44" s="76"/>
      <c r="IIG44" s="76"/>
      <c r="IIH44" s="76"/>
      <c r="III44" s="76"/>
      <c r="IIJ44" s="76"/>
      <c r="IIK44" s="76"/>
      <c r="IIL44" s="76"/>
      <c r="IIM44" s="76"/>
      <c r="IIN44" s="76"/>
      <c r="IIO44" s="76"/>
      <c r="IIP44" s="76"/>
      <c r="IIQ44" s="76"/>
      <c r="IIR44" s="76"/>
      <c r="IIS44" s="76"/>
      <c r="IIT44" s="76"/>
      <c r="IIU44" s="76"/>
      <c r="IIV44" s="76"/>
      <c r="IIW44" s="76"/>
      <c r="IIX44" s="76"/>
      <c r="IIY44" s="76"/>
      <c r="IIZ44" s="76"/>
      <c r="IJA44" s="76"/>
      <c r="IJB44" s="76"/>
      <c r="IJC44" s="76"/>
      <c r="IJD44" s="76"/>
      <c r="IJE44" s="76"/>
      <c r="IJF44" s="76"/>
      <c r="IJG44" s="76"/>
      <c r="IJH44" s="76"/>
      <c r="IJI44" s="76"/>
      <c r="IJJ44" s="76"/>
      <c r="IJK44" s="76"/>
      <c r="IJL44" s="76"/>
      <c r="IJM44" s="76"/>
      <c r="IJN44" s="76"/>
      <c r="IJO44" s="76"/>
      <c r="IJP44" s="76"/>
      <c r="IJQ44" s="76"/>
      <c r="IJR44" s="76"/>
      <c r="IJS44" s="76"/>
      <c r="IJT44" s="76"/>
      <c r="IJU44" s="76"/>
      <c r="IJV44" s="76"/>
      <c r="IJW44" s="76"/>
      <c r="IJX44" s="76"/>
      <c r="IJY44" s="76"/>
      <c r="IJZ44" s="76"/>
      <c r="IKA44" s="76"/>
      <c r="IKB44" s="76"/>
      <c r="IKC44" s="76"/>
      <c r="IKD44" s="76"/>
      <c r="IKE44" s="76"/>
      <c r="IKF44" s="76"/>
      <c r="IKG44" s="76"/>
      <c r="IKH44" s="76"/>
      <c r="IKI44" s="76"/>
      <c r="IKJ44" s="76"/>
      <c r="IKK44" s="76"/>
      <c r="IKL44" s="76"/>
      <c r="IKM44" s="76"/>
      <c r="IKN44" s="76"/>
      <c r="IKO44" s="76"/>
      <c r="IKP44" s="76"/>
      <c r="IKQ44" s="76"/>
      <c r="IKR44" s="76"/>
      <c r="IKS44" s="76"/>
      <c r="IKT44" s="76"/>
      <c r="IKU44" s="76"/>
      <c r="IKV44" s="76"/>
      <c r="IKW44" s="76"/>
      <c r="IKX44" s="76"/>
      <c r="IKY44" s="76"/>
      <c r="IKZ44" s="76"/>
      <c r="ILA44" s="76"/>
      <c r="ILB44" s="76"/>
      <c r="ILC44" s="76"/>
      <c r="ILD44" s="76"/>
      <c r="ILE44" s="76"/>
      <c r="ILF44" s="76"/>
      <c r="ILG44" s="76"/>
      <c r="ILH44" s="76"/>
      <c r="ILI44" s="76"/>
      <c r="ILJ44" s="76"/>
      <c r="ILK44" s="76"/>
      <c r="ILL44" s="76"/>
      <c r="ILM44" s="76"/>
      <c r="ILN44" s="76"/>
      <c r="ILO44" s="76"/>
      <c r="ILP44" s="76"/>
      <c r="ILQ44" s="76"/>
      <c r="ILR44" s="76"/>
      <c r="ILS44" s="76"/>
      <c r="ILT44" s="76"/>
      <c r="ILU44" s="76"/>
      <c r="ILV44" s="76"/>
      <c r="ILW44" s="76"/>
      <c r="ILX44" s="76"/>
      <c r="ILY44" s="76"/>
      <c r="ILZ44" s="76"/>
      <c r="IMA44" s="76"/>
      <c r="IMB44" s="76"/>
      <c r="IMC44" s="76"/>
      <c r="IMD44" s="76"/>
      <c r="IME44" s="76"/>
      <c r="IMF44" s="76"/>
      <c r="IMG44" s="76"/>
      <c r="IMH44" s="76"/>
      <c r="IMI44" s="76"/>
      <c r="IMJ44" s="76"/>
      <c r="IMK44" s="76"/>
      <c r="IML44" s="76"/>
      <c r="IMM44" s="76"/>
      <c r="IMN44" s="76"/>
      <c r="IMO44" s="76"/>
      <c r="IMP44" s="76"/>
      <c r="IMQ44" s="76"/>
      <c r="IMR44" s="76"/>
      <c r="IMS44" s="76"/>
      <c r="IMT44" s="76"/>
      <c r="IMU44" s="76"/>
      <c r="IMV44" s="76"/>
      <c r="IMW44" s="76"/>
      <c r="IMX44" s="76"/>
      <c r="IMY44" s="76"/>
      <c r="IMZ44" s="76"/>
      <c r="INA44" s="76"/>
      <c r="INB44" s="76"/>
      <c r="INC44" s="76"/>
      <c r="IND44" s="76"/>
      <c r="INE44" s="76"/>
      <c r="INF44" s="76"/>
      <c r="ING44" s="76"/>
      <c r="INH44" s="76"/>
      <c r="INI44" s="76"/>
      <c r="INJ44" s="76"/>
      <c r="INK44" s="76"/>
      <c r="INL44" s="76"/>
      <c r="INM44" s="76"/>
      <c r="INN44" s="76"/>
      <c r="INO44" s="76"/>
      <c r="INP44" s="76"/>
      <c r="INQ44" s="76"/>
      <c r="INR44" s="76"/>
      <c r="INS44" s="76"/>
      <c r="INT44" s="76"/>
      <c r="INU44" s="76"/>
      <c r="INV44" s="76"/>
      <c r="INW44" s="76"/>
      <c r="INX44" s="76"/>
      <c r="INY44" s="76"/>
      <c r="INZ44" s="76"/>
      <c r="IOA44" s="76"/>
      <c r="IOB44" s="76"/>
      <c r="IOC44" s="76"/>
      <c r="IOD44" s="76"/>
      <c r="IOE44" s="76"/>
      <c r="IOF44" s="76"/>
      <c r="IOG44" s="76"/>
      <c r="IOH44" s="76"/>
      <c r="IOI44" s="76"/>
      <c r="IOJ44" s="76"/>
      <c r="IOK44" s="76"/>
      <c r="IOL44" s="76"/>
      <c r="IOM44" s="76"/>
      <c r="ION44" s="76"/>
      <c r="IOO44" s="76"/>
      <c r="IOP44" s="76"/>
      <c r="IOQ44" s="76"/>
      <c r="IOR44" s="76"/>
      <c r="IOS44" s="76"/>
      <c r="IOT44" s="76"/>
      <c r="IOU44" s="76"/>
      <c r="IOV44" s="76"/>
      <c r="IOW44" s="76"/>
      <c r="IOX44" s="76"/>
      <c r="IOY44" s="76"/>
      <c r="IOZ44" s="76"/>
      <c r="IPA44" s="76"/>
      <c r="IPB44" s="76"/>
      <c r="IPC44" s="76"/>
      <c r="IPD44" s="76"/>
      <c r="IPE44" s="76"/>
      <c r="IPF44" s="76"/>
      <c r="IPG44" s="76"/>
      <c r="IPH44" s="76"/>
      <c r="IPI44" s="76"/>
      <c r="IPJ44" s="76"/>
      <c r="IPK44" s="76"/>
      <c r="IPL44" s="76"/>
      <c r="IPM44" s="76"/>
      <c r="IPN44" s="76"/>
      <c r="IPO44" s="76"/>
      <c r="IPP44" s="76"/>
      <c r="IPQ44" s="76"/>
      <c r="IPR44" s="76"/>
      <c r="IPS44" s="76"/>
      <c r="IPT44" s="76"/>
      <c r="IPU44" s="76"/>
      <c r="IPV44" s="76"/>
      <c r="IPW44" s="76"/>
      <c r="IPX44" s="76"/>
      <c r="IPY44" s="76"/>
      <c r="IPZ44" s="76"/>
      <c r="IQA44" s="76"/>
      <c r="IQB44" s="76"/>
      <c r="IQC44" s="76"/>
      <c r="IQD44" s="76"/>
      <c r="IQE44" s="76"/>
      <c r="IQF44" s="76"/>
      <c r="IQG44" s="76"/>
      <c r="IQH44" s="76"/>
      <c r="IQI44" s="76"/>
      <c r="IQJ44" s="76"/>
      <c r="IQK44" s="76"/>
      <c r="IQL44" s="76"/>
      <c r="IQM44" s="76"/>
      <c r="IQN44" s="76"/>
      <c r="IQO44" s="76"/>
      <c r="IQP44" s="76"/>
      <c r="IQQ44" s="76"/>
      <c r="IQR44" s="76"/>
      <c r="IQS44" s="76"/>
      <c r="IQT44" s="76"/>
      <c r="IQU44" s="76"/>
      <c r="IQV44" s="76"/>
      <c r="IQW44" s="76"/>
      <c r="IQX44" s="76"/>
      <c r="IQY44" s="76"/>
      <c r="IQZ44" s="76"/>
      <c r="IRA44" s="76"/>
      <c r="IRB44" s="76"/>
      <c r="IRC44" s="76"/>
      <c r="IRD44" s="76"/>
      <c r="IRE44" s="76"/>
      <c r="IRF44" s="76"/>
      <c r="IRG44" s="76"/>
      <c r="IRH44" s="76"/>
      <c r="IRI44" s="76"/>
      <c r="IRJ44" s="76"/>
      <c r="IRK44" s="76"/>
      <c r="IRL44" s="76"/>
      <c r="IRM44" s="76"/>
      <c r="IRN44" s="76"/>
      <c r="IRO44" s="76"/>
      <c r="IRP44" s="76"/>
      <c r="IRQ44" s="76"/>
      <c r="IRR44" s="76"/>
      <c r="IRS44" s="76"/>
      <c r="IRT44" s="76"/>
      <c r="IRU44" s="76"/>
      <c r="IRV44" s="76"/>
      <c r="IRW44" s="76"/>
      <c r="IRX44" s="76"/>
      <c r="IRY44" s="76"/>
      <c r="IRZ44" s="76"/>
      <c r="ISA44" s="76"/>
      <c r="ISB44" s="76"/>
      <c r="ISC44" s="76"/>
      <c r="ISD44" s="76"/>
      <c r="ISE44" s="76"/>
      <c r="ISF44" s="76"/>
      <c r="ISG44" s="76"/>
      <c r="ISH44" s="76"/>
      <c r="ISI44" s="76"/>
      <c r="ISJ44" s="76"/>
      <c r="ISK44" s="76"/>
      <c r="ISL44" s="76"/>
      <c r="ISM44" s="76"/>
      <c r="ISN44" s="76"/>
      <c r="ISO44" s="76"/>
      <c r="ISP44" s="76"/>
      <c r="ISQ44" s="76"/>
      <c r="ISR44" s="76"/>
      <c r="ISS44" s="76"/>
      <c r="IST44" s="76"/>
      <c r="ISU44" s="76"/>
      <c r="ISV44" s="76"/>
      <c r="ISW44" s="76"/>
      <c r="ISX44" s="76"/>
      <c r="ISY44" s="76"/>
      <c r="ISZ44" s="76"/>
      <c r="ITA44" s="76"/>
      <c r="ITB44" s="76"/>
      <c r="ITC44" s="76"/>
      <c r="ITD44" s="76"/>
      <c r="ITE44" s="76"/>
      <c r="ITF44" s="76"/>
      <c r="ITG44" s="76"/>
      <c r="ITH44" s="76"/>
      <c r="ITI44" s="76"/>
      <c r="ITJ44" s="76"/>
      <c r="ITK44" s="76"/>
      <c r="ITL44" s="76"/>
      <c r="ITM44" s="76"/>
      <c r="ITN44" s="76"/>
      <c r="ITO44" s="76"/>
      <c r="ITP44" s="76"/>
      <c r="ITQ44" s="76"/>
      <c r="ITR44" s="76"/>
      <c r="ITS44" s="76"/>
      <c r="ITT44" s="76"/>
      <c r="ITU44" s="76"/>
      <c r="ITV44" s="76"/>
      <c r="ITW44" s="76"/>
      <c r="ITX44" s="76"/>
      <c r="ITY44" s="76"/>
      <c r="ITZ44" s="76"/>
      <c r="IUA44" s="76"/>
      <c r="IUB44" s="76"/>
      <c r="IUC44" s="76"/>
      <c r="IUD44" s="76"/>
      <c r="IUE44" s="76"/>
      <c r="IUF44" s="76"/>
      <c r="IUG44" s="76"/>
      <c r="IUH44" s="76"/>
      <c r="IUI44" s="76"/>
      <c r="IUJ44" s="76"/>
      <c r="IUK44" s="76"/>
      <c r="IUL44" s="76"/>
      <c r="IUM44" s="76"/>
      <c r="IUN44" s="76"/>
      <c r="IUO44" s="76"/>
      <c r="IUP44" s="76"/>
      <c r="IUQ44" s="76"/>
      <c r="IUR44" s="76"/>
      <c r="IUS44" s="76"/>
      <c r="IUT44" s="76"/>
      <c r="IUU44" s="76"/>
      <c r="IUV44" s="76"/>
      <c r="IUW44" s="76"/>
      <c r="IUX44" s="76"/>
      <c r="IUY44" s="76"/>
      <c r="IUZ44" s="76"/>
      <c r="IVA44" s="76"/>
      <c r="IVB44" s="76"/>
      <c r="IVC44" s="76"/>
      <c r="IVD44" s="76"/>
      <c r="IVE44" s="76"/>
      <c r="IVF44" s="76"/>
      <c r="IVG44" s="76"/>
      <c r="IVH44" s="76"/>
      <c r="IVI44" s="76"/>
      <c r="IVJ44" s="76"/>
      <c r="IVK44" s="76"/>
      <c r="IVL44" s="76"/>
      <c r="IVM44" s="76"/>
      <c r="IVN44" s="76"/>
      <c r="IVO44" s="76"/>
      <c r="IVP44" s="76"/>
      <c r="IVQ44" s="76"/>
      <c r="IVR44" s="76"/>
      <c r="IVS44" s="76"/>
      <c r="IVT44" s="76"/>
      <c r="IVU44" s="76"/>
      <c r="IVV44" s="76"/>
      <c r="IVW44" s="76"/>
      <c r="IVX44" s="76"/>
      <c r="IVY44" s="76"/>
      <c r="IVZ44" s="76"/>
      <c r="IWA44" s="76"/>
      <c r="IWB44" s="76"/>
      <c r="IWC44" s="76"/>
      <c r="IWD44" s="76"/>
      <c r="IWE44" s="76"/>
      <c r="IWF44" s="76"/>
      <c r="IWG44" s="76"/>
      <c r="IWH44" s="76"/>
      <c r="IWI44" s="76"/>
      <c r="IWJ44" s="76"/>
      <c r="IWK44" s="76"/>
      <c r="IWL44" s="76"/>
      <c r="IWM44" s="76"/>
      <c r="IWN44" s="76"/>
      <c r="IWO44" s="76"/>
      <c r="IWP44" s="76"/>
      <c r="IWQ44" s="76"/>
      <c r="IWR44" s="76"/>
      <c r="IWS44" s="76"/>
      <c r="IWT44" s="76"/>
      <c r="IWU44" s="76"/>
      <c r="IWV44" s="76"/>
      <c r="IWW44" s="76"/>
      <c r="IWX44" s="76"/>
      <c r="IWY44" s="76"/>
      <c r="IWZ44" s="76"/>
      <c r="IXA44" s="76"/>
      <c r="IXB44" s="76"/>
      <c r="IXC44" s="76"/>
      <c r="IXD44" s="76"/>
      <c r="IXE44" s="76"/>
      <c r="IXF44" s="76"/>
      <c r="IXG44" s="76"/>
      <c r="IXH44" s="76"/>
      <c r="IXI44" s="76"/>
      <c r="IXJ44" s="76"/>
      <c r="IXK44" s="76"/>
      <c r="IXL44" s="76"/>
      <c r="IXM44" s="76"/>
      <c r="IXN44" s="76"/>
      <c r="IXO44" s="76"/>
      <c r="IXP44" s="76"/>
      <c r="IXQ44" s="76"/>
      <c r="IXR44" s="76"/>
      <c r="IXS44" s="76"/>
      <c r="IXT44" s="76"/>
      <c r="IXU44" s="76"/>
      <c r="IXV44" s="76"/>
      <c r="IXW44" s="76"/>
      <c r="IXX44" s="76"/>
      <c r="IXY44" s="76"/>
      <c r="IXZ44" s="76"/>
      <c r="IYA44" s="76"/>
      <c r="IYB44" s="76"/>
      <c r="IYC44" s="76"/>
      <c r="IYD44" s="76"/>
      <c r="IYE44" s="76"/>
      <c r="IYF44" s="76"/>
      <c r="IYG44" s="76"/>
      <c r="IYH44" s="76"/>
      <c r="IYI44" s="76"/>
      <c r="IYJ44" s="76"/>
      <c r="IYK44" s="76"/>
      <c r="IYL44" s="76"/>
      <c r="IYM44" s="76"/>
      <c r="IYN44" s="76"/>
      <c r="IYO44" s="76"/>
      <c r="IYP44" s="76"/>
      <c r="IYQ44" s="76"/>
      <c r="IYR44" s="76"/>
      <c r="IYS44" s="76"/>
      <c r="IYT44" s="76"/>
      <c r="IYU44" s="76"/>
      <c r="IYV44" s="76"/>
      <c r="IYW44" s="76"/>
      <c r="IYX44" s="76"/>
      <c r="IYY44" s="76"/>
      <c r="IYZ44" s="76"/>
      <c r="IZA44" s="76"/>
      <c r="IZB44" s="76"/>
      <c r="IZC44" s="76"/>
      <c r="IZD44" s="76"/>
      <c r="IZE44" s="76"/>
      <c r="IZF44" s="76"/>
      <c r="IZG44" s="76"/>
      <c r="IZH44" s="76"/>
      <c r="IZI44" s="76"/>
      <c r="IZJ44" s="76"/>
      <c r="IZK44" s="76"/>
      <c r="IZL44" s="76"/>
      <c r="IZM44" s="76"/>
      <c r="IZN44" s="76"/>
      <c r="IZO44" s="76"/>
      <c r="IZP44" s="76"/>
      <c r="IZQ44" s="76"/>
      <c r="IZR44" s="76"/>
      <c r="IZS44" s="76"/>
      <c r="IZT44" s="76"/>
      <c r="IZU44" s="76"/>
      <c r="IZV44" s="76"/>
      <c r="IZW44" s="76"/>
      <c r="IZX44" s="76"/>
      <c r="IZY44" s="76"/>
      <c r="IZZ44" s="76"/>
      <c r="JAA44" s="76"/>
      <c r="JAB44" s="76"/>
      <c r="JAC44" s="76"/>
      <c r="JAD44" s="76"/>
      <c r="JAE44" s="76"/>
      <c r="JAF44" s="76"/>
      <c r="JAG44" s="76"/>
      <c r="JAH44" s="76"/>
      <c r="JAI44" s="76"/>
      <c r="JAJ44" s="76"/>
      <c r="JAK44" s="76"/>
      <c r="JAL44" s="76"/>
      <c r="JAM44" s="76"/>
      <c r="JAN44" s="76"/>
      <c r="JAO44" s="76"/>
      <c r="JAP44" s="76"/>
      <c r="JAQ44" s="76"/>
      <c r="JAR44" s="76"/>
      <c r="JAS44" s="76"/>
      <c r="JAT44" s="76"/>
      <c r="JAU44" s="76"/>
      <c r="JAV44" s="76"/>
      <c r="JAW44" s="76"/>
      <c r="JAX44" s="76"/>
      <c r="JAY44" s="76"/>
      <c r="JAZ44" s="76"/>
      <c r="JBA44" s="76"/>
      <c r="JBB44" s="76"/>
      <c r="JBC44" s="76"/>
      <c r="JBD44" s="76"/>
      <c r="JBE44" s="76"/>
      <c r="JBF44" s="76"/>
      <c r="JBG44" s="76"/>
      <c r="JBH44" s="76"/>
      <c r="JBI44" s="76"/>
      <c r="JBJ44" s="76"/>
      <c r="JBK44" s="76"/>
      <c r="JBL44" s="76"/>
      <c r="JBM44" s="76"/>
      <c r="JBN44" s="76"/>
      <c r="JBO44" s="76"/>
      <c r="JBP44" s="76"/>
      <c r="JBQ44" s="76"/>
      <c r="JBR44" s="76"/>
      <c r="JBS44" s="76"/>
      <c r="JBT44" s="76"/>
      <c r="JBU44" s="76"/>
      <c r="JBV44" s="76"/>
      <c r="JBW44" s="76"/>
      <c r="JBX44" s="76"/>
      <c r="JBY44" s="76"/>
      <c r="JBZ44" s="76"/>
      <c r="JCA44" s="76"/>
      <c r="JCB44" s="76"/>
      <c r="JCC44" s="76"/>
      <c r="JCD44" s="76"/>
      <c r="JCE44" s="76"/>
      <c r="JCF44" s="76"/>
      <c r="JCG44" s="76"/>
      <c r="JCH44" s="76"/>
      <c r="JCI44" s="76"/>
      <c r="JCJ44" s="76"/>
      <c r="JCK44" s="76"/>
      <c r="JCL44" s="76"/>
      <c r="JCM44" s="76"/>
      <c r="JCN44" s="76"/>
      <c r="JCO44" s="76"/>
      <c r="JCP44" s="76"/>
      <c r="JCQ44" s="76"/>
      <c r="JCR44" s="76"/>
      <c r="JCS44" s="76"/>
      <c r="JCT44" s="76"/>
      <c r="JCU44" s="76"/>
      <c r="JCV44" s="76"/>
      <c r="JCW44" s="76"/>
      <c r="JCX44" s="76"/>
      <c r="JCY44" s="76"/>
      <c r="JCZ44" s="76"/>
      <c r="JDA44" s="76"/>
      <c r="JDB44" s="76"/>
      <c r="JDC44" s="76"/>
      <c r="JDD44" s="76"/>
      <c r="JDE44" s="76"/>
      <c r="JDF44" s="76"/>
      <c r="JDG44" s="76"/>
      <c r="JDH44" s="76"/>
      <c r="JDI44" s="76"/>
      <c r="JDJ44" s="76"/>
      <c r="JDK44" s="76"/>
      <c r="JDL44" s="76"/>
      <c r="JDM44" s="76"/>
      <c r="JDN44" s="76"/>
      <c r="JDO44" s="76"/>
      <c r="JDP44" s="76"/>
      <c r="JDQ44" s="76"/>
      <c r="JDR44" s="76"/>
      <c r="JDS44" s="76"/>
      <c r="JDT44" s="76"/>
      <c r="JDU44" s="76"/>
      <c r="JDV44" s="76"/>
      <c r="JDW44" s="76"/>
      <c r="JDX44" s="76"/>
      <c r="JDY44" s="76"/>
      <c r="JDZ44" s="76"/>
      <c r="JEA44" s="76"/>
      <c r="JEB44" s="76"/>
      <c r="JEC44" s="76"/>
      <c r="JED44" s="76"/>
      <c r="JEE44" s="76"/>
      <c r="JEF44" s="76"/>
      <c r="JEG44" s="76"/>
      <c r="JEH44" s="76"/>
      <c r="JEI44" s="76"/>
      <c r="JEJ44" s="76"/>
      <c r="JEK44" s="76"/>
      <c r="JEL44" s="76"/>
      <c r="JEM44" s="76"/>
      <c r="JEN44" s="76"/>
      <c r="JEO44" s="76"/>
      <c r="JEP44" s="76"/>
      <c r="JEQ44" s="76"/>
      <c r="JER44" s="76"/>
      <c r="JES44" s="76"/>
      <c r="JET44" s="76"/>
      <c r="JEU44" s="76"/>
      <c r="JEV44" s="76"/>
      <c r="JEW44" s="76"/>
      <c r="JEX44" s="76"/>
      <c r="JEY44" s="76"/>
      <c r="JEZ44" s="76"/>
      <c r="JFA44" s="76"/>
      <c r="JFB44" s="76"/>
      <c r="JFC44" s="76"/>
      <c r="JFD44" s="76"/>
      <c r="JFE44" s="76"/>
      <c r="JFF44" s="76"/>
      <c r="JFG44" s="76"/>
      <c r="JFH44" s="76"/>
      <c r="JFI44" s="76"/>
      <c r="JFJ44" s="76"/>
      <c r="JFK44" s="76"/>
      <c r="JFL44" s="76"/>
      <c r="JFM44" s="76"/>
      <c r="JFN44" s="76"/>
      <c r="JFO44" s="76"/>
      <c r="JFP44" s="76"/>
      <c r="JFQ44" s="76"/>
      <c r="JFR44" s="76"/>
      <c r="JFS44" s="76"/>
      <c r="JFT44" s="76"/>
      <c r="JFU44" s="76"/>
      <c r="JFV44" s="76"/>
      <c r="JFW44" s="76"/>
      <c r="JFX44" s="76"/>
      <c r="JFY44" s="76"/>
      <c r="JFZ44" s="76"/>
      <c r="JGA44" s="76"/>
      <c r="JGB44" s="76"/>
      <c r="JGC44" s="76"/>
      <c r="JGD44" s="76"/>
      <c r="JGE44" s="76"/>
      <c r="JGF44" s="76"/>
      <c r="JGG44" s="76"/>
      <c r="JGH44" s="76"/>
      <c r="JGI44" s="76"/>
      <c r="JGJ44" s="76"/>
      <c r="JGK44" s="76"/>
      <c r="JGL44" s="76"/>
      <c r="JGM44" s="76"/>
      <c r="JGN44" s="76"/>
      <c r="JGO44" s="76"/>
      <c r="JGP44" s="76"/>
      <c r="JGQ44" s="76"/>
      <c r="JGR44" s="76"/>
      <c r="JGS44" s="76"/>
      <c r="JGT44" s="76"/>
      <c r="JGU44" s="76"/>
      <c r="JGV44" s="76"/>
      <c r="JGW44" s="76"/>
      <c r="JGX44" s="76"/>
      <c r="JGY44" s="76"/>
      <c r="JGZ44" s="76"/>
      <c r="JHA44" s="76"/>
      <c r="JHB44" s="76"/>
      <c r="JHC44" s="76"/>
      <c r="JHD44" s="76"/>
      <c r="JHE44" s="76"/>
      <c r="JHF44" s="76"/>
      <c r="JHG44" s="76"/>
      <c r="JHH44" s="76"/>
      <c r="JHI44" s="76"/>
      <c r="JHJ44" s="76"/>
      <c r="JHK44" s="76"/>
      <c r="JHL44" s="76"/>
      <c r="JHM44" s="76"/>
      <c r="JHN44" s="76"/>
      <c r="JHO44" s="76"/>
      <c r="JHP44" s="76"/>
      <c r="JHQ44" s="76"/>
      <c r="JHR44" s="76"/>
      <c r="JHS44" s="76"/>
      <c r="JHT44" s="76"/>
      <c r="JHU44" s="76"/>
      <c r="JHV44" s="76"/>
      <c r="JHW44" s="76"/>
      <c r="JHX44" s="76"/>
      <c r="JHY44" s="76"/>
      <c r="JHZ44" s="76"/>
      <c r="JIA44" s="76"/>
      <c r="JIB44" s="76"/>
      <c r="JIC44" s="76"/>
      <c r="JID44" s="76"/>
      <c r="JIE44" s="76"/>
      <c r="JIF44" s="76"/>
      <c r="JIG44" s="76"/>
      <c r="JIH44" s="76"/>
      <c r="JII44" s="76"/>
      <c r="JIJ44" s="76"/>
      <c r="JIK44" s="76"/>
      <c r="JIL44" s="76"/>
      <c r="JIM44" s="76"/>
      <c r="JIN44" s="76"/>
      <c r="JIO44" s="76"/>
      <c r="JIP44" s="76"/>
      <c r="JIQ44" s="76"/>
      <c r="JIR44" s="76"/>
      <c r="JIS44" s="76"/>
      <c r="JIT44" s="76"/>
      <c r="JIU44" s="76"/>
      <c r="JIV44" s="76"/>
      <c r="JIW44" s="76"/>
      <c r="JIX44" s="76"/>
      <c r="JIY44" s="76"/>
      <c r="JIZ44" s="76"/>
      <c r="JJA44" s="76"/>
      <c r="JJB44" s="76"/>
      <c r="JJC44" s="76"/>
      <c r="JJD44" s="76"/>
      <c r="JJE44" s="76"/>
      <c r="JJF44" s="76"/>
      <c r="JJG44" s="76"/>
      <c r="JJH44" s="76"/>
      <c r="JJI44" s="76"/>
      <c r="JJJ44" s="76"/>
      <c r="JJK44" s="76"/>
      <c r="JJL44" s="76"/>
      <c r="JJM44" s="76"/>
      <c r="JJN44" s="76"/>
      <c r="JJO44" s="76"/>
      <c r="JJP44" s="76"/>
      <c r="JJQ44" s="76"/>
      <c r="JJR44" s="76"/>
      <c r="JJS44" s="76"/>
      <c r="JJT44" s="76"/>
      <c r="JJU44" s="76"/>
      <c r="JJV44" s="76"/>
      <c r="JJW44" s="76"/>
      <c r="JJX44" s="76"/>
      <c r="JJY44" s="76"/>
      <c r="JJZ44" s="76"/>
      <c r="JKA44" s="76"/>
      <c r="JKB44" s="76"/>
      <c r="JKC44" s="76"/>
      <c r="JKD44" s="76"/>
      <c r="JKE44" s="76"/>
      <c r="JKF44" s="76"/>
      <c r="JKG44" s="76"/>
      <c r="JKH44" s="76"/>
      <c r="JKI44" s="76"/>
      <c r="JKJ44" s="76"/>
      <c r="JKK44" s="76"/>
      <c r="JKL44" s="76"/>
      <c r="JKM44" s="76"/>
      <c r="JKN44" s="76"/>
      <c r="JKO44" s="76"/>
      <c r="JKP44" s="76"/>
      <c r="JKQ44" s="76"/>
      <c r="JKR44" s="76"/>
      <c r="JKS44" s="76"/>
      <c r="JKT44" s="76"/>
      <c r="JKU44" s="76"/>
      <c r="JKV44" s="76"/>
      <c r="JKW44" s="76"/>
      <c r="JKX44" s="76"/>
      <c r="JKY44" s="76"/>
      <c r="JKZ44" s="76"/>
      <c r="JLA44" s="76"/>
      <c r="JLB44" s="76"/>
      <c r="JLC44" s="76"/>
      <c r="JLD44" s="76"/>
      <c r="JLE44" s="76"/>
      <c r="JLF44" s="76"/>
      <c r="JLG44" s="76"/>
      <c r="JLH44" s="76"/>
      <c r="JLI44" s="76"/>
      <c r="JLJ44" s="76"/>
      <c r="JLK44" s="76"/>
      <c r="JLL44" s="76"/>
      <c r="JLM44" s="76"/>
      <c r="JLN44" s="76"/>
      <c r="JLO44" s="76"/>
      <c r="JLP44" s="76"/>
      <c r="JLQ44" s="76"/>
      <c r="JLR44" s="76"/>
      <c r="JLS44" s="76"/>
      <c r="JLT44" s="76"/>
      <c r="JLU44" s="76"/>
      <c r="JLV44" s="76"/>
      <c r="JLW44" s="76"/>
      <c r="JLX44" s="76"/>
      <c r="JLY44" s="76"/>
      <c r="JLZ44" s="76"/>
      <c r="JMA44" s="76"/>
      <c r="JMB44" s="76"/>
      <c r="JMC44" s="76"/>
      <c r="JMD44" s="76"/>
      <c r="JME44" s="76"/>
      <c r="JMF44" s="76"/>
      <c r="JMG44" s="76"/>
      <c r="JMH44" s="76"/>
      <c r="JMI44" s="76"/>
      <c r="JMJ44" s="76"/>
      <c r="JMK44" s="76"/>
      <c r="JML44" s="76"/>
      <c r="JMM44" s="76"/>
      <c r="JMN44" s="76"/>
      <c r="JMO44" s="76"/>
      <c r="JMP44" s="76"/>
      <c r="JMQ44" s="76"/>
      <c r="JMR44" s="76"/>
      <c r="JMS44" s="76"/>
      <c r="JMT44" s="76"/>
      <c r="JMU44" s="76"/>
      <c r="JMV44" s="76"/>
      <c r="JMW44" s="76"/>
      <c r="JMX44" s="76"/>
      <c r="JMY44" s="76"/>
      <c r="JMZ44" s="76"/>
      <c r="JNA44" s="76"/>
      <c r="JNB44" s="76"/>
      <c r="JNC44" s="76"/>
      <c r="JND44" s="76"/>
      <c r="JNE44" s="76"/>
      <c r="JNF44" s="76"/>
      <c r="JNG44" s="76"/>
      <c r="JNH44" s="76"/>
      <c r="JNI44" s="76"/>
      <c r="JNJ44" s="76"/>
      <c r="JNK44" s="76"/>
      <c r="JNL44" s="76"/>
      <c r="JNM44" s="76"/>
      <c r="JNN44" s="76"/>
      <c r="JNO44" s="76"/>
      <c r="JNP44" s="76"/>
      <c r="JNQ44" s="76"/>
      <c r="JNR44" s="76"/>
      <c r="JNS44" s="76"/>
      <c r="JNT44" s="76"/>
      <c r="JNU44" s="76"/>
      <c r="JNV44" s="76"/>
      <c r="JNW44" s="76"/>
      <c r="JNX44" s="76"/>
      <c r="JNY44" s="76"/>
      <c r="JNZ44" s="76"/>
      <c r="JOA44" s="76"/>
      <c r="JOB44" s="76"/>
      <c r="JOC44" s="76"/>
      <c r="JOD44" s="76"/>
      <c r="JOE44" s="76"/>
      <c r="JOF44" s="76"/>
      <c r="JOG44" s="76"/>
      <c r="JOH44" s="76"/>
      <c r="JOI44" s="76"/>
      <c r="JOJ44" s="76"/>
      <c r="JOK44" s="76"/>
      <c r="JOL44" s="76"/>
      <c r="JOM44" s="76"/>
      <c r="JON44" s="76"/>
      <c r="JOO44" s="76"/>
      <c r="JOP44" s="76"/>
      <c r="JOQ44" s="76"/>
      <c r="JOR44" s="76"/>
      <c r="JOS44" s="76"/>
      <c r="JOT44" s="76"/>
      <c r="JOU44" s="76"/>
      <c r="JOV44" s="76"/>
      <c r="JOW44" s="76"/>
      <c r="JOX44" s="76"/>
      <c r="JOY44" s="76"/>
      <c r="JOZ44" s="76"/>
      <c r="JPA44" s="76"/>
      <c r="JPB44" s="76"/>
      <c r="JPC44" s="76"/>
      <c r="JPD44" s="76"/>
      <c r="JPE44" s="76"/>
      <c r="JPF44" s="76"/>
      <c r="JPG44" s="76"/>
      <c r="JPH44" s="76"/>
      <c r="JPI44" s="76"/>
      <c r="JPJ44" s="76"/>
      <c r="JPK44" s="76"/>
      <c r="JPL44" s="76"/>
      <c r="JPM44" s="76"/>
      <c r="JPN44" s="76"/>
      <c r="JPO44" s="76"/>
      <c r="JPP44" s="76"/>
      <c r="JPQ44" s="76"/>
      <c r="JPR44" s="76"/>
      <c r="JPS44" s="76"/>
      <c r="JPT44" s="76"/>
      <c r="JPU44" s="76"/>
      <c r="JPV44" s="76"/>
      <c r="JPW44" s="76"/>
      <c r="JPX44" s="76"/>
      <c r="JPY44" s="76"/>
      <c r="JPZ44" s="76"/>
      <c r="JQA44" s="76"/>
      <c r="JQB44" s="76"/>
      <c r="JQC44" s="76"/>
      <c r="JQD44" s="76"/>
      <c r="JQE44" s="76"/>
      <c r="JQF44" s="76"/>
      <c r="JQG44" s="76"/>
      <c r="JQH44" s="76"/>
      <c r="JQI44" s="76"/>
      <c r="JQJ44" s="76"/>
      <c r="JQK44" s="76"/>
      <c r="JQL44" s="76"/>
      <c r="JQM44" s="76"/>
      <c r="JQN44" s="76"/>
      <c r="JQO44" s="76"/>
      <c r="JQP44" s="76"/>
      <c r="JQQ44" s="76"/>
      <c r="JQR44" s="76"/>
      <c r="JQS44" s="76"/>
      <c r="JQT44" s="76"/>
      <c r="JQU44" s="76"/>
      <c r="JQV44" s="76"/>
      <c r="JQW44" s="76"/>
      <c r="JQX44" s="76"/>
      <c r="JQY44" s="76"/>
      <c r="JQZ44" s="76"/>
      <c r="JRA44" s="76"/>
      <c r="JRB44" s="76"/>
      <c r="JRC44" s="76"/>
      <c r="JRD44" s="76"/>
      <c r="JRE44" s="76"/>
      <c r="JRF44" s="76"/>
      <c r="JRG44" s="76"/>
      <c r="JRH44" s="76"/>
      <c r="JRI44" s="76"/>
      <c r="JRJ44" s="76"/>
      <c r="JRK44" s="76"/>
      <c r="JRL44" s="76"/>
      <c r="JRM44" s="76"/>
      <c r="JRN44" s="76"/>
      <c r="JRO44" s="76"/>
      <c r="JRP44" s="76"/>
      <c r="JRQ44" s="76"/>
      <c r="JRR44" s="76"/>
      <c r="JRS44" s="76"/>
      <c r="JRT44" s="76"/>
      <c r="JRU44" s="76"/>
      <c r="JRV44" s="76"/>
      <c r="JRW44" s="76"/>
      <c r="JRX44" s="76"/>
      <c r="JRY44" s="76"/>
      <c r="JRZ44" s="76"/>
      <c r="JSA44" s="76"/>
      <c r="JSB44" s="76"/>
      <c r="JSC44" s="76"/>
      <c r="JSD44" s="76"/>
      <c r="JSE44" s="76"/>
      <c r="JSF44" s="76"/>
      <c r="JSG44" s="76"/>
      <c r="JSH44" s="76"/>
      <c r="JSI44" s="76"/>
      <c r="JSJ44" s="76"/>
      <c r="JSK44" s="76"/>
      <c r="JSL44" s="76"/>
      <c r="JSM44" s="76"/>
      <c r="JSN44" s="76"/>
      <c r="JSO44" s="76"/>
      <c r="JSP44" s="76"/>
      <c r="JSQ44" s="76"/>
      <c r="JSR44" s="76"/>
      <c r="JSS44" s="76"/>
      <c r="JST44" s="76"/>
      <c r="JSU44" s="76"/>
      <c r="JSV44" s="76"/>
      <c r="JSW44" s="76"/>
      <c r="JSX44" s="76"/>
      <c r="JSY44" s="76"/>
      <c r="JSZ44" s="76"/>
      <c r="JTA44" s="76"/>
      <c r="JTB44" s="76"/>
      <c r="JTC44" s="76"/>
      <c r="JTD44" s="76"/>
      <c r="JTE44" s="76"/>
      <c r="JTF44" s="76"/>
      <c r="JTG44" s="76"/>
      <c r="JTH44" s="76"/>
      <c r="JTI44" s="76"/>
      <c r="JTJ44" s="76"/>
      <c r="JTK44" s="76"/>
      <c r="JTL44" s="76"/>
      <c r="JTM44" s="76"/>
      <c r="JTN44" s="76"/>
      <c r="JTO44" s="76"/>
      <c r="JTP44" s="76"/>
      <c r="JTQ44" s="76"/>
      <c r="JTR44" s="76"/>
      <c r="JTS44" s="76"/>
      <c r="JTT44" s="76"/>
      <c r="JTU44" s="76"/>
      <c r="JTV44" s="76"/>
      <c r="JTW44" s="76"/>
      <c r="JTX44" s="76"/>
      <c r="JTY44" s="76"/>
      <c r="JTZ44" s="76"/>
      <c r="JUA44" s="76"/>
      <c r="JUB44" s="76"/>
      <c r="JUC44" s="76"/>
      <c r="JUD44" s="76"/>
      <c r="JUE44" s="76"/>
      <c r="JUF44" s="76"/>
      <c r="JUG44" s="76"/>
      <c r="JUH44" s="76"/>
      <c r="JUI44" s="76"/>
      <c r="JUJ44" s="76"/>
      <c r="JUK44" s="76"/>
      <c r="JUL44" s="76"/>
      <c r="JUM44" s="76"/>
      <c r="JUN44" s="76"/>
      <c r="JUO44" s="76"/>
      <c r="JUP44" s="76"/>
      <c r="JUQ44" s="76"/>
      <c r="JUR44" s="76"/>
      <c r="JUS44" s="76"/>
      <c r="JUT44" s="76"/>
      <c r="JUU44" s="76"/>
      <c r="JUV44" s="76"/>
      <c r="JUW44" s="76"/>
      <c r="JUX44" s="76"/>
      <c r="JUY44" s="76"/>
      <c r="JUZ44" s="76"/>
      <c r="JVA44" s="76"/>
      <c r="JVB44" s="76"/>
      <c r="JVC44" s="76"/>
      <c r="JVD44" s="76"/>
      <c r="JVE44" s="76"/>
      <c r="JVF44" s="76"/>
      <c r="JVG44" s="76"/>
      <c r="JVH44" s="76"/>
      <c r="JVI44" s="76"/>
      <c r="JVJ44" s="76"/>
      <c r="JVK44" s="76"/>
      <c r="JVL44" s="76"/>
      <c r="JVM44" s="76"/>
      <c r="JVN44" s="76"/>
      <c r="JVO44" s="76"/>
      <c r="JVP44" s="76"/>
      <c r="JVQ44" s="76"/>
      <c r="JVR44" s="76"/>
      <c r="JVS44" s="76"/>
      <c r="JVT44" s="76"/>
      <c r="JVU44" s="76"/>
      <c r="JVV44" s="76"/>
      <c r="JVW44" s="76"/>
      <c r="JVX44" s="76"/>
      <c r="JVY44" s="76"/>
      <c r="JVZ44" s="76"/>
      <c r="JWA44" s="76"/>
      <c r="JWB44" s="76"/>
      <c r="JWC44" s="76"/>
      <c r="JWD44" s="76"/>
      <c r="JWE44" s="76"/>
      <c r="JWF44" s="76"/>
      <c r="JWG44" s="76"/>
      <c r="JWH44" s="76"/>
      <c r="JWI44" s="76"/>
      <c r="JWJ44" s="76"/>
      <c r="JWK44" s="76"/>
      <c r="JWL44" s="76"/>
      <c r="JWM44" s="76"/>
      <c r="JWN44" s="76"/>
      <c r="JWO44" s="76"/>
      <c r="JWP44" s="76"/>
      <c r="JWQ44" s="76"/>
      <c r="JWR44" s="76"/>
      <c r="JWS44" s="76"/>
      <c r="JWT44" s="76"/>
      <c r="JWU44" s="76"/>
      <c r="JWV44" s="76"/>
      <c r="JWW44" s="76"/>
      <c r="JWX44" s="76"/>
      <c r="JWY44" s="76"/>
      <c r="JWZ44" s="76"/>
      <c r="JXA44" s="76"/>
      <c r="JXB44" s="76"/>
      <c r="JXC44" s="76"/>
      <c r="JXD44" s="76"/>
      <c r="JXE44" s="76"/>
      <c r="JXF44" s="76"/>
      <c r="JXG44" s="76"/>
      <c r="JXH44" s="76"/>
      <c r="JXI44" s="76"/>
      <c r="JXJ44" s="76"/>
      <c r="JXK44" s="76"/>
      <c r="JXL44" s="76"/>
      <c r="JXM44" s="76"/>
      <c r="JXN44" s="76"/>
      <c r="JXO44" s="76"/>
      <c r="JXP44" s="76"/>
      <c r="JXQ44" s="76"/>
      <c r="JXR44" s="76"/>
      <c r="JXS44" s="76"/>
      <c r="JXT44" s="76"/>
      <c r="JXU44" s="76"/>
      <c r="JXV44" s="76"/>
      <c r="JXW44" s="76"/>
      <c r="JXX44" s="76"/>
      <c r="JXY44" s="76"/>
      <c r="JXZ44" s="76"/>
      <c r="JYA44" s="76"/>
      <c r="JYB44" s="76"/>
      <c r="JYC44" s="76"/>
      <c r="JYD44" s="76"/>
      <c r="JYE44" s="76"/>
      <c r="JYF44" s="76"/>
      <c r="JYG44" s="76"/>
      <c r="JYH44" s="76"/>
      <c r="JYI44" s="76"/>
      <c r="JYJ44" s="76"/>
      <c r="JYK44" s="76"/>
      <c r="JYL44" s="76"/>
      <c r="JYM44" s="76"/>
      <c r="JYN44" s="76"/>
      <c r="JYO44" s="76"/>
      <c r="JYP44" s="76"/>
      <c r="JYQ44" s="76"/>
      <c r="JYR44" s="76"/>
      <c r="JYS44" s="76"/>
      <c r="JYT44" s="76"/>
      <c r="JYU44" s="76"/>
      <c r="JYV44" s="76"/>
      <c r="JYW44" s="76"/>
      <c r="JYX44" s="76"/>
      <c r="JYY44" s="76"/>
      <c r="JYZ44" s="76"/>
      <c r="JZA44" s="76"/>
      <c r="JZB44" s="76"/>
      <c r="JZC44" s="76"/>
      <c r="JZD44" s="76"/>
      <c r="JZE44" s="76"/>
      <c r="JZF44" s="76"/>
      <c r="JZG44" s="76"/>
      <c r="JZH44" s="76"/>
      <c r="JZI44" s="76"/>
      <c r="JZJ44" s="76"/>
      <c r="JZK44" s="76"/>
      <c r="JZL44" s="76"/>
      <c r="JZM44" s="76"/>
      <c r="JZN44" s="76"/>
      <c r="JZO44" s="76"/>
      <c r="JZP44" s="76"/>
      <c r="JZQ44" s="76"/>
      <c r="JZR44" s="76"/>
      <c r="JZS44" s="76"/>
      <c r="JZT44" s="76"/>
      <c r="JZU44" s="76"/>
      <c r="JZV44" s="76"/>
      <c r="JZW44" s="76"/>
      <c r="JZX44" s="76"/>
      <c r="JZY44" s="76"/>
      <c r="JZZ44" s="76"/>
      <c r="KAA44" s="76"/>
      <c r="KAB44" s="76"/>
      <c r="KAC44" s="76"/>
      <c r="KAD44" s="76"/>
      <c r="KAE44" s="76"/>
      <c r="KAF44" s="76"/>
      <c r="KAG44" s="76"/>
      <c r="KAH44" s="76"/>
      <c r="KAI44" s="76"/>
      <c r="KAJ44" s="76"/>
      <c r="KAK44" s="76"/>
      <c r="KAL44" s="76"/>
      <c r="KAM44" s="76"/>
      <c r="KAN44" s="76"/>
      <c r="KAO44" s="76"/>
      <c r="KAP44" s="76"/>
      <c r="KAQ44" s="76"/>
      <c r="KAR44" s="76"/>
      <c r="KAS44" s="76"/>
      <c r="KAT44" s="76"/>
      <c r="KAU44" s="76"/>
      <c r="KAV44" s="76"/>
      <c r="KAW44" s="76"/>
      <c r="KAX44" s="76"/>
      <c r="KAY44" s="76"/>
      <c r="KAZ44" s="76"/>
      <c r="KBA44" s="76"/>
      <c r="KBB44" s="76"/>
      <c r="KBC44" s="76"/>
      <c r="KBD44" s="76"/>
      <c r="KBE44" s="76"/>
      <c r="KBF44" s="76"/>
      <c r="KBG44" s="76"/>
      <c r="KBH44" s="76"/>
      <c r="KBI44" s="76"/>
      <c r="KBJ44" s="76"/>
      <c r="KBK44" s="76"/>
      <c r="KBL44" s="76"/>
      <c r="KBM44" s="76"/>
      <c r="KBN44" s="76"/>
      <c r="KBO44" s="76"/>
      <c r="KBP44" s="76"/>
      <c r="KBQ44" s="76"/>
      <c r="KBR44" s="76"/>
      <c r="KBS44" s="76"/>
      <c r="KBT44" s="76"/>
      <c r="KBU44" s="76"/>
      <c r="KBV44" s="76"/>
      <c r="KBW44" s="76"/>
      <c r="KBX44" s="76"/>
      <c r="KBY44" s="76"/>
      <c r="KBZ44" s="76"/>
      <c r="KCA44" s="76"/>
      <c r="KCB44" s="76"/>
      <c r="KCC44" s="76"/>
      <c r="KCD44" s="76"/>
      <c r="KCE44" s="76"/>
      <c r="KCF44" s="76"/>
      <c r="KCG44" s="76"/>
      <c r="KCH44" s="76"/>
      <c r="KCI44" s="76"/>
      <c r="KCJ44" s="76"/>
      <c r="KCK44" s="76"/>
      <c r="KCL44" s="76"/>
      <c r="KCM44" s="76"/>
      <c r="KCN44" s="76"/>
      <c r="KCO44" s="76"/>
      <c r="KCP44" s="76"/>
      <c r="KCQ44" s="76"/>
      <c r="KCR44" s="76"/>
      <c r="KCS44" s="76"/>
      <c r="KCT44" s="76"/>
      <c r="KCU44" s="76"/>
      <c r="KCV44" s="76"/>
      <c r="KCW44" s="76"/>
      <c r="KCX44" s="76"/>
      <c r="KCY44" s="76"/>
      <c r="KCZ44" s="76"/>
      <c r="KDA44" s="76"/>
      <c r="KDB44" s="76"/>
      <c r="KDC44" s="76"/>
      <c r="KDD44" s="76"/>
      <c r="KDE44" s="76"/>
      <c r="KDF44" s="76"/>
      <c r="KDG44" s="76"/>
      <c r="KDH44" s="76"/>
      <c r="KDI44" s="76"/>
      <c r="KDJ44" s="76"/>
      <c r="KDK44" s="76"/>
      <c r="KDL44" s="76"/>
      <c r="KDM44" s="76"/>
      <c r="KDN44" s="76"/>
      <c r="KDO44" s="76"/>
      <c r="KDP44" s="76"/>
      <c r="KDQ44" s="76"/>
      <c r="KDR44" s="76"/>
      <c r="KDS44" s="76"/>
      <c r="KDT44" s="76"/>
      <c r="KDU44" s="76"/>
      <c r="KDV44" s="76"/>
      <c r="KDW44" s="76"/>
      <c r="KDX44" s="76"/>
      <c r="KDY44" s="76"/>
      <c r="KDZ44" s="76"/>
      <c r="KEA44" s="76"/>
      <c r="KEB44" s="76"/>
      <c r="KEC44" s="76"/>
      <c r="KED44" s="76"/>
      <c r="KEE44" s="76"/>
      <c r="KEF44" s="76"/>
      <c r="KEG44" s="76"/>
      <c r="KEH44" s="76"/>
      <c r="KEI44" s="76"/>
      <c r="KEJ44" s="76"/>
      <c r="KEK44" s="76"/>
      <c r="KEL44" s="76"/>
      <c r="KEM44" s="76"/>
      <c r="KEN44" s="76"/>
      <c r="KEO44" s="76"/>
      <c r="KEP44" s="76"/>
      <c r="KEQ44" s="76"/>
      <c r="KER44" s="76"/>
      <c r="KES44" s="76"/>
      <c r="KET44" s="76"/>
      <c r="KEU44" s="76"/>
      <c r="KEV44" s="76"/>
      <c r="KEW44" s="76"/>
      <c r="KEX44" s="76"/>
      <c r="KEY44" s="76"/>
      <c r="KEZ44" s="76"/>
      <c r="KFA44" s="76"/>
      <c r="KFB44" s="76"/>
      <c r="KFC44" s="76"/>
      <c r="KFD44" s="76"/>
      <c r="KFE44" s="76"/>
      <c r="KFF44" s="76"/>
      <c r="KFG44" s="76"/>
      <c r="KFH44" s="76"/>
      <c r="KFI44" s="76"/>
      <c r="KFJ44" s="76"/>
      <c r="KFK44" s="76"/>
      <c r="KFL44" s="76"/>
      <c r="KFM44" s="76"/>
      <c r="KFN44" s="76"/>
      <c r="KFO44" s="76"/>
      <c r="KFP44" s="76"/>
      <c r="KFQ44" s="76"/>
      <c r="KFR44" s="76"/>
      <c r="KFS44" s="76"/>
      <c r="KFT44" s="76"/>
      <c r="KFU44" s="76"/>
      <c r="KFV44" s="76"/>
      <c r="KFW44" s="76"/>
      <c r="KFX44" s="76"/>
      <c r="KFY44" s="76"/>
      <c r="KFZ44" s="76"/>
      <c r="KGA44" s="76"/>
      <c r="KGB44" s="76"/>
      <c r="KGC44" s="76"/>
      <c r="KGD44" s="76"/>
      <c r="KGE44" s="76"/>
      <c r="KGF44" s="76"/>
      <c r="KGG44" s="76"/>
      <c r="KGH44" s="76"/>
      <c r="KGI44" s="76"/>
      <c r="KGJ44" s="76"/>
      <c r="KGK44" s="76"/>
      <c r="KGL44" s="76"/>
      <c r="KGM44" s="76"/>
      <c r="KGN44" s="76"/>
      <c r="KGO44" s="76"/>
      <c r="KGP44" s="76"/>
      <c r="KGQ44" s="76"/>
      <c r="KGR44" s="76"/>
      <c r="KGS44" s="76"/>
      <c r="KGT44" s="76"/>
      <c r="KGU44" s="76"/>
      <c r="KGV44" s="76"/>
      <c r="KGW44" s="76"/>
      <c r="KGX44" s="76"/>
      <c r="KGY44" s="76"/>
      <c r="KGZ44" s="76"/>
      <c r="KHA44" s="76"/>
      <c r="KHB44" s="76"/>
      <c r="KHC44" s="76"/>
      <c r="KHD44" s="76"/>
      <c r="KHE44" s="76"/>
      <c r="KHF44" s="76"/>
      <c r="KHG44" s="76"/>
      <c r="KHH44" s="76"/>
      <c r="KHI44" s="76"/>
      <c r="KHJ44" s="76"/>
      <c r="KHK44" s="76"/>
      <c r="KHL44" s="76"/>
      <c r="KHM44" s="76"/>
      <c r="KHN44" s="76"/>
      <c r="KHO44" s="76"/>
      <c r="KHP44" s="76"/>
      <c r="KHQ44" s="76"/>
      <c r="KHR44" s="76"/>
      <c r="KHS44" s="76"/>
      <c r="KHT44" s="76"/>
      <c r="KHU44" s="76"/>
      <c r="KHV44" s="76"/>
      <c r="KHW44" s="76"/>
      <c r="KHX44" s="76"/>
      <c r="KHY44" s="76"/>
      <c r="KHZ44" s="76"/>
      <c r="KIA44" s="76"/>
      <c r="KIB44" s="76"/>
      <c r="KIC44" s="76"/>
      <c r="KID44" s="76"/>
      <c r="KIE44" s="76"/>
      <c r="KIF44" s="76"/>
      <c r="KIG44" s="76"/>
      <c r="KIH44" s="76"/>
      <c r="KII44" s="76"/>
      <c r="KIJ44" s="76"/>
      <c r="KIK44" s="76"/>
      <c r="KIL44" s="76"/>
      <c r="KIM44" s="76"/>
      <c r="KIN44" s="76"/>
      <c r="KIO44" s="76"/>
      <c r="KIP44" s="76"/>
      <c r="KIQ44" s="76"/>
      <c r="KIR44" s="76"/>
      <c r="KIS44" s="76"/>
      <c r="KIT44" s="76"/>
      <c r="KIU44" s="76"/>
      <c r="KIV44" s="76"/>
      <c r="KIW44" s="76"/>
      <c r="KIX44" s="76"/>
      <c r="KIY44" s="76"/>
      <c r="KIZ44" s="76"/>
      <c r="KJA44" s="76"/>
      <c r="KJB44" s="76"/>
      <c r="KJC44" s="76"/>
      <c r="KJD44" s="76"/>
      <c r="KJE44" s="76"/>
      <c r="KJF44" s="76"/>
      <c r="KJG44" s="76"/>
      <c r="KJH44" s="76"/>
      <c r="KJI44" s="76"/>
      <c r="KJJ44" s="76"/>
      <c r="KJK44" s="76"/>
      <c r="KJL44" s="76"/>
      <c r="KJM44" s="76"/>
      <c r="KJN44" s="76"/>
      <c r="KJO44" s="76"/>
      <c r="KJP44" s="76"/>
      <c r="KJQ44" s="76"/>
      <c r="KJR44" s="76"/>
      <c r="KJS44" s="76"/>
      <c r="KJT44" s="76"/>
      <c r="KJU44" s="76"/>
      <c r="KJV44" s="76"/>
      <c r="KJW44" s="76"/>
      <c r="KJX44" s="76"/>
      <c r="KJY44" s="76"/>
      <c r="KJZ44" s="76"/>
      <c r="KKA44" s="76"/>
      <c r="KKB44" s="76"/>
      <c r="KKC44" s="76"/>
      <c r="KKD44" s="76"/>
      <c r="KKE44" s="76"/>
      <c r="KKF44" s="76"/>
      <c r="KKG44" s="76"/>
      <c r="KKH44" s="76"/>
      <c r="KKI44" s="76"/>
      <c r="KKJ44" s="76"/>
      <c r="KKK44" s="76"/>
      <c r="KKL44" s="76"/>
      <c r="KKM44" s="76"/>
      <c r="KKN44" s="76"/>
      <c r="KKO44" s="76"/>
      <c r="KKP44" s="76"/>
      <c r="KKQ44" s="76"/>
      <c r="KKR44" s="76"/>
      <c r="KKS44" s="76"/>
      <c r="KKT44" s="76"/>
      <c r="KKU44" s="76"/>
      <c r="KKV44" s="76"/>
      <c r="KKW44" s="76"/>
      <c r="KKX44" s="76"/>
      <c r="KKY44" s="76"/>
      <c r="KKZ44" s="76"/>
      <c r="KLA44" s="76"/>
      <c r="KLB44" s="76"/>
      <c r="KLC44" s="76"/>
      <c r="KLD44" s="76"/>
      <c r="KLE44" s="76"/>
      <c r="KLF44" s="76"/>
      <c r="KLG44" s="76"/>
      <c r="KLH44" s="76"/>
      <c r="KLI44" s="76"/>
      <c r="KLJ44" s="76"/>
      <c r="KLK44" s="76"/>
      <c r="KLL44" s="76"/>
      <c r="KLM44" s="76"/>
      <c r="KLN44" s="76"/>
      <c r="KLO44" s="76"/>
      <c r="KLP44" s="76"/>
      <c r="KLQ44" s="76"/>
      <c r="KLR44" s="76"/>
      <c r="KLS44" s="76"/>
      <c r="KLT44" s="76"/>
      <c r="KLU44" s="76"/>
      <c r="KLV44" s="76"/>
      <c r="KLW44" s="76"/>
      <c r="KLX44" s="76"/>
      <c r="KLY44" s="76"/>
      <c r="KLZ44" s="76"/>
      <c r="KMA44" s="76"/>
      <c r="KMB44" s="76"/>
      <c r="KMC44" s="76"/>
      <c r="KMD44" s="76"/>
      <c r="KME44" s="76"/>
      <c r="KMF44" s="76"/>
      <c r="KMG44" s="76"/>
      <c r="KMH44" s="76"/>
      <c r="KMI44" s="76"/>
      <c r="KMJ44" s="76"/>
      <c r="KMK44" s="76"/>
      <c r="KML44" s="76"/>
      <c r="KMM44" s="76"/>
      <c r="KMN44" s="76"/>
      <c r="KMO44" s="76"/>
      <c r="KMP44" s="76"/>
      <c r="KMQ44" s="76"/>
      <c r="KMR44" s="76"/>
      <c r="KMS44" s="76"/>
      <c r="KMT44" s="76"/>
      <c r="KMU44" s="76"/>
      <c r="KMV44" s="76"/>
      <c r="KMW44" s="76"/>
      <c r="KMX44" s="76"/>
      <c r="KMY44" s="76"/>
      <c r="KMZ44" s="76"/>
      <c r="KNA44" s="76"/>
      <c r="KNB44" s="76"/>
      <c r="KNC44" s="76"/>
      <c r="KND44" s="76"/>
      <c r="KNE44" s="76"/>
      <c r="KNF44" s="76"/>
      <c r="KNG44" s="76"/>
      <c r="KNH44" s="76"/>
      <c r="KNI44" s="76"/>
      <c r="KNJ44" s="76"/>
      <c r="KNK44" s="76"/>
      <c r="KNL44" s="76"/>
      <c r="KNM44" s="76"/>
      <c r="KNN44" s="76"/>
      <c r="KNO44" s="76"/>
      <c r="KNP44" s="76"/>
      <c r="KNQ44" s="76"/>
      <c r="KNR44" s="76"/>
      <c r="KNS44" s="76"/>
      <c r="KNT44" s="76"/>
      <c r="KNU44" s="76"/>
      <c r="KNV44" s="76"/>
      <c r="KNW44" s="76"/>
      <c r="KNX44" s="76"/>
      <c r="KNY44" s="76"/>
      <c r="KNZ44" s="76"/>
      <c r="KOA44" s="76"/>
      <c r="KOB44" s="76"/>
      <c r="KOC44" s="76"/>
      <c r="KOD44" s="76"/>
      <c r="KOE44" s="76"/>
      <c r="KOF44" s="76"/>
      <c r="KOG44" s="76"/>
      <c r="KOH44" s="76"/>
      <c r="KOI44" s="76"/>
      <c r="KOJ44" s="76"/>
      <c r="KOK44" s="76"/>
      <c r="KOL44" s="76"/>
      <c r="KOM44" s="76"/>
      <c r="KON44" s="76"/>
      <c r="KOO44" s="76"/>
      <c r="KOP44" s="76"/>
      <c r="KOQ44" s="76"/>
      <c r="KOR44" s="76"/>
      <c r="KOS44" s="76"/>
      <c r="KOT44" s="76"/>
      <c r="KOU44" s="76"/>
      <c r="KOV44" s="76"/>
      <c r="KOW44" s="76"/>
      <c r="KOX44" s="76"/>
      <c r="KOY44" s="76"/>
      <c r="KOZ44" s="76"/>
      <c r="KPA44" s="76"/>
      <c r="KPB44" s="76"/>
      <c r="KPC44" s="76"/>
      <c r="KPD44" s="76"/>
      <c r="KPE44" s="76"/>
      <c r="KPF44" s="76"/>
      <c r="KPG44" s="76"/>
      <c r="KPH44" s="76"/>
      <c r="KPI44" s="76"/>
      <c r="KPJ44" s="76"/>
      <c r="KPK44" s="76"/>
      <c r="KPL44" s="76"/>
      <c r="KPM44" s="76"/>
      <c r="KPN44" s="76"/>
      <c r="KPO44" s="76"/>
      <c r="KPP44" s="76"/>
      <c r="KPQ44" s="76"/>
      <c r="KPR44" s="76"/>
      <c r="KPS44" s="76"/>
      <c r="KPT44" s="76"/>
      <c r="KPU44" s="76"/>
      <c r="KPV44" s="76"/>
      <c r="KPW44" s="76"/>
      <c r="KPX44" s="76"/>
      <c r="KPY44" s="76"/>
      <c r="KPZ44" s="76"/>
      <c r="KQA44" s="76"/>
      <c r="KQB44" s="76"/>
      <c r="KQC44" s="76"/>
      <c r="KQD44" s="76"/>
      <c r="KQE44" s="76"/>
      <c r="KQF44" s="76"/>
      <c r="KQG44" s="76"/>
      <c r="KQH44" s="76"/>
      <c r="KQI44" s="76"/>
      <c r="KQJ44" s="76"/>
      <c r="KQK44" s="76"/>
      <c r="KQL44" s="76"/>
      <c r="KQM44" s="76"/>
      <c r="KQN44" s="76"/>
      <c r="KQO44" s="76"/>
      <c r="KQP44" s="76"/>
      <c r="KQQ44" s="76"/>
      <c r="KQR44" s="76"/>
      <c r="KQS44" s="76"/>
      <c r="KQT44" s="76"/>
      <c r="KQU44" s="76"/>
      <c r="KQV44" s="76"/>
      <c r="KQW44" s="76"/>
      <c r="KQX44" s="76"/>
      <c r="KQY44" s="76"/>
      <c r="KQZ44" s="76"/>
      <c r="KRA44" s="76"/>
      <c r="KRB44" s="76"/>
      <c r="KRC44" s="76"/>
      <c r="KRD44" s="76"/>
      <c r="KRE44" s="76"/>
      <c r="KRF44" s="76"/>
      <c r="KRG44" s="76"/>
      <c r="KRH44" s="76"/>
      <c r="KRI44" s="76"/>
      <c r="KRJ44" s="76"/>
      <c r="KRK44" s="76"/>
      <c r="KRL44" s="76"/>
      <c r="KRM44" s="76"/>
      <c r="KRN44" s="76"/>
      <c r="KRO44" s="76"/>
      <c r="KRP44" s="76"/>
      <c r="KRQ44" s="76"/>
      <c r="KRR44" s="76"/>
      <c r="KRS44" s="76"/>
      <c r="KRT44" s="76"/>
      <c r="KRU44" s="76"/>
      <c r="KRV44" s="76"/>
      <c r="KRW44" s="76"/>
      <c r="KRX44" s="76"/>
      <c r="KRY44" s="76"/>
      <c r="KRZ44" s="76"/>
      <c r="KSA44" s="76"/>
      <c r="KSB44" s="76"/>
      <c r="KSC44" s="76"/>
      <c r="KSD44" s="76"/>
      <c r="KSE44" s="76"/>
      <c r="KSF44" s="76"/>
      <c r="KSG44" s="76"/>
      <c r="KSH44" s="76"/>
      <c r="KSI44" s="76"/>
      <c r="KSJ44" s="76"/>
      <c r="KSK44" s="76"/>
      <c r="KSL44" s="76"/>
      <c r="KSM44" s="76"/>
      <c r="KSN44" s="76"/>
      <c r="KSO44" s="76"/>
      <c r="KSP44" s="76"/>
      <c r="KSQ44" s="76"/>
      <c r="KSR44" s="76"/>
      <c r="KSS44" s="76"/>
      <c r="KST44" s="76"/>
      <c r="KSU44" s="76"/>
      <c r="KSV44" s="76"/>
      <c r="KSW44" s="76"/>
      <c r="KSX44" s="76"/>
      <c r="KSY44" s="76"/>
      <c r="KSZ44" s="76"/>
      <c r="KTA44" s="76"/>
      <c r="KTB44" s="76"/>
      <c r="KTC44" s="76"/>
      <c r="KTD44" s="76"/>
      <c r="KTE44" s="76"/>
      <c r="KTF44" s="76"/>
      <c r="KTG44" s="76"/>
      <c r="KTH44" s="76"/>
      <c r="KTI44" s="76"/>
      <c r="KTJ44" s="76"/>
      <c r="KTK44" s="76"/>
      <c r="KTL44" s="76"/>
      <c r="KTM44" s="76"/>
      <c r="KTN44" s="76"/>
      <c r="KTO44" s="76"/>
      <c r="KTP44" s="76"/>
      <c r="KTQ44" s="76"/>
      <c r="KTR44" s="76"/>
      <c r="KTS44" s="76"/>
      <c r="KTT44" s="76"/>
      <c r="KTU44" s="76"/>
      <c r="KTV44" s="76"/>
      <c r="KTW44" s="76"/>
      <c r="KTX44" s="76"/>
      <c r="KTY44" s="76"/>
      <c r="KTZ44" s="76"/>
      <c r="KUA44" s="76"/>
      <c r="KUB44" s="76"/>
      <c r="KUC44" s="76"/>
      <c r="KUD44" s="76"/>
      <c r="KUE44" s="76"/>
      <c r="KUF44" s="76"/>
      <c r="KUG44" s="76"/>
      <c r="KUH44" s="76"/>
      <c r="KUI44" s="76"/>
      <c r="KUJ44" s="76"/>
      <c r="KUK44" s="76"/>
      <c r="KUL44" s="76"/>
      <c r="KUM44" s="76"/>
      <c r="KUN44" s="76"/>
      <c r="KUO44" s="76"/>
      <c r="KUP44" s="76"/>
      <c r="KUQ44" s="76"/>
      <c r="KUR44" s="76"/>
      <c r="KUS44" s="76"/>
      <c r="KUT44" s="76"/>
      <c r="KUU44" s="76"/>
      <c r="KUV44" s="76"/>
      <c r="KUW44" s="76"/>
      <c r="KUX44" s="76"/>
      <c r="KUY44" s="76"/>
      <c r="KUZ44" s="76"/>
      <c r="KVA44" s="76"/>
      <c r="KVB44" s="76"/>
      <c r="KVC44" s="76"/>
      <c r="KVD44" s="76"/>
      <c r="KVE44" s="76"/>
      <c r="KVF44" s="76"/>
      <c r="KVG44" s="76"/>
      <c r="KVH44" s="76"/>
      <c r="KVI44" s="76"/>
      <c r="KVJ44" s="76"/>
      <c r="KVK44" s="76"/>
      <c r="KVL44" s="76"/>
      <c r="KVM44" s="76"/>
      <c r="KVN44" s="76"/>
      <c r="KVO44" s="76"/>
      <c r="KVP44" s="76"/>
      <c r="KVQ44" s="76"/>
      <c r="KVR44" s="76"/>
      <c r="KVS44" s="76"/>
      <c r="KVT44" s="76"/>
      <c r="KVU44" s="76"/>
      <c r="KVV44" s="76"/>
      <c r="KVW44" s="76"/>
      <c r="KVX44" s="76"/>
      <c r="KVY44" s="76"/>
      <c r="KVZ44" s="76"/>
      <c r="KWA44" s="76"/>
      <c r="KWB44" s="76"/>
      <c r="KWC44" s="76"/>
      <c r="KWD44" s="76"/>
      <c r="KWE44" s="76"/>
      <c r="KWF44" s="76"/>
      <c r="KWG44" s="76"/>
      <c r="KWH44" s="76"/>
      <c r="KWI44" s="76"/>
      <c r="KWJ44" s="76"/>
      <c r="KWK44" s="76"/>
      <c r="KWL44" s="76"/>
      <c r="KWM44" s="76"/>
      <c r="KWN44" s="76"/>
      <c r="KWO44" s="76"/>
      <c r="KWP44" s="76"/>
      <c r="KWQ44" s="76"/>
      <c r="KWR44" s="76"/>
      <c r="KWS44" s="76"/>
      <c r="KWT44" s="76"/>
      <c r="KWU44" s="76"/>
      <c r="KWV44" s="76"/>
      <c r="KWW44" s="76"/>
      <c r="KWX44" s="76"/>
      <c r="KWY44" s="76"/>
      <c r="KWZ44" s="76"/>
      <c r="KXA44" s="76"/>
      <c r="KXB44" s="76"/>
      <c r="KXC44" s="76"/>
      <c r="KXD44" s="76"/>
      <c r="KXE44" s="76"/>
      <c r="KXF44" s="76"/>
      <c r="KXG44" s="76"/>
      <c r="KXH44" s="76"/>
      <c r="KXI44" s="76"/>
      <c r="KXJ44" s="76"/>
      <c r="KXK44" s="76"/>
      <c r="KXL44" s="76"/>
      <c r="KXM44" s="76"/>
      <c r="KXN44" s="76"/>
      <c r="KXO44" s="76"/>
      <c r="KXP44" s="76"/>
      <c r="KXQ44" s="76"/>
      <c r="KXR44" s="76"/>
      <c r="KXS44" s="76"/>
      <c r="KXT44" s="76"/>
      <c r="KXU44" s="76"/>
      <c r="KXV44" s="76"/>
      <c r="KXW44" s="76"/>
      <c r="KXX44" s="76"/>
      <c r="KXY44" s="76"/>
      <c r="KXZ44" s="76"/>
      <c r="KYA44" s="76"/>
      <c r="KYB44" s="76"/>
      <c r="KYC44" s="76"/>
      <c r="KYD44" s="76"/>
      <c r="KYE44" s="76"/>
      <c r="KYF44" s="76"/>
      <c r="KYG44" s="76"/>
      <c r="KYH44" s="76"/>
      <c r="KYI44" s="76"/>
      <c r="KYJ44" s="76"/>
      <c r="KYK44" s="76"/>
      <c r="KYL44" s="76"/>
      <c r="KYM44" s="76"/>
      <c r="KYN44" s="76"/>
      <c r="KYO44" s="76"/>
      <c r="KYP44" s="76"/>
      <c r="KYQ44" s="76"/>
      <c r="KYR44" s="76"/>
      <c r="KYS44" s="76"/>
      <c r="KYT44" s="76"/>
      <c r="KYU44" s="76"/>
      <c r="KYV44" s="76"/>
      <c r="KYW44" s="76"/>
      <c r="KYX44" s="76"/>
      <c r="KYY44" s="76"/>
      <c r="KYZ44" s="76"/>
      <c r="KZA44" s="76"/>
      <c r="KZB44" s="76"/>
      <c r="KZC44" s="76"/>
      <c r="KZD44" s="76"/>
      <c r="KZE44" s="76"/>
      <c r="KZF44" s="76"/>
      <c r="KZG44" s="76"/>
      <c r="KZH44" s="76"/>
      <c r="KZI44" s="76"/>
      <c r="KZJ44" s="76"/>
      <c r="KZK44" s="76"/>
      <c r="KZL44" s="76"/>
      <c r="KZM44" s="76"/>
      <c r="KZN44" s="76"/>
      <c r="KZO44" s="76"/>
      <c r="KZP44" s="76"/>
      <c r="KZQ44" s="76"/>
      <c r="KZR44" s="76"/>
      <c r="KZS44" s="76"/>
      <c r="KZT44" s="76"/>
      <c r="KZU44" s="76"/>
      <c r="KZV44" s="76"/>
      <c r="KZW44" s="76"/>
      <c r="KZX44" s="76"/>
      <c r="KZY44" s="76"/>
      <c r="KZZ44" s="76"/>
      <c r="LAA44" s="76"/>
      <c r="LAB44" s="76"/>
      <c r="LAC44" s="76"/>
      <c r="LAD44" s="76"/>
      <c r="LAE44" s="76"/>
      <c r="LAF44" s="76"/>
      <c r="LAG44" s="76"/>
      <c r="LAH44" s="76"/>
      <c r="LAI44" s="76"/>
      <c r="LAJ44" s="76"/>
      <c r="LAK44" s="76"/>
      <c r="LAL44" s="76"/>
      <c r="LAM44" s="76"/>
      <c r="LAN44" s="76"/>
      <c r="LAO44" s="76"/>
      <c r="LAP44" s="76"/>
      <c r="LAQ44" s="76"/>
      <c r="LAR44" s="76"/>
      <c r="LAS44" s="76"/>
      <c r="LAT44" s="76"/>
      <c r="LAU44" s="76"/>
      <c r="LAV44" s="76"/>
      <c r="LAW44" s="76"/>
      <c r="LAX44" s="76"/>
      <c r="LAY44" s="76"/>
      <c r="LAZ44" s="76"/>
      <c r="LBA44" s="76"/>
      <c r="LBB44" s="76"/>
      <c r="LBC44" s="76"/>
      <c r="LBD44" s="76"/>
      <c r="LBE44" s="76"/>
      <c r="LBF44" s="76"/>
      <c r="LBG44" s="76"/>
      <c r="LBH44" s="76"/>
      <c r="LBI44" s="76"/>
      <c r="LBJ44" s="76"/>
      <c r="LBK44" s="76"/>
      <c r="LBL44" s="76"/>
      <c r="LBM44" s="76"/>
      <c r="LBN44" s="76"/>
      <c r="LBO44" s="76"/>
      <c r="LBP44" s="76"/>
      <c r="LBQ44" s="76"/>
      <c r="LBR44" s="76"/>
      <c r="LBS44" s="76"/>
      <c r="LBT44" s="76"/>
      <c r="LBU44" s="76"/>
      <c r="LBV44" s="76"/>
      <c r="LBW44" s="76"/>
      <c r="LBX44" s="76"/>
      <c r="LBY44" s="76"/>
      <c r="LBZ44" s="76"/>
      <c r="LCA44" s="76"/>
      <c r="LCB44" s="76"/>
      <c r="LCC44" s="76"/>
      <c r="LCD44" s="76"/>
      <c r="LCE44" s="76"/>
      <c r="LCF44" s="76"/>
      <c r="LCG44" s="76"/>
      <c r="LCH44" s="76"/>
      <c r="LCI44" s="76"/>
      <c r="LCJ44" s="76"/>
      <c r="LCK44" s="76"/>
      <c r="LCL44" s="76"/>
      <c r="LCM44" s="76"/>
      <c r="LCN44" s="76"/>
      <c r="LCO44" s="76"/>
      <c r="LCP44" s="76"/>
      <c r="LCQ44" s="76"/>
      <c r="LCR44" s="76"/>
      <c r="LCS44" s="76"/>
      <c r="LCT44" s="76"/>
      <c r="LCU44" s="76"/>
      <c r="LCV44" s="76"/>
      <c r="LCW44" s="76"/>
      <c r="LCX44" s="76"/>
      <c r="LCY44" s="76"/>
      <c r="LCZ44" s="76"/>
      <c r="LDA44" s="76"/>
      <c r="LDB44" s="76"/>
      <c r="LDC44" s="76"/>
      <c r="LDD44" s="76"/>
      <c r="LDE44" s="76"/>
      <c r="LDF44" s="76"/>
      <c r="LDG44" s="76"/>
      <c r="LDH44" s="76"/>
      <c r="LDI44" s="76"/>
      <c r="LDJ44" s="76"/>
      <c r="LDK44" s="76"/>
      <c r="LDL44" s="76"/>
      <c r="LDM44" s="76"/>
      <c r="LDN44" s="76"/>
      <c r="LDO44" s="76"/>
      <c r="LDP44" s="76"/>
      <c r="LDQ44" s="76"/>
      <c r="LDR44" s="76"/>
      <c r="LDS44" s="76"/>
      <c r="LDT44" s="76"/>
      <c r="LDU44" s="76"/>
      <c r="LDV44" s="76"/>
      <c r="LDW44" s="76"/>
      <c r="LDX44" s="76"/>
      <c r="LDY44" s="76"/>
      <c r="LDZ44" s="76"/>
      <c r="LEA44" s="76"/>
      <c r="LEB44" s="76"/>
      <c r="LEC44" s="76"/>
      <c r="LED44" s="76"/>
      <c r="LEE44" s="76"/>
      <c r="LEF44" s="76"/>
      <c r="LEG44" s="76"/>
      <c r="LEH44" s="76"/>
      <c r="LEI44" s="76"/>
      <c r="LEJ44" s="76"/>
      <c r="LEK44" s="76"/>
      <c r="LEL44" s="76"/>
      <c r="LEM44" s="76"/>
      <c r="LEN44" s="76"/>
      <c r="LEO44" s="76"/>
      <c r="LEP44" s="76"/>
      <c r="LEQ44" s="76"/>
      <c r="LER44" s="76"/>
      <c r="LES44" s="76"/>
      <c r="LET44" s="76"/>
      <c r="LEU44" s="76"/>
      <c r="LEV44" s="76"/>
      <c r="LEW44" s="76"/>
      <c r="LEX44" s="76"/>
      <c r="LEY44" s="76"/>
      <c r="LEZ44" s="76"/>
      <c r="LFA44" s="76"/>
      <c r="LFB44" s="76"/>
      <c r="LFC44" s="76"/>
      <c r="LFD44" s="76"/>
      <c r="LFE44" s="76"/>
      <c r="LFF44" s="76"/>
      <c r="LFG44" s="76"/>
      <c r="LFH44" s="76"/>
      <c r="LFI44" s="76"/>
      <c r="LFJ44" s="76"/>
      <c r="LFK44" s="76"/>
      <c r="LFL44" s="76"/>
      <c r="LFM44" s="76"/>
      <c r="LFN44" s="76"/>
      <c r="LFO44" s="76"/>
      <c r="LFP44" s="76"/>
      <c r="LFQ44" s="76"/>
      <c r="LFR44" s="76"/>
      <c r="LFS44" s="76"/>
      <c r="LFT44" s="76"/>
      <c r="LFU44" s="76"/>
      <c r="LFV44" s="76"/>
      <c r="LFW44" s="76"/>
      <c r="LFX44" s="76"/>
      <c r="LFY44" s="76"/>
      <c r="LFZ44" s="76"/>
      <c r="LGA44" s="76"/>
      <c r="LGB44" s="76"/>
      <c r="LGC44" s="76"/>
      <c r="LGD44" s="76"/>
      <c r="LGE44" s="76"/>
      <c r="LGF44" s="76"/>
      <c r="LGG44" s="76"/>
      <c r="LGH44" s="76"/>
      <c r="LGI44" s="76"/>
      <c r="LGJ44" s="76"/>
      <c r="LGK44" s="76"/>
      <c r="LGL44" s="76"/>
      <c r="LGM44" s="76"/>
      <c r="LGN44" s="76"/>
      <c r="LGO44" s="76"/>
      <c r="LGP44" s="76"/>
      <c r="LGQ44" s="76"/>
      <c r="LGR44" s="76"/>
      <c r="LGS44" s="76"/>
      <c r="LGT44" s="76"/>
      <c r="LGU44" s="76"/>
      <c r="LGV44" s="76"/>
      <c r="LGW44" s="76"/>
      <c r="LGX44" s="76"/>
      <c r="LGY44" s="76"/>
      <c r="LGZ44" s="76"/>
      <c r="LHA44" s="76"/>
      <c r="LHB44" s="76"/>
      <c r="LHC44" s="76"/>
      <c r="LHD44" s="76"/>
      <c r="LHE44" s="76"/>
      <c r="LHF44" s="76"/>
      <c r="LHG44" s="76"/>
      <c r="LHH44" s="76"/>
      <c r="LHI44" s="76"/>
      <c r="LHJ44" s="76"/>
      <c r="LHK44" s="76"/>
      <c r="LHL44" s="76"/>
      <c r="LHM44" s="76"/>
      <c r="LHN44" s="76"/>
      <c r="LHO44" s="76"/>
      <c r="LHP44" s="76"/>
      <c r="LHQ44" s="76"/>
      <c r="LHR44" s="76"/>
      <c r="LHS44" s="76"/>
      <c r="LHT44" s="76"/>
      <c r="LHU44" s="76"/>
      <c r="LHV44" s="76"/>
      <c r="LHW44" s="76"/>
      <c r="LHX44" s="76"/>
      <c r="LHY44" s="76"/>
      <c r="LHZ44" s="76"/>
      <c r="LIA44" s="76"/>
      <c r="LIB44" s="76"/>
      <c r="LIC44" s="76"/>
      <c r="LID44" s="76"/>
      <c r="LIE44" s="76"/>
      <c r="LIF44" s="76"/>
      <c r="LIG44" s="76"/>
      <c r="LIH44" s="76"/>
      <c r="LII44" s="76"/>
      <c r="LIJ44" s="76"/>
      <c r="LIK44" s="76"/>
      <c r="LIL44" s="76"/>
      <c r="LIM44" s="76"/>
      <c r="LIN44" s="76"/>
      <c r="LIO44" s="76"/>
      <c r="LIP44" s="76"/>
      <c r="LIQ44" s="76"/>
      <c r="LIR44" s="76"/>
      <c r="LIS44" s="76"/>
      <c r="LIT44" s="76"/>
      <c r="LIU44" s="76"/>
      <c r="LIV44" s="76"/>
      <c r="LIW44" s="76"/>
      <c r="LIX44" s="76"/>
      <c r="LIY44" s="76"/>
      <c r="LIZ44" s="76"/>
      <c r="LJA44" s="76"/>
      <c r="LJB44" s="76"/>
      <c r="LJC44" s="76"/>
      <c r="LJD44" s="76"/>
      <c r="LJE44" s="76"/>
      <c r="LJF44" s="76"/>
      <c r="LJG44" s="76"/>
      <c r="LJH44" s="76"/>
      <c r="LJI44" s="76"/>
      <c r="LJJ44" s="76"/>
      <c r="LJK44" s="76"/>
      <c r="LJL44" s="76"/>
      <c r="LJM44" s="76"/>
      <c r="LJN44" s="76"/>
      <c r="LJO44" s="76"/>
      <c r="LJP44" s="76"/>
      <c r="LJQ44" s="76"/>
      <c r="LJR44" s="76"/>
      <c r="LJS44" s="76"/>
      <c r="LJT44" s="76"/>
      <c r="LJU44" s="76"/>
      <c r="LJV44" s="76"/>
      <c r="LJW44" s="76"/>
      <c r="LJX44" s="76"/>
      <c r="LJY44" s="76"/>
      <c r="LJZ44" s="76"/>
      <c r="LKA44" s="76"/>
      <c r="LKB44" s="76"/>
      <c r="LKC44" s="76"/>
      <c r="LKD44" s="76"/>
      <c r="LKE44" s="76"/>
      <c r="LKF44" s="76"/>
      <c r="LKG44" s="76"/>
      <c r="LKH44" s="76"/>
      <c r="LKI44" s="76"/>
      <c r="LKJ44" s="76"/>
      <c r="LKK44" s="76"/>
      <c r="LKL44" s="76"/>
      <c r="LKM44" s="76"/>
      <c r="LKN44" s="76"/>
      <c r="LKO44" s="76"/>
      <c r="LKP44" s="76"/>
      <c r="LKQ44" s="76"/>
      <c r="LKR44" s="76"/>
      <c r="LKS44" s="76"/>
      <c r="LKT44" s="76"/>
      <c r="LKU44" s="76"/>
      <c r="LKV44" s="76"/>
      <c r="LKW44" s="76"/>
      <c r="LKX44" s="76"/>
      <c r="LKY44" s="76"/>
      <c r="LKZ44" s="76"/>
      <c r="LLA44" s="76"/>
      <c r="LLB44" s="76"/>
      <c r="LLC44" s="76"/>
      <c r="LLD44" s="76"/>
      <c r="LLE44" s="76"/>
      <c r="LLF44" s="76"/>
      <c r="LLG44" s="76"/>
      <c r="LLH44" s="76"/>
      <c r="LLI44" s="76"/>
      <c r="LLJ44" s="76"/>
      <c r="LLK44" s="76"/>
      <c r="LLL44" s="76"/>
      <c r="LLM44" s="76"/>
      <c r="LLN44" s="76"/>
      <c r="LLO44" s="76"/>
      <c r="LLP44" s="76"/>
      <c r="LLQ44" s="76"/>
      <c r="LLR44" s="76"/>
      <c r="LLS44" s="76"/>
      <c r="LLT44" s="76"/>
      <c r="LLU44" s="76"/>
      <c r="LLV44" s="76"/>
      <c r="LLW44" s="76"/>
      <c r="LLX44" s="76"/>
      <c r="LLY44" s="76"/>
      <c r="LLZ44" s="76"/>
      <c r="LMA44" s="76"/>
      <c r="LMB44" s="76"/>
      <c r="LMC44" s="76"/>
      <c r="LMD44" s="76"/>
      <c r="LME44" s="76"/>
      <c r="LMF44" s="76"/>
      <c r="LMG44" s="76"/>
      <c r="LMH44" s="76"/>
      <c r="LMI44" s="76"/>
      <c r="LMJ44" s="76"/>
      <c r="LMK44" s="76"/>
      <c r="LML44" s="76"/>
      <c r="LMM44" s="76"/>
      <c r="LMN44" s="76"/>
      <c r="LMO44" s="76"/>
      <c r="LMP44" s="76"/>
      <c r="LMQ44" s="76"/>
      <c r="LMR44" s="76"/>
      <c r="LMS44" s="76"/>
      <c r="LMT44" s="76"/>
      <c r="LMU44" s="76"/>
      <c r="LMV44" s="76"/>
      <c r="LMW44" s="76"/>
      <c r="LMX44" s="76"/>
      <c r="LMY44" s="76"/>
      <c r="LMZ44" s="76"/>
      <c r="LNA44" s="76"/>
      <c r="LNB44" s="76"/>
      <c r="LNC44" s="76"/>
      <c r="LND44" s="76"/>
      <c r="LNE44" s="76"/>
      <c r="LNF44" s="76"/>
      <c r="LNG44" s="76"/>
      <c r="LNH44" s="76"/>
      <c r="LNI44" s="76"/>
      <c r="LNJ44" s="76"/>
      <c r="LNK44" s="76"/>
      <c r="LNL44" s="76"/>
      <c r="LNM44" s="76"/>
      <c r="LNN44" s="76"/>
      <c r="LNO44" s="76"/>
      <c r="LNP44" s="76"/>
      <c r="LNQ44" s="76"/>
      <c r="LNR44" s="76"/>
      <c r="LNS44" s="76"/>
      <c r="LNT44" s="76"/>
      <c r="LNU44" s="76"/>
      <c r="LNV44" s="76"/>
      <c r="LNW44" s="76"/>
      <c r="LNX44" s="76"/>
      <c r="LNY44" s="76"/>
      <c r="LNZ44" s="76"/>
      <c r="LOA44" s="76"/>
      <c r="LOB44" s="76"/>
      <c r="LOC44" s="76"/>
      <c r="LOD44" s="76"/>
      <c r="LOE44" s="76"/>
      <c r="LOF44" s="76"/>
      <c r="LOG44" s="76"/>
      <c r="LOH44" s="76"/>
      <c r="LOI44" s="76"/>
      <c r="LOJ44" s="76"/>
      <c r="LOK44" s="76"/>
      <c r="LOL44" s="76"/>
      <c r="LOM44" s="76"/>
      <c r="LON44" s="76"/>
      <c r="LOO44" s="76"/>
      <c r="LOP44" s="76"/>
      <c r="LOQ44" s="76"/>
      <c r="LOR44" s="76"/>
      <c r="LOS44" s="76"/>
      <c r="LOT44" s="76"/>
      <c r="LOU44" s="76"/>
      <c r="LOV44" s="76"/>
      <c r="LOW44" s="76"/>
      <c r="LOX44" s="76"/>
      <c r="LOY44" s="76"/>
      <c r="LOZ44" s="76"/>
      <c r="LPA44" s="76"/>
      <c r="LPB44" s="76"/>
      <c r="LPC44" s="76"/>
      <c r="LPD44" s="76"/>
      <c r="LPE44" s="76"/>
      <c r="LPF44" s="76"/>
      <c r="LPG44" s="76"/>
      <c r="LPH44" s="76"/>
      <c r="LPI44" s="76"/>
      <c r="LPJ44" s="76"/>
      <c r="LPK44" s="76"/>
      <c r="LPL44" s="76"/>
      <c r="LPM44" s="76"/>
      <c r="LPN44" s="76"/>
      <c r="LPO44" s="76"/>
      <c r="LPP44" s="76"/>
      <c r="LPQ44" s="76"/>
      <c r="LPR44" s="76"/>
      <c r="LPS44" s="76"/>
      <c r="LPT44" s="76"/>
      <c r="LPU44" s="76"/>
      <c r="LPV44" s="76"/>
      <c r="LPW44" s="76"/>
      <c r="LPX44" s="76"/>
      <c r="LPY44" s="76"/>
      <c r="LPZ44" s="76"/>
      <c r="LQA44" s="76"/>
      <c r="LQB44" s="76"/>
      <c r="LQC44" s="76"/>
      <c r="LQD44" s="76"/>
      <c r="LQE44" s="76"/>
      <c r="LQF44" s="76"/>
      <c r="LQG44" s="76"/>
      <c r="LQH44" s="76"/>
      <c r="LQI44" s="76"/>
      <c r="LQJ44" s="76"/>
      <c r="LQK44" s="76"/>
      <c r="LQL44" s="76"/>
      <c r="LQM44" s="76"/>
      <c r="LQN44" s="76"/>
      <c r="LQO44" s="76"/>
      <c r="LQP44" s="76"/>
      <c r="LQQ44" s="76"/>
      <c r="LQR44" s="76"/>
      <c r="LQS44" s="76"/>
      <c r="LQT44" s="76"/>
      <c r="LQU44" s="76"/>
      <c r="LQV44" s="76"/>
      <c r="LQW44" s="76"/>
      <c r="LQX44" s="76"/>
      <c r="LQY44" s="76"/>
      <c r="LQZ44" s="76"/>
      <c r="LRA44" s="76"/>
      <c r="LRB44" s="76"/>
      <c r="LRC44" s="76"/>
      <c r="LRD44" s="76"/>
      <c r="LRE44" s="76"/>
      <c r="LRF44" s="76"/>
      <c r="LRG44" s="76"/>
      <c r="LRH44" s="76"/>
      <c r="LRI44" s="76"/>
      <c r="LRJ44" s="76"/>
      <c r="LRK44" s="76"/>
      <c r="LRL44" s="76"/>
      <c r="LRM44" s="76"/>
      <c r="LRN44" s="76"/>
      <c r="LRO44" s="76"/>
      <c r="LRP44" s="76"/>
      <c r="LRQ44" s="76"/>
      <c r="LRR44" s="76"/>
      <c r="LRS44" s="76"/>
      <c r="LRT44" s="76"/>
      <c r="LRU44" s="76"/>
      <c r="LRV44" s="76"/>
      <c r="LRW44" s="76"/>
      <c r="LRX44" s="76"/>
      <c r="LRY44" s="76"/>
      <c r="LRZ44" s="76"/>
      <c r="LSA44" s="76"/>
      <c r="LSB44" s="76"/>
      <c r="LSC44" s="76"/>
      <c r="LSD44" s="76"/>
      <c r="LSE44" s="76"/>
      <c r="LSF44" s="76"/>
      <c r="LSG44" s="76"/>
      <c r="LSH44" s="76"/>
      <c r="LSI44" s="76"/>
      <c r="LSJ44" s="76"/>
      <c r="LSK44" s="76"/>
      <c r="LSL44" s="76"/>
      <c r="LSM44" s="76"/>
      <c r="LSN44" s="76"/>
      <c r="LSO44" s="76"/>
      <c r="LSP44" s="76"/>
      <c r="LSQ44" s="76"/>
      <c r="LSR44" s="76"/>
      <c r="LSS44" s="76"/>
      <c r="LST44" s="76"/>
      <c r="LSU44" s="76"/>
      <c r="LSV44" s="76"/>
      <c r="LSW44" s="76"/>
      <c r="LSX44" s="76"/>
      <c r="LSY44" s="76"/>
      <c r="LSZ44" s="76"/>
      <c r="LTA44" s="76"/>
      <c r="LTB44" s="76"/>
      <c r="LTC44" s="76"/>
      <c r="LTD44" s="76"/>
      <c r="LTE44" s="76"/>
      <c r="LTF44" s="76"/>
      <c r="LTG44" s="76"/>
      <c r="LTH44" s="76"/>
      <c r="LTI44" s="76"/>
      <c r="LTJ44" s="76"/>
      <c r="LTK44" s="76"/>
      <c r="LTL44" s="76"/>
      <c r="LTM44" s="76"/>
      <c r="LTN44" s="76"/>
      <c r="LTO44" s="76"/>
      <c r="LTP44" s="76"/>
      <c r="LTQ44" s="76"/>
      <c r="LTR44" s="76"/>
      <c r="LTS44" s="76"/>
      <c r="LTT44" s="76"/>
      <c r="LTU44" s="76"/>
      <c r="LTV44" s="76"/>
      <c r="LTW44" s="76"/>
      <c r="LTX44" s="76"/>
      <c r="LTY44" s="76"/>
      <c r="LTZ44" s="76"/>
      <c r="LUA44" s="76"/>
      <c r="LUB44" s="76"/>
      <c r="LUC44" s="76"/>
      <c r="LUD44" s="76"/>
      <c r="LUE44" s="76"/>
      <c r="LUF44" s="76"/>
      <c r="LUG44" s="76"/>
      <c r="LUH44" s="76"/>
      <c r="LUI44" s="76"/>
      <c r="LUJ44" s="76"/>
      <c r="LUK44" s="76"/>
      <c r="LUL44" s="76"/>
      <c r="LUM44" s="76"/>
      <c r="LUN44" s="76"/>
      <c r="LUO44" s="76"/>
      <c r="LUP44" s="76"/>
      <c r="LUQ44" s="76"/>
      <c r="LUR44" s="76"/>
      <c r="LUS44" s="76"/>
      <c r="LUT44" s="76"/>
      <c r="LUU44" s="76"/>
      <c r="LUV44" s="76"/>
      <c r="LUW44" s="76"/>
      <c r="LUX44" s="76"/>
      <c r="LUY44" s="76"/>
      <c r="LUZ44" s="76"/>
      <c r="LVA44" s="76"/>
      <c r="LVB44" s="76"/>
      <c r="LVC44" s="76"/>
      <c r="LVD44" s="76"/>
      <c r="LVE44" s="76"/>
      <c r="LVF44" s="76"/>
      <c r="LVG44" s="76"/>
      <c r="LVH44" s="76"/>
      <c r="LVI44" s="76"/>
      <c r="LVJ44" s="76"/>
      <c r="LVK44" s="76"/>
      <c r="LVL44" s="76"/>
      <c r="LVM44" s="76"/>
      <c r="LVN44" s="76"/>
      <c r="LVO44" s="76"/>
      <c r="LVP44" s="76"/>
      <c r="LVQ44" s="76"/>
      <c r="LVR44" s="76"/>
      <c r="LVS44" s="76"/>
      <c r="LVT44" s="76"/>
      <c r="LVU44" s="76"/>
      <c r="LVV44" s="76"/>
      <c r="LVW44" s="76"/>
      <c r="LVX44" s="76"/>
      <c r="LVY44" s="76"/>
      <c r="LVZ44" s="76"/>
      <c r="LWA44" s="76"/>
      <c r="LWB44" s="76"/>
      <c r="LWC44" s="76"/>
      <c r="LWD44" s="76"/>
      <c r="LWE44" s="76"/>
      <c r="LWF44" s="76"/>
      <c r="LWG44" s="76"/>
      <c r="LWH44" s="76"/>
      <c r="LWI44" s="76"/>
      <c r="LWJ44" s="76"/>
      <c r="LWK44" s="76"/>
      <c r="LWL44" s="76"/>
      <c r="LWM44" s="76"/>
      <c r="LWN44" s="76"/>
      <c r="LWO44" s="76"/>
      <c r="LWP44" s="76"/>
      <c r="LWQ44" s="76"/>
      <c r="LWR44" s="76"/>
      <c r="LWS44" s="76"/>
      <c r="LWT44" s="76"/>
      <c r="LWU44" s="76"/>
      <c r="LWV44" s="76"/>
      <c r="LWW44" s="76"/>
      <c r="LWX44" s="76"/>
      <c r="LWY44" s="76"/>
      <c r="LWZ44" s="76"/>
      <c r="LXA44" s="76"/>
      <c r="LXB44" s="76"/>
      <c r="LXC44" s="76"/>
      <c r="LXD44" s="76"/>
      <c r="LXE44" s="76"/>
      <c r="LXF44" s="76"/>
      <c r="LXG44" s="76"/>
      <c r="LXH44" s="76"/>
      <c r="LXI44" s="76"/>
      <c r="LXJ44" s="76"/>
      <c r="LXK44" s="76"/>
      <c r="LXL44" s="76"/>
      <c r="LXM44" s="76"/>
      <c r="LXN44" s="76"/>
      <c r="LXO44" s="76"/>
      <c r="LXP44" s="76"/>
      <c r="LXQ44" s="76"/>
      <c r="LXR44" s="76"/>
      <c r="LXS44" s="76"/>
      <c r="LXT44" s="76"/>
      <c r="LXU44" s="76"/>
      <c r="LXV44" s="76"/>
      <c r="LXW44" s="76"/>
      <c r="LXX44" s="76"/>
      <c r="LXY44" s="76"/>
      <c r="LXZ44" s="76"/>
      <c r="LYA44" s="76"/>
      <c r="LYB44" s="76"/>
      <c r="LYC44" s="76"/>
      <c r="LYD44" s="76"/>
      <c r="LYE44" s="76"/>
      <c r="LYF44" s="76"/>
      <c r="LYG44" s="76"/>
      <c r="LYH44" s="76"/>
      <c r="LYI44" s="76"/>
      <c r="LYJ44" s="76"/>
      <c r="LYK44" s="76"/>
      <c r="LYL44" s="76"/>
      <c r="LYM44" s="76"/>
      <c r="LYN44" s="76"/>
      <c r="LYO44" s="76"/>
      <c r="LYP44" s="76"/>
      <c r="LYQ44" s="76"/>
      <c r="LYR44" s="76"/>
      <c r="LYS44" s="76"/>
      <c r="LYT44" s="76"/>
      <c r="LYU44" s="76"/>
      <c r="LYV44" s="76"/>
      <c r="LYW44" s="76"/>
      <c r="LYX44" s="76"/>
      <c r="LYY44" s="76"/>
      <c r="LYZ44" s="76"/>
      <c r="LZA44" s="76"/>
      <c r="LZB44" s="76"/>
      <c r="LZC44" s="76"/>
      <c r="LZD44" s="76"/>
      <c r="LZE44" s="76"/>
      <c r="LZF44" s="76"/>
      <c r="LZG44" s="76"/>
      <c r="LZH44" s="76"/>
      <c r="LZI44" s="76"/>
      <c r="LZJ44" s="76"/>
      <c r="LZK44" s="76"/>
      <c r="LZL44" s="76"/>
      <c r="LZM44" s="76"/>
      <c r="LZN44" s="76"/>
      <c r="LZO44" s="76"/>
      <c r="LZP44" s="76"/>
      <c r="LZQ44" s="76"/>
      <c r="LZR44" s="76"/>
      <c r="LZS44" s="76"/>
      <c r="LZT44" s="76"/>
      <c r="LZU44" s="76"/>
      <c r="LZV44" s="76"/>
      <c r="LZW44" s="76"/>
      <c r="LZX44" s="76"/>
      <c r="LZY44" s="76"/>
      <c r="LZZ44" s="76"/>
      <c r="MAA44" s="76"/>
      <c r="MAB44" s="76"/>
      <c r="MAC44" s="76"/>
      <c r="MAD44" s="76"/>
      <c r="MAE44" s="76"/>
      <c r="MAF44" s="76"/>
      <c r="MAG44" s="76"/>
      <c r="MAH44" s="76"/>
      <c r="MAI44" s="76"/>
      <c r="MAJ44" s="76"/>
      <c r="MAK44" s="76"/>
      <c r="MAL44" s="76"/>
      <c r="MAM44" s="76"/>
      <c r="MAN44" s="76"/>
      <c r="MAO44" s="76"/>
      <c r="MAP44" s="76"/>
      <c r="MAQ44" s="76"/>
      <c r="MAR44" s="76"/>
      <c r="MAS44" s="76"/>
      <c r="MAT44" s="76"/>
      <c r="MAU44" s="76"/>
      <c r="MAV44" s="76"/>
      <c r="MAW44" s="76"/>
      <c r="MAX44" s="76"/>
      <c r="MAY44" s="76"/>
      <c r="MAZ44" s="76"/>
      <c r="MBA44" s="76"/>
      <c r="MBB44" s="76"/>
      <c r="MBC44" s="76"/>
      <c r="MBD44" s="76"/>
      <c r="MBE44" s="76"/>
      <c r="MBF44" s="76"/>
      <c r="MBG44" s="76"/>
      <c r="MBH44" s="76"/>
      <c r="MBI44" s="76"/>
      <c r="MBJ44" s="76"/>
      <c r="MBK44" s="76"/>
      <c r="MBL44" s="76"/>
      <c r="MBM44" s="76"/>
      <c r="MBN44" s="76"/>
      <c r="MBO44" s="76"/>
      <c r="MBP44" s="76"/>
      <c r="MBQ44" s="76"/>
      <c r="MBR44" s="76"/>
      <c r="MBS44" s="76"/>
      <c r="MBT44" s="76"/>
      <c r="MBU44" s="76"/>
      <c r="MBV44" s="76"/>
      <c r="MBW44" s="76"/>
      <c r="MBX44" s="76"/>
      <c r="MBY44" s="76"/>
      <c r="MBZ44" s="76"/>
      <c r="MCA44" s="76"/>
      <c r="MCB44" s="76"/>
      <c r="MCC44" s="76"/>
      <c r="MCD44" s="76"/>
      <c r="MCE44" s="76"/>
      <c r="MCF44" s="76"/>
      <c r="MCG44" s="76"/>
      <c r="MCH44" s="76"/>
      <c r="MCI44" s="76"/>
      <c r="MCJ44" s="76"/>
      <c r="MCK44" s="76"/>
      <c r="MCL44" s="76"/>
      <c r="MCM44" s="76"/>
      <c r="MCN44" s="76"/>
      <c r="MCO44" s="76"/>
      <c r="MCP44" s="76"/>
      <c r="MCQ44" s="76"/>
      <c r="MCR44" s="76"/>
      <c r="MCS44" s="76"/>
      <c r="MCT44" s="76"/>
      <c r="MCU44" s="76"/>
      <c r="MCV44" s="76"/>
      <c r="MCW44" s="76"/>
      <c r="MCX44" s="76"/>
      <c r="MCY44" s="76"/>
      <c r="MCZ44" s="76"/>
      <c r="MDA44" s="76"/>
      <c r="MDB44" s="76"/>
      <c r="MDC44" s="76"/>
      <c r="MDD44" s="76"/>
      <c r="MDE44" s="76"/>
      <c r="MDF44" s="76"/>
      <c r="MDG44" s="76"/>
      <c r="MDH44" s="76"/>
      <c r="MDI44" s="76"/>
      <c r="MDJ44" s="76"/>
      <c r="MDK44" s="76"/>
      <c r="MDL44" s="76"/>
      <c r="MDM44" s="76"/>
      <c r="MDN44" s="76"/>
      <c r="MDO44" s="76"/>
      <c r="MDP44" s="76"/>
      <c r="MDQ44" s="76"/>
      <c r="MDR44" s="76"/>
      <c r="MDS44" s="76"/>
      <c r="MDT44" s="76"/>
      <c r="MDU44" s="76"/>
      <c r="MDV44" s="76"/>
      <c r="MDW44" s="76"/>
      <c r="MDX44" s="76"/>
      <c r="MDY44" s="76"/>
      <c r="MDZ44" s="76"/>
      <c r="MEA44" s="76"/>
      <c r="MEB44" s="76"/>
      <c r="MEC44" s="76"/>
      <c r="MED44" s="76"/>
      <c r="MEE44" s="76"/>
      <c r="MEF44" s="76"/>
      <c r="MEG44" s="76"/>
      <c r="MEH44" s="76"/>
      <c r="MEI44" s="76"/>
      <c r="MEJ44" s="76"/>
      <c r="MEK44" s="76"/>
      <c r="MEL44" s="76"/>
      <c r="MEM44" s="76"/>
      <c r="MEN44" s="76"/>
      <c r="MEO44" s="76"/>
      <c r="MEP44" s="76"/>
      <c r="MEQ44" s="76"/>
      <c r="MER44" s="76"/>
      <c r="MES44" s="76"/>
      <c r="MET44" s="76"/>
      <c r="MEU44" s="76"/>
      <c r="MEV44" s="76"/>
      <c r="MEW44" s="76"/>
      <c r="MEX44" s="76"/>
      <c r="MEY44" s="76"/>
      <c r="MEZ44" s="76"/>
      <c r="MFA44" s="76"/>
      <c r="MFB44" s="76"/>
      <c r="MFC44" s="76"/>
      <c r="MFD44" s="76"/>
      <c r="MFE44" s="76"/>
      <c r="MFF44" s="76"/>
      <c r="MFG44" s="76"/>
      <c r="MFH44" s="76"/>
      <c r="MFI44" s="76"/>
      <c r="MFJ44" s="76"/>
      <c r="MFK44" s="76"/>
      <c r="MFL44" s="76"/>
      <c r="MFM44" s="76"/>
      <c r="MFN44" s="76"/>
      <c r="MFO44" s="76"/>
      <c r="MFP44" s="76"/>
      <c r="MFQ44" s="76"/>
      <c r="MFR44" s="76"/>
      <c r="MFS44" s="76"/>
      <c r="MFT44" s="76"/>
      <c r="MFU44" s="76"/>
      <c r="MFV44" s="76"/>
      <c r="MFW44" s="76"/>
      <c r="MFX44" s="76"/>
      <c r="MFY44" s="76"/>
      <c r="MFZ44" s="76"/>
      <c r="MGA44" s="76"/>
      <c r="MGB44" s="76"/>
      <c r="MGC44" s="76"/>
      <c r="MGD44" s="76"/>
      <c r="MGE44" s="76"/>
      <c r="MGF44" s="76"/>
      <c r="MGG44" s="76"/>
      <c r="MGH44" s="76"/>
      <c r="MGI44" s="76"/>
      <c r="MGJ44" s="76"/>
      <c r="MGK44" s="76"/>
      <c r="MGL44" s="76"/>
      <c r="MGM44" s="76"/>
      <c r="MGN44" s="76"/>
      <c r="MGO44" s="76"/>
      <c r="MGP44" s="76"/>
      <c r="MGQ44" s="76"/>
      <c r="MGR44" s="76"/>
      <c r="MGS44" s="76"/>
      <c r="MGT44" s="76"/>
      <c r="MGU44" s="76"/>
      <c r="MGV44" s="76"/>
      <c r="MGW44" s="76"/>
      <c r="MGX44" s="76"/>
      <c r="MGY44" s="76"/>
      <c r="MGZ44" s="76"/>
      <c r="MHA44" s="76"/>
      <c r="MHB44" s="76"/>
      <c r="MHC44" s="76"/>
      <c r="MHD44" s="76"/>
      <c r="MHE44" s="76"/>
      <c r="MHF44" s="76"/>
      <c r="MHG44" s="76"/>
      <c r="MHH44" s="76"/>
      <c r="MHI44" s="76"/>
      <c r="MHJ44" s="76"/>
      <c r="MHK44" s="76"/>
      <c r="MHL44" s="76"/>
      <c r="MHM44" s="76"/>
      <c r="MHN44" s="76"/>
      <c r="MHO44" s="76"/>
      <c r="MHP44" s="76"/>
      <c r="MHQ44" s="76"/>
      <c r="MHR44" s="76"/>
      <c r="MHS44" s="76"/>
      <c r="MHT44" s="76"/>
      <c r="MHU44" s="76"/>
      <c r="MHV44" s="76"/>
      <c r="MHW44" s="76"/>
      <c r="MHX44" s="76"/>
      <c r="MHY44" s="76"/>
      <c r="MHZ44" s="76"/>
      <c r="MIA44" s="76"/>
      <c r="MIB44" s="76"/>
      <c r="MIC44" s="76"/>
      <c r="MID44" s="76"/>
      <c r="MIE44" s="76"/>
      <c r="MIF44" s="76"/>
      <c r="MIG44" s="76"/>
      <c r="MIH44" s="76"/>
      <c r="MII44" s="76"/>
      <c r="MIJ44" s="76"/>
      <c r="MIK44" s="76"/>
      <c r="MIL44" s="76"/>
      <c r="MIM44" s="76"/>
      <c r="MIN44" s="76"/>
      <c r="MIO44" s="76"/>
      <c r="MIP44" s="76"/>
      <c r="MIQ44" s="76"/>
      <c r="MIR44" s="76"/>
      <c r="MIS44" s="76"/>
      <c r="MIT44" s="76"/>
      <c r="MIU44" s="76"/>
      <c r="MIV44" s="76"/>
      <c r="MIW44" s="76"/>
      <c r="MIX44" s="76"/>
      <c r="MIY44" s="76"/>
      <c r="MIZ44" s="76"/>
      <c r="MJA44" s="76"/>
      <c r="MJB44" s="76"/>
      <c r="MJC44" s="76"/>
      <c r="MJD44" s="76"/>
      <c r="MJE44" s="76"/>
      <c r="MJF44" s="76"/>
      <c r="MJG44" s="76"/>
      <c r="MJH44" s="76"/>
      <c r="MJI44" s="76"/>
      <c r="MJJ44" s="76"/>
      <c r="MJK44" s="76"/>
      <c r="MJL44" s="76"/>
      <c r="MJM44" s="76"/>
      <c r="MJN44" s="76"/>
      <c r="MJO44" s="76"/>
      <c r="MJP44" s="76"/>
      <c r="MJQ44" s="76"/>
      <c r="MJR44" s="76"/>
      <c r="MJS44" s="76"/>
      <c r="MJT44" s="76"/>
      <c r="MJU44" s="76"/>
      <c r="MJV44" s="76"/>
      <c r="MJW44" s="76"/>
      <c r="MJX44" s="76"/>
      <c r="MJY44" s="76"/>
      <c r="MJZ44" s="76"/>
      <c r="MKA44" s="76"/>
      <c r="MKB44" s="76"/>
      <c r="MKC44" s="76"/>
      <c r="MKD44" s="76"/>
      <c r="MKE44" s="76"/>
      <c r="MKF44" s="76"/>
      <c r="MKG44" s="76"/>
      <c r="MKH44" s="76"/>
      <c r="MKI44" s="76"/>
      <c r="MKJ44" s="76"/>
      <c r="MKK44" s="76"/>
      <c r="MKL44" s="76"/>
      <c r="MKM44" s="76"/>
      <c r="MKN44" s="76"/>
      <c r="MKO44" s="76"/>
      <c r="MKP44" s="76"/>
      <c r="MKQ44" s="76"/>
      <c r="MKR44" s="76"/>
      <c r="MKS44" s="76"/>
      <c r="MKT44" s="76"/>
      <c r="MKU44" s="76"/>
      <c r="MKV44" s="76"/>
      <c r="MKW44" s="76"/>
      <c r="MKX44" s="76"/>
      <c r="MKY44" s="76"/>
      <c r="MKZ44" s="76"/>
      <c r="MLA44" s="76"/>
      <c r="MLB44" s="76"/>
      <c r="MLC44" s="76"/>
      <c r="MLD44" s="76"/>
      <c r="MLE44" s="76"/>
      <c r="MLF44" s="76"/>
      <c r="MLG44" s="76"/>
      <c r="MLH44" s="76"/>
      <c r="MLI44" s="76"/>
      <c r="MLJ44" s="76"/>
      <c r="MLK44" s="76"/>
      <c r="MLL44" s="76"/>
      <c r="MLM44" s="76"/>
      <c r="MLN44" s="76"/>
      <c r="MLO44" s="76"/>
      <c r="MLP44" s="76"/>
      <c r="MLQ44" s="76"/>
      <c r="MLR44" s="76"/>
      <c r="MLS44" s="76"/>
      <c r="MLT44" s="76"/>
      <c r="MLU44" s="76"/>
      <c r="MLV44" s="76"/>
      <c r="MLW44" s="76"/>
      <c r="MLX44" s="76"/>
      <c r="MLY44" s="76"/>
      <c r="MLZ44" s="76"/>
      <c r="MMA44" s="76"/>
      <c r="MMB44" s="76"/>
      <c r="MMC44" s="76"/>
      <c r="MMD44" s="76"/>
      <c r="MME44" s="76"/>
      <c r="MMF44" s="76"/>
      <c r="MMG44" s="76"/>
      <c r="MMH44" s="76"/>
      <c r="MMI44" s="76"/>
      <c r="MMJ44" s="76"/>
      <c r="MMK44" s="76"/>
      <c r="MML44" s="76"/>
      <c r="MMM44" s="76"/>
      <c r="MMN44" s="76"/>
      <c r="MMO44" s="76"/>
      <c r="MMP44" s="76"/>
      <c r="MMQ44" s="76"/>
      <c r="MMR44" s="76"/>
      <c r="MMS44" s="76"/>
      <c r="MMT44" s="76"/>
      <c r="MMU44" s="76"/>
      <c r="MMV44" s="76"/>
      <c r="MMW44" s="76"/>
      <c r="MMX44" s="76"/>
      <c r="MMY44" s="76"/>
      <c r="MMZ44" s="76"/>
      <c r="MNA44" s="76"/>
      <c r="MNB44" s="76"/>
      <c r="MNC44" s="76"/>
      <c r="MND44" s="76"/>
      <c r="MNE44" s="76"/>
      <c r="MNF44" s="76"/>
      <c r="MNG44" s="76"/>
      <c r="MNH44" s="76"/>
      <c r="MNI44" s="76"/>
      <c r="MNJ44" s="76"/>
      <c r="MNK44" s="76"/>
      <c r="MNL44" s="76"/>
      <c r="MNM44" s="76"/>
      <c r="MNN44" s="76"/>
      <c r="MNO44" s="76"/>
      <c r="MNP44" s="76"/>
      <c r="MNQ44" s="76"/>
      <c r="MNR44" s="76"/>
      <c r="MNS44" s="76"/>
      <c r="MNT44" s="76"/>
      <c r="MNU44" s="76"/>
      <c r="MNV44" s="76"/>
      <c r="MNW44" s="76"/>
      <c r="MNX44" s="76"/>
      <c r="MNY44" s="76"/>
      <c r="MNZ44" s="76"/>
      <c r="MOA44" s="76"/>
      <c r="MOB44" s="76"/>
      <c r="MOC44" s="76"/>
      <c r="MOD44" s="76"/>
      <c r="MOE44" s="76"/>
      <c r="MOF44" s="76"/>
      <c r="MOG44" s="76"/>
      <c r="MOH44" s="76"/>
      <c r="MOI44" s="76"/>
      <c r="MOJ44" s="76"/>
      <c r="MOK44" s="76"/>
      <c r="MOL44" s="76"/>
      <c r="MOM44" s="76"/>
      <c r="MON44" s="76"/>
      <c r="MOO44" s="76"/>
      <c r="MOP44" s="76"/>
      <c r="MOQ44" s="76"/>
      <c r="MOR44" s="76"/>
      <c r="MOS44" s="76"/>
      <c r="MOT44" s="76"/>
      <c r="MOU44" s="76"/>
      <c r="MOV44" s="76"/>
      <c r="MOW44" s="76"/>
      <c r="MOX44" s="76"/>
      <c r="MOY44" s="76"/>
      <c r="MOZ44" s="76"/>
      <c r="MPA44" s="76"/>
      <c r="MPB44" s="76"/>
      <c r="MPC44" s="76"/>
      <c r="MPD44" s="76"/>
      <c r="MPE44" s="76"/>
      <c r="MPF44" s="76"/>
      <c r="MPG44" s="76"/>
      <c r="MPH44" s="76"/>
      <c r="MPI44" s="76"/>
      <c r="MPJ44" s="76"/>
      <c r="MPK44" s="76"/>
      <c r="MPL44" s="76"/>
      <c r="MPM44" s="76"/>
      <c r="MPN44" s="76"/>
      <c r="MPO44" s="76"/>
      <c r="MPP44" s="76"/>
      <c r="MPQ44" s="76"/>
      <c r="MPR44" s="76"/>
      <c r="MPS44" s="76"/>
      <c r="MPT44" s="76"/>
      <c r="MPU44" s="76"/>
      <c r="MPV44" s="76"/>
      <c r="MPW44" s="76"/>
      <c r="MPX44" s="76"/>
      <c r="MPY44" s="76"/>
      <c r="MPZ44" s="76"/>
      <c r="MQA44" s="76"/>
      <c r="MQB44" s="76"/>
      <c r="MQC44" s="76"/>
      <c r="MQD44" s="76"/>
      <c r="MQE44" s="76"/>
      <c r="MQF44" s="76"/>
      <c r="MQG44" s="76"/>
      <c r="MQH44" s="76"/>
      <c r="MQI44" s="76"/>
      <c r="MQJ44" s="76"/>
      <c r="MQK44" s="76"/>
      <c r="MQL44" s="76"/>
      <c r="MQM44" s="76"/>
      <c r="MQN44" s="76"/>
      <c r="MQO44" s="76"/>
      <c r="MQP44" s="76"/>
      <c r="MQQ44" s="76"/>
      <c r="MQR44" s="76"/>
      <c r="MQS44" s="76"/>
      <c r="MQT44" s="76"/>
      <c r="MQU44" s="76"/>
      <c r="MQV44" s="76"/>
      <c r="MQW44" s="76"/>
      <c r="MQX44" s="76"/>
      <c r="MQY44" s="76"/>
      <c r="MQZ44" s="76"/>
      <c r="MRA44" s="76"/>
      <c r="MRB44" s="76"/>
      <c r="MRC44" s="76"/>
      <c r="MRD44" s="76"/>
      <c r="MRE44" s="76"/>
      <c r="MRF44" s="76"/>
      <c r="MRG44" s="76"/>
      <c r="MRH44" s="76"/>
      <c r="MRI44" s="76"/>
      <c r="MRJ44" s="76"/>
      <c r="MRK44" s="76"/>
      <c r="MRL44" s="76"/>
      <c r="MRM44" s="76"/>
      <c r="MRN44" s="76"/>
      <c r="MRO44" s="76"/>
      <c r="MRP44" s="76"/>
      <c r="MRQ44" s="76"/>
      <c r="MRR44" s="76"/>
      <c r="MRS44" s="76"/>
      <c r="MRT44" s="76"/>
      <c r="MRU44" s="76"/>
      <c r="MRV44" s="76"/>
      <c r="MRW44" s="76"/>
      <c r="MRX44" s="76"/>
      <c r="MRY44" s="76"/>
      <c r="MRZ44" s="76"/>
      <c r="MSA44" s="76"/>
      <c r="MSB44" s="76"/>
      <c r="MSC44" s="76"/>
      <c r="MSD44" s="76"/>
      <c r="MSE44" s="76"/>
      <c r="MSF44" s="76"/>
      <c r="MSG44" s="76"/>
      <c r="MSH44" s="76"/>
      <c r="MSI44" s="76"/>
      <c r="MSJ44" s="76"/>
      <c r="MSK44" s="76"/>
      <c r="MSL44" s="76"/>
      <c r="MSM44" s="76"/>
      <c r="MSN44" s="76"/>
      <c r="MSO44" s="76"/>
      <c r="MSP44" s="76"/>
      <c r="MSQ44" s="76"/>
      <c r="MSR44" s="76"/>
      <c r="MSS44" s="76"/>
      <c r="MST44" s="76"/>
      <c r="MSU44" s="76"/>
      <c r="MSV44" s="76"/>
      <c r="MSW44" s="76"/>
      <c r="MSX44" s="76"/>
      <c r="MSY44" s="76"/>
      <c r="MSZ44" s="76"/>
      <c r="MTA44" s="76"/>
      <c r="MTB44" s="76"/>
      <c r="MTC44" s="76"/>
      <c r="MTD44" s="76"/>
      <c r="MTE44" s="76"/>
      <c r="MTF44" s="76"/>
      <c r="MTG44" s="76"/>
      <c r="MTH44" s="76"/>
      <c r="MTI44" s="76"/>
      <c r="MTJ44" s="76"/>
      <c r="MTK44" s="76"/>
      <c r="MTL44" s="76"/>
      <c r="MTM44" s="76"/>
      <c r="MTN44" s="76"/>
      <c r="MTO44" s="76"/>
      <c r="MTP44" s="76"/>
      <c r="MTQ44" s="76"/>
      <c r="MTR44" s="76"/>
      <c r="MTS44" s="76"/>
      <c r="MTT44" s="76"/>
      <c r="MTU44" s="76"/>
      <c r="MTV44" s="76"/>
      <c r="MTW44" s="76"/>
      <c r="MTX44" s="76"/>
      <c r="MTY44" s="76"/>
      <c r="MTZ44" s="76"/>
      <c r="MUA44" s="76"/>
      <c r="MUB44" s="76"/>
      <c r="MUC44" s="76"/>
      <c r="MUD44" s="76"/>
      <c r="MUE44" s="76"/>
      <c r="MUF44" s="76"/>
      <c r="MUG44" s="76"/>
      <c r="MUH44" s="76"/>
      <c r="MUI44" s="76"/>
      <c r="MUJ44" s="76"/>
      <c r="MUK44" s="76"/>
      <c r="MUL44" s="76"/>
      <c r="MUM44" s="76"/>
      <c r="MUN44" s="76"/>
      <c r="MUO44" s="76"/>
      <c r="MUP44" s="76"/>
      <c r="MUQ44" s="76"/>
      <c r="MUR44" s="76"/>
      <c r="MUS44" s="76"/>
      <c r="MUT44" s="76"/>
      <c r="MUU44" s="76"/>
      <c r="MUV44" s="76"/>
      <c r="MUW44" s="76"/>
      <c r="MUX44" s="76"/>
      <c r="MUY44" s="76"/>
      <c r="MUZ44" s="76"/>
      <c r="MVA44" s="76"/>
      <c r="MVB44" s="76"/>
      <c r="MVC44" s="76"/>
      <c r="MVD44" s="76"/>
      <c r="MVE44" s="76"/>
      <c r="MVF44" s="76"/>
      <c r="MVG44" s="76"/>
      <c r="MVH44" s="76"/>
      <c r="MVI44" s="76"/>
      <c r="MVJ44" s="76"/>
      <c r="MVK44" s="76"/>
      <c r="MVL44" s="76"/>
      <c r="MVM44" s="76"/>
      <c r="MVN44" s="76"/>
      <c r="MVO44" s="76"/>
      <c r="MVP44" s="76"/>
      <c r="MVQ44" s="76"/>
      <c r="MVR44" s="76"/>
      <c r="MVS44" s="76"/>
      <c r="MVT44" s="76"/>
      <c r="MVU44" s="76"/>
      <c r="MVV44" s="76"/>
      <c r="MVW44" s="76"/>
      <c r="MVX44" s="76"/>
      <c r="MVY44" s="76"/>
      <c r="MVZ44" s="76"/>
      <c r="MWA44" s="76"/>
      <c r="MWB44" s="76"/>
      <c r="MWC44" s="76"/>
      <c r="MWD44" s="76"/>
      <c r="MWE44" s="76"/>
      <c r="MWF44" s="76"/>
      <c r="MWG44" s="76"/>
      <c r="MWH44" s="76"/>
      <c r="MWI44" s="76"/>
      <c r="MWJ44" s="76"/>
      <c r="MWK44" s="76"/>
      <c r="MWL44" s="76"/>
      <c r="MWM44" s="76"/>
      <c r="MWN44" s="76"/>
      <c r="MWO44" s="76"/>
      <c r="MWP44" s="76"/>
      <c r="MWQ44" s="76"/>
      <c r="MWR44" s="76"/>
      <c r="MWS44" s="76"/>
      <c r="MWT44" s="76"/>
      <c r="MWU44" s="76"/>
      <c r="MWV44" s="76"/>
      <c r="MWW44" s="76"/>
      <c r="MWX44" s="76"/>
      <c r="MWY44" s="76"/>
      <c r="MWZ44" s="76"/>
      <c r="MXA44" s="76"/>
      <c r="MXB44" s="76"/>
      <c r="MXC44" s="76"/>
      <c r="MXD44" s="76"/>
      <c r="MXE44" s="76"/>
      <c r="MXF44" s="76"/>
      <c r="MXG44" s="76"/>
      <c r="MXH44" s="76"/>
      <c r="MXI44" s="76"/>
      <c r="MXJ44" s="76"/>
      <c r="MXK44" s="76"/>
      <c r="MXL44" s="76"/>
      <c r="MXM44" s="76"/>
      <c r="MXN44" s="76"/>
      <c r="MXO44" s="76"/>
      <c r="MXP44" s="76"/>
      <c r="MXQ44" s="76"/>
      <c r="MXR44" s="76"/>
      <c r="MXS44" s="76"/>
      <c r="MXT44" s="76"/>
      <c r="MXU44" s="76"/>
      <c r="MXV44" s="76"/>
      <c r="MXW44" s="76"/>
      <c r="MXX44" s="76"/>
      <c r="MXY44" s="76"/>
      <c r="MXZ44" s="76"/>
      <c r="MYA44" s="76"/>
      <c r="MYB44" s="76"/>
      <c r="MYC44" s="76"/>
      <c r="MYD44" s="76"/>
      <c r="MYE44" s="76"/>
      <c r="MYF44" s="76"/>
      <c r="MYG44" s="76"/>
      <c r="MYH44" s="76"/>
      <c r="MYI44" s="76"/>
      <c r="MYJ44" s="76"/>
      <c r="MYK44" s="76"/>
      <c r="MYL44" s="76"/>
      <c r="MYM44" s="76"/>
      <c r="MYN44" s="76"/>
      <c r="MYO44" s="76"/>
      <c r="MYP44" s="76"/>
      <c r="MYQ44" s="76"/>
      <c r="MYR44" s="76"/>
      <c r="MYS44" s="76"/>
      <c r="MYT44" s="76"/>
      <c r="MYU44" s="76"/>
      <c r="MYV44" s="76"/>
      <c r="MYW44" s="76"/>
      <c r="MYX44" s="76"/>
      <c r="MYY44" s="76"/>
      <c r="MYZ44" s="76"/>
      <c r="MZA44" s="76"/>
      <c r="MZB44" s="76"/>
      <c r="MZC44" s="76"/>
      <c r="MZD44" s="76"/>
      <c r="MZE44" s="76"/>
      <c r="MZF44" s="76"/>
      <c r="MZG44" s="76"/>
      <c r="MZH44" s="76"/>
      <c r="MZI44" s="76"/>
      <c r="MZJ44" s="76"/>
      <c r="MZK44" s="76"/>
      <c r="MZL44" s="76"/>
      <c r="MZM44" s="76"/>
      <c r="MZN44" s="76"/>
      <c r="MZO44" s="76"/>
      <c r="MZP44" s="76"/>
      <c r="MZQ44" s="76"/>
      <c r="MZR44" s="76"/>
      <c r="MZS44" s="76"/>
      <c r="MZT44" s="76"/>
      <c r="MZU44" s="76"/>
      <c r="MZV44" s="76"/>
      <c r="MZW44" s="76"/>
      <c r="MZX44" s="76"/>
      <c r="MZY44" s="76"/>
      <c r="MZZ44" s="76"/>
      <c r="NAA44" s="76"/>
      <c r="NAB44" s="76"/>
      <c r="NAC44" s="76"/>
      <c r="NAD44" s="76"/>
      <c r="NAE44" s="76"/>
      <c r="NAF44" s="76"/>
      <c r="NAG44" s="76"/>
      <c r="NAH44" s="76"/>
      <c r="NAI44" s="76"/>
      <c r="NAJ44" s="76"/>
      <c r="NAK44" s="76"/>
      <c r="NAL44" s="76"/>
      <c r="NAM44" s="76"/>
      <c r="NAN44" s="76"/>
      <c r="NAO44" s="76"/>
      <c r="NAP44" s="76"/>
      <c r="NAQ44" s="76"/>
      <c r="NAR44" s="76"/>
      <c r="NAS44" s="76"/>
      <c r="NAT44" s="76"/>
      <c r="NAU44" s="76"/>
      <c r="NAV44" s="76"/>
      <c r="NAW44" s="76"/>
      <c r="NAX44" s="76"/>
      <c r="NAY44" s="76"/>
      <c r="NAZ44" s="76"/>
      <c r="NBA44" s="76"/>
      <c r="NBB44" s="76"/>
      <c r="NBC44" s="76"/>
      <c r="NBD44" s="76"/>
      <c r="NBE44" s="76"/>
      <c r="NBF44" s="76"/>
      <c r="NBG44" s="76"/>
      <c r="NBH44" s="76"/>
      <c r="NBI44" s="76"/>
      <c r="NBJ44" s="76"/>
      <c r="NBK44" s="76"/>
      <c r="NBL44" s="76"/>
      <c r="NBM44" s="76"/>
      <c r="NBN44" s="76"/>
      <c r="NBO44" s="76"/>
      <c r="NBP44" s="76"/>
      <c r="NBQ44" s="76"/>
      <c r="NBR44" s="76"/>
      <c r="NBS44" s="76"/>
      <c r="NBT44" s="76"/>
      <c r="NBU44" s="76"/>
      <c r="NBV44" s="76"/>
      <c r="NBW44" s="76"/>
      <c r="NBX44" s="76"/>
      <c r="NBY44" s="76"/>
      <c r="NBZ44" s="76"/>
      <c r="NCA44" s="76"/>
      <c r="NCB44" s="76"/>
      <c r="NCC44" s="76"/>
      <c r="NCD44" s="76"/>
      <c r="NCE44" s="76"/>
      <c r="NCF44" s="76"/>
      <c r="NCG44" s="76"/>
      <c r="NCH44" s="76"/>
      <c r="NCI44" s="76"/>
      <c r="NCJ44" s="76"/>
      <c r="NCK44" s="76"/>
      <c r="NCL44" s="76"/>
      <c r="NCM44" s="76"/>
      <c r="NCN44" s="76"/>
      <c r="NCO44" s="76"/>
      <c r="NCP44" s="76"/>
      <c r="NCQ44" s="76"/>
      <c r="NCR44" s="76"/>
      <c r="NCS44" s="76"/>
      <c r="NCT44" s="76"/>
      <c r="NCU44" s="76"/>
      <c r="NCV44" s="76"/>
      <c r="NCW44" s="76"/>
      <c r="NCX44" s="76"/>
      <c r="NCY44" s="76"/>
      <c r="NCZ44" s="76"/>
      <c r="NDA44" s="76"/>
      <c r="NDB44" s="76"/>
      <c r="NDC44" s="76"/>
      <c r="NDD44" s="76"/>
      <c r="NDE44" s="76"/>
      <c r="NDF44" s="76"/>
      <c r="NDG44" s="76"/>
      <c r="NDH44" s="76"/>
      <c r="NDI44" s="76"/>
      <c r="NDJ44" s="76"/>
      <c r="NDK44" s="76"/>
      <c r="NDL44" s="76"/>
      <c r="NDM44" s="76"/>
      <c r="NDN44" s="76"/>
      <c r="NDO44" s="76"/>
      <c r="NDP44" s="76"/>
      <c r="NDQ44" s="76"/>
      <c r="NDR44" s="76"/>
      <c r="NDS44" s="76"/>
      <c r="NDT44" s="76"/>
      <c r="NDU44" s="76"/>
      <c r="NDV44" s="76"/>
      <c r="NDW44" s="76"/>
      <c r="NDX44" s="76"/>
      <c r="NDY44" s="76"/>
      <c r="NDZ44" s="76"/>
      <c r="NEA44" s="76"/>
      <c r="NEB44" s="76"/>
      <c r="NEC44" s="76"/>
      <c r="NED44" s="76"/>
      <c r="NEE44" s="76"/>
      <c r="NEF44" s="76"/>
      <c r="NEG44" s="76"/>
      <c r="NEH44" s="76"/>
      <c r="NEI44" s="76"/>
      <c r="NEJ44" s="76"/>
      <c r="NEK44" s="76"/>
      <c r="NEL44" s="76"/>
      <c r="NEM44" s="76"/>
      <c r="NEN44" s="76"/>
      <c r="NEO44" s="76"/>
      <c r="NEP44" s="76"/>
      <c r="NEQ44" s="76"/>
      <c r="NER44" s="76"/>
      <c r="NES44" s="76"/>
      <c r="NET44" s="76"/>
      <c r="NEU44" s="76"/>
      <c r="NEV44" s="76"/>
      <c r="NEW44" s="76"/>
      <c r="NEX44" s="76"/>
      <c r="NEY44" s="76"/>
      <c r="NEZ44" s="76"/>
      <c r="NFA44" s="76"/>
      <c r="NFB44" s="76"/>
      <c r="NFC44" s="76"/>
      <c r="NFD44" s="76"/>
      <c r="NFE44" s="76"/>
      <c r="NFF44" s="76"/>
      <c r="NFG44" s="76"/>
      <c r="NFH44" s="76"/>
      <c r="NFI44" s="76"/>
      <c r="NFJ44" s="76"/>
      <c r="NFK44" s="76"/>
      <c r="NFL44" s="76"/>
      <c r="NFM44" s="76"/>
      <c r="NFN44" s="76"/>
      <c r="NFO44" s="76"/>
      <c r="NFP44" s="76"/>
      <c r="NFQ44" s="76"/>
      <c r="NFR44" s="76"/>
      <c r="NFS44" s="76"/>
      <c r="NFT44" s="76"/>
      <c r="NFU44" s="76"/>
      <c r="NFV44" s="76"/>
      <c r="NFW44" s="76"/>
      <c r="NFX44" s="76"/>
      <c r="NFY44" s="76"/>
      <c r="NFZ44" s="76"/>
      <c r="NGA44" s="76"/>
      <c r="NGB44" s="76"/>
      <c r="NGC44" s="76"/>
      <c r="NGD44" s="76"/>
      <c r="NGE44" s="76"/>
      <c r="NGF44" s="76"/>
      <c r="NGG44" s="76"/>
      <c r="NGH44" s="76"/>
      <c r="NGI44" s="76"/>
      <c r="NGJ44" s="76"/>
      <c r="NGK44" s="76"/>
      <c r="NGL44" s="76"/>
      <c r="NGM44" s="76"/>
      <c r="NGN44" s="76"/>
      <c r="NGO44" s="76"/>
      <c r="NGP44" s="76"/>
      <c r="NGQ44" s="76"/>
      <c r="NGR44" s="76"/>
      <c r="NGS44" s="76"/>
      <c r="NGT44" s="76"/>
      <c r="NGU44" s="76"/>
      <c r="NGV44" s="76"/>
      <c r="NGW44" s="76"/>
      <c r="NGX44" s="76"/>
      <c r="NGY44" s="76"/>
      <c r="NGZ44" s="76"/>
      <c r="NHA44" s="76"/>
      <c r="NHB44" s="76"/>
      <c r="NHC44" s="76"/>
      <c r="NHD44" s="76"/>
      <c r="NHE44" s="76"/>
      <c r="NHF44" s="76"/>
      <c r="NHG44" s="76"/>
      <c r="NHH44" s="76"/>
      <c r="NHI44" s="76"/>
      <c r="NHJ44" s="76"/>
      <c r="NHK44" s="76"/>
      <c r="NHL44" s="76"/>
      <c r="NHM44" s="76"/>
      <c r="NHN44" s="76"/>
      <c r="NHO44" s="76"/>
      <c r="NHP44" s="76"/>
      <c r="NHQ44" s="76"/>
      <c r="NHR44" s="76"/>
      <c r="NHS44" s="76"/>
      <c r="NHT44" s="76"/>
      <c r="NHU44" s="76"/>
      <c r="NHV44" s="76"/>
      <c r="NHW44" s="76"/>
      <c r="NHX44" s="76"/>
      <c r="NHY44" s="76"/>
      <c r="NHZ44" s="76"/>
      <c r="NIA44" s="76"/>
      <c r="NIB44" s="76"/>
      <c r="NIC44" s="76"/>
      <c r="NID44" s="76"/>
      <c r="NIE44" s="76"/>
      <c r="NIF44" s="76"/>
      <c r="NIG44" s="76"/>
      <c r="NIH44" s="76"/>
      <c r="NII44" s="76"/>
      <c r="NIJ44" s="76"/>
      <c r="NIK44" s="76"/>
      <c r="NIL44" s="76"/>
      <c r="NIM44" s="76"/>
      <c r="NIN44" s="76"/>
      <c r="NIO44" s="76"/>
      <c r="NIP44" s="76"/>
      <c r="NIQ44" s="76"/>
      <c r="NIR44" s="76"/>
      <c r="NIS44" s="76"/>
      <c r="NIT44" s="76"/>
      <c r="NIU44" s="76"/>
      <c r="NIV44" s="76"/>
      <c r="NIW44" s="76"/>
      <c r="NIX44" s="76"/>
      <c r="NIY44" s="76"/>
      <c r="NIZ44" s="76"/>
      <c r="NJA44" s="76"/>
      <c r="NJB44" s="76"/>
      <c r="NJC44" s="76"/>
      <c r="NJD44" s="76"/>
      <c r="NJE44" s="76"/>
      <c r="NJF44" s="76"/>
      <c r="NJG44" s="76"/>
      <c r="NJH44" s="76"/>
      <c r="NJI44" s="76"/>
      <c r="NJJ44" s="76"/>
      <c r="NJK44" s="76"/>
      <c r="NJL44" s="76"/>
      <c r="NJM44" s="76"/>
      <c r="NJN44" s="76"/>
      <c r="NJO44" s="76"/>
      <c r="NJP44" s="76"/>
      <c r="NJQ44" s="76"/>
      <c r="NJR44" s="76"/>
      <c r="NJS44" s="76"/>
      <c r="NJT44" s="76"/>
      <c r="NJU44" s="76"/>
      <c r="NJV44" s="76"/>
      <c r="NJW44" s="76"/>
      <c r="NJX44" s="76"/>
      <c r="NJY44" s="76"/>
      <c r="NJZ44" s="76"/>
      <c r="NKA44" s="76"/>
      <c r="NKB44" s="76"/>
      <c r="NKC44" s="76"/>
      <c r="NKD44" s="76"/>
      <c r="NKE44" s="76"/>
      <c r="NKF44" s="76"/>
      <c r="NKG44" s="76"/>
      <c r="NKH44" s="76"/>
      <c r="NKI44" s="76"/>
      <c r="NKJ44" s="76"/>
      <c r="NKK44" s="76"/>
      <c r="NKL44" s="76"/>
      <c r="NKM44" s="76"/>
      <c r="NKN44" s="76"/>
      <c r="NKO44" s="76"/>
      <c r="NKP44" s="76"/>
      <c r="NKQ44" s="76"/>
      <c r="NKR44" s="76"/>
      <c r="NKS44" s="76"/>
      <c r="NKT44" s="76"/>
      <c r="NKU44" s="76"/>
      <c r="NKV44" s="76"/>
      <c r="NKW44" s="76"/>
      <c r="NKX44" s="76"/>
      <c r="NKY44" s="76"/>
      <c r="NKZ44" s="76"/>
      <c r="NLA44" s="76"/>
      <c r="NLB44" s="76"/>
      <c r="NLC44" s="76"/>
      <c r="NLD44" s="76"/>
      <c r="NLE44" s="76"/>
      <c r="NLF44" s="76"/>
      <c r="NLG44" s="76"/>
      <c r="NLH44" s="76"/>
      <c r="NLI44" s="76"/>
      <c r="NLJ44" s="76"/>
      <c r="NLK44" s="76"/>
      <c r="NLL44" s="76"/>
      <c r="NLM44" s="76"/>
      <c r="NLN44" s="76"/>
      <c r="NLO44" s="76"/>
      <c r="NLP44" s="76"/>
      <c r="NLQ44" s="76"/>
      <c r="NLR44" s="76"/>
      <c r="NLS44" s="76"/>
      <c r="NLT44" s="76"/>
      <c r="NLU44" s="76"/>
      <c r="NLV44" s="76"/>
      <c r="NLW44" s="76"/>
      <c r="NLX44" s="76"/>
      <c r="NLY44" s="76"/>
      <c r="NLZ44" s="76"/>
      <c r="NMA44" s="76"/>
      <c r="NMB44" s="76"/>
      <c r="NMC44" s="76"/>
      <c r="NMD44" s="76"/>
      <c r="NME44" s="76"/>
      <c r="NMF44" s="76"/>
      <c r="NMG44" s="76"/>
      <c r="NMH44" s="76"/>
      <c r="NMI44" s="76"/>
      <c r="NMJ44" s="76"/>
      <c r="NMK44" s="76"/>
      <c r="NML44" s="76"/>
      <c r="NMM44" s="76"/>
      <c r="NMN44" s="76"/>
      <c r="NMO44" s="76"/>
      <c r="NMP44" s="76"/>
      <c r="NMQ44" s="76"/>
      <c r="NMR44" s="76"/>
      <c r="NMS44" s="76"/>
      <c r="NMT44" s="76"/>
      <c r="NMU44" s="76"/>
      <c r="NMV44" s="76"/>
      <c r="NMW44" s="76"/>
      <c r="NMX44" s="76"/>
      <c r="NMY44" s="76"/>
      <c r="NMZ44" s="76"/>
      <c r="NNA44" s="76"/>
      <c r="NNB44" s="76"/>
      <c r="NNC44" s="76"/>
      <c r="NND44" s="76"/>
      <c r="NNE44" s="76"/>
      <c r="NNF44" s="76"/>
      <c r="NNG44" s="76"/>
      <c r="NNH44" s="76"/>
      <c r="NNI44" s="76"/>
      <c r="NNJ44" s="76"/>
      <c r="NNK44" s="76"/>
      <c r="NNL44" s="76"/>
      <c r="NNM44" s="76"/>
      <c r="NNN44" s="76"/>
      <c r="NNO44" s="76"/>
      <c r="NNP44" s="76"/>
      <c r="NNQ44" s="76"/>
      <c r="NNR44" s="76"/>
      <c r="NNS44" s="76"/>
      <c r="NNT44" s="76"/>
      <c r="NNU44" s="76"/>
      <c r="NNV44" s="76"/>
      <c r="NNW44" s="76"/>
      <c r="NNX44" s="76"/>
      <c r="NNY44" s="76"/>
      <c r="NNZ44" s="76"/>
      <c r="NOA44" s="76"/>
      <c r="NOB44" s="76"/>
      <c r="NOC44" s="76"/>
      <c r="NOD44" s="76"/>
      <c r="NOE44" s="76"/>
      <c r="NOF44" s="76"/>
      <c r="NOG44" s="76"/>
      <c r="NOH44" s="76"/>
      <c r="NOI44" s="76"/>
      <c r="NOJ44" s="76"/>
      <c r="NOK44" s="76"/>
      <c r="NOL44" s="76"/>
      <c r="NOM44" s="76"/>
      <c r="NON44" s="76"/>
      <c r="NOO44" s="76"/>
      <c r="NOP44" s="76"/>
      <c r="NOQ44" s="76"/>
      <c r="NOR44" s="76"/>
      <c r="NOS44" s="76"/>
      <c r="NOT44" s="76"/>
      <c r="NOU44" s="76"/>
      <c r="NOV44" s="76"/>
      <c r="NOW44" s="76"/>
      <c r="NOX44" s="76"/>
      <c r="NOY44" s="76"/>
      <c r="NOZ44" s="76"/>
      <c r="NPA44" s="76"/>
      <c r="NPB44" s="76"/>
      <c r="NPC44" s="76"/>
      <c r="NPD44" s="76"/>
      <c r="NPE44" s="76"/>
      <c r="NPF44" s="76"/>
      <c r="NPG44" s="76"/>
      <c r="NPH44" s="76"/>
      <c r="NPI44" s="76"/>
      <c r="NPJ44" s="76"/>
      <c r="NPK44" s="76"/>
      <c r="NPL44" s="76"/>
      <c r="NPM44" s="76"/>
      <c r="NPN44" s="76"/>
      <c r="NPO44" s="76"/>
      <c r="NPP44" s="76"/>
      <c r="NPQ44" s="76"/>
      <c r="NPR44" s="76"/>
      <c r="NPS44" s="76"/>
      <c r="NPT44" s="76"/>
      <c r="NPU44" s="76"/>
      <c r="NPV44" s="76"/>
      <c r="NPW44" s="76"/>
      <c r="NPX44" s="76"/>
      <c r="NPY44" s="76"/>
      <c r="NPZ44" s="76"/>
      <c r="NQA44" s="76"/>
      <c r="NQB44" s="76"/>
      <c r="NQC44" s="76"/>
      <c r="NQD44" s="76"/>
      <c r="NQE44" s="76"/>
      <c r="NQF44" s="76"/>
      <c r="NQG44" s="76"/>
      <c r="NQH44" s="76"/>
      <c r="NQI44" s="76"/>
      <c r="NQJ44" s="76"/>
      <c r="NQK44" s="76"/>
      <c r="NQL44" s="76"/>
      <c r="NQM44" s="76"/>
      <c r="NQN44" s="76"/>
      <c r="NQO44" s="76"/>
      <c r="NQP44" s="76"/>
      <c r="NQQ44" s="76"/>
      <c r="NQR44" s="76"/>
      <c r="NQS44" s="76"/>
      <c r="NQT44" s="76"/>
      <c r="NQU44" s="76"/>
      <c r="NQV44" s="76"/>
      <c r="NQW44" s="76"/>
      <c r="NQX44" s="76"/>
      <c r="NQY44" s="76"/>
      <c r="NQZ44" s="76"/>
      <c r="NRA44" s="76"/>
      <c r="NRB44" s="76"/>
      <c r="NRC44" s="76"/>
      <c r="NRD44" s="76"/>
      <c r="NRE44" s="76"/>
      <c r="NRF44" s="76"/>
      <c r="NRG44" s="76"/>
      <c r="NRH44" s="76"/>
      <c r="NRI44" s="76"/>
      <c r="NRJ44" s="76"/>
      <c r="NRK44" s="76"/>
      <c r="NRL44" s="76"/>
      <c r="NRM44" s="76"/>
      <c r="NRN44" s="76"/>
      <c r="NRO44" s="76"/>
      <c r="NRP44" s="76"/>
      <c r="NRQ44" s="76"/>
      <c r="NRR44" s="76"/>
      <c r="NRS44" s="76"/>
      <c r="NRT44" s="76"/>
      <c r="NRU44" s="76"/>
      <c r="NRV44" s="76"/>
      <c r="NRW44" s="76"/>
      <c r="NRX44" s="76"/>
      <c r="NRY44" s="76"/>
      <c r="NRZ44" s="76"/>
      <c r="NSA44" s="76"/>
      <c r="NSB44" s="76"/>
      <c r="NSC44" s="76"/>
      <c r="NSD44" s="76"/>
      <c r="NSE44" s="76"/>
      <c r="NSF44" s="76"/>
      <c r="NSG44" s="76"/>
      <c r="NSH44" s="76"/>
      <c r="NSI44" s="76"/>
      <c r="NSJ44" s="76"/>
      <c r="NSK44" s="76"/>
      <c r="NSL44" s="76"/>
      <c r="NSM44" s="76"/>
      <c r="NSN44" s="76"/>
      <c r="NSO44" s="76"/>
      <c r="NSP44" s="76"/>
      <c r="NSQ44" s="76"/>
      <c r="NSR44" s="76"/>
      <c r="NSS44" s="76"/>
      <c r="NST44" s="76"/>
      <c r="NSU44" s="76"/>
      <c r="NSV44" s="76"/>
      <c r="NSW44" s="76"/>
      <c r="NSX44" s="76"/>
      <c r="NSY44" s="76"/>
      <c r="NSZ44" s="76"/>
      <c r="NTA44" s="76"/>
      <c r="NTB44" s="76"/>
      <c r="NTC44" s="76"/>
      <c r="NTD44" s="76"/>
      <c r="NTE44" s="76"/>
      <c r="NTF44" s="76"/>
      <c r="NTG44" s="76"/>
      <c r="NTH44" s="76"/>
      <c r="NTI44" s="76"/>
      <c r="NTJ44" s="76"/>
      <c r="NTK44" s="76"/>
      <c r="NTL44" s="76"/>
      <c r="NTM44" s="76"/>
      <c r="NTN44" s="76"/>
      <c r="NTO44" s="76"/>
      <c r="NTP44" s="76"/>
      <c r="NTQ44" s="76"/>
      <c r="NTR44" s="76"/>
      <c r="NTS44" s="76"/>
      <c r="NTT44" s="76"/>
      <c r="NTU44" s="76"/>
      <c r="NTV44" s="76"/>
      <c r="NTW44" s="76"/>
      <c r="NTX44" s="76"/>
      <c r="NTY44" s="76"/>
      <c r="NTZ44" s="76"/>
      <c r="NUA44" s="76"/>
      <c r="NUB44" s="76"/>
      <c r="NUC44" s="76"/>
      <c r="NUD44" s="76"/>
      <c r="NUE44" s="76"/>
      <c r="NUF44" s="76"/>
      <c r="NUG44" s="76"/>
      <c r="NUH44" s="76"/>
      <c r="NUI44" s="76"/>
      <c r="NUJ44" s="76"/>
      <c r="NUK44" s="76"/>
      <c r="NUL44" s="76"/>
      <c r="NUM44" s="76"/>
      <c r="NUN44" s="76"/>
      <c r="NUO44" s="76"/>
      <c r="NUP44" s="76"/>
      <c r="NUQ44" s="76"/>
      <c r="NUR44" s="76"/>
      <c r="NUS44" s="76"/>
      <c r="NUT44" s="76"/>
      <c r="NUU44" s="76"/>
      <c r="NUV44" s="76"/>
      <c r="NUW44" s="76"/>
      <c r="NUX44" s="76"/>
      <c r="NUY44" s="76"/>
      <c r="NUZ44" s="76"/>
      <c r="NVA44" s="76"/>
      <c r="NVB44" s="76"/>
      <c r="NVC44" s="76"/>
      <c r="NVD44" s="76"/>
      <c r="NVE44" s="76"/>
      <c r="NVF44" s="76"/>
      <c r="NVG44" s="76"/>
      <c r="NVH44" s="76"/>
      <c r="NVI44" s="76"/>
      <c r="NVJ44" s="76"/>
      <c r="NVK44" s="76"/>
      <c r="NVL44" s="76"/>
      <c r="NVM44" s="76"/>
      <c r="NVN44" s="76"/>
      <c r="NVO44" s="76"/>
      <c r="NVP44" s="76"/>
      <c r="NVQ44" s="76"/>
      <c r="NVR44" s="76"/>
      <c r="NVS44" s="76"/>
      <c r="NVT44" s="76"/>
      <c r="NVU44" s="76"/>
      <c r="NVV44" s="76"/>
      <c r="NVW44" s="76"/>
      <c r="NVX44" s="76"/>
      <c r="NVY44" s="76"/>
      <c r="NVZ44" s="76"/>
      <c r="NWA44" s="76"/>
      <c r="NWB44" s="76"/>
      <c r="NWC44" s="76"/>
      <c r="NWD44" s="76"/>
      <c r="NWE44" s="76"/>
      <c r="NWF44" s="76"/>
      <c r="NWG44" s="76"/>
      <c r="NWH44" s="76"/>
      <c r="NWI44" s="76"/>
      <c r="NWJ44" s="76"/>
      <c r="NWK44" s="76"/>
      <c r="NWL44" s="76"/>
      <c r="NWM44" s="76"/>
      <c r="NWN44" s="76"/>
      <c r="NWO44" s="76"/>
      <c r="NWP44" s="76"/>
      <c r="NWQ44" s="76"/>
      <c r="NWR44" s="76"/>
      <c r="NWS44" s="76"/>
      <c r="NWT44" s="76"/>
      <c r="NWU44" s="76"/>
      <c r="NWV44" s="76"/>
      <c r="NWW44" s="76"/>
      <c r="NWX44" s="76"/>
      <c r="NWY44" s="76"/>
      <c r="NWZ44" s="76"/>
      <c r="NXA44" s="76"/>
      <c r="NXB44" s="76"/>
      <c r="NXC44" s="76"/>
      <c r="NXD44" s="76"/>
      <c r="NXE44" s="76"/>
      <c r="NXF44" s="76"/>
      <c r="NXG44" s="76"/>
      <c r="NXH44" s="76"/>
      <c r="NXI44" s="76"/>
      <c r="NXJ44" s="76"/>
      <c r="NXK44" s="76"/>
      <c r="NXL44" s="76"/>
      <c r="NXM44" s="76"/>
      <c r="NXN44" s="76"/>
      <c r="NXO44" s="76"/>
      <c r="NXP44" s="76"/>
      <c r="NXQ44" s="76"/>
      <c r="NXR44" s="76"/>
      <c r="NXS44" s="76"/>
      <c r="NXT44" s="76"/>
      <c r="NXU44" s="76"/>
      <c r="NXV44" s="76"/>
      <c r="NXW44" s="76"/>
      <c r="NXX44" s="76"/>
      <c r="NXY44" s="76"/>
      <c r="NXZ44" s="76"/>
      <c r="NYA44" s="76"/>
      <c r="NYB44" s="76"/>
      <c r="NYC44" s="76"/>
      <c r="NYD44" s="76"/>
      <c r="NYE44" s="76"/>
      <c r="NYF44" s="76"/>
      <c r="NYG44" s="76"/>
      <c r="NYH44" s="76"/>
      <c r="NYI44" s="76"/>
      <c r="NYJ44" s="76"/>
      <c r="NYK44" s="76"/>
      <c r="NYL44" s="76"/>
      <c r="NYM44" s="76"/>
      <c r="NYN44" s="76"/>
      <c r="NYO44" s="76"/>
      <c r="NYP44" s="76"/>
      <c r="NYQ44" s="76"/>
      <c r="NYR44" s="76"/>
      <c r="NYS44" s="76"/>
      <c r="NYT44" s="76"/>
      <c r="NYU44" s="76"/>
      <c r="NYV44" s="76"/>
      <c r="NYW44" s="76"/>
      <c r="NYX44" s="76"/>
      <c r="NYY44" s="76"/>
      <c r="NYZ44" s="76"/>
      <c r="NZA44" s="76"/>
      <c r="NZB44" s="76"/>
      <c r="NZC44" s="76"/>
      <c r="NZD44" s="76"/>
      <c r="NZE44" s="76"/>
      <c r="NZF44" s="76"/>
      <c r="NZG44" s="76"/>
      <c r="NZH44" s="76"/>
      <c r="NZI44" s="76"/>
      <c r="NZJ44" s="76"/>
      <c r="NZK44" s="76"/>
      <c r="NZL44" s="76"/>
      <c r="NZM44" s="76"/>
      <c r="NZN44" s="76"/>
      <c r="NZO44" s="76"/>
      <c r="NZP44" s="76"/>
      <c r="NZQ44" s="76"/>
      <c r="NZR44" s="76"/>
      <c r="NZS44" s="76"/>
      <c r="NZT44" s="76"/>
      <c r="NZU44" s="76"/>
      <c r="NZV44" s="76"/>
      <c r="NZW44" s="76"/>
      <c r="NZX44" s="76"/>
      <c r="NZY44" s="76"/>
      <c r="NZZ44" s="76"/>
      <c r="OAA44" s="76"/>
      <c r="OAB44" s="76"/>
      <c r="OAC44" s="76"/>
      <c r="OAD44" s="76"/>
      <c r="OAE44" s="76"/>
      <c r="OAF44" s="76"/>
      <c r="OAG44" s="76"/>
      <c r="OAH44" s="76"/>
      <c r="OAI44" s="76"/>
      <c r="OAJ44" s="76"/>
      <c r="OAK44" s="76"/>
      <c r="OAL44" s="76"/>
      <c r="OAM44" s="76"/>
      <c r="OAN44" s="76"/>
      <c r="OAO44" s="76"/>
      <c r="OAP44" s="76"/>
      <c r="OAQ44" s="76"/>
      <c r="OAR44" s="76"/>
      <c r="OAS44" s="76"/>
      <c r="OAT44" s="76"/>
      <c r="OAU44" s="76"/>
      <c r="OAV44" s="76"/>
      <c r="OAW44" s="76"/>
      <c r="OAX44" s="76"/>
      <c r="OAY44" s="76"/>
      <c r="OAZ44" s="76"/>
      <c r="OBA44" s="76"/>
      <c r="OBB44" s="76"/>
      <c r="OBC44" s="76"/>
      <c r="OBD44" s="76"/>
      <c r="OBE44" s="76"/>
      <c r="OBF44" s="76"/>
      <c r="OBG44" s="76"/>
      <c r="OBH44" s="76"/>
      <c r="OBI44" s="76"/>
      <c r="OBJ44" s="76"/>
      <c r="OBK44" s="76"/>
      <c r="OBL44" s="76"/>
      <c r="OBM44" s="76"/>
      <c r="OBN44" s="76"/>
      <c r="OBO44" s="76"/>
      <c r="OBP44" s="76"/>
      <c r="OBQ44" s="76"/>
      <c r="OBR44" s="76"/>
      <c r="OBS44" s="76"/>
      <c r="OBT44" s="76"/>
      <c r="OBU44" s="76"/>
      <c r="OBV44" s="76"/>
      <c r="OBW44" s="76"/>
      <c r="OBX44" s="76"/>
      <c r="OBY44" s="76"/>
      <c r="OBZ44" s="76"/>
      <c r="OCA44" s="76"/>
      <c r="OCB44" s="76"/>
      <c r="OCC44" s="76"/>
      <c r="OCD44" s="76"/>
      <c r="OCE44" s="76"/>
      <c r="OCF44" s="76"/>
      <c r="OCG44" s="76"/>
      <c r="OCH44" s="76"/>
      <c r="OCI44" s="76"/>
      <c r="OCJ44" s="76"/>
      <c r="OCK44" s="76"/>
      <c r="OCL44" s="76"/>
      <c r="OCM44" s="76"/>
      <c r="OCN44" s="76"/>
      <c r="OCO44" s="76"/>
      <c r="OCP44" s="76"/>
      <c r="OCQ44" s="76"/>
      <c r="OCR44" s="76"/>
      <c r="OCS44" s="76"/>
      <c r="OCT44" s="76"/>
      <c r="OCU44" s="76"/>
      <c r="OCV44" s="76"/>
      <c r="OCW44" s="76"/>
      <c r="OCX44" s="76"/>
      <c r="OCY44" s="76"/>
      <c r="OCZ44" s="76"/>
      <c r="ODA44" s="76"/>
      <c r="ODB44" s="76"/>
      <c r="ODC44" s="76"/>
      <c r="ODD44" s="76"/>
      <c r="ODE44" s="76"/>
      <c r="ODF44" s="76"/>
      <c r="ODG44" s="76"/>
      <c r="ODH44" s="76"/>
      <c r="ODI44" s="76"/>
      <c r="ODJ44" s="76"/>
      <c r="ODK44" s="76"/>
      <c r="ODL44" s="76"/>
      <c r="ODM44" s="76"/>
      <c r="ODN44" s="76"/>
      <c r="ODO44" s="76"/>
      <c r="ODP44" s="76"/>
      <c r="ODQ44" s="76"/>
      <c r="ODR44" s="76"/>
      <c r="ODS44" s="76"/>
      <c r="ODT44" s="76"/>
      <c r="ODU44" s="76"/>
      <c r="ODV44" s="76"/>
      <c r="ODW44" s="76"/>
      <c r="ODX44" s="76"/>
      <c r="ODY44" s="76"/>
      <c r="ODZ44" s="76"/>
      <c r="OEA44" s="76"/>
      <c r="OEB44" s="76"/>
      <c r="OEC44" s="76"/>
      <c r="OED44" s="76"/>
      <c r="OEE44" s="76"/>
      <c r="OEF44" s="76"/>
      <c r="OEG44" s="76"/>
      <c r="OEH44" s="76"/>
      <c r="OEI44" s="76"/>
      <c r="OEJ44" s="76"/>
      <c r="OEK44" s="76"/>
      <c r="OEL44" s="76"/>
      <c r="OEM44" s="76"/>
      <c r="OEN44" s="76"/>
      <c r="OEO44" s="76"/>
      <c r="OEP44" s="76"/>
      <c r="OEQ44" s="76"/>
      <c r="OER44" s="76"/>
      <c r="OES44" s="76"/>
      <c r="OET44" s="76"/>
      <c r="OEU44" s="76"/>
      <c r="OEV44" s="76"/>
      <c r="OEW44" s="76"/>
      <c r="OEX44" s="76"/>
      <c r="OEY44" s="76"/>
      <c r="OEZ44" s="76"/>
      <c r="OFA44" s="76"/>
      <c r="OFB44" s="76"/>
      <c r="OFC44" s="76"/>
      <c r="OFD44" s="76"/>
      <c r="OFE44" s="76"/>
      <c r="OFF44" s="76"/>
      <c r="OFG44" s="76"/>
      <c r="OFH44" s="76"/>
      <c r="OFI44" s="76"/>
      <c r="OFJ44" s="76"/>
      <c r="OFK44" s="76"/>
      <c r="OFL44" s="76"/>
      <c r="OFM44" s="76"/>
      <c r="OFN44" s="76"/>
      <c r="OFO44" s="76"/>
      <c r="OFP44" s="76"/>
      <c r="OFQ44" s="76"/>
      <c r="OFR44" s="76"/>
      <c r="OFS44" s="76"/>
      <c r="OFT44" s="76"/>
      <c r="OFU44" s="76"/>
      <c r="OFV44" s="76"/>
      <c r="OFW44" s="76"/>
      <c r="OFX44" s="76"/>
      <c r="OFY44" s="76"/>
      <c r="OFZ44" s="76"/>
      <c r="OGA44" s="76"/>
      <c r="OGB44" s="76"/>
      <c r="OGC44" s="76"/>
      <c r="OGD44" s="76"/>
      <c r="OGE44" s="76"/>
      <c r="OGF44" s="76"/>
      <c r="OGG44" s="76"/>
      <c r="OGH44" s="76"/>
      <c r="OGI44" s="76"/>
      <c r="OGJ44" s="76"/>
      <c r="OGK44" s="76"/>
      <c r="OGL44" s="76"/>
      <c r="OGM44" s="76"/>
      <c r="OGN44" s="76"/>
      <c r="OGO44" s="76"/>
      <c r="OGP44" s="76"/>
      <c r="OGQ44" s="76"/>
      <c r="OGR44" s="76"/>
      <c r="OGS44" s="76"/>
      <c r="OGT44" s="76"/>
      <c r="OGU44" s="76"/>
      <c r="OGV44" s="76"/>
      <c r="OGW44" s="76"/>
      <c r="OGX44" s="76"/>
      <c r="OGY44" s="76"/>
      <c r="OGZ44" s="76"/>
      <c r="OHA44" s="76"/>
      <c r="OHB44" s="76"/>
      <c r="OHC44" s="76"/>
      <c r="OHD44" s="76"/>
      <c r="OHE44" s="76"/>
      <c r="OHF44" s="76"/>
      <c r="OHG44" s="76"/>
      <c r="OHH44" s="76"/>
      <c r="OHI44" s="76"/>
      <c r="OHJ44" s="76"/>
      <c r="OHK44" s="76"/>
      <c r="OHL44" s="76"/>
      <c r="OHM44" s="76"/>
      <c r="OHN44" s="76"/>
      <c r="OHO44" s="76"/>
      <c r="OHP44" s="76"/>
      <c r="OHQ44" s="76"/>
      <c r="OHR44" s="76"/>
      <c r="OHS44" s="76"/>
      <c r="OHT44" s="76"/>
      <c r="OHU44" s="76"/>
      <c r="OHV44" s="76"/>
      <c r="OHW44" s="76"/>
      <c r="OHX44" s="76"/>
      <c r="OHY44" s="76"/>
      <c r="OHZ44" s="76"/>
      <c r="OIA44" s="76"/>
      <c r="OIB44" s="76"/>
      <c r="OIC44" s="76"/>
      <c r="OID44" s="76"/>
      <c r="OIE44" s="76"/>
      <c r="OIF44" s="76"/>
      <c r="OIG44" s="76"/>
      <c r="OIH44" s="76"/>
      <c r="OII44" s="76"/>
      <c r="OIJ44" s="76"/>
      <c r="OIK44" s="76"/>
      <c r="OIL44" s="76"/>
      <c r="OIM44" s="76"/>
      <c r="OIN44" s="76"/>
      <c r="OIO44" s="76"/>
      <c r="OIP44" s="76"/>
      <c r="OIQ44" s="76"/>
      <c r="OIR44" s="76"/>
      <c r="OIS44" s="76"/>
      <c r="OIT44" s="76"/>
      <c r="OIU44" s="76"/>
      <c r="OIV44" s="76"/>
      <c r="OIW44" s="76"/>
      <c r="OIX44" s="76"/>
      <c r="OIY44" s="76"/>
      <c r="OIZ44" s="76"/>
      <c r="OJA44" s="76"/>
      <c r="OJB44" s="76"/>
      <c r="OJC44" s="76"/>
      <c r="OJD44" s="76"/>
      <c r="OJE44" s="76"/>
      <c r="OJF44" s="76"/>
      <c r="OJG44" s="76"/>
      <c r="OJH44" s="76"/>
      <c r="OJI44" s="76"/>
      <c r="OJJ44" s="76"/>
      <c r="OJK44" s="76"/>
      <c r="OJL44" s="76"/>
      <c r="OJM44" s="76"/>
      <c r="OJN44" s="76"/>
      <c r="OJO44" s="76"/>
      <c r="OJP44" s="76"/>
      <c r="OJQ44" s="76"/>
      <c r="OJR44" s="76"/>
      <c r="OJS44" s="76"/>
      <c r="OJT44" s="76"/>
      <c r="OJU44" s="76"/>
      <c r="OJV44" s="76"/>
      <c r="OJW44" s="76"/>
      <c r="OJX44" s="76"/>
      <c r="OJY44" s="76"/>
      <c r="OJZ44" s="76"/>
      <c r="OKA44" s="76"/>
      <c r="OKB44" s="76"/>
      <c r="OKC44" s="76"/>
      <c r="OKD44" s="76"/>
      <c r="OKE44" s="76"/>
      <c r="OKF44" s="76"/>
      <c r="OKG44" s="76"/>
      <c r="OKH44" s="76"/>
      <c r="OKI44" s="76"/>
      <c r="OKJ44" s="76"/>
      <c r="OKK44" s="76"/>
      <c r="OKL44" s="76"/>
      <c r="OKM44" s="76"/>
      <c r="OKN44" s="76"/>
      <c r="OKO44" s="76"/>
      <c r="OKP44" s="76"/>
      <c r="OKQ44" s="76"/>
      <c r="OKR44" s="76"/>
      <c r="OKS44" s="76"/>
      <c r="OKT44" s="76"/>
      <c r="OKU44" s="76"/>
      <c r="OKV44" s="76"/>
      <c r="OKW44" s="76"/>
      <c r="OKX44" s="76"/>
      <c r="OKY44" s="76"/>
      <c r="OKZ44" s="76"/>
      <c r="OLA44" s="76"/>
      <c r="OLB44" s="76"/>
      <c r="OLC44" s="76"/>
      <c r="OLD44" s="76"/>
      <c r="OLE44" s="76"/>
      <c r="OLF44" s="76"/>
      <c r="OLG44" s="76"/>
      <c r="OLH44" s="76"/>
      <c r="OLI44" s="76"/>
      <c r="OLJ44" s="76"/>
      <c r="OLK44" s="76"/>
      <c r="OLL44" s="76"/>
      <c r="OLM44" s="76"/>
      <c r="OLN44" s="76"/>
      <c r="OLO44" s="76"/>
      <c r="OLP44" s="76"/>
      <c r="OLQ44" s="76"/>
      <c r="OLR44" s="76"/>
      <c r="OLS44" s="76"/>
      <c r="OLT44" s="76"/>
      <c r="OLU44" s="76"/>
      <c r="OLV44" s="76"/>
      <c r="OLW44" s="76"/>
      <c r="OLX44" s="76"/>
      <c r="OLY44" s="76"/>
      <c r="OLZ44" s="76"/>
      <c r="OMA44" s="76"/>
      <c r="OMB44" s="76"/>
      <c r="OMC44" s="76"/>
      <c r="OMD44" s="76"/>
      <c r="OME44" s="76"/>
      <c r="OMF44" s="76"/>
      <c r="OMG44" s="76"/>
      <c r="OMH44" s="76"/>
      <c r="OMI44" s="76"/>
      <c r="OMJ44" s="76"/>
      <c r="OMK44" s="76"/>
      <c r="OML44" s="76"/>
      <c r="OMM44" s="76"/>
      <c r="OMN44" s="76"/>
      <c r="OMO44" s="76"/>
      <c r="OMP44" s="76"/>
      <c r="OMQ44" s="76"/>
      <c r="OMR44" s="76"/>
      <c r="OMS44" s="76"/>
      <c r="OMT44" s="76"/>
      <c r="OMU44" s="76"/>
      <c r="OMV44" s="76"/>
      <c r="OMW44" s="76"/>
      <c r="OMX44" s="76"/>
      <c r="OMY44" s="76"/>
      <c r="OMZ44" s="76"/>
      <c r="ONA44" s="76"/>
      <c r="ONB44" s="76"/>
      <c r="ONC44" s="76"/>
      <c r="OND44" s="76"/>
      <c r="ONE44" s="76"/>
      <c r="ONF44" s="76"/>
      <c r="ONG44" s="76"/>
      <c r="ONH44" s="76"/>
      <c r="ONI44" s="76"/>
      <c r="ONJ44" s="76"/>
      <c r="ONK44" s="76"/>
      <c r="ONL44" s="76"/>
      <c r="ONM44" s="76"/>
      <c r="ONN44" s="76"/>
      <c r="ONO44" s="76"/>
      <c r="ONP44" s="76"/>
      <c r="ONQ44" s="76"/>
      <c r="ONR44" s="76"/>
      <c r="ONS44" s="76"/>
      <c r="ONT44" s="76"/>
      <c r="ONU44" s="76"/>
      <c r="ONV44" s="76"/>
      <c r="ONW44" s="76"/>
      <c r="ONX44" s="76"/>
      <c r="ONY44" s="76"/>
      <c r="ONZ44" s="76"/>
      <c r="OOA44" s="76"/>
      <c r="OOB44" s="76"/>
      <c r="OOC44" s="76"/>
      <c r="OOD44" s="76"/>
      <c r="OOE44" s="76"/>
      <c r="OOF44" s="76"/>
      <c r="OOG44" s="76"/>
      <c r="OOH44" s="76"/>
      <c r="OOI44" s="76"/>
      <c r="OOJ44" s="76"/>
      <c r="OOK44" s="76"/>
      <c r="OOL44" s="76"/>
      <c r="OOM44" s="76"/>
      <c r="OON44" s="76"/>
      <c r="OOO44" s="76"/>
      <c r="OOP44" s="76"/>
      <c r="OOQ44" s="76"/>
      <c r="OOR44" s="76"/>
      <c r="OOS44" s="76"/>
      <c r="OOT44" s="76"/>
      <c r="OOU44" s="76"/>
      <c r="OOV44" s="76"/>
      <c r="OOW44" s="76"/>
      <c r="OOX44" s="76"/>
      <c r="OOY44" s="76"/>
      <c r="OOZ44" s="76"/>
      <c r="OPA44" s="76"/>
      <c r="OPB44" s="76"/>
      <c r="OPC44" s="76"/>
      <c r="OPD44" s="76"/>
      <c r="OPE44" s="76"/>
      <c r="OPF44" s="76"/>
      <c r="OPG44" s="76"/>
      <c r="OPH44" s="76"/>
      <c r="OPI44" s="76"/>
      <c r="OPJ44" s="76"/>
      <c r="OPK44" s="76"/>
      <c r="OPL44" s="76"/>
      <c r="OPM44" s="76"/>
      <c r="OPN44" s="76"/>
      <c r="OPO44" s="76"/>
      <c r="OPP44" s="76"/>
      <c r="OPQ44" s="76"/>
      <c r="OPR44" s="76"/>
      <c r="OPS44" s="76"/>
      <c r="OPT44" s="76"/>
      <c r="OPU44" s="76"/>
      <c r="OPV44" s="76"/>
      <c r="OPW44" s="76"/>
      <c r="OPX44" s="76"/>
      <c r="OPY44" s="76"/>
      <c r="OPZ44" s="76"/>
      <c r="OQA44" s="76"/>
      <c r="OQB44" s="76"/>
      <c r="OQC44" s="76"/>
      <c r="OQD44" s="76"/>
      <c r="OQE44" s="76"/>
      <c r="OQF44" s="76"/>
      <c r="OQG44" s="76"/>
      <c r="OQH44" s="76"/>
      <c r="OQI44" s="76"/>
      <c r="OQJ44" s="76"/>
      <c r="OQK44" s="76"/>
      <c r="OQL44" s="76"/>
      <c r="OQM44" s="76"/>
      <c r="OQN44" s="76"/>
      <c r="OQO44" s="76"/>
      <c r="OQP44" s="76"/>
      <c r="OQQ44" s="76"/>
      <c r="OQR44" s="76"/>
      <c r="OQS44" s="76"/>
      <c r="OQT44" s="76"/>
      <c r="OQU44" s="76"/>
      <c r="OQV44" s="76"/>
      <c r="OQW44" s="76"/>
      <c r="OQX44" s="76"/>
      <c r="OQY44" s="76"/>
      <c r="OQZ44" s="76"/>
      <c r="ORA44" s="76"/>
      <c r="ORB44" s="76"/>
      <c r="ORC44" s="76"/>
      <c r="ORD44" s="76"/>
      <c r="ORE44" s="76"/>
      <c r="ORF44" s="76"/>
      <c r="ORG44" s="76"/>
      <c r="ORH44" s="76"/>
      <c r="ORI44" s="76"/>
      <c r="ORJ44" s="76"/>
      <c r="ORK44" s="76"/>
      <c r="ORL44" s="76"/>
      <c r="ORM44" s="76"/>
      <c r="ORN44" s="76"/>
      <c r="ORO44" s="76"/>
      <c r="ORP44" s="76"/>
      <c r="ORQ44" s="76"/>
      <c r="ORR44" s="76"/>
      <c r="ORS44" s="76"/>
      <c r="ORT44" s="76"/>
      <c r="ORU44" s="76"/>
      <c r="ORV44" s="76"/>
      <c r="ORW44" s="76"/>
      <c r="ORX44" s="76"/>
      <c r="ORY44" s="76"/>
      <c r="ORZ44" s="76"/>
      <c r="OSA44" s="76"/>
      <c r="OSB44" s="76"/>
      <c r="OSC44" s="76"/>
      <c r="OSD44" s="76"/>
      <c r="OSE44" s="76"/>
      <c r="OSF44" s="76"/>
      <c r="OSG44" s="76"/>
      <c r="OSH44" s="76"/>
      <c r="OSI44" s="76"/>
      <c r="OSJ44" s="76"/>
      <c r="OSK44" s="76"/>
      <c r="OSL44" s="76"/>
      <c r="OSM44" s="76"/>
      <c r="OSN44" s="76"/>
      <c r="OSO44" s="76"/>
      <c r="OSP44" s="76"/>
      <c r="OSQ44" s="76"/>
      <c r="OSR44" s="76"/>
      <c r="OSS44" s="76"/>
      <c r="OST44" s="76"/>
      <c r="OSU44" s="76"/>
      <c r="OSV44" s="76"/>
      <c r="OSW44" s="76"/>
      <c r="OSX44" s="76"/>
      <c r="OSY44" s="76"/>
      <c r="OSZ44" s="76"/>
      <c r="OTA44" s="76"/>
      <c r="OTB44" s="76"/>
      <c r="OTC44" s="76"/>
      <c r="OTD44" s="76"/>
      <c r="OTE44" s="76"/>
      <c r="OTF44" s="76"/>
      <c r="OTG44" s="76"/>
      <c r="OTH44" s="76"/>
      <c r="OTI44" s="76"/>
      <c r="OTJ44" s="76"/>
      <c r="OTK44" s="76"/>
      <c r="OTL44" s="76"/>
      <c r="OTM44" s="76"/>
      <c r="OTN44" s="76"/>
      <c r="OTO44" s="76"/>
      <c r="OTP44" s="76"/>
      <c r="OTQ44" s="76"/>
      <c r="OTR44" s="76"/>
      <c r="OTS44" s="76"/>
      <c r="OTT44" s="76"/>
      <c r="OTU44" s="76"/>
      <c r="OTV44" s="76"/>
      <c r="OTW44" s="76"/>
      <c r="OTX44" s="76"/>
      <c r="OTY44" s="76"/>
      <c r="OTZ44" s="76"/>
      <c r="OUA44" s="76"/>
      <c r="OUB44" s="76"/>
      <c r="OUC44" s="76"/>
      <c r="OUD44" s="76"/>
      <c r="OUE44" s="76"/>
      <c r="OUF44" s="76"/>
      <c r="OUG44" s="76"/>
      <c r="OUH44" s="76"/>
      <c r="OUI44" s="76"/>
      <c r="OUJ44" s="76"/>
      <c r="OUK44" s="76"/>
      <c r="OUL44" s="76"/>
      <c r="OUM44" s="76"/>
      <c r="OUN44" s="76"/>
      <c r="OUO44" s="76"/>
      <c r="OUP44" s="76"/>
      <c r="OUQ44" s="76"/>
      <c r="OUR44" s="76"/>
      <c r="OUS44" s="76"/>
      <c r="OUT44" s="76"/>
      <c r="OUU44" s="76"/>
      <c r="OUV44" s="76"/>
      <c r="OUW44" s="76"/>
      <c r="OUX44" s="76"/>
      <c r="OUY44" s="76"/>
      <c r="OUZ44" s="76"/>
      <c r="OVA44" s="76"/>
      <c r="OVB44" s="76"/>
      <c r="OVC44" s="76"/>
      <c r="OVD44" s="76"/>
      <c r="OVE44" s="76"/>
      <c r="OVF44" s="76"/>
      <c r="OVG44" s="76"/>
      <c r="OVH44" s="76"/>
      <c r="OVI44" s="76"/>
      <c r="OVJ44" s="76"/>
      <c r="OVK44" s="76"/>
      <c r="OVL44" s="76"/>
      <c r="OVM44" s="76"/>
      <c r="OVN44" s="76"/>
      <c r="OVO44" s="76"/>
      <c r="OVP44" s="76"/>
      <c r="OVQ44" s="76"/>
      <c r="OVR44" s="76"/>
      <c r="OVS44" s="76"/>
      <c r="OVT44" s="76"/>
      <c r="OVU44" s="76"/>
      <c r="OVV44" s="76"/>
      <c r="OVW44" s="76"/>
      <c r="OVX44" s="76"/>
      <c r="OVY44" s="76"/>
      <c r="OVZ44" s="76"/>
      <c r="OWA44" s="76"/>
      <c r="OWB44" s="76"/>
      <c r="OWC44" s="76"/>
      <c r="OWD44" s="76"/>
      <c r="OWE44" s="76"/>
      <c r="OWF44" s="76"/>
      <c r="OWG44" s="76"/>
      <c r="OWH44" s="76"/>
      <c r="OWI44" s="76"/>
      <c r="OWJ44" s="76"/>
      <c r="OWK44" s="76"/>
      <c r="OWL44" s="76"/>
      <c r="OWM44" s="76"/>
      <c r="OWN44" s="76"/>
      <c r="OWO44" s="76"/>
      <c r="OWP44" s="76"/>
      <c r="OWQ44" s="76"/>
      <c r="OWR44" s="76"/>
      <c r="OWS44" s="76"/>
      <c r="OWT44" s="76"/>
      <c r="OWU44" s="76"/>
      <c r="OWV44" s="76"/>
      <c r="OWW44" s="76"/>
      <c r="OWX44" s="76"/>
      <c r="OWY44" s="76"/>
      <c r="OWZ44" s="76"/>
      <c r="OXA44" s="76"/>
      <c r="OXB44" s="76"/>
      <c r="OXC44" s="76"/>
      <c r="OXD44" s="76"/>
      <c r="OXE44" s="76"/>
      <c r="OXF44" s="76"/>
      <c r="OXG44" s="76"/>
      <c r="OXH44" s="76"/>
      <c r="OXI44" s="76"/>
      <c r="OXJ44" s="76"/>
      <c r="OXK44" s="76"/>
      <c r="OXL44" s="76"/>
      <c r="OXM44" s="76"/>
      <c r="OXN44" s="76"/>
      <c r="OXO44" s="76"/>
      <c r="OXP44" s="76"/>
      <c r="OXQ44" s="76"/>
      <c r="OXR44" s="76"/>
      <c r="OXS44" s="76"/>
      <c r="OXT44" s="76"/>
      <c r="OXU44" s="76"/>
      <c r="OXV44" s="76"/>
      <c r="OXW44" s="76"/>
      <c r="OXX44" s="76"/>
      <c r="OXY44" s="76"/>
      <c r="OXZ44" s="76"/>
      <c r="OYA44" s="76"/>
      <c r="OYB44" s="76"/>
      <c r="OYC44" s="76"/>
      <c r="OYD44" s="76"/>
      <c r="OYE44" s="76"/>
      <c r="OYF44" s="76"/>
      <c r="OYG44" s="76"/>
      <c r="OYH44" s="76"/>
      <c r="OYI44" s="76"/>
      <c r="OYJ44" s="76"/>
      <c r="OYK44" s="76"/>
      <c r="OYL44" s="76"/>
      <c r="OYM44" s="76"/>
      <c r="OYN44" s="76"/>
      <c r="OYO44" s="76"/>
      <c r="OYP44" s="76"/>
      <c r="OYQ44" s="76"/>
      <c r="OYR44" s="76"/>
      <c r="OYS44" s="76"/>
      <c r="OYT44" s="76"/>
      <c r="OYU44" s="76"/>
      <c r="OYV44" s="76"/>
      <c r="OYW44" s="76"/>
      <c r="OYX44" s="76"/>
      <c r="OYY44" s="76"/>
      <c r="OYZ44" s="76"/>
      <c r="OZA44" s="76"/>
      <c r="OZB44" s="76"/>
      <c r="OZC44" s="76"/>
      <c r="OZD44" s="76"/>
      <c r="OZE44" s="76"/>
      <c r="OZF44" s="76"/>
      <c r="OZG44" s="76"/>
      <c r="OZH44" s="76"/>
      <c r="OZI44" s="76"/>
      <c r="OZJ44" s="76"/>
      <c r="OZK44" s="76"/>
      <c r="OZL44" s="76"/>
      <c r="OZM44" s="76"/>
      <c r="OZN44" s="76"/>
      <c r="OZO44" s="76"/>
      <c r="OZP44" s="76"/>
      <c r="OZQ44" s="76"/>
      <c r="OZR44" s="76"/>
      <c r="OZS44" s="76"/>
      <c r="OZT44" s="76"/>
      <c r="OZU44" s="76"/>
      <c r="OZV44" s="76"/>
      <c r="OZW44" s="76"/>
      <c r="OZX44" s="76"/>
      <c r="OZY44" s="76"/>
      <c r="OZZ44" s="76"/>
      <c r="PAA44" s="76"/>
      <c r="PAB44" s="76"/>
      <c r="PAC44" s="76"/>
      <c r="PAD44" s="76"/>
      <c r="PAE44" s="76"/>
      <c r="PAF44" s="76"/>
      <c r="PAG44" s="76"/>
      <c r="PAH44" s="76"/>
      <c r="PAI44" s="76"/>
      <c r="PAJ44" s="76"/>
      <c r="PAK44" s="76"/>
      <c r="PAL44" s="76"/>
      <c r="PAM44" s="76"/>
      <c r="PAN44" s="76"/>
      <c r="PAO44" s="76"/>
      <c r="PAP44" s="76"/>
      <c r="PAQ44" s="76"/>
      <c r="PAR44" s="76"/>
      <c r="PAS44" s="76"/>
      <c r="PAT44" s="76"/>
      <c r="PAU44" s="76"/>
      <c r="PAV44" s="76"/>
      <c r="PAW44" s="76"/>
      <c r="PAX44" s="76"/>
      <c r="PAY44" s="76"/>
      <c r="PAZ44" s="76"/>
      <c r="PBA44" s="76"/>
      <c r="PBB44" s="76"/>
      <c r="PBC44" s="76"/>
      <c r="PBD44" s="76"/>
      <c r="PBE44" s="76"/>
      <c r="PBF44" s="76"/>
      <c r="PBG44" s="76"/>
      <c r="PBH44" s="76"/>
      <c r="PBI44" s="76"/>
      <c r="PBJ44" s="76"/>
      <c r="PBK44" s="76"/>
      <c r="PBL44" s="76"/>
      <c r="PBM44" s="76"/>
      <c r="PBN44" s="76"/>
      <c r="PBO44" s="76"/>
      <c r="PBP44" s="76"/>
      <c r="PBQ44" s="76"/>
      <c r="PBR44" s="76"/>
      <c r="PBS44" s="76"/>
      <c r="PBT44" s="76"/>
      <c r="PBU44" s="76"/>
      <c r="PBV44" s="76"/>
      <c r="PBW44" s="76"/>
      <c r="PBX44" s="76"/>
      <c r="PBY44" s="76"/>
      <c r="PBZ44" s="76"/>
      <c r="PCA44" s="76"/>
      <c r="PCB44" s="76"/>
      <c r="PCC44" s="76"/>
      <c r="PCD44" s="76"/>
      <c r="PCE44" s="76"/>
      <c r="PCF44" s="76"/>
      <c r="PCG44" s="76"/>
      <c r="PCH44" s="76"/>
      <c r="PCI44" s="76"/>
      <c r="PCJ44" s="76"/>
      <c r="PCK44" s="76"/>
      <c r="PCL44" s="76"/>
      <c r="PCM44" s="76"/>
      <c r="PCN44" s="76"/>
      <c r="PCO44" s="76"/>
      <c r="PCP44" s="76"/>
      <c r="PCQ44" s="76"/>
      <c r="PCR44" s="76"/>
      <c r="PCS44" s="76"/>
      <c r="PCT44" s="76"/>
      <c r="PCU44" s="76"/>
      <c r="PCV44" s="76"/>
      <c r="PCW44" s="76"/>
      <c r="PCX44" s="76"/>
      <c r="PCY44" s="76"/>
      <c r="PCZ44" s="76"/>
      <c r="PDA44" s="76"/>
      <c r="PDB44" s="76"/>
      <c r="PDC44" s="76"/>
      <c r="PDD44" s="76"/>
      <c r="PDE44" s="76"/>
      <c r="PDF44" s="76"/>
      <c r="PDG44" s="76"/>
      <c r="PDH44" s="76"/>
      <c r="PDI44" s="76"/>
      <c r="PDJ44" s="76"/>
      <c r="PDK44" s="76"/>
      <c r="PDL44" s="76"/>
      <c r="PDM44" s="76"/>
      <c r="PDN44" s="76"/>
      <c r="PDO44" s="76"/>
      <c r="PDP44" s="76"/>
      <c r="PDQ44" s="76"/>
      <c r="PDR44" s="76"/>
      <c r="PDS44" s="76"/>
      <c r="PDT44" s="76"/>
      <c r="PDU44" s="76"/>
      <c r="PDV44" s="76"/>
      <c r="PDW44" s="76"/>
      <c r="PDX44" s="76"/>
      <c r="PDY44" s="76"/>
      <c r="PDZ44" s="76"/>
      <c r="PEA44" s="76"/>
      <c r="PEB44" s="76"/>
      <c r="PEC44" s="76"/>
      <c r="PED44" s="76"/>
      <c r="PEE44" s="76"/>
      <c r="PEF44" s="76"/>
      <c r="PEG44" s="76"/>
      <c r="PEH44" s="76"/>
      <c r="PEI44" s="76"/>
      <c r="PEJ44" s="76"/>
      <c r="PEK44" s="76"/>
      <c r="PEL44" s="76"/>
      <c r="PEM44" s="76"/>
      <c r="PEN44" s="76"/>
      <c r="PEO44" s="76"/>
      <c r="PEP44" s="76"/>
      <c r="PEQ44" s="76"/>
      <c r="PER44" s="76"/>
      <c r="PES44" s="76"/>
      <c r="PET44" s="76"/>
      <c r="PEU44" s="76"/>
      <c r="PEV44" s="76"/>
      <c r="PEW44" s="76"/>
      <c r="PEX44" s="76"/>
      <c r="PEY44" s="76"/>
      <c r="PEZ44" s="76"/>
      <c r="PFA44" s="76"/>
      <c r="PFB44" s="76"/>
      <c r="PFC44" s="76"/>
      <c r="PFD44" s="76"/>
      <c r="PFE44" s="76"/>
      <c r="PFF44" s="76"/>
      <c r="PFG44" s="76"/>
      <c r="PFH44" s="76"/>
      <c r="PFI44" s="76"/>
      <c r="PFJ44" s="76"/>
      <c r="PFK44" s="76"/>
      <c r="PFL44" s="76"/>
      <c r="PFM44" s="76"/>
      <c r="PFN44" s="76"/>
      <c r="PFO44" s="76"/>
      <c r="PFP44" s="76"/>
      <c r="PFQ44" s="76"/>
      <c r="PFR44" s="76"/>
      <c r="PFS44" s="76"/>
      <c r="PFT44" s="76"/>
      <c r="PFU44" s="76"/>
      <c r="PFV44" s="76"/>
      <c r="PFW44" s="76"/>
      <c r="PFX44" s="76"/>
      <c r="PFY44" s="76"/>
      <c r="PFZ44" s="76"/>
      <c r="PGA44" s="76"/>
      <c r="PGB44" s="76"/>
      <c r="PGC44" s="76"/>
      <c r="PGD44" s="76"/>
      <c r="PGE44" s="76"/>
      <c r="PGF44" s="76"/>
      <c r="PGG44" s="76"/>
      <c r="PGH44" s="76"/>
      <c r="PGI44" s="76"/>
      <c r="PGJ44" s="76"/>
      <c r="PGK44" s="76"/>
      <c r="PGL44" s="76"/>
      <c r="PGM44" s="76"/>
      <c r="PGN44" s="76"/>
      <c r="PGO44" s="76"/>
      <c r="PGP44" s="76"/>
      <c r="PGQ44" s="76"/>
      <c r="PGR44" s="76"/>
      <c r="PGS44" s="76"/>
      <c r="PGT44" s="76"/>
      <c r="PGU44" s="76"/>
      <c r="PGV44" s="76"/>
      <c r="PGW44" s="76"/>
      <c r="PGX44" s="76"/>
      <c r="PGY44" s="76"/>
      <c r="PGZ44" s="76"/>
      <c r="PHA44" s="76"/>
      <c r="PHB44" s="76"/>
      <c r="PHC44" s="76"/>
      <c r="PHD44" s="76"/>
      <c r="PHE44" s="76"/>
      <c r="PHF44" s="76"/>
      <c r="PHG44" s="76"/>
      <c r="PHH44" s="76"/>
      <c r="PHI44" s="76"/>
      <c r="PHJ44" s="76"/>
      <c r="PHK44" s="76"/>
      <c r="PHL44" s="76"/>
      <c r="PHM44" s="76"/>
      <c r="PHN44" s="76"/>
      <c r="PHO44" s="76"/>
      <c r="PHP44" s="76"/>
      <c r="PHQ44" s="76"/>
      <c r="PHR44" s="76"/>
      <c r="PHS44" s="76"/>
      <c r="PHT44" s="76"/>
      <c r="PHU44" s="76"/>
      <c r="PHV44" s="76"/>
      <c r="PHW44" s="76"/>
      <c r="PHX44" s="76"/>
      <c r="PHY44" s="76"/>
      <c r="PHZ44" s="76"/>
      <c r="PIA44" s="76"/>
      <c r="PIB44" s="76"/>
      <c r="PIC44" s="76"/>
      <c r="PID44" s="76"/>
      <c r="PIE44" s="76"/>
      <c r="PIF44" s="76"/>
      <c r="PIG44" s="76"/>
      <c r="PIH44" s="76"/>
      <c r="PII44" s="76"/>
      <c r="PIJ44" s="76"/>
      <c r="PIK44" s="76"/>
      <c r="PIL44" s="76"/>
      <c r="PIM44" s="76"/>
      <c r="PIN44" s="76"/>
      <c r="PIO44" s="76"/>
      <c r="PIP44" s="76"/>
      <c r="PIQ44" s="76"/>
      <c r="PIR44" s="76"/>
      <c r="PIS44" s="76"/>
      <c r="PIT44" s="76"/>
      <c r="PIU44" s="76"/>
      <c r="PIV44" s="76"/>
      <c r="PIW44" s="76"/>
      <c r="PIX44" s="76"/>
      <c r="PIY44" s="76"/>
      <c r="PIZ44" s="76"/>
      <c r="PJA44" s="76"/>
      <c r="PJB44" s="76"/>
      <c r="PJC44" s="76"/>
      <c r="PJD44" s="76"/>
      <c r="PJE44" s="76"/>
      <c r="PJF44" s="76"/>
      <c r="PJG44" s="76"/>
      <c r="PJH44" s="76"/>
      <c r="PJI44" s="76"/>
      <c r="PJJ44" s="76"/>
      <c r="PJK44" s="76"/>
      <c r="PJL44" s="76"/>
      <c r="PJM44" s="76"/>
      <c r="PJN44" s="76"/>
      <c r="PJO44" s="76"/>
      <c r="PJP44" s="76"/>
      <c r="PJQ44" s="76"/>
      <c r="PJR44" s="76"/>
      <c r="PJS44" s="76"/>
      <c r="PJT44" s="76"/>
      <c r="PJU44" s="76"/>
      <c r="PJV44" s="76"/>
      <c r="PJW44" s="76"/>
      <c r="PJX44" s="76"/>
      <c r="PJY44" s="76"/>
      <c r="PJZ44" s="76"/>
      <c r="PKA44" s="76"/>
      <c r="PKB44" s="76"/>
      <c r="PKC44" s="76"/>
      <c r="PKD44" s="76"/>
      <c r="PKE44" s="76"/>
      <c r="PKF44" s="76"/>
      <c r="PKG44" s="76"/>
      <c r="PKH44" s="76"/>
      <c r="PKI44" s="76"/>
      <c r="PKJ44" s="76"/>
      <c r="PKK44" s="76"/>
      <c r="PKL44" s="76"/>
      <c r="PKM44" s="76"/>
      <c r="PKN44" s="76"/>
      <c r="PKO44" s="76"/>
      <c r="PKP44" s="76"/>
      <c r="PKQ44" s="76"/>
      <c r="PKR44" s="76"/>
      <c r="PKS44" s="76"/>
      <c r="PKT44" s="76"/>
      <c r="PKU44" s="76"/>
      <c r="PKV44" s="76"/>
      <c r="PKW44" s="76"/>
      <c r="PKX44" s="76"/>
      <c r="PKY44" s="76"/>
      <c r="PKZ44" s="76"/>
      <c r="PLA44" s="76"/>
      <c r="PLB44" s="76"/>
      <c r="PLC44" s="76"/>
      <c r="PLD44" s="76"/>
      <c r="PLE44" s="76"/>
      <c r="PLF44" s="76"/>
      <c r="PLG44" s="76"/>
      <c r="PLH44" s="76"/>
      <c r="PLI44" s="76"/>
      <c r="PLJ44" s="76"/>
      <c r="PLK44" s="76"/>
      <c r="PLL44" s="76"/>
      <c r="PLM44" s="76"/>
      <c r="PLN44" s="76"/>
      <c r="PLO44" s="76"/>
      <c r="PLP44" s="76"/>
      <c r="PLQ44" s="76"/>
      <c r="PLR44" s="76"/>
      <c r="PLS44" s="76"/>
      <c r="PLT44" s="76"/>
      <c r="PLU44" s="76"/>
      <c r="PLV44" s="76"/>
      <c r="PLW44" s="76"/>
      <c r="PLX44" s="76"/>
      <c r="PLY44" s="76"/>
      <c r="PLZ44" s="76"/>
      <c r="PMA44" s="76"/>
      <c r="PMB44" s="76"/>
      <c r="PMC44" s="76"/>
      <c r="PMD44" s="76"/>
      <c r="PME44" s="76"/>
      <c r="PMF44" s="76"/>
      <c r="PMG44" s="76"/>
      <c r="PMH44" s="76"/>
      <c r="PMI44" s="76"/>
      <c r="PMJ44" s="76"/>
      <c r="PMK44" s="76"/>
      <c r="PML44" s="76"/>
      <c r="PMM44" s="76"/>
      <c r="PMN44" s="76"/>
      <c r="PMO44" s="76"/>
      <c r="PMP44" s="76"/>
      <c r="PMQ44" s="76"/>
      <c r="PMR44" s="76"/>
      <c r="PMS44" s="76"/>
      <c r="PMT44" s="76"/>
      <c r="PMU44" s="76"/>
      <c r="PMV44" s="76"/>
      <c r="PMW44" s="76"/>
      <c r="PMX44" s="76"/>
      <c r="PMY44" s="76"/>
      <c r="PMZ44" s="76"/>
      <c r="PNA44" s="76"/>
      <c r="PNB44" s="76"/>
      <c r="PNC44" s="76"/>
      <c r="PND44" s="76"/>
      <c r="PNE44" s="76"/>
      <c r="PNF44" s="76"/>
      <c r="PNG44" s="76"/>
      <c r="PNH44" s="76"/>
      <c r="PNI44" s="76"/>
      <c r="PNJ44" s="76"/>
      <c r="PNK44" s="76"/>
      <c r="PNL44" s="76"/>
      <c r="PNM44" s="76"/>
      <c r="PNN44" s="76"/>
      <c r="PNO44" s="76"/>
      <c r="PNP44" s="76"/>
      <c r="PNQ44" s="76"/>
      <c r="PNR44" s="76"/>
      <c r="PNS44" s="76"/>
      <c r="PNT44" s="76"/>
      <c r="PNU44" s="76"/>
      <c r="PNV44" s="76"/>
      <c r="PNW44" s="76"/>
      <c r="PNX44" s="76"/>
      <c r="PNY44" s="76"/>
      <c r="PNZ44" s="76"/>
      <c r="POA44" s="76"/>
      <c r="POB44" s="76"/>
      <c r="POC44" s="76"/>
      <c r="POD44" s="76"/>
      <c r="POE44" s="76"/>
      <c r="POF44" s="76"/>
      <c r="POG44" s="76"/>
      <c r="POH44" s="76"/>
      <c r="POI44" s="76"/>
      <c r="POJ44" s="76"/>
      <c r="POK44" s="76"/>
      <c r="POL44" s="76"/>
      <c r="POM44" s="76"/>
      <c r="PON44" s="76"/>
      <c r="POO44" s="76"/>
      <c r="POP44" s="76"/>
      <c r="POQ44" s="76"/>
      <c r="POR44" s="76"/>
      <c r="POS44" s="76"/>
      <c r="POT44" s="76"/>
      <c r="POU44" s="76"/>
      <c r="POV44" s="76"/>
      <c r="POW44" s="76"/>
      <c r="POX44" s="76"/>
      <c r="POY44" s="76"/>
      <c r="POZ44" s="76"/>
      <c r="PPA44" s="76"/>
      <c r="PPB44" s="76"/>
      <c r="PPC44" s="76"/>
      <c r="PPD44" s="76"/>
      <c r="PPE44" s="76"/>
      <c r="PPF44" s="76"/>
      <c r="PPG44" s="76"/>
      <c r="PPH44" s="76"/>
      <c r="PPI44" s="76"/>
      <c r="PPJ44" s="76"/>
      <c r="PPK44" s="76"/>
      <c r="PPL44" s="76"/>
      <c r="PPM44" s="76"/>
      <c r="PPN44" s="76"/>
      <c r="PPO44" s="76"/>
      <c r="PPP44" s="76"/>
      <c r="PPQ44" s="76"/>
      <c r="PPR44" s="76"/>
      <c r="PPS44" s="76"/>
      <c r="PPT44" s="76"/>
      <c r="PPU44" s="76"/>
      <c r="PPV44" s="76"/>
      <c r="PPW44" s="76"/>
      <c r="PPX44" s="76"/>
      <c r="PPY44" s="76"/>
      <c r="PPZ44" s="76"/>
      <c r="PQA44" s="76"/>
      <c r="PQB44" s="76"/>
      <c r="PQC44" s="76"/>
      <c r="PQD44" s="76"/>
      <c r="PQE44" s="76"/>
      <c r="PQF44" s="76"/>
      <c r="PQG44" s="76"/>
      <c r="PQH44" s="76"/>
      <c r="PQI44" s="76"/>
      <c r="PQJ44" s="76"/>
      <c r="PQK44" s="76"/>
      <c r="PQL44" s="76"/>
      <c r="PQM44" s="76"/>
      <c r="PQN44" s="76"/>
      <c r="PQO44" s="76"/>
      <c r="PQP44" s="76"/>
      <c r="PQQ44" s="76"/>
      <c r="PQR44" s="76"/>
      <c r="PQS44" s="76"/>
      <c r="PQT44" s="76"/>
      <c r="PQU44" s="76"/>
      <c r="PQV44" s="76"/>
      <c r="PQW44" s="76"/>
      <c r="PQX44" s="76"/>
      <c r="PQY44" s="76"/>
      <c r="PQZ44" s="76"/>
      <c r="PRA44" s="76"/>
      <c r="PRB44" s="76"/>
      <c r="PRC44" s="76"/>
      <c r="PRD44" s="76"/>
      <c r="PRE44" s="76"/>
      <c r="PRF44" s="76"/>
      <c r="PRG44" s="76"/>
      <c r="PRH44" s="76"/>
      <c r="PRI44" s="76"/>
      <c r="PRJ44" s="76"/>
      <c r="PRK44" s="76"/>
      <c r="PRL44" s="76"/>
      <c r="PRM44" s="76"/>
      <c r="PRN44" s="76"/>
      <c r="PRO44" s="76"/>
      <c r="PRP44" s="76"/>
      <c r="PRQ44" s="76"/>
      <c r="PRR44" s="76"/>
      <c r="PRS44" s="76"/>
      <c r="PRT44" s="76"/>
      <c r="PRU44" s="76"/>
      <c r="PRV44" s="76"/>
      <c r="PRW44" s="76"/>
      <c r="PRX44" s="76"/>
      <c r="PRY44" s="76"/>
      <c r="PRZ44" s="76"/>
      <c r="PSA44" s="76"/>
      <c r="PSB44" s="76"/>
      <c r="PSC44" s="76"/>
      <c r="PSD44" s="76"/>
      <c r="PSE44" s="76"/>
      <c r="PSF44" s="76"/>
      <c r="PSG44" s="76"/>
      <c r="PSH44" s="76"/>
      <c r="PSI44" s="76"/>
      <c r="PSJ44" s="76"/>
      <c r="PSK44" s="76"/>
      <c r="PSL44" s="76"/>
      <c r="PSM44" s="76"/>
      <c r="PSN44" s="76"/>
      <c r="PSO44" s="76"/>
      <c r="PSP44" s="76"/>
      <c r="PSQ44" s="76"/>
      <c r="PSR44" s="76"/>
      <c r="PSS44" s="76"/>
      <c r="PST44" s="76"/>
      <c r="PSU44" s="76"/>
      <c r="PSV44" s="76"/>
      <c r="PSW44" s="76"/>
      <c r="PSX44" s="76"/>
      <c r="PSY44" s="76"/>
      <c r="PSZ44" s="76"/>
      <c r="PTA44" s="76"/>
      <c r="PTB44" s="76"/>
      <c r="PTC44" s="76"/>
      <c r="PTD44" s="76"/>
      <c r="PTE44" s="76"/>
      <c r="PTF44" s="76"/>
      <c r="PTG44" s="76"/>
      <c r="PTH44" s="76"/>
      <c r="PTI44" s="76"/>
      <c r="PTJ44" s="76"/>
      <c r="PTK44" s="76"/>
      <c r="PTL44" s="76"/>
      <c r="PTM44" s="76"/>
      <c r="PTN44" s="76"/>
      <c r="PTO44" s="76"/>
      <c r="PTP44" s="76"/>
      <c r="PTQ44" s="76"/>
      <c r="PTR44" s="76"/>
      <c r="PTS44" s="76"/>
      <c r="PTT44" s="76"/>
      <c r="PTU44" s="76"/>
      <c r="PTV44" s="76"/>
      <c r="PTW44" s="76"/>
      <c r="PTX44" s="76"/>
      <c r="PTY44" s="76"/>
      <c r="PTZ44" s="76"/>
      <c r="PUA44" s="76"/>
      <c r="PUB44" s="76"/>
      <c r="PUC44" s="76"/>
      <c r="PUD44" s="76"/>
      <c r="PUE44" s="76"/>
      <c r="PUF44" s="76"/>
      <c r="PUG44" s="76"/>
      <c r="PUH44" s="76"/>
      <c r="PUI44" s="76"/>
      <c r="PUJ44" s="76"/>
      <c r="PUK44" s="76"/>
      <c r="PUL44" s="76"/>
      <c r="PUM44" s="76"/>
      <c r="PUN44" s="76"/>
      <c r="PUO44" s="76"/>
      <c r="PUP44" s="76"/>
      <c r="PUQ44" s="76"/>
      <c r="PUR44" s="76"/>
      <c r="PUS44" s="76"/>
      <c r="PUT44" s="76"/>
      <c r="PUU44" s="76"/>
      <c r="PUV44" s="76"/>
      <c r="PUW44" s="76"/>
      <c r="PUX44" s="76"/>
      <c r="PUY44" s="76"/>
      <c r="PUZ44" s="76"/>
      <c r="PVA44" s="76"/>
      <c r="PVB44" s="76"/>
      <c r="PVC44" s="76"/>
      <c r="PVD44" s="76"/>
      <c r="PVE44" s="76"/>
      <c r="PVF44" s="76"/>
      <c r="PVG44" s="76"/>
      <c r="PVH44" s="76"/>
      <c r="PVI44" s="76"/>
      <c r="PVJ44" s="76"/>
      <c r="PVK44" s="76"/>
      <c r="PVL44" s="76"/>
      <c r="PVM44" s="76"/>
      <c r="PVN44" s="76"/>
      <c r="PVO44" s="76"/>
      <c r="PVP44" s="76"/>
      <c r="PVQ44" s="76"/>
      <c r="PVR44" s="76"/>
      <c r="PVS44" s="76"/>
      <c r="PVT44" s="76"/>
      <c r="PVU44" s="76"/>
      <c r="PVV44" s="76"/>
      <c r="PVW44" s="76"/>
      <c r="PVX44" s="76"/>
      <c r="PVY44" s="76"/>
      <c r="PVZ44" s="76"/>
      <c r="PWA44" s="76"/>
      <c r="PWB44" s="76"/>
      <c r="PWC44" s="76"/>
      <c r="PWD44" s="76"/>
      <c r="PWE44" s="76"/>
      <c r="PWF44" s="76"/>
      <c r="PWG44" s="76"/>
      <c r="PWH44" s="76"/>
      <c r="PWI44" s="76"/>
      <c r="PWJ44" s="76"/>
      <c r="PWK44" s="76"/>
      <c r="PWL44" s="76"/>
      <c r="PWM44" s="76"/>
      <c r="PWN44" s="76"/>
      <c r="PWO44" s="76"/>
      <c r="PWP44" s="76"/>
      <c r="PWQ44" s="76"/>
      <c r="PWR44" s="76"/>
      <c r="PWS44" s="76"/>
      <c r="PWT44" s="76"/>
      <c r="PWU44" s="76"/>
      <c r="PWV44" s="76"/>
      <c r="PWW44" s="76"/>
      <c r="PWX44" s="76"/>
      <c r="PWY44" s="76"/>
      <c r="PWZ44" s="76"/>
      <c r="PXA44" s="76"/>
      <c r="PXB44" s="76"/>
      <c r="PXC44" s="76"/>
      <c r="PXD44" s="76"/>
      <c r="PXE44" s="76"/>
      <c r="PXF44" s="76"/>
      <c r="PXG44" s="76"/>
      <c r="PXH44" s="76"/>
      <c r="PXI44" s="76"/>
      <c r="PXJ44" s="76"/>
      <c r="PXK44" s="76"/>
      <c r="PXL44" s="76"/>
      <c r="PXM44" s="76"/>
      <c r="PXN44" s="76"/>
      <c r="PXO44" s="76"/>
      <c r="PXP44" s="76"/>
      <c r="PXQ44" s="76"/>
      <c r="PXR44" s="76"/>
      <c r="PXS44" s="76"/>
      <c r="PXT44" s="76"/>
      <c r="PXU44" s="76"/>
      <c r="PXV44" s="76"/>
      <c r="PXW44" s="76"/>
      <c r="PXX44" s="76"/>
      <c r="PXY44" s="76"/>
      <c r="PXZ44" s="76"/>
      <c r="PYA44" s="76"/>
      <c r="PYB44" s="76"/>
      <c r="PYC44" s="76"/>
      <c r="PYD44" s="76"/>
      <c r="PYE44" s="76"/>
      <c r="PYF44" s="76"/>
      <c r="PYG44" s="76"/>
      <c r="PYH44" s="76"/>
      <c r="PYI44" s="76"/>
      <c r="PYJ44" s="76"/>
      <c r="PYK44" s="76"/>
      <c r="PYL44" s="76"/>
      <c r="PYM44" s="76"/>
      <c r="PYN44" s="76"/>
      <c r="PYO44" s="76"/>
      <c r="PYP44" s="76"/>
      <c r="PYQ44" s="76"/>
      <c r="PYR44" s="76"/>
      <c r="PYS44" s="76"/>
      <c r="PYT44" s="76"/>
      <c r="PYU44" s="76"/>
      <c r="PYV44" s="76"/>
      <c r="PYW44" s="76"/>
      <c r="PYX44" s="76"/>
      <c r="PYY44" s="76"/>
      <c r="PYZ44" s="76"/>
      <c r="PZA44" s="76"/>
      <c r="PZB44" s="76"/>
      <c r="PZC44" s="76"/>
      <c r="PZD44" s="76"/>
      <c r="PZE44" s="76"/>
      <c r="PZF44" s="76"/>
      <c r="PZG44" s="76"/>
      <c r="PZH44" s="76"/>
      <c r="PZI44" s="76"/>
      <c r="PZJ44" s="76"/>
      <c r="PZK44" s="76"/>
      <c r="PZL44" s="76"/>
      <c r="PZM44" s="76"/>
      <c r="PZN44" s="76"/>
      <c r="PZO44" s="76"/>
      <c r="PZP44" s="76"/>
      <c r="PZQ44" s="76"/>
      <c r="PZR44" s="76"/>
      <c r="PZS44" s="76"/>
      <c r="PZT44" s="76"/>
      <c r="PZU44" s="76"/>
      <c r="PZV44" s="76"/>
      <c r="PZW44" s="76"/>
      <c r="PZX44" s="76"/>
      <c r="PZY44" s="76"/>
      <c r="PZZ44" s="76"/>
      <c r="QAA44" s="76"/>
      <c r="QAB44" s="76"/>
      <c r="QAC44" s="76"/>
      <c r="QAD44" s="76"/>
      <c r="QAE44" s="76"/>
      <c r="QAF44" s="76"/>
      <c r="QAG44" s="76"/>
      <c r="QAH44" s="76"/>
      <c r="QAI44" s="76"/>
      <c r="QAJ44" s="76"/>
      <c r="QAK44" s="76"/>
      <c r="QAL44" s="76"/>
      <c r="QAM44" s="76"/>
      <c r="QAN44" s="76"/>
      <c r="QAO44" s="76"/>
      <c r="QAP44" s="76"/>
      <c r="QAQ44" s="76"/>
      <c r="QAR44" s="76"/>
      <c r="QAS44" s="76"/>
      <c r="QAT44" s="76"/>
      <c r="QAU44" s="76"/>
      <c r="QAV44" s="76"/>
      <c r="QAW44" s="76"/>
      <c r="QAX44" s="76"/>
      <c r="QAY44" s="76"/>
      <c r="QAZ44" s="76"/>
      <c r="QBA44" s="76"/>
      <c r="QBB44" s="76"/>
      <c r="QBC44" s="76"/>
      <c r="QBD44" s="76"/>
      <c r="QBE44" s="76"/>
      <c r="QBF44" s="76"/>
      <c r="QBG44" s="76"/>
      <c r="QBH44" s="76"/>
      <c r="QBI44" s="76"/>
      <c r="QBJ44" s="76"/>
      <c r="QBK44" s="76"/>
      <c r="QBL44" s="76"/>
      <c r="QBM44" s="76"/>
      <c r="QBN44" s="76"/>
      <c r="QBO44" s="76"/>
      <c r="QBP44" s="76"/>
      <c r="QBQ44" s="76"/>
      <c r="QBR44" s="76"/>
      <c r="QBS44" s="76"/>
      <c r="QBT44" s="76"/>
      <c r="QBU44" s="76"/>
      <c r="QBV44" s="76"/>
      <c r="QBW44" s="76"/>
      <c r="QBX44" s="76"/>
      <c r="QBY44" s="76"/>
      <c r="QBZ44" s="76"/>
      <c r="QCA44" s="76"/>
      <c r="QCB44" s="76"/>
      <c r="QCC44" s="76"/>
      <c r="QCD44" s="76"/>
      <c r="QCE44" s="76"/>
      <c r="QCF44" s="76"/>
      <c r="QCG44" s="76"/>
      <c r="QCH44" s="76"/>
      <c r="QCI44" s="76"/>
      <c r="QCJ44" s="76"/>
      <c r="QCK44" s="76"/>
      <c r="QCL44" s="76"/>
      <c r="QCM44" s="76"/>
      <c r="QCN44" s="76"/>
      <c r="QCO44" s="76"/>
      <c r="QCP44" s="76"/>
      <c r="QCQ44" s="76"/>
      <c r="QCR44" s="76"/>
      <c r="QCS44" s="76"/>
      <c r="QCT44" s="76"/>
      <c r="QCU44" s="76"/>
      <c r="QCV44" s="76"/>
      <c r="QCW44" s="76"/>
      <c r="QCX44" s="76"/>
      <c r="QCY44" s="76"/>
      <c r="QCZ44" s="76"/>
      <c r="QDA44" s="76"/>
      <c r="QDB44" s="76"/>
      <c r="QDC44" s="76"/>
      <c r="QDD44" s="76"/>
      <c r="QDE44" s="76"/>
      <c r="QDF44" s="76"/>
      <c r="QDG44" s="76"/>
      <c r="QDH44" s="76"/>
      <c r="QDI44" s="76"/>
      <c r="QDJ44" s="76"/>
      <c r="QDK44" s="76"/>
      <c r="QDL44" s="76"/>
      <c r="QDM44" s="76"/>
      <c r="QDN44" s="76"/>
      <c r="QDO44" s="76"/>
      <c r="QDP44" s="76"/>
      <c r="QDQ44" s="76"/>
      <c r="QDR44" s="76"/>
      <c r="QDS44" s="76"/>
      <c r="QDT44" s="76"/>
      <c r="QDU44" s="76"/>
      <c r="QDV44" s="76"/>
      <c r="QDW44" s="76"/>
      <c r="QDX44" s="76"/>
      <c r="QDY44" s="76"/>
      <c r="QDZ44" s="76"/>
      <c r="QEA44" s="76"/>
      <c r="QEB44" s="76"/>
      <c r="QEC44" s="76"/>
      <c r="QED44" s="76"/>
      <c r="QEE44" s="76"/>
      <c r="QEF44" s="76"/>
      <c r="QEG44" s="76"/>
      <c r="QEH44" s="76"/>
      <c r="QEI44" s="76"/>
      <c r="QEJ44" s="76"/>
      <c r="QEK44" s="76"/>
      <c r="QEL44" s="76"/>
      <c r="QEM44" s="76"/>
      <c r="QEN44" s="76"/>
      <c r="QEO44" s="76"/>
      <c r="QEP44" s="76"/>
      <c r="QEQ44" s="76"/>
      <c r="QER44" s="76"/>
      <c r="QES44" s="76"/>
      <c r="QET44" s="76"/>
      <c r="QEU44" s="76"/>
      <c r="QEV44" s="76"/>
      <c r="QEW44" s="76"/>
      <c r="QEX44" s="76"/>
      <c r="QEY44" s="76"/>
      <c r="QEZ44" s="76"/>
      <c r="QFA44" s="76"/>
      <c r="QFB44" s="76"/>
      <c r="QFC44" s="76"/>
      <c r="QFD44" s="76"/>
      <c r="QFE44" s="76"/>
      <c r="QFF44" s="76"/>
      <c r="QFG44" s="76"/>
      <c r="QFH44" s="76"/>
      <c r="QFI44" s="76"/>
      <c r="QFJ44" s="76"/>
      <c r="QFK44" s="76"/>
      <c r="QFL44" s="76"/>
      <c r="QFM44" s="76"/>
      <c r="QFN44" s="76"/>
      <c r="QFO44" s="76"/>
      <c r="QFP44" s="76"/>
      <c r="QFQ44" s="76"/>
      <c r="QFR44" s="76"/>
      <c r="QFS44" s="76"/>
      <c r="QFT44" s="76"/>
      <c r="QFU44" s="76"/>
      <c r="QFV44" s="76"/>
      <c r="QFW44" s="76"/>
      <c r="QFX44" s="76"/>
      <c r="QFY44" s="76"/>
      <c r="QFZ44" s="76"/>
      <c r="QGA44" s="76"/>
      <c r="QGB44" s="76"/>
      <c r="QGC44" s="76"/>
      <c r="QGD44" s="76"/>
      <c r="QGE44" s="76"/>
      <c r="QGF44" s="76"/>
      <c r="QGG44" s="76"/>
      <c r="QGH44" s="76"/>
      <c r="QGI44" s="76"/>
      <c r="QGJ44" s="76"/>
      <c r="QGK44" s="76"/>
      <c r="QGL44" s="76"/>
      <c r="QGM44" s="76"/>
      <c r="QGN44" s="76"/>
      <c r="QGO44" s="76"/>
      <c r="QGP44" s="76"/>
      <c r="QGQ44" s="76"/>
      <c r="QGR44" s="76"/>
      <c r="QGS44" s="76"/>
      <c r="QGT44" s="76"/>
      <c r="QGU44" s="76"/>
      <c r="QGV44" s="76"/>
      <c r="QGW44" s="76"/>
      <c r="QGX44" s="76"/>
      <c r="QGY44" s="76"/>
      <c r="QGZ44" s="76"/>
      <c r="QHA44" s="76"/>
      <c r="QHB44" s="76"/>
      <c r="QHC44" s="76"/>
      <c r="QHD44" s="76"/>
      <c r="QHE44" s="76"/>
      <c r="QHF44" s="76"/>
      <c r="QHG44" s="76"/>
      <c r="QHH44" s="76"/>
      <c r="QHI44" s="76"/>
      <c r="QHJ44" s="76"/>
      <c r="QHK44" s="76"/>
      <c r="QHL44" s="76"/>
      <c r="QHM44" s="76"/>
      <c r="QHN44" s="76"/>
      <c r="QHO44" s="76"/>
      <c r="QHP44" s="76"/>
      <c r="QHQ44" s="76"/>
      <c r="QHR44" s="76"/>
      <c r="QHS44" s="76"/>
      <c r="QHT44" s="76"/>
      <c r="QHU44" s="76"/>
      <c r="QHV44" s="76"/>
      <c r="QHW44" s="76"/>
      <c r="QHX44" s="76"/>
      <c r="QHY44" s="76"/>
      <c r="QHZ44" s="76"/>
      <c r="QIA44" s="76"/>
      <c r="QIB44" s="76"/>
      <c r="QIC44" s="76"/>
      <c r="QID44" s="76"/>
      <c r="QIE44" s="76"/>
      <c r="QIF44" s="76"/>
      <c r="QIG44" s="76"/>
      <c r="QIH44" s="76"/>
      <c r="QII44" s="76"/>
      <c r="QIJ44" s="76"/>
      <c r="QIK44" s="76"/>
      <c r="QIL44" s="76"/>
      <c r="QIM44" s="76"/>
      <c r="QIN44" s="76"/>
      <c r="QIO44" s="76"/>
      <c r="QIP44" s="76"/>
      <c r="QIQ44" s="76"/>
      <c r="QIR44" s="76"/>
      <c r="QIS44" s="76"/>
      <c r="QIT44" s="76"/>
      <c r="QIU44" s="76"/>
      <c r="QIV44" s="76"/>
      <c r="QIW44" s="76"/>
      <c r="QIX44" s="76"/>
      <c r="QIY44" s="76"/>
      <c r="QIZ44" s="76"/>
      <c r="QJA44" s="76"/>
      <c r="QJB44" s="76"/>
      <c r="QJC44" s="76"/>
      <c r="QJD44" s="76"/>
      <c r="QJE44" s="76"/>
      <c r="QJF44" s="76"/>
      <c r="QJG44" s="76"/>
      <c r="QJH44" s="76"/>
      <c r="QJI44" s="76"/>
      <c r="QJJ44" s="76"/>
      <c r="QJK44" s="76"/>
      <c r="QJL44" s="76"/>
      <c r="QJM44" s="76"/>
      <c r="QJN44" s="76"/>
      <c r="QJO44" s="76"/>
      <c r="QJP44" s="76"/>
      <c r="QJQ44" s="76"/>
      <c r="QJR44" s="76"/>
      <c r="QJS44" s="76"/>
      <c r="QJT44" s="76"/>
      <c r="QJU44" s="76"/>
      <c r="QJV44" s="76"/>
      <c r="QJW44" s="76"/>
      <c r="QJX44" s="76"/>
      <c r="QJY44" s="76"/>
      <c r="QJZ44" s="76"/>
      <c r="QKA44" s="76"/>
      <c r="QKB44" s="76"/>
      <c r="QKC44" s="76"/>
      <c r="QKD44" s="76"/>
      <c r="QKE44" s="76"/>
      <c r="QKF44" s="76"/>
      <c r="QKG44" s="76"/>
      <c r="QKH44" s="76"/>
      <c r="QKI44" s="76"/>
      <c r="QKJ44" s="76"/>
      <c r="QKK44" s="76"/>
      <c r="QKL44" s="76"/>
      <c r="QKM44" s="76"/>
      <c r="QKN44" s="76"/>
      <c r="QKO44" s="76"/>
      <c r="QKP44" s="76"/>
      <c r="QKQ44" s="76"/>
      <c r="QKR44" s="76"/>
      <c r="QKS44" s="76"/>
      <c r="QKT44" s="76"/>
      <c r="QKU44" s="76"/>
      <c r="QKV44" s="76"/>
      <c r="QKW44" s="76"/>
      <c r="QKX44" s="76"/>
      <c r="QKY44" s="76"/>
      <c r="QKZ44" s="76"/>
      <c r="QLA44" s="76"/>
      <c r="QLB44" s="76"/>
      <c r="QLC44" s="76"/>
      <c r="QLD44" s="76"/>
      <c r="QLE44" s="76"/>
      <c r="QLF44" s="76"/>
      <c r="QLG44" s="76"/>
      <c r="QLH44" s="76"/>
      <c r="QLI44" s="76"/>
      <c r="QLJ44" s="76"/>
      <c r="QLK44" s="76"/>
      <c r="QLL44" s="76"/>
      <c r="QLM44" s="76"/>
      <c r="QLN44" s="76"/>
      <c r="QLO44" s="76"/>
      <c r="QLP44" s="76"/>
      <c r="QLQ44" s="76"/>
      <c r="QLR44" s="76"/>
      <c r="QLS44" s="76"/>
      <c r="QLT44" s="76"/>
      <c r="QLU44" s="76"/>
      <c r="QLV44" s="76"/>
      <c r="QLW44" s="76"/>
      <c r="QLX44" s="76"/>
      <c r="QLY44" s="76"/>
      <c r="QLZ44" s="76"/>
      <c r="QMA44" s="76"/>
      <c r="QMB44" s="76"/>
      <c r="QMC44" s="76"/>
      <c r="QMD44" s="76"/>
      <c r="QME44" s="76"/>
      <c r="QMF44" s="76"/>
      <c r="QMG44" s="76"/>
      <c r="QMH44" s="76"/>
      <c r="QMI44" s="76"/>
      <c r="QMJ44" s="76"/>
      <c r="QMK44" s="76"/>
      <c r="QML44" s="76"/>
      <c r="QMM44" s="76"/>
      <c r="QMN44" s="76"/>
      <c r="QMO44" s="76"/>
      <c r="QMP44" s="76"/>
      <c r="QMQ44" s="76"/>
      <c r="QMR44" s="76"/>
      <c r="QMS44" s="76"/>
      <c r="QMT44" s="76"/>
      <c r="QMU44" s="76"/>
      <c r="QMV44" s="76"/>
      <c r="QMW44" s="76"/>
      <c r="QMX44" s="76"/>
      <c r="QMY44" s="76"/>
      <c r="QMZ44" s="76"/>
      <c r="QNA44" s="76"/>
      <c r="QNB44" s="76"/>
      <c r="QNC44" s="76"/>
      <c r="QND44" s="76"/>
      <c r="QNE44" s="76"/>
      <c r="QNF44" s="76"/>
      <c r="QNG44" s="76"/>
      <c r="QNH44" s="76"/>
      <c r="QNI44" s="76"/>
      <c r="QNJ44" s="76"/>
      <c r="QNK44" s="76"/>
      <c r="QNL44" s="76"/>
      <c r="QNM44" s="76"/>
      <c r="QNN44" s="76"/>
      <c r="QNO44" s="76"/>
      <c r="QNP44" s="76"/>
      <c r="QNQ44" s="76"/>
      <c r="QNR44" s="76"/>
      <c r="QNS44" s="76"/>
      <c r="QNT44" s="76"/>
      <c r="QNU44" s="76"/>
      <c r="QNV44" s="76"/>
      <c r="QNW44" s="76"/>
      <c r="QNX44" s="76"/>
      <c r="QNY44" s="76"/>
      <c r="QNZ44" s="76"/>
      <c r="QOA44" s="76"/>
      <c r="QOB44" s="76"/>
      <c r="QOC44" s="76"/>
      <c r="QOD44" s="76"/>
      <c r="QOE44" s="76"/>
      <c r="QOF44" s="76"/>
      <c r="QOG44" s="76"/>
      <c r="QOH44" s="76"/>
      <c r="QOI44" s="76"/>
      <c r="QOJ44" s="76"/>
      <c r="QOK44" s="76"/>
      <c r="QOL44" s="76"/>
      <c r="QOM44" s="76"/>
      <c r="QON44" s="76"/>
      <c r="QOO44" s="76"/>
      <c r="QOP44" s="76"/>
      <c r="QOQ44" s="76"/>
      <c r="QOR44" s="76"/>
      <c r="QOS44" s="76"/>
      <c r="QOT44" s="76"/>
      <c r="QOU44" s="76"/>
      <c r="QOV44" s="76"/>
      <c r="QOW44" s="76"/>
      <c r="QOX44" s="76"/>
      <c r="QOY44" s="76"/>
      <c r="QOZ44" s="76"/>
      <c r="QPA44" s="76"/>
      <c r="QPB44" s="76"/>
      <c r="QPC44" s="76"/>
      <c r="QPD44" s="76"/>
      <c r="QPE44" s="76"/>
      <c r="QPF44" s="76"/>
      <c r="QPG44" s="76"/>
      <c r="QPH44" s="76"/>
      <c r="QPI44" s="76"/>
      <c r="QPJ44" s="76"/>
      <c r="QPK44" s="76"/>
      <c r="QPL44" s="76"/>
      <c r="QPM44" s="76"/>
      <c r="QPN44" s="76"/>
      <c r="QPO44" s="76"/>
      <c r="QPP44" s="76"/>
      <c r="QPQ44" s="76"/>
      <c r="QPR44" s="76"/>
      <c r="QPS44" s="76"/>
      <c r="QPT44" s="76"/>
      <c r="QPU44" s="76"/>
      <c r="QPV44" s="76"/>
      <c r="QPW44" s="76"/>
      <c r="QPX44" s="76"/>
      <c r="QPY44" s="76"/>
      <c r="QPZ44" s="76"/>
      <c r="QQA44" s="76"/>
      <c r="QQB44" s="76"/>
      <c r="QQC44" s="76"/>
      <c r="QQD44" s="76"/>
      <c r="QQE44" s="76"/>
      <c r="QQF44" s="76"/>
      <c r="QQG44" s="76"/>
      <c r="QQH44" s="76"/>
      <c r="QQI44" s="76"/>
      <c r="QQJ44" s="76"/>
      <c r="QQK44" s="76"/>
      <c r="QQL44" s="76"/>
      <c r="QQM44" s="76"/>
      <c r="QQN44" s="76"/>
      <c r="QQO44" s="76"/>
      <c r="QQP44" s="76"/>
      <c r="QQQ44" s="76"/>
      <c r="QQR44" s="76"/>
      <c r="QQS44" s="76"/>
      <c r="QQT44" s="76"/>
      <c r="QQU44" s="76"/>
      <c r="QQV44" s="76"/>
      <c r="QQW44" s="76"/>
      <c r="QQX44" s="76"/>
      <c r="QQY44" s="76"/>
      <c r="QQZ44" s="76"/>
      <c r="QRA44" s="76"/>
      <c r="QRB44" s="76"/>
      <c r="QRC44" s="76"/>
      <c r="QRD44" s="76"/>
      <c r="QRE44" s="76"/>
      <c r="QRF44" s="76"/>
      <c r="QRG44" s="76"/>
      <c r="QRH44" s="76"/>
      <c r="QRI44" s="76"/>
      <c r="QRJ44" s="76"/>
      <c r="QRK44" s="76"/>
      <c r="QRL44" s="76"/>
      <c r="QRM44" s="76"/>
      <c r="QRN44" s="76"/>
      <c r="QRO44" s="76"/>
      <c r="QRP44" s="76"/>
      <c r="QRQ44" s="76"/>
      <c r="QRR44" s="76"/>
      <c r="QRS44" s="76"/>
      <c r="QRT44" s="76"/>
      <c r="QRU44" s="76"/>
      <c r="QRV44" s="76"/>
      <c r="QRW44" s="76"/>
      <c r="QRX44" s="76"/>
      <c r="QRY44" s="76"/>
      <c r="QRZ44" s="76"/>
      <c r="QSA44" s="76"/>
      <c r="QSB44" s="76"/>
      <c r="QSC44" s="76"/>
      <c r="QSD44" s="76"/>
      <c r="QSE44" s="76"/>
      <c r="QSF44" s="76"/>
      <c r="QSG44" s="76"/>
      <c r="QSH44" s="76"/>
      <c r="QSI44" s="76"/>
      <c r="QSJ44" s="76"/>
      <c r="QSK44" s="76"/>
      <c r="QSL44" s="76"/>
      <c r="QSM44" s="76"/>
      <c r="QSN44" s="76"/>
      <c r="QSO44" s="76"/>
      <c r="QSP44" s="76"/>
      <c r="QSQ44" s="76"/>
      <c r="QSR44" s="76"/>
      <c r="QSS44" s="76"/>
      <c r="QST44" s="76"/>
      <c r="QSU44" s="76"/>
      <c r="QSV44" s="76"/>
      <c r="QSW44" s="76"/>
      <c r="QSX44" s="76"/>
      <c r="QSY44" s="76"/>
      <c r="QSZ44" s="76"/>
      <c r="QTA44" s="76"/>
      <c r="QTB44" s="76"/>
      <c r="QTC44" s="76"/>
      <c r="QTD44" s="76"/>
      <c r="QTE44" s="76"/>
      <c r="QTF44" s="76"/>
      <c r="QTG44" s="76"/>
      <c r="QTH44" s="76"/>
      <c r="QTI44" s="76"/>
      <c r="QTJ44" s="76"/>
      <c r="QTK44" s="76"/>
      <c r="QTL44" s="76"/>
      <c r="QTM44" s="76"/>
      <c r="QTN44" s="76"/>
      <c r="QTO44" s="76"/>
      <c r="QTP44" s="76"/>
      <c r="QTQ44" s="76"/>
      <c r="QTR44" s="76"/>
      <c r="QTS44" s="76"/>
      <c r="QTT44" s="76"/>
      <c r="QTU44" s="76"/>
      <c r="QTV44" s="76"/>
      <c r="QTW44" s="76"/>
      <c r="QTX44" s="76"/>
      <c r="QTY44" s="76"/>
      <c r="QTZ44" s="76"/>
      <c r="QUA44" s="76"/>
      <c r="QUB44" s="76"/>
      <c r="QUC44" s="76"/>
      <c r="QUD44" s="76"/>
      <c r="QUE44" s="76"/>
      <c r="QUF44" s="76"/>
      <c r="QUG44" s="76"/>
      <c r="QUH44" s="76"/>
      <c r="QUI44" s="76"/>
      <c r="QUJ44" s="76"/>
      <c r="QUK44" s="76"/>
      <c r="QUL44" s="76"/>
      <c r="QUM44" s="76"/>
      <c r="QUN44" s="76"/>
      <c r="QUO44" s="76"/>
      <c r="QUP44" s="76"/>
      <c r="QUQ44" s="76"/>
      <c r="QUR44" s="76"/>
      <c r="QUS44" s="76"/>
      <c r="QUT44" s="76"/>
      <c r="QUU44" s="76"/>
      <c r="QUV44" s="76"/>
      <c r="QUW44" s="76"/>
      <c r="QUX44" s="76"/>
      <c r="QUY44" s="76"/>
      <c r="QUZ44" s="76"/>
      <c r="QVA44" s="76"/>
      <c r="QVB44" s="76"/>
      <c r="QVC44" s="76"/>
      <c r="QVD44" s="76"/>
      <c r="QVE44" s="76"/>
      <c r="QVF44" s="76"/>
      <c r="QVG44" s="76"/>
      <c r="QVH44" s="76"/>
      <c r="QVI44" s="76"/>
      <c r="QVJ44" s="76"/>
      <c r="QVK44" s="76"/>
      <c r="QVL44" s="76"/>
      <c r="QVM44" s="76"/>
      <c r="QVN44" s="76"/>
      <c r="QVO44" s="76"/>
      <c r="QVP44" s="76"/>
      <c r="QVQ44" s="76"/>
      <c r="QVR44" s="76"/>
      <c r="QVS44" s="76"/>
      <c r="QVT44" s="76"/>
      <c r="QVU44" s="76"/>
      <c r="QVV44" s="76"/>
      <c r="QVW44" s="76"/>
      <c r="QVX44" s="76"/>
      <c r="QVY44" s="76"/>
      <c r="QVZ44" s="76"/>
      <c r="QWA44" s="76"/>
      <c r="QWB44" s="76"/>
      <c r="QWC44" s="76"/>
      <c r="QWD44" s="76"/>
      <c r="QWE44" s="76"/>
      <c r="QWF44" s="76"/>
      <c r="QWG44" s="76"/>
      <c r="QWH44" s="76"/>
      <c r="QWI44" s="76"/>
      <c r="QWJ44" s="76"/>
      <c r="QWK44" s="76"/>
      <c r="QWL44" s="76"/>
      <c r="QWM44" s="76"/>
      <c r="QWN44" s="76"/>
      <c r="QWO44" s="76"/>
      <c r="QWP44" s="76"/>
      <c r="QWQ44" s="76"/>
      <c r="QWR44" s="76"/>
      <c r="QWS44" s="76"/>
      <c r="QWT44" s="76"/>
      <c r="QWU44" s="76"/>
      <c r="QWV44" s="76"/>
      <c r="QWW44" s="76"/>
      <c r="QWX44" s="76"/>
      <c r="QWY44" s="76"/>
      <c r="QWZ44" s="76"/>
      <c r="QXA44" s="76"/>
      <c r="QXB44" s="76"/>
      <c r="QXC44" s="76"/>
      <c r="QXD44" s="76"/>
      <c r="QXE44" s="76"/>
      <c r="QXF44" s="76"/>
      <c r="QXG44" s="76"/>
      <c r="QXH44" s="76"/>
      <c r="QXI44" s="76"/>
      <c r="QXJ44" s="76"/>
      <c r="QXK44" s="76"/>
      <c r="QXL44" s="76"/>
      <c r="QXM44" s="76"/>
      <c r="QXN44" s="76"/>
      <c r="QXO44" s="76"/>
      <c r="QXP44" s="76"/>
      <c r="QXQ44" s="76"/>
      <c r="QXR44" s="76"/>
      <c r="QXS44" s="76"/>
      <c r="QXT44" s="76"/>
      <c r="QXU44" s="76"/>
      <c r="QXV44" s="76"/>
      <c r="QXW44" s="76"/>
      <c r="QXX44" s="76"/>
      <c r="QXY44" s="76"/>
      <c r="QXZ44" s="76"/>
      <c r="QYA44" s="76"/>
      <c r="QYB44" s="76"/>
      <c r="QYC44" s="76"/>
      <c r="QYD44" s="76"/>
      <c r="QYE44" s="76"/>
      <c r="QYF44" s="76"/>
      <c r="QYG44" s="76"/>
      <c r="QYH44" s="76"/>
      <c r="QYI44" s="76"/>
      <c r="QYJ44" s="76"/>
      <c r="QYK44" s="76"/>
      <c r="QYL44" s="76"/>
      <c r="QYM44" s="76"/>
      <c r="QYN44" s="76"/>
      <c r="QYO44" s="76"/>
      <c r="QYP44" s="76"/>
      <c r="QYQ44" s="76"/>
      <c r="QYR44" s="76"/>
      <c r="QYS44" s="76"/>
      <c r="QYT44" s="76"/>
      <c r="QYU44" s="76"/>
      <c r="QYV44" s="76"/>
      <c r="QYW44" s="76"/>
      <c r="QYX44" s="76"/>
      <c r="QYY44" s="76"/>
      <c r="QYZ44" s="76"/>
      <c r="QZA44" s="76"/>
      <c r="QZB44" s="76"/>
      <c r="QZC44" s="76"/>
      <c r="QZD44" s="76"/>
      <c r="QZE44" s="76"/>
      <c r="QZF44" s="76"/>
      <c r="QZG44" s="76"/>
      <c r="QZH44" s="76"/>
      <c r="QZI44" s="76"/>
      <c r="QZJ44" s="76"/>
      <c r="QZK44" s="76"/>
      <c r="QZL44" s="76"/>
      <c r="QZM44" s="76"/>
      <c r="QZN44" s="76"/>
      <c r="QZO44" s="76"/>
      <c r="QZP44" s="76"/>
      <c r="QZQ44" s="76"/>
      <c r="QZR44" s="76"/>
      <c r="QZS44" s="76"/>
      <c r="QZT44" s="76"/>
      <c r="QZU44" s="76"/>
      <c r="QZV44" s="76"/>
      <c r="QZW44" s="76"/>
      <c r="QZX44" s="76"/>
      <c r="QZY44" s="76"/>
      <c r="QZZ44" s="76"/>
      <c r="RAA44" s="76"/>
      <c r="RAB44" s="76"/>
      <c r="RAC44" s="76"/>
      <c r="RAD44" s="76"/>
      <c r="RAE44" s="76"/>
      <c r="RAF44" s="76"/>
      <c r="RAG44" s="76"/>
      <c r="RAH44" s="76"/>
      <c r="RAI44" s="76"/>
      <c r="RAJ44" s="76"/>
      <c r="RAK44" s="76"/>
      <c r="RAL44" s="76"/>
      <c r="RAM44" s="76"/>
      <c r="RAN44" s="76"/>
      <c r="RAO44" s="76"/>
      <c r="RAP44" s="76"/>
      <c r="RAQ44" s="76"/>
      <c r="RAR44" s="76"/>
      <c r="RAS44" s="76"/>
      <c r="RAT44" s="76"/>
      <c r="RAU44" s="76"/>
      <c r="RAV44" s="76"/>
      <c r="RAW44" s="76"/>
      <c r="RAX44" s="76"/>
      <c r="RAY44" s="76"/>
      <c r="RAZ44" s="76"/>
      <c r="RBA44" s="76"/>
      <c r="RBB44" s="76"/>
      <c r="RBC44" s="76"/>
      <c r="RBD44" s="76"/>
      <c r="RBE44" s="76"/>
      <c r="RBF44" s="76"/>
      <c r="RBG44" s="76"/>
      <c r="RBH44" s="76"/>
      <c r="RBI44" s="76"/>
      <c r="RBJ44" s="76"/>
      <c r="RBK44" s="76"/>
      <c r="RBL44" s="76"/>
      <c r="RBM44" s="76"/>
      <c r="RBN44" s="76"/>
      <c r="RBO44" s="76"/>
      <c r="RBP44" s="76"/>
      <c r="RBQ44" s="76"/>
      <c r="RBR44" s="76"/>
      <c r="RBS44" s="76"/>
      <c r="RBT44" s="76"/>
      <c r="RBU44" s="76"/>
      <c r="RBV44" s="76"/>
      <c r="RBW44" s="76"/>
      <c r="RBX44" s="76"/>
      <c r="RBY44" s="76"/>
      <c r="RBZ44" s="76"/>
      <c r="RCA44" s="76"/>
      <c r="RCB44" s="76"/>
      <c r="RCC44" s="76"/>
      <c r="RCD44" s="76"/>
      <c r="RCE44" s="76"/>
      <c r="RCF44" s="76"/>
      <c r="RCG44" s="76"/>
      <c r="RCH44" s="76"/>
      <c r="RCI44" s="76"/>
      <c r="RCJ44" s="76"/>
      <c r="RCK44" s="76"/>
      <c r="RCL44" s="76"/>
      <c r="RCM44" s="76"/>
      <c r="RCN44" s="76"/>
      <c r="RCO44" s="76"/>
      <c r="RCP44" s="76"/>
      <c r="RCQ44" s="76"/>
      <c r="RCR44" s="76"/>
      <c r="RCS44" s="76"/>
      <c r="RCT44" s="76"/>
      <c r="RCU44" s="76"/>
      <c r="RCV44" s="76"/>
      <c r="RCW44" s="76"/>
      <c r="RCX44" s="76"/>
      <c r="RCY44" s="76"/>
      <c r="RCZ44" s="76"/>
      <c r="RDA44" s="76"/>
      <c r="RDB44" s="76"/>
      <c r="RDC44" s="76"/>
      <c r="RDD44" s="76"/>
      <c r="RDE44" s="76"/>
      <c r="RDF44" s="76"/>
      <c r="RDG44" s="76"/>
      <c r="RDH44" s="76"/>
      <c r="RDI44" s="76"/>
      <c r="RDJ44" s="76"/>
      <c r="RDK44" s="76"/>
      <c r="RDL44" s="76"/>
      <c r="RDM44" s="76"/>
      <c r="RDN44" s="76"/>
      <c r="RDO44" s="76"/>
      <c r="RDP44" s="76"/>
      <c r="RDQ44" s="76"/>
      <c r="RDR44" s="76"/>
      <c r="RDS44" s="76"/>
      <c r="RDT44" s="76"/>
      <c r="RDU44" s="76"/>
      <c r="RDV44" s="76"/>
      <c r="RDW44" s="76"/>
      <c r="RDX44" s="76"/>
      <c r="RDY44" s="76"/>
      <c r="RDZ44" s="76"/>
      <c r="REA44" s="76"/>
      <c r="REB44" s="76"/>
      <c r="REC44" s="76"/>
      <c r="RED44" s="76"/>
      <c r="REE44" s="76"/>
      <c r="REF44" s="76"/>
      <c r="REG44" s="76"/>
      <c r="REH44" s="76"/>
      <c r="REI44" s="76"/>
      <c r="REJ44" s="76"/>
      <c r="REK44" s="76"/>
      <c r="REL44" s="76"/>
      <c r="REM44" s="76"/>
      <c r="REN44" s="76"/>
      <c r="REO44" s="76"/>
      <c r="REP44" s="76"/>
      <c r="REQ44" s="76"/>
      <c r="RER44" s="76"/>
      <c r="RES44" s="76"/>
      <c r="RET44" s="76"/>
      <c r="REU44" s="76"/>
      <c r="REV44" s="76"/>
      <c r="REW44" s="76"/>
      <c r="REX44" s="76"/>
      <c r="REY44" s="76"/>
      <c r="REZ44" s="76"/>
      <c r="RFA44" s="76"/>
      <c r="RFB44" s="76"/>
      <c r="RFC44" s="76"/>
      <c r="RFD44" s="76"/>
      <c r="RFE44" s="76"/>
      <c r="RFF44" s="76"/>
      <c r="RFG44" s="76"/>
      <c r="RFH44" s="76"/>
      <c r="RFI44" s="76"/>
      <c r="RFJ44" s="76"/>
      <c r="RFK44" s="76"/>
      <c r="RFL44" s="76"/>
      <c r="RFM44" s="76"/>
      <c r="RFN44" s="76"/>
      <c r="RFO44" s="76"/>
      <c r="RFP44" s="76"/>
      <c r="RFQ44" s="76"/>
      <c r="RFR44" s="76"/>
      <c r="RFS44" s="76"/>
      <c r="RFT44" s="76"/>
      <c r="RFU44" s="76"/>
      <c r="RFV44" s="76"/>
      <c r="RFW44" s="76"/>
      <c r="RFX44" s="76"/>
      <c r="RFY44" s="76"/>
      <c r="RFZ44" s="76"/>
      <c r="RGA44" s="76"/>
      <c r="RGB44" s="76"/>
      <c r="RGC44" s="76"/>
      <c r="RGD44" s="76"/>
      <c r="RGE44" s="76"/>
      <c r="RGF44" s="76"/>
      <c r="RGG44" s="76"/>
      <c r="RGH44" s="76"/>
      <c r="RGI44" s="76"/>
      <c r="RGJ44" s="76"/>
      <c r="RGK44" s="76"/>
      <c r="RGL44" s="76"/>
      <c r="RGM44" s="76"/>
      <c r="RGN44" s="76"/>
      <c r="RGO44" s="76"/>
      <c r="RGP44" s="76"/>
      <c r="RGQ44" s="76"/>
      <c r="RGR44" s="76"/>
      <c r="RGS44" s="76"/>
      <c r="RGT44" s="76"/>
      <c r="RGU44" s="76"/>
      <c r="RGV44" s="76"/>
      <c r="RGW44" s="76"/>
      <c r="RGX44" s="76"/>
      <c r="RGY44" s="76"/>
      <c r="RGZ44" s="76"/>
      <c r="RHA44" s="76"/>
      <c r="RHB44" s="76"/>
      <c r="RHC44" s="76"/>
      <c r="RHD44" s="76"/>
      <c r="RHE44" s="76"/>
      <c r="RHF44" s="76"/>
      <c r="RHG44" s="76"/>
      <c r="RHH44" s="76"/>
      <c r="RHI44" s="76"/>
      <c r="RHJ44" s="76"/>
      <c r="RHK44" s="76"/>
      <c r="RHL44" s="76"/>
      <c r="RHM44" s="76"/>
      <c r="RHN44" s="76"/>
      <c r="RHO44" s="76"/>
      <c r="RHP44" s="76"/>
      <c r="RHQ44" s="76"/>
      <c r="RHR44" s="76"/>
      <c r="RHS44" s="76"/>
      <c r="RHT44" s="76"/>
      <c r="RHU44" s="76"/>
      <c r="RHV44" s="76"/>
      <c r="RHW44" s="76"/>
      <c r="RHX44" s="76"/>
      <c r="RHY44" s="76"/>
      <c r="RHZ44" s="76"/>
      <c r="RIA44" s="76"/>
      <c r="RIB44" s="76"/>
      <c r="RIC44" s="76"/>
      <c r="RID44" s="76"/>
      <c r="RIE44" s="76"/>
      <c r="RIF44" s="76"/>
      <c r="RIG44" s="76"/>
      <c r="RIH44" s="76"/>
      <c r="RII44" s="76"/>
      <c r="RIJ44" s="76"/>
      <c r="RIK44" s="76"/>
      <c r="RIL44" s="76"/>
      <c r="RIM44" s="76"/>
      <c r="RIN44" s="76"/>
      <c r="RIO44" s="76"/>
      <c r="RIP44" s="76"/>
      <c r="RIQ44" s="76"/>
      <c r="RIR44" s="76"/>
      <c r="RIS44" s="76"/>
      <c r="RIT44" s="76"/>
      <c r="RIU44" s="76"/>
      <c r="RIV44" s="76"/>
      <c r="RIW44" s="76"/>
      <c r="RIX44" s="76"/>
      <c r="RIY44" s="76"/>
      <c r="RIZ44" s="76"/>
      <c r="RJA44" s="76"/>
      <c r="RJB44" s="76"/>
      <c r="RJC44" s="76"/>
      <c r="RJD44" s="76"/>
      <c r="RJE44" s="76"/>
      <c r="RJF44" s="76"/>
      <c r="RJG44" s="76"/>
      <c r="RJH44" s="76"/>
      <c r="RJI44" s="76"/>
      <c r="RJJ44" s="76"/>
      <c r="RJK44" s="76"/>
      <c r="RJL44" s="76"/>
      <c r="RJM44" s="76"/>
      <c r="RJN44" s="76"/>
      <c r="RJO44" s="76"/>
      <c r="RJP44" s="76"/>
      <c r="RJQ44" s="76"/>
      <c r="RJR44" s="76"/>
      <c r="RJS44" s="76"/>
      <c r="RJT44" s="76"/>
      <c r="RJU44" s="76"/>
      <c r="RJV44" s="76"/>
      <c r="RJW44" s="76"/>
      <c r="RJX44" s="76"/>
      <c r="RJY44" s="76"/>
      <c r="RJZ44" s="76"/>
      <c r="RKA44" s="76"/>
      <c r="RKB44" s="76"/>
      <c r="RKC44" s="76"/>
      <c r="RKD44" s="76"/>
      <c r="RKE44" s="76"/>
      <c r="RKF44" s="76"/>
      <c r="RKG44" s="76"/>
      <c r="RKH44" s="76"/>
      <c r="RKI44" s="76"/>
      <c r="RKJ44" s="76"/>
      <c r="RKK44" s="76"/>
      <c r="RKL44" s="76"/>
      <c r="RKM44" s="76"/>
      <c r="RKN44" s="76"/>
      <c r="RKO44" s="76"/>
      <c r="RKP44" s="76"/>
      <c r="RKQ44" s="76"/>
      <c r="RKR44" s="76"/>
      <c r="RKS44" s="76"/>
      <c r="RKT44" s="76"/>
      <c r="RKU44" s="76"/>
      <c r="RKV44" s="76"/>
      <c r="RKW44" s="76"/>
      <c r="RKX44" s="76"/>
      <c r="RKY44" s="76"/>
      <c r="RKZ44" s="76"/>
      <c r="RLA44" s="76"/>
      <c r="RLB44" s="76"/>
      <c r="RLC44" s="76"/>
      <c r="RLD44" s="76"/>
      <c r="RLE44" s="76"/>
      <c r="RLF44" s="76"/>
      <c r="RLG44" s="76"/>
      <c r="RLH44" s="76"/>
      <c r="RLI44" s="76"/>
      <c r="RLJ44" s="76"/>
      <c r="RLK44" s="76"/>
      <c r="RLL44" s="76"/>
      <c r="RLM44" s="76"/>
      <c r="RLN44" s="76"/>
      <c r="RLO44" s="76"/>
      <c r="RLP44" s="76"/>
      <c r="RLQ44" s="76"/>
      <c r="RLR44" s="76"/>
      <c r="RLS44" s="76"/>
      <c r="RLT44" s="76"/>
      <c r="RLU44" s="76"/>
      <c r="RLV44" s="76"/>
      <c r="RLW44" s="76"/>
      <c r="RLX44" s="76"/>
      <c r="RLY44" s="76"/>
      <c r="RLZ44" s="76"/>
      <c r="RMA44" s="76"/>
      <c r="RMB44" s="76"/>
      <c r="RMC44" s="76"/>
      <c r="RMD44" s="76"/>
      <c r="RME44" s="76"/>
      <c r="RMF44" s="76"/>
      <c r="RMG44" s="76"/>
      <c r="RMH44" s="76"/>
      <c r="RMI44" s="76"/>
      <c r="RMJ44" s="76"/>
      <c r="RMK44" s="76"/>
      <c r="RML44" s="76"/>
      <c r="RMM44" s="76"/>
      <c r="RMN44" s="76"/>
      <c r="RMO44" s="76"/>
      <c r="RMP44" s="76"/>
      <c r="RMQ44" s="76"/>
      <c r="RMR44" s="76"/>
      <c r="RMS44" s="76"/>
      <c r="RMT44" s="76"/>
      <c r="RMU44" s="76"/>
      <c r="RMV44" s="76"/>
      <c r="RMW44" s="76"/>
      <c r="RMX44" s="76"/>
      <c r="RMY44" s="76"/>
      <c r="RMZ44" s="76"/>
      <c r="RNA44" s="76"/>
      <c r="RNB44" s="76"/>
      <c r="RNC44" s="76"/>
      <c r="RND44" s="76"/>
      <c r="RNE44" s="76"/>
      <c r="RNF44" s="76"/>
      <c r="RNG44" s="76"/>
      <c r="RNH44" s="76"/>
      <c r="RNI44" s="76"/>
      <c r="RNJ44" s="76"/>
      <c r="RNK44" s="76"/>
      <c r="RNL44" s="76"/>
      <c r="RNM44" s="76"/>
      <c r="RNN44" s="76"/>
      <c r="RNO44" s="76"/>
      <c r="RNP44" s="76"/>
      <c r="RNQ44" s="76"/>
      <c r="RNR44" s="76"/>
      <c r="RNS44" s="76"/>
      <c r="RNT44" s="76"/>
      <c r="RNU44" s="76"/>
      <c r="RNV44" s="76"/>
      <c r="RNW44" s="76"/>
      <c r="RNX44" s="76"/>
      <c r="RNY44" s="76"/>
      <c r="RNZ44" s="76"/>
      <c r="ROA44" s="76"/>
      <c r="ROB44" s="76"/>
      <c r="ROC44" s="76"/>
      <c r="ROD44" s="76"/>
      <c r="ROE44" s="76"/>
      <c r="ROF44" s="76"/>
      <c r="ROG44" s="76"/>
      <c r="ROH44" s="76"/>
      <c r="ROI44" s="76"/>
      <c r="ROJ44" s="76"/>
      <c r="ROK44" s="76"/>
      <c r="ROL44" s="76"/>
      <c r="ROM44" s="76"/>
      <c r="RON44" s="76"/>
      <c r="ROO44" s="76"/>
      <c r="ROP44" s="76"/>
      <c r="ROQ44" s="76"/>
      <c r="ROR44" s="76"/>
      <c r="ROS44" s="76"/>
      <c r="ROT44" s="76"/>
      <c r="ROU44" s="76"/>
      <c r="ROV44" s="76"/>
      <c r="ROW44" s="76"/>
      <c r="ROX44" s="76"/>
      <c r="ROY44" s="76"/>
      <c r="ROZ44" s="76"/>
      <c r="RPA44" s="76"/>
      <c r="RPB44" s="76"/>
      <c r="RPC44" s="76"/>
      <c r="RPD44" s="76"/>
      <c r="RPE44" s="76"/>
      <c r="RPF44" s="76"/>
      <c r="RPG44" s="76"/>
      <c r="RPH44" s="76"/>
      <c r="RPI44" s="76"/>
      <c r="RPJ44" s="76"/>
      <c r="RPK44" s="76"/>
      <c r="RPL44" s="76"/>
      <c r="RPM44" s="76"/>
      <c r="RPN44" s="76"/>
      <c r="RPO44" s="76"/>
      <c r="RPP44" s="76"/>
      <c r="RPQ44" s="76"/>
      <c r="RPR44" s="76"/>
      <c r="RPS44" s="76"/>
      <c r="RPT44" s="76"/>
      <c r="RPU44" s="76"/>
      <c r="RPV44" s="76"/>
      <c r="RPW44" s="76"/>
      <c r="RPX44" s="76"/>
      <c r="RPY44" s="76"/>
      <c r="RPZ44" s="76"/>
      <c r="RQA44" s="76"/>
      <c r="RQB44" s="76"/>
      <c r="RQC44" s="76"/>
      <c r="RQD44" s="76"/>
      <c r="RQE44" s="76"/>
      <c r="RQF44" s="76"/>
      <c r="RQG44" s="76"/>
      <c r="RQH44" s="76"/>
      <c r="RQI44" s="76"/>
      <c r="RQJ44" s="76"/>
      <c r="RQK44" s="76"/>
      <c r="RQL44" s="76"/>
      <c r="RQM44" s="76"/>
      <c r="RQN44" s="76"/>
      <c r="RQO44" s="76"/>
      <c r="RQP44" s="76"/>
      <c r="RQQ44" s="76"/>
      <c r="RQR44" s="76"/>
      <c r="RQS44" s="76"/>
      <c r="RQT44" s="76"/>
      <c r="RQU44" s="76"/>
      <c r="RQV44" s="76"/>
      <c r="RQW44" s="76"/>
      <c r="RQX44" s="76"/>
      <c r="RQY44" s="76"/>
      <c r="RQZ44" s="76"/>
      <c r="RRA44" s="76"/>
      <c r="RRB44" s="76"/>
      <c r="RRC44" s="76"/>
      <c r="RRD44" s="76"/>
      <c r="RRE44" s="76"/>
      <c r="RRF44" s="76"/>
      <c r="RRG44" s="76"/>
      <c r="RRH44" s="76"/>
      <c r="RRI44" s="76"/>
      <c r="RRJ44" s="76"/>
      <c r="RRK44" s="76"/>
      <c r="RRL44" s="76"/>
      <c r="RRM44" s="76"/>
      <c r="RRN44" s="76"/>
      <c r="RRO44" s="76"/>
      <c r="RRP44" s="76"/>
      <c r="RRQ44" s="76"/>
      <c r="RRR44" s="76"/>
      <c r="RRS44" s="76"/>
      <c r="RRT44" s="76"/>
      <c r="RRU44" s="76"/>
      <c r="RRV44" s="76"/>
      <c r="RRW44" s="76"/>
      <c r="RRX44" s="76"/>
      <c r="RRY44" s="76"/>
      <c r="RRZ44" s="76"/>
      <c r="RSA44" s="76"/>
      <c r="RSB44" s="76"/>
      <c r="RSC44" s="76"/>
      <c r="RSD44" s="76"/>
      <c r="RSE44" s="76"/>
      <c r="RSF44" s="76"/>
      <c r="RSG44" s="76"/>
      <c r="RSH44" s="76"/>
      <c r="RSI44" s="76"/>
      <c r="RSJ44" s="76"/>
      <c r="RSK44" s="76"/>
      <c r="RSL44" s="76"/>
      <c r="RSM44" s="76"/>
      <c r="RSN44" s="76"/>
      <c r="RSO44" s="76"/>
      <c r="RSP44" s="76"/>
      <c r="RSQ44" s="76"/>
      <c r="RSR44" s="76"/>
      <c r="RSS44" s="76"/>
      <c r="RST44" s="76"/>
      <c r="RSU44" s="76"/>
      <c r="RSV44" s="76"/>
      <c r="RSW44" s="76"/>
      <c r="RSX44" s="76"/>
      <c r="RSY44" s="76"/>
      <c r="RSZ44" s="76"/>
      <c r="RTA44" s="76"/>
      <c r="RTB44" s="76"/>
      <c r="RTC44" s="76"/>
      <c r="RTD44" s="76"/>
      <c r="RTE44" s="76"/>
      <c r="RTF44" s="76"/>
      <c r="RTG44" s="76"/>
      <c r="RTH44" s="76"/>
      <c r="RTI44" s="76"/>
      <c r="RTJ44" s="76"/>
      <c r="RTK44" s="76"/>
      <c r="RTL44" s="76"/>
      <c r="RTM44" s="76"/>
      <c r="RTN44" s="76"/>
      <c r="RTO44" s="76"/>
      <c r="RTP44" s="76"/>
      <c r="RTQ44" s="76"/>
      <c r="RTR44" s="76"/>
      <c r="RTS44" s="76"/>
      <c r="RTT44" s="76"/>
      <c r="RTU44" s="76"/>
      <c r="RTV44" s="76"/>
      <c r="RTW44" s="76"/>
      <c r="RTX44" s="76"/>
      <c r="RTY44" s="76"/>
      <c r="RTZ44" s="76"/>
      <c r="RUA44" s="76"/>
      <c r="RUB44" s="76"/>
      <c r="RUC44" s="76"/>
      <c r="RUD44" s="76"/>
      <c r="RUE44" s="76"/>
      <c r="RUF44" s="76"/>
      <c r="RUG44" s="76"/>
      <c r="RUH44" s="76"/>
      <c r="RUI44" s="76"/>
      <c r="RUJ44" s="76"/>
      <c r="RUK44" s="76"/>
      <c r="RUL44" s="76"/>
      <c r="RUM44" s="76"/>
      <c r="RUN44" s="76"/>
      <c r="RUO44" s="76"/>
      <c r="RUP44" s="76"/>
      <c r="RUQ44" s="76"/>
      <c r="RUR44" s="76"/>
      <c r="RUS44" s="76"/>
      <c r="RUT44" s="76"/>
      <c r="RUU44" s="76"/>
      <c r="RUV44" s="76"/>
      <c r="RUW44" s="76"/>
      <c r="RUX44" s="76"/>
      <c r="RUY44" s="76"/>
      <c r="RUZ44" s="76"/>
      <c r="RVA44" s="76"/>
      <c r="RVB44" s="76"/>
      <c r="RVC44" s="76"/>
      <c r="RVD44" s="76"/>
      <c r="RVE44" s="76"/>
      <c r="RVF44" s="76"/>
      <c r="RVG44" s="76"/>
      <c r="RVH44" s="76"/>
      <c r="RVI44" s="76"/>
      <c r="RVJ44" s="76"/>
      <c r="RVK44" s="76"/>
      <c r="RVL44" s="76"/>
      <c r="RVM44" s="76"/>
      <c r="RVN44" s="76"/>
      <c r="RVO44" s="76"/>
      <c r="RVP44" s="76"/>
      <c r="RVQ44" s="76"/>
      <c r="RVR44" s="76"/>
      <c r="RVS44" s="76"/>
      <c r="RVT44" s="76"/>
      <c r="RVU44" s="76"/>
      <c r="RVV44" s="76"/>
      <c r="RVW44" s="76"/>
      <c r="RVX44" s="76"/>
      <c r="RVY44" s="76"/>
      <c r="RVZ44" s="76"/>
      <c r="RWA44" s="76"/>
      <c r="RWB44" s="76"/>
      <c r="RWC44" s="76"/>
      <c r="RWD44" s="76"/>
      <c r="RWE44" s="76"/>
      <c r="RWF44" s="76"/>
      <c r="RWG44" s="76"/>
      <c r="RWH44" s="76"/>
      <c r="RWI44" s="76"/>
      <c r="RWJ44" s="76"/>
      <c r="RWK44" s="76"/>
      <c r="RWL44" s="76"/>
      <c r="RWM44" s="76"/>
      <c r="RWN44" s="76"/>
      <c r="RWO44" s="76"/>
      <c r="RWP44" s="76"/>
      <c r="RWQ44" s="76"/>
      <c r="RWR44" s="76"/>
      <c r="RWS44" s="76"/>
      <c r="RWT44" s="76"/>
      <c r="RWU44" s="76"/>
      <c r="RWV44" s="76"/>
      <c r="RWW44" s="76"/>
      <c r="RWX44" s="76"/>
      <c r="RWY44" s="76"/>
      <c r="RWZ44" s="76"/>
      <c r="RXA44" s="76"/>
      <c r="RXB44" s="76"/>
      <c r="RXC44" s="76"/>
      <c r="RXD44" s="76"/>
      <c r="RXE44" s="76"/>
      <c r="RXF44" s="76"/>
      <c r="RXG44" s="76"/>
      <c r="RXH44" s="76"/>
      <c r="RXI44" s="76"/>
      <c r="RXJ44" s="76"/>
      <c r="RXK44" s="76"/>
      <c r="RXL44" s="76"/>
      <c r="RXM44" s="76"/>
      <c r="RXN44" s="76"/>
      <c r="RXO44" s="76"/>
      <c r="RXP44" s="76"/>
      <c r="RXQ44" s="76"/>
      <c r="RXR44" s="76"/>
      <c r="RXS44" s="76"/>
      <c r="RXT44" s="76"/>
      <c r="RXU44" s="76"/>
      <c r="RXV44" s="76"/>
      <c r="RXW44" s="76"/>
      <c r="RXX44" s="76"/>
      <c r="RXY44" s="76"/>
      <c r="RXZ44" s="76"/>
      <c r="RYA44" s="76"/>
      <c r="RYB44" s="76"/>
      <c r="RYC44" s="76"/>
      <c r="RYD44" s="76"/>
      <c r="RYE44" s="76"/>
      <c r="RYF44" s="76"/>
      <c r="RYG44" s="76"/>
      <c r="RYH44" s="76"/>
      <c r="RYI44" s="76"/>
      <c r="RYJ44" s="76"/>
      <c r="RYK44" s="76"/>
      <c r="RYL44" s="76"/>
      <c r="RYM44" s="76"/>
      <c r="RYN44" s="76"/>
      <c r="RYO44" s="76"/>
      <c r="RYP44" s="76"/>
      <c r="RYQ44" s="76"/>
      <c r="RYR44" s="76"/>
      <c r="RYS44" s="76"/>
      <c r="RYT44" s="76"/>
      <c r="RYU44" s="76"/>
      <c r="RYV44" s="76"/>
      <c r="RYW44" s="76"/>
      <c r="RYX44" s="76"/>
      <c r="RYY44" s="76"/>
      <c r="RYZ44" s="76"/>
      <c r="RZA44" s="76"/>
      <c r="RZB44" s="76"/>
      <c r="RZC44" s="76"/>
      <c r="RZD44" s="76"/>
      <c r="RZE44" s="76"/>
      <c r="RZF44" s="76"/>
      <c r="RZG44" s="76"/>
      <c r="RZH44" s="76"/>
      <c r="RZI44" s="76"/>
      <c r="RZJ44" s="76"/>
      <c r="RZK44" s="76"/>
      <c r="RZL44" s="76"/>
      <c r="RZM44" s="76"/>
      <c r="RZN44" s="76"/>
      <c r="RZO44" s="76"/>
      <c r="RZP44" s="76"/>
      <c r="RZQ44" s="76"/>
      <c r="RZR44" s="76"/>
      <c r="RZS44" s="76"/>
      <c r="RZT44" s="76"/>
      <c r="RZU44" s="76"/>
      <c r="RZV44" s="76"/>
      <c r="RZW44" s="76"/>
      <c r="RZX44" s="76"/>
      <c r="RZY44" s="76"/>
      <c r="RZZ44" s="76"/>
      <c r="SAA44" s="76"/>
      <c r="SAB44" s="76"/>
      <c r="SAC44" s="76"/>
      <c r="SAD44" s="76"/>
      <c r="SAE44" s="76"/>
      <c r="SAF44" s="76"/>
      <c r="SAG44" s="76"/>
      <c r="SAH44" s="76"/>
      <c r="SAI44" s="76"/>
      <c r="SAJ44" s="76"/>
      <c r="SAK44" s="76"/>
      <c r="SAL44" s="76"/>
      <c r="SAM44" s="76"/>
      <c r="SAN44" s="76"/>
      <c r="SAO44" s="76"/>
      <c r="SAP44" s="76"/>
      <c r="SAQ44" s="76"/>
      <c r="SAR44" s="76"/>
      <c r="SAS44" s="76"/>
      <c r="SAT44" s="76"/>
      <c r="SAU44" s="76"/>
      <c r="SAV44" s="76"/>
      <c r="SAW44" s="76"/>
      <c r="SAX44" s="76"/>
      <c r="SAY44" s="76"/>
      <c r="SAZ44" s="76"/>
      <c r="SBA44" s="76"/>
      <c r="SBB44" s="76"/>
      <c r="SBC44" s="76"/>
      <c r="SBD44" s="76"/>
      <c r="SBE44" s="76"/>
      <c r="SBF44" s="76"/>
      <c r="SBG44" s="76"/>
      <c r="SBH44" s="76"/>
      <c r="SBI44" s="76"/>
      <c r="SBJ44" s="76"/>
      <c r="SBK44" s="76"/>
      <c r="SBL44" s="76"/>
      <c r="SBM44" s="76"/>
      <c r="SBN44" s="76"/>
      <c r="SBO44" s="76"/>
      <c r="SBP44" s="76"/>
      <c r="SBQ44" s="76"/>
      <c r="SBR44" s="76"/>
      <c r="SBS44" s="76"/>
      <c r="SBT44" s="76"/>
      <c r="SBU44" s="76"/>
      <c r="SBV44" s="76"/>
      <c r="SBW44" s="76"/>
      <c r="SBX44" s="76"/>
      <c r="SBY44" s="76"/>
      <c r="SBZ44" s="76"/>
      <c r="SCA44" s="76"/>
      <c r="SCB44" s="76"/>
      <c r="SCC44" s="76"/>
      <c r="SCD44" s="76"/>
      <c r="SCE44" s="76"/>
      <c r="SCF44" s="76"/>
      <c r="SCG44" s="76"/>
      <c r="SCH44" s="76"/>
      <c r="SCI44" s="76"/>
      <c r="SCJ44" s="76"/>
      <c r="SCK44" s="76"/>
      <c r="SCL44" s="76"/>
      <c r="SCM44" s="76"/>
      <c r="SCN44" s="76"/>
      <c r="SCO44" s="76"/>
      <c r="SCP44" s="76"/>
      <c r="SCQ44" s="76"/>
      <c r="SCR44" s="76"/>
      <c r="SCS44" s="76"/>
      <c r="SCT44" s="76"/>
      <c r="SCU44" s="76"/>
      <c r="SCV44" s="76"/>
      <c r="SCW44" s="76"/>
      <c r="SCX44" s="76"/>
      <c r="SCY44" s="76"/>
      <c r="SCZ44" s="76"/>
      <c r="SDA44" s="76"/>
      <c r="SDB44" s="76"/>
      <c r="SDC44" s="76"/>
      <c r="SDD44" s="76"/>
      <c r="SDE44" s="76"/>
      <c r="SDF44" s="76"/>
      <c r="SDG44" s="76"/>
      <c r="SDH44" s="76"/>
      <c r="SDI44" s="76"/>
      <c r="SDJ44" s="76"/>
      <c r="SDK44" s="76"/>
      <c r="SDL44" s="76"/>
      <c r="SDM44" s="76"/>
      <c r="SDN44" s="76"/>
      <c r="SDO44" s="76"/>
      <c r="SDP44" s="76"/>
      <c r="SDQ44" s="76"/>
      <c r="SDR44" s="76"/>
      <c r="SDS44" s="76"/>
      <c r="SDT44" s="76"/>
      <c r="SDU44" s="76"/>
      <c r="SDV44" s="76"/>
      <c r="SDW44" s="76"/>
      <c r="SDX44" s="76"/>
      <c r="SDY44" s="76"/>
      <c r="SDZ44" s="76"/>
      <c r="SEA44" s="76"/>
      <c r="SEB44" s="76"/>
      <c r="SEC44" s="76"/>
      <c r="SED44" s="76"/>
      <c r="SEE44" s="76"/>
      <c r="SEF44" s="76"/>
      <c r="SEG44" s="76"/>
      <c r="SEH44" s="76"/>
      <c r="SEI44" s="76"/>
      <c r="SEJ44" s="76"/>
      <c r="SEK44" s="76"/>
      <c r="SEL44" s="76"/>
      <c r="SEM44" s="76"/>
      <c r="SEN44" s="76"/>
      <c r="SEO44" s="76"/>
      <c r="SEP44" s="76"/>
      <c r="SEQ44" s="76"/>
      <c r="SER44" s="76"/>
      <c r="SES44" s="76"/>
      <c r="SET44" s="76"/>
      <c r="SEU44" s="76"/>
      <c r="SEV44" s="76"/>
      <c r="SEW44" s="76"/>
      <c r="SEX44" s="76"/>
      <c r="SEY44" s="76"/>
      <c r="SEZ44" s="76"/>
      <c r="SFA44" s="76"/>
      <c r="SFB44" s="76"/>
      <c r="SFC44" s="76"/>
      <c r="SFD44" s="76"/>
      <c r="SFE44" s="76"/>
      <c r="SFF44" s="76"/>
      <c r="SFG44" s="76"/>
      <c r="SFH44" s="76"/>
      <c r="SFI44" s="76"/>
      <c r="SFJ44" s="76"/>
      <c r="SFK44" s="76"/>
      <c r="SFL44" s="76"/>
      <c r="SFM44" s="76"/>
      <c r="SFN44" s="76"/>
      <c r="SFO44" s="76"/>
      <c r="SFP44" s="76"/>
      <c r="SFQ44" s="76"/>
      <c r="SFR44" s="76"/>
      <c r="SFS44" s="76"/>
      <c r="SFT44" s="76"/>
      <c r="SFU44" s="76"/>
      <c r="SFV44" s="76"/>
      <c r="SFW44" s="76"/>
      <c r="SFX44" s="76"/>
      <c r="SFY44" s="76"/>
      <c r="SFZ44" s="76"/>
      <c r="SGA44" s="76"/>
      <c r="SGB44" s="76"/>
      <c r="SGC44" s="76"/>
      <c r="SGD44" s="76"/>
      <c r="SGE44" s="76"/>
      <c r="SGF44" s="76"/>
      <c r="SGG44" s="76"/>
      <c r="SGH44" s="76"/>
      <c r="SGI44" s="76"/>
      <c r="SGJ44" s="76"/>
      <c r="SGK44" s="76"/>
      <c r="SGL44" s="76"/>
      <c r="SGM44" s="76"/>
      <c r="SGN44" s="76"/>
      <c r="SGO44" s="76"/>
      <c r="SGP44" s="76"/>
      <c r="SGQ44" s="76"/>
      <c r="SGR44" s="76"/>
      <c r="SGS44" s="76"/>
      <c r="SGT44" s="76"/>
      <c r="SGU44" s="76"/>
      <c r="SGV44" s="76"/>
      <c r="SGW44" s="76"/>
      <c r="SGX44" s="76"/>
      <c r="SGY44" s="76"/>
      <c r="SGZ44" s="76"/>
      <c r="SHA44" s="76"/>
      <c r="SHB44" s="76"/>
      <c r="SHC44" s="76"/>
      <c r="SHD44" s="76"/>
      <c r="SHE44" s="76"/>
      <c r="SHF44" s="76"/>
      <c r="SHG44" s="76"/>
      <c r="SHH44" s="76"/>
      <c r="SHI44" s="76"/>
      <c r="SHJ44" s="76"/>
      <c r="SHK44" s="76"/>
      <c r="SHL44" s="76"/>
      <c r="SHM44" s="76"/>
      <c r="SHN44" s="76"/>
      <c r="SHO44" s="76"/>
      <c r="SHP44" s="76"/>
      <c r="SHQ44" s="76"/>
      <c r="SHR44" s="76"/>
      <c r="SHS44" s="76"/>
      <c r="SHT44" s="76"/>
      <c r="SHU44" s="76"/>
      <c r="SHV44" s="76"/>
      <c r="SHW44" s="76"/>
      <c r="SHX44" s="76"/>
      <c r="SHY44" s="76"/>
      <c r="SHZ44" s="76"/>
      <c r="SIA44" s="76"/>
      <c r="SIB44" s="76"/>
      <c r="SIC44" s="76"/>
      <c r="SID44" s="76"/>
      <c r="SIE44" s="76"/>
      <c r="SIF44" s="76"/>
      <c r="SIG44" s="76"/>
      <c r="SIH44" s="76"/>
      <c r="SII44" s="76"/>
      <c r="SIJ44" s="76"/>
      <c r="SIK44" s="76"/>
      <c r="SIL44" s="76"/>
      <c r="SIM44" s="76"/>
      <c r="SIN44" s="76"/>
      <c r="SIO44" s="76"/>
      <c r="SIP44" s="76"/>
      <c r="SIQ44" s="76"/>
      <c r="SIR44" s="76"/>
      <c r="SIS44" s="76"/>
      <c r="SIT44" s="76"/>
      <c r="SIU44" s="76"/>
      <c r="SIV44" s="76"/>
      <c r="SIW44" s="76"/>
      <c r="SIX44" s="76"/>
      <c r="SIY44" s="76"/>
      <c r="SIZ44" s="76"/>
      <c r="SJA44" s="76"/>
      <c r="SJB44" s="76"/>
      <c r="SJC44" s="76"/>
      <c r="SJD44" s="76"/>
      <c r="SJE44" s="76"/>
      <c r="SJF44" s="76"/>
      <c r="SJG44" s="76"/>
      <c r="SJH44" s="76"/>
      <c r="SJI44" s="76"/>
      <c r="SJJ44" s="76"/>
      <c r="SJK44" s="76"/>
      <c r="SJL44" s="76"/>
      <c r="SJM44" s="76"/>
      <c r="SJN44" s="76"/>
      <c r="SJO44" s="76"/>
      <c r="SJP44" s="76"/>
      <c r="SJQ44" s="76"/>
      <c r="SJR44" s="76"/>
      <c r="SJS44" s="76"/>
      <c r="SJT44" s="76"/>
      <c r="SJU44" s="76"/>
      <c r="SJV44" s="76"/>
      <c r="SJW44" s="76"/>
      <c r="SJX44" s="76"/>
      <c r="SJY44" s="76"/>
      <c r="SJZ44" s="76"/>
      <c r="SKA44" s="76"/>
      <c r="SKB44" s="76"/>
      <c r="SKC44" s="76"/>
      <c r="SKD44" s="76"/>
      <c r="SKE44" s="76"/>
      <c r="SKF44" s="76"/>
      <c r="SKG44" s="76"/>
      <c r="SKH44" s="76"/>
      <c r="SKI44" s="76"/>
      <c r="SKJ44" s="76"/>
      <c r="SKK44" s="76"/>
      <c r="SKL44" s="76"/>
      <c r="SKM44" s="76"/>
      <c r="SKN44" s="76"/>
      <c r="SKO44" s="76"/>
      <c r="SKP44" s="76"/>
      <c r="SKQ44" s="76"/>
      <c r="SKR44" s="76"/>
      <c r="SKS44" s="76"/>
      <c r="SKT44" s="76"/>
      <c r="SKU44" s="76"/>
      <c r="SKV44" s="76"/>
      <c r="SKW44" s="76"/>
      <c r="SKX44" s="76"/>
      <c r="SKY44" s="76"/>
      <c r="SKZ44" s="76"/>
      <c r="SLA44" s="76"/>
      <c r="SLB44" s="76"/>
      <c r="SLC44" s="76"/>
      <c r="SLD44" s="76"/>
      <c r="SLE44" s="76"/>
      <c r="SLF44" s="76"/>
      <c r="SLG44" s="76"/>
      <c r="SLH44" s="76"/>
      <c r="SLI44" s="76"/>
      <c r="SLJ44" s="76"/>
      <c r="SLK44" s="76"/>
      <c r="SLL44" s="76"/>
      <c r="SLM44" s="76"/>
      <c r="SLN44" s="76"/>
      <c r="SLO44" s="76"/>
      <c r="SLP44" s="76"/>
      <c r="SLQ44" s="76"/>
      <c r="SLR44" s="76"/>
      <c r="SLS44" s="76"/>
      <c r="SLT44" s="76"/>
      <c r="SLU44" s="76"/>
      <c r="SLV44" s="76"/>
      <c r="SLW44" s="76"/>
      <c r="SLX44" s="76"/>
      <c r="SLY44" s="76"/>
      <c r="SLZ44" s="76"/>
      <c r="SMA44" s="76"/>
      <c r="SMB44" s="76"/>
      <c r="SMC44" s="76"/>
      <c r="SMD44" s="76"/>
      <c r="SME44" s="76"/>
      <c r="SMF44" s="76"/>
      <c r="SMG44" s="76"/>
      <c r="SMH44" s="76"/>
      <c r="SMI44" s="76"/>
      <c r="SMJ44" s="76"/>
      <c r="SMK44" s="76"/>
      <c r="SML44" s="76"/>
      <c r="SMM44" s="76"/>
      <c r="SMN44" s="76"/>
      <c r="SMO44" s="76"/>
      <c r="SMP44" s="76"/>
      <c r="SMQ44" s="76"/>
      <c r="SMR44" s="76"/>
      <c r="SMS44" s="76"/>
      <c r="SMT44" s="76"/>
      <c r="SMU44" s="76"/>
      <c r="SMV44" s="76"/>
      <c r="SMW44" s="76"/>
      <c r="SMX44" s="76"/>
      <c r="SMY44" s="76"/>
      <c r="SMZ44" s="76"/>
      <c r="SNA44" s="76"/>
      <c r="SNB44" s="76"/>
      <c r="SNC44" s="76"/>
      <c r="SND44" s="76"/>
      <c r="SNE44" s="76"/>
      <c r="SNF44" s="76"/>
      <c r="SNG44" s="76"/>
      <c r="SNH44" s="76"/>
      <c r="SNI44" s="76"/>
      <c r="SNJ44" s="76"/>
      <c r="SNK44" s="76"/>
      <c r="SNL44" s="76"/>
      <c r="SNM44" s="76"/>
      <c r="SNN44" s="76"/>
      <c r="SNO44" s="76"/>
      <c r="SNP44" s="76"/>
      <c r="SNQ44" s="76"/>
      <c r="SNR44" s="76"/>
      <c r="SNS44" s="76"/>
      <c r="SNT44" s="76"/>
      <c r="SNU44" s="76"/>
      <c r="SNV44" s="76"/>
      <c r="SNW44" s="76"/>
      <c r="SNX44" s="76"/>
      <c r="SNY44" s="76"/>
      <c r="SNZ44" s="76"/>
      <c r="SOA44" s="76"/>
      <c r="SOB44" s="76"/>
      <c r="SOC44" s="76"/>
      <c r="SOD44" s="76"/>
      <c r="SOE44" s="76"/>
      <c r="SOF44" s="76"/>
      <c r="SOG44" s="76"/>
      <c r="SOH44" s="76"/>
      <c r="SOI44" s="76"/>
      <c r="SOJ44" s="76"/>
      <c r="SOK44" s="76"/>
      <c r="SOL44" s="76"/>
      <c r="SOM44" s="76"/>
      <c r="SON44" s="76"/>
      <c r="SOO44" s="76"/>
      <c r="SOP44" s="76"/>
      <c r="SOQ44" s="76"/>
      <c r="SOR44" s="76"/>
      <c r="SOS44" s="76"/>
      <c r="SOT44" s="76"/>
      <c r="SOU44" s="76"/>
      <c r="SOV44" s="76"/>
      <c r="SOW44" s="76"/>
      <c r="SOX44" s="76"/>
      <c r="SOY44" s="76"/>
      <c r="SOZ44" s="76"/>
      <c r="SPA44" s="76"/>
      <c r="SPB44" s="76"/>
      <c r="SPC44" s="76"/>
      <c r="SPD44" s="76"/>
      <c r="SPE44" s="76"/>
      <c r="SPF44" s="76"/>
      <c r="SPG44" s="76"/>
      <c r="SPH44" s="76"/>
      <c r="SPI44" s="76"/>
      <c r="SPJ44" s="76"/>
      <c r="SPK44" s="76"/>
      <c r="SPL44" s="76"/>
      <c r="SPM44" s="76"/>
      <c r="SPN44" s="76"/>
      <c r="SPO44" s="76"/>
      <c r="SPP44" s="76"/>
      <c r="SPQ44" s="76"/>
      <c r="SPR44" s="76"/>
      <c r="SPS44" s="76"/>
      <c r="SPT44" s="76"/>
      <c r="SPU44" s="76"/>
      <c r="SPV44" s="76"/>
      <c r="SPW44" s="76"/>
      <c r="SPX44" s="76"/>
      <c r="SPY44" s="76"/>
      <c r="SPZ44" s="76"/>
      <c r="SQA44" s="76"/>
      <c r="SQB44" s="76"/>
      <c r="SQC44" s="76"/>
      <c r="SQD44" s="76"/>
      <c r="SQE44" s="76"/>
      <c r="SQF44" s="76"/>
      <c r="SQG44" s="76"/>
      <c r="SQH44" s="76"/>
      <c r="SQI44" s="76"/>
      <c r="SQJ44" s="76"/>
      <c r="SQK44" s="76"/>
      <c r="SQL44" s="76"/>
      <c r="SQM44" s="76"/>
      <c r="SQN44" s="76"/>
      <c r="SQO44" s="76"/>
      <c r="SQP44" s="76"/>
      <c r="SQQ44" s="76"/>
      <c r="SQR44" s="76"/>
      <c r="SQS44" s="76"/>
      <c r="SQT44" s="76"/>
      <c r="SQU44" s="76"/>
      <c r="SQV44" s="76"/>
      <c r="SQW44" s="76"/>
      <c r="SQX44" s="76"/>
      <c r="SQY44" s="76"/>
      <c r="SQZ44" s="76"/>
      <c r="SRA44" s="76"/>
      <c r="SRB44" s="76"/>
      <c r="SRC44" s="76"/>
      <c r="SRD44" s="76"/>
      <c r="SRE44" s="76"/>
      <c r="SRF44" s="76"/>
      <c r="SRG44" s="76"/>
      <c r="SRH44" s="76"/>
      <c r="SRI44" s="76"/>
      <c r="SRJ44" s="76"/>
      <c r="SRK44" s="76"/>
      <c r="SRL44" s="76"/>
      <c r="SRM44" s="76"/>
      <c r="SRN44" s="76"/>
      <c r="SRO44" s="76"/>
      <c r="SRP44" s="76"/>
      <c r="SRQ44" s="76"/>
      <c r="SRR44" s="76"/>
      <c r="SRS44" s="76"/>
      <c r="SRT44" s="76"/>
      <c r="SRU44" s="76"/>
      <c r="SRV44" s="76"/>
      <c r="SRW44" s="76"/>
      <c r="SRX44" s="76"/>
      <c r="SRY44" s="76"/>
      <c r="SRZ44" s="76"/>
      <c r="SSA44" s="76"/>
      <c r="SSB44" s="76"/>
      <c r="SSC44" s="76"/>
      <c r="SSD44" s="76"/>
      <c r="SSE44" s="76"/>
      <c r="SSF44" s="76"/>
      <c r="SSG44" s="76"/>
      <c r="SSH44" s="76"/>
      <c r="SSI44" s="76"/>
      <c r="SSJ44" s="76"/>
      <c r="SSK44" s="76"/>
      <c r="SSL44" s="76"/>
      <c r="SSM44" s="76"/>
      <c r="SSN44" s="76"/>
      <c r="SSO44" s="76"/>
      <c r="SSP44" s="76"/>
      <c r="SSQ44" s="76"/>
      <c r="SSR44" s="76"/>
      <c r="SSS44" s="76"/>
      <c r="SST44" s="76"/>
      <c r="SSU44" s="76"/>
      <c r="SSV44" s="76"/>
      <c r="SSW44" s="76"/>
      <c r="SSX44" s="76"/>
      <c r="SSY44" s="76"/>
      <c r="SSZ44" s="76"/>
      <c r="STA44" s="76"/>
      <c r="STB44" s="76"/>
      <c r="STC44" s="76"/>
      <c r="STD44" s="76"/>
      <c r="STE44" s="76"/>
      <c r="STF44" s="76"/>
      <c r="STG44" s="76"/>
      <c r="STH44" s="76"/>
      <c r="STI44" s="76"/>
      <c r="STJ44" s="76"/>
      <c r="STK44" s="76"/>
      <c r="STL44" s="76"/>
      <c r="STM44" s="76"/>
      <c r="STN44" s="76"/>
      <c r="STO44" s="76"/>
      <c r="STP44" s="76"/>
      <c r="STQ44" s="76"/>
      <c r="STR44" s="76"/>
      <c r="STS44" s="76"/>
      <c r="STT44" s="76"/>
      <c r="STU44" s="76"/>
      <c r="STV44" s="76"/>
      <c r="STW44" s="76"/>
      <c r="STX44" s="76"/>
      <c r="STY44" s="76"/>
      <c r="STZ44" s="76"/>
      <c r="SUA44" s="76"/>
      <c r="SUB44" s="76"/>
      <c r="SUC44" s="76"/>
      <c r="SUD44" s="76"/>
      <c r="SUE44" s="76"/>
      <c r="SUF44" s="76"/>
      <c r="SUG44" s="76"/>
      <c r="SUH44" s="76"/>
      <c r="SUI44" s="76"/>
      <c r="SUJ44" s="76"/>
      <c r="SUK44" s="76"/>
      <c r="SUL44" s="76"/>
      <c r="SUM44" s="76"/>
      <c r="SUN44" s="76"/>
      <c r="SUO44" s="76"/>
      <c r="SUP44" s="76"/>
      <c r="SUQ44" s="76"/>
      <c r="SUR44" s="76"/>
      <c r="SUS44" s="76"/>
      <c r="SUT44" s="76"/>
      <c r="SUU44" s="76"/>
      <c r="SUV44" s="76"/>
      <c r="SUW44" s="76"/>
      <c r="SUX44" s="76"/>
      <c r="SUY44" s="76"/>
      <c r="SUZ44" s="76"/>
      <c r="SVA44" s="76"/>
      <c r="SVB44" s="76"/>
      <c r="SVC44" s="76"/>
      <c r="SVD44" s="76"/>
      <c r="SVE44" s="76"/>
      <c r="SVF44" s="76"/>
      <c r="SVG44" s="76"/>
      <c r="SVH44" s="76"/>
      <c r="SVI44" s="76"/>
      <c r="SVJ44" s="76"/>
      <c r="SVK44" s="76"/>
      <c r="SVL44" s="76"/>
      <c r="SVM44" s="76"/>
      <c r="SVN44" s="76"/>
      <c r="SVO44" s="76"/>
      <c r="SVP44" s="76"/>
      <c r="SVQ44" s="76"/>
      <c r="SVR44" s="76"/>
      <c r="SVS44" s="76"/>
      <c r="SVT44" s="76"/>
      <c r="SVU44" s="76"/>
      <c r="SVV44" s="76"/>
      <c r="SVW44" s="76"/>
      <c r="SVX44" s="76"/>
      <c r="SVY44" s="76"/>
      <c r="SVZ44" s="76"/>
      <c r="SWA44" s="76"/>
      <c r="SWB44" s="76"/>
      <c r="SWC44" s="76"/>
      <c r="SWD44" s="76"/>
      <c r="SWE44" s="76"/>
      <c r="SWF44" s="76"/>
      <c r="SWG44" s="76"/>
      <c r="SWH44" s="76"/>
      <c r="SWI44" s="76"/>
      <c r="SWJ44" s="76"/>
      <c r="SWK44" s="76"/>
      <c r="SWL44" s="76"/>
      <c r="SWM44" s="76"/>
      <c r="SWN44" s="76"/>
      <c r="SWO44" s="76"/>
      <c r="SWP44" s="76"/>
      <c r="SWQ44" s="76"/>
      <c r="SWR44" s="76"/>
      <c r="SWS44" s="76"/>
      <c r="SWT44" s="76"/>
      <c r="SWU44" s="76"/>
      <c r="SWV44" s="76"/>
      <c r="SWW44" s="76"/>
      <c r="SWX44" s="76"/>
      <c r="SWY44" s="76"/>
      <c r="SWZ44" s="76"/>
      <c r="SXA44" s="76"/>
      <c r="SXB44" s="76"/>
      <c r="SXC44" s="76"/>
      <c r="SXD44" s="76"/>
      <c r="SXE44" s="76"/>
      <c r="SXF44" s="76"/>
      <c r="SXG44" s="76"/>
      <c r="SXH44" s="76"/>
      <c r="SXI44" s="76"/>
      <c r="SXJ44" s="76"/>
      <c r="SXK44" s="76"/>
      <c r="SXL44" s="76"/>
      <c r="SXM44" s="76"/>
      <c r="SXN44" s="76"/>
      <c r="SXO44" s="76"/>
      <c r="SXP44" s="76"/>
      <c r="SXQ44" s="76"/>
      <c r="SXR44" s="76"/>
      <c r="SXS44" s="76"/>
      <c r="SXT44" s="76"/>
      <c r="SXU44" s="76"/>
      <c r="SXV44" s="76"/>
      <c r="SXW44" s="76"/>
      <c r="SXX44" s="76"/>
      <c r="SXY44" s="76"/>
      <c r="SXZ44" s="76"/>
      <c r="SYA44" s="76"/>
      <c r="SYB44" s="76"/>
      <c r="SYC44" s="76"/>
      <c r="SYD44" s="76"/>
      <c r="SYE44" s="76"/>
      <c r="SYF44" s="76"/>
      <c r="SYG44" s="76"/>
      <c r="SYH44" s="76"/>
      <c r="SYI44" s="76"/>
      <c r="SYJ44" s="76"/>
      <c r="SYK44" s="76"/>
      <c r="SYL44" s="76"/>
      <c r="SYM44" s="76"/>
      <c r="SYN44" s="76"/>
      <c r="SYO44" s="76"/>
      <c r="SYP44" s="76"/>
      <c r="SYQ44" s="76"/>
      <c r="SYR44" s="76"/>
      <c r="SYS44" s="76"/>
      <c r="SYT44" s="76"/>
      <c r="SYU44" s="76"/>
      <c r="SYV44" s="76"/>
      <c r="SYW44" s="76"/>
      <c r="SYX44" s="76"/>
      <c r="SYY44" s="76"/>
      <c r="SYZ44" s="76"/>
      <c r="SZA44" s="76"/>
      <c r="SZB44" s="76"/>
      <c r="SZC44" s="76"/>
      <c r="SZD44" s="76"/>
      <c r="SZE44" s="76"/>
      <c r="SZF44" s="76"/>
      <c r="SZG44" s="76"/>
      <c r="SZH44" s="76"/>
      <c r="SZI44" s="76"/>
      <c r="SZJ44" s="76"/>
      <c r="SZK44" s="76"/>
      <c r="SZL44" s="76"/>
      <c r="SZM44" s="76"/>
      <c r="SZN44" s="76"/>
      <c r="SZO44" s="76"/>
      <c r="SZP44" s="76"/>
      <c r="SZQ44" s="76"/>
      <c r="SZR44" s="76"/>
      <c r="SZS44" s="76"/>
      <c r="SZT44" s="76"/>
      <c r="SZU44" s="76"/>
      <c r="SZV44" s="76"/>
      <c r="SZW44" s="76"/>
      <c r="SZX44" s="76"/>
      <c r="SZY44" s="76"/>
      <c r="SZZ44" s="76"/>
      <c r="TAA44" s="76"/>
      <c r="TAB44" s="76"/>
      <c r="TAC44" s="76"/>
      <c r="TAD44" s="76"/>
      <c r="TAE44" s="76"/>
      <c r="TAF44" s="76"/>
      <c r="TAG44" s="76"/>
      <c r="TAH44" s="76"/>
      <c r="TAI44" s="76"/>
      <c r="TAJ44" s="76"/>
      <c r="TAK44" s="76"/>
      <c r="TAL44" s="76"/>
      <c r="TAM44" s="76"/>
      <c r="TAN44" s="76"/>
      <c r="TAO44" s="76"/>
      <c r="TAP44" s="76"/>
      <c r="TAQ44" s="76"/>
      <c r="TAR44" s="76"/>
      <c r="TAS44" s="76"/>
      <c r="TAT44" s="76"/>
      <c r="TAU44" s="76"/>
      <c r="TAV44" s="76"/>
      <c r="TAW44" s="76"/>
      <c r="TAX44" s="76"/>
      <c r="TAY44" s="76"/>
      <c r="TAZ44" s="76"/>
      <c r="TBA44" s="76"/>
      <c r="TBB44" s="76"/>
      <c r="TBC44" s="76"/>
      <c r="TBD44" s="76"/>
      <c r="TBE44" s="76"/>
      <c r="TBF44" s="76"/>
      <c r="TBG44" s="76"/>
      <c r="TBH44" s="76"/>
      <c r="TBI44" s="76"/>
      <c r="TBJ44" s="76"/>
      <c r="TBK44" s="76"/>
      <c r="TBL44" s="76"/>
      <c r="TBM44" s="76"/>
      <c r="TBN44" s="76"/>
      <c r="TBO44" s="76"/>
      <c r="TBP44" s="76"/>
      <c r="TBQ44" s="76"/>
      <c r="TBR44" s="76"/>
      <c r="TBS44" s="76"/>
      <c r="TBT44" s="76"/>
      <c r="TBU44" s="76"/>
      <c r="TBV44" s="76"/>
      <c r="TBW44" s="76"/>
      <c r="TBX44" s="76"/>
      <c r="TBY44" s="76"/>
      <c r="TBZ44" s="76"/>
      <c r="TCA44" s="76"/>
      <c r="TCB44" s="76"/>
      <c r="TCC44" s="76"/>
      <c r="TCD44" s="76"/>
      <c r="TCE44" s="76"/>
      <c r="TCF44" s="76"/>
      <c r="TCG44" s="76"/>
      <c r="TCH44" s="76"/>
      <c r="TCI44" s="76"/>
      <c r="TCJ44" s="76"/>
      <c r="TCK44" s="76"/>
      <c r="TCL44" s="76"/>
      <c r="TCM44" s="76"/>
      <c r="TCN44" s="76"/>
      <c r="TCO44" s="76"/>
      <c r="TCP44" s="76"/>
      <c r="TCQ44" s="76"/>
      <c r="TCR44" s="76"/>
      <c r="TCS44" s="76"/>
      <c r="TCT44" s="76"/>
      <c r="TCU44" s="76"/>
      <c r="TCV44" s="76"/>
      <c r="TCW44" s="76"/>
      <c r="TCX44" s="76"/>
      <c r="TCY44" s="76"/>
      <c r="TCZ44" s="76"/>
      <c r="TDA44" s="76"/>
      <c r="TDB44" s="76"/>
      <c r="TDC44" s="76"/>
      <c r="TDD44" s="76"/>
      <c r="TDE44" s="76"/>
      <c r="TDF44" s="76"/>
      <c r="TDG44" s="76"/>
      <c r="TDH44" s="76"/>
      <c r="TDI44" s="76"/>
      <c r="TDJ44" s="76"/>
      <c r="TDK44" s="76"/>
      <c r="TDL44" s="76"/>
      <c r="TDM44" s="76"/>
      <c r="TDN44" s="76"/>
      <c r="TDO44" s="76"/>
      <c r="TDP44" s="76"/>
      <c r="TDQ44" s="76"/>
      <c r="TDR44" s="76"/>
      <c r="TDS44" s="76"/>
      <c r="TDT44" s="76"/>
      <c r="TDU44" s="76"/>
      <c r="TDV44" s="76"/>
      <c r="TDW44" s="76"/>
      <c r="TDX44" s="76"/>
      <c r="TDY44" s="76"/>
      <c r="TDZ44" s="76"/>
      <c r="TEA44" s="76"/>
      <c r="TEB44" s="76"/>
      <c r="TEC44" s="76"/>
      <c r="TED44" s="76"/>
      <c r="TEE44" s="76"/>
      <c r="TEF44" s="76"/>
      <c r="TEG44" s="76"/>
      <c r="TEH44" s="76"/>
      <c r="TEI44" s="76"/>
      <c r="TEJ44" s="76"/>
      <c r="TEK44" s="76"/>
      <c r="TEL44" s="76"/>
      <c r="TEM44" s="76"/>
      <c r="TEN44" s="76"/>
      <c r="TEO44" s="76"/>
      <c r="TEP44" s="76"/>
      <c r="TEQ44" s="76"/>
      <c r="TER44" s="76"/>
      <c r="TES44" s="76"/>
      <c r="TET44" s="76"/>
      <c r="TEU44" s="76"/>
      <c r="TEV44" s="76"/>
      <c r="TEW44" s="76"/>
      <c r="TEX44" s="76"/>
      <c r="TEY44" s="76"/>
      <c r="TEZ44" s="76"/>
      <c r="TFA44" s="76"/>
      <c r="TFB44" s="76"/>
      <c r="TFC44" s="76"/>
      <c r="TFD44" s="76"/>
      <c r="TFE44" s="76"/>
      <c r="TFF44" s="76"/>
      <c r="TFG44" s="76"/>
      <c r="TFH44" s="76"/>
      <c r="TFI44" s="76"/>
      <c r="TFJ44" s="76"/>
      <c r="TFK44" s="76"/>
      <c r="TFL44" s="76"/>
      <c r="TFM44" s="76"/>
      <c r="TFN44" s="76"/>
      <c r="TFO44" s="76"/>
      <c r="TFP44" s="76"/>
      <c r="TFQ44" s="76"/>
      <c r="TFR44" s="76"/>
      <c r="TFS44" s="76"/>
      <c r="TFT44" s="76"/>
      <c r="TFU44" s="76"/>
      <c r="TFV44" s="76"/>
      <c r="TFW44" s="76"/>
      <c r="TFX44" s="76"/>
      <c r="TFY44" s="76"/>
      <c r="TFZ44" s="76"/>
      <c r="TGA44" s="76"/>
      <c r="TGB44" s="76"/>
      <c r="TGC44" s="76"/>
      <c r="TGD44" s="76"/>
      <c r="TGE44" s="76"/>
      <c r="TGF44" s="76"/>
      <c r="TGG44" s="76"/>
      <c r="TGH44" s="76"/>
      <c r="TGI44" s="76"/>
      <c r="TGJ44" s="76"/>
      <c r="TGK44" s="76"/>
      <c r="TGL44" s="76"/>
      <c r="TGM44" s="76"/>
      <c r="TGN44" s="76"/>
      <c r="TGO44" s="76"/>
      <c r="TGP44" s="76"/>
      <c r="TGQ44" s="76"/>
      <c r="TGR44" s="76"/>
      <c r="TGS44" s="76"/>
      <c r="TGT44" s="76"/>
      <c r="TGU44" s="76"/>
      <c r="TGV44" s="76"/>
      <c r="TGW44" s="76"/>
      <c r="TGX44" s="76"/>
      <c r="TGY44" s="76"/>
      <c r="TGZ44" s="76"/>
      <c r="THA44" s="76"/>
      <c r="THB44" s="76"/>
      <c r="THC44" s="76"/>
      <c r="THD44" s="76"/>
      <c r="THE44" s="76"/>
      <c r="THF44" s="76"/>
      <c r="THG44" s="76"/>
      <c r="THH44" s="76"/>
      <c r="THI44" s="76"/>
      <c r="THJ44" s="76"/>
      <c r="THK44" s="76"/>
      <c r="THL44" s="76"/>
      <c r="THM44" s="76"/>
      <c r="THN44" s="76"/>
      <c r="THO44" s="76"/>
      <c r="THP44" s="76"/>
      <c r="THQ44" s="76"/>
      <c r="THR44" s="76"/>
      <c r="THS44" s="76"/>
      <c r="THT44" s="76"/>
      <c r="THU44" s="76"/>
      <c r="THV44" s="76"/>
      <c r="THW44" s="76"/>
      <c r="THX44" s="76"/>
      <c r="THY44" s="76"/>
      <c r="THZ44" s="76"/>
      <c r="TIA44" s="76"/>
      <c r="TIB44" s="76"/>
      <c r="TIC44" s="76"/>
      <c r="TID44" s="76"/>
      <c r="TIE44" s="76"/>
      <c r="TIF44" s="76"/>
      <c r="TIG44" s="76"/>
      <c r="TIH44" s="76"/>
      <c r="TII44" s="76"/>
      <c r="TIJ44" s="76"/>
      <c r="TIK44" s="76"/>
      <c r="TIL44" s="76"/>
      <c r="TIM44" s="76"/>
      <c r="TIN44" s="76"/>
      <c r="TIO44" s="76"/>
      <c r="TIP44" s="76"/>
      <c r="TIQ44" s="76"/>
      <c r="TIR44" s="76"/>
      <c r="TIS44" s="76"/>
      <c r="TIT44" s="76"/>
      <c r="TIU44" s="76"/>
      <c r="TIV44" s="76"/>
      <c r="TIW44" s="76"/>
      <c r="TIX44" s="76"/>
      <c r="TIY44" s="76"/>
      <c r="TIZ44" s="76"/>
      <c r="TJA44" s="76"/>
      <c r="TJB44" s="76"/>
      <c r="TJC44" s="76"/>
      <c r="TJD44" s="76"/>
      <c r="TJE44" s="76"/>
      <c r="TJF44" s="76"/>
      <c r="TJG44" s="76"/>
      <c r="TJH44" s="76"/>
      <c r="TJI44" s="76"/>
      <c r="TJJ44" s="76"/>
      <c r="TJK44" s="76"/>
      <c r="TJL44" s="76"/>
      <c r="TJM44" s="76"/>
      <c r="TJN44" s="76"/>
      <c r="TJO44" s="76"/>
      <c r="TJP44" s="76"/>
      <c r="TJQ44" s="76"/>
      <c r="TJR44" s="76"/>
      <c r="TJS44" s="76"/>
      <c r="TJT44" s="76"/>
      <c r="TJU44" s="76"/>
      <c r="TJV44" s="76"/>
      <c r="TJW44" s="76"/>
      <c r="TJX44" s="76"/>
      <c r="TJY44" s="76"/>
      <c r="TJZ44" s="76"/>
      <c r="TKA44" s="76"/>
      <c r="TKB44" s="76"/>
      <c r="TKC44" s="76"/>
      <c r="TKD44" s="76"/>
      <c r="TKE44" s="76"/>
      <c r="TKF44" s="76"/>
      <c r="TKG44" s="76"/>
      <c r="TKH44" s="76"/>
      <c r="TKI44" s="76"/>
      <c r="TKJ44" s="76"/>
      <c r="TKK44" s="76"/>
      <c r="TKL44" s="76"/>
      <c r="TKM44" s="76"/>
      <c r="TKN44" s="76"/>
      <c r="TKO44" s="76"/>
      <c r="TKP44" s="76"/>
      <c r="TKQ44" s="76"/>
      <c r="TKR44" s="76"/>
      <c r="TKS44" s="76"/>
      <c r="TKT44" s="76"/>
      <c r="TKU44" s="76"/>
      <c r="TKV44" s="76"/>
      <c r="TKW44" s="76"/>
      <c r="TKX44" s="76"/>
      <c r="TKY44" s="76"/>
      <c r="TKZ44" s="76"/>
      <c r="TLA44" s="76"/>
      <c r="TLB44" s="76"/>
      <c r="TLC44" s="76"/>
      <c r="TLD44" s="76"/>
      <c r="TLE44" s="76"/>
      <c r="TLF44" s="76"/>
      <c r="TLG44" s="76"/>
      <c r="TLH44" s="76"/>
      <c r="TLI44" s="76"/>
      <c r="TLJ44" s="76"/>
      <c r="TLK44" s="76"/>
      <c r="TLL44" s="76"/>
      <c r="TLM44" s="76"/>
      <c r="TLN44" s="76"/>
      <c r="TLO44" s="76"/>
      <c r="TLP44" s="76"/>
      <c r="TLQ44" s="76"/>
      <c r="TLR44" s="76"/>
      <c r="TLS44" s="76"/>
      <c r="TLT44" s="76"/>
      <c r="TLU44" s="76"/>
      <c r="TLV44" s="76"/>
      <c r="TLW44" s="76"/>
      <c r="TLX44" s="76"/>
      <c r="TLY44" s="76"/>
      <c r="TLZ44" s="76"/>
      <c r="TMA44" s="76"/>
      <c r="TMB44" s="76"/>
      <c r="TMC44" s="76"/>
      <c r="TMD44" s="76"/>
      <c r="TME44" s="76"/>
      <c r="TMF44" s="76"/>
      <c r="TMG44" s="76"/>
      <c r="TMH44" s="76"/>
      <c r="TMI44" s="76"/>
      <c r="TMJ44" s="76"/>
      <c r="TMK44" s="76"/>
      <c r="TML44" s="76"/>
      <c r="TMM44" s="76"/>
      <c r="TMN44" s="76"/>
      <c r="TMO44" s="76"/>
      <c r="TMP44" s="76"/>
      <c r="TMQ44" s="76"/>
      <c r="TMR44" s="76"/>
      <c r="TMS44" s="76"/>
      <c r="TMT44" s="76"/>
      <c r="TMU44" s="76"/>
      <c r="TMV44" s="76"/>
      <c r="TMW44" s="76"/>
      <c r="TMX44" s="76"/>
      <c r="TMY44" s="76"/>
      <c r="TMZ44" s="76"/>
      <c r="TNA44" s="76"/>
      <c r="TNB44" s="76"/>
      <c r="TNC44" s="76"/>
      <c r="TND44" s="76"/>
      <c r="TNE44" s="76"/>
      <c r="TNF44" s="76"/>
      <c r="TNG44" s="76"/>
      <c r="TNH44" s="76"/>
      <c r="TNI44" s="76"/>
      <c r="TNJ44" s="76"/>
      <c r="TNK44" s="76"/>
      <c r="TNL44" s="76"/>
      <c r="TNM44" s="76"/>
      <c r="TNN44" s="76"/>
      <c r="TNO44" s="76"/>
      <c r="TNP44" s="76"/>
      <c r="TNQ44" s="76"/>
      <c r="TNR44" s="76"/>
      <c r="TNS44" s="76"/>
      <c r="TNT44" s="76"/>
      <c r="TNU44" s="76"/>
      <c r="TNV44" s="76"/>
      <c r="TNW44" s="76"/>
      <c r="TNX44" s="76"/>
      <c r="TNY44" s="76"/>
      <c r="TNZ44" s="76"/>
      <c r="TOA44" s="76"/>
      <c r="TOB44" s="76"/>
      <c r="TOC44" s="76"/>
      <c r="TOD44" s="76"/>
      <c r="TOE44" s="76"/>
      <c r="TOF44" s="76"/>
      <c r="TOG44" s="76"/>
      <c r="TOH44" s="76"/>
      <c r="TOI44" s="76"/>
      <c r="TOJ44" s="76"/>
      <c r="TOK44" s="76"/>
      <c r="TOL44" s="76"/>
      <c r="TOM44" s="76"/>
      <c r="TON44" s="76"/>
      <c r="TOO44" s="76"/>
      <c r="TOP44" s="76"/>
      <c r="TOQ44" s="76"/>
      <c r="TOR44" s="76"/>
      <c r="TOS44" s="76"/>
      <c r="TOT44" s="76"/>
      <c r="TOU44" s="76"/>
      <c r="TOV44" s="76"/>
      <c r="TOW44" s="76"/>
      <c r="TOX44" s="76"/>
      <c r="TOY44" s="76"/>
      <c r="TOZ44" s="76"/>
      <c r="TPA44" s="76"/>
      <c r="TPB44" s="76"/>
      <c r="TPC44" s="76"/>
      <c r="TPD44" s="76"/>
      <c r="TPE44" s="76"/>
      <c r="TPF44" s="76"/>
      <c r="TPG44" s="76"/>
      <c r="TPH44" s="76"/>
      <c r="TPI44" s="76"/>
      <c r="TPJ44" s="76"/>
      <c r="TPK44" s="76"/>
      <c r="TPL44" s="76"/>
      <c r="TPM44" s="76"/>
      <c r="TPN44" s="76"/>
      <c r="TPO44" s="76"/>
      <c r="TPP44" s="76"/>
      <c r="TPQ44" s="76"/>
      <c r="TPR44" s="76"/>
      <c r="TPS44" s="76"/>
      <c r="TPT44" s="76"/>
      <c r="TPU44" s="76"/>
      <c r="TPV44" s="76"/>
      <c r="TPW44" s="76"/>
      <c r="TPX44" s="76"/>
      <c r="TPY44" s="76"/>
      <c r="TPZ44" s="76"/>
      <c r="TQA44" s="76"/>
      <c r="TQB44" s="76"/>
      <c r="TQC44" s="76"/>
      <c r="TQD44" s="76"/>
      <c r="TQE44" s="76"/>
      <c r="TQF44" s="76"/>
      <c r="TQG44" s="76"/>
      <c r="TQH44" s="76"/>
      <c r="TQI44" s="76"/>
      <c r="TQJ44" s="76"/>
      <c r="TQK44" s="76"/>
      <c r="TQL44" s="76"/>
      <c r="TQM44" s="76"/>
      <c r="TQN44" s="76"/>
      <c r="TQO44" s="76"/>
      <c r="TQP44" s="76"/>
      <c r="TQQ44" s="76"/>
      <c r="TQR44" s="76"/>
      <c r="TQS44" s="76"/>
      <c r="TQT44" s="76"/>
      <c r="TQU44" s="76"/>
      <c r="TQV44" s="76"/>
      <c r="TQW44" s="76"/>
      <c r="TQX44" s="76"/>
      <c r="TQY44" s="76"/>
      <c r="TQZ44" s="76"/>
      <c r="TRA44" s="76"/>
      <c r="TRB44" s="76"/>
      <c r="TRC44" s="76"/>
      <c r="TRD44" s="76"/>
      <c r="TRE44" s="76"/>
      <c r="TRF44" s="76"/>
      <c r="TRG44" s="76"/>
      <c r="TRH44" s="76"/>
      <c r="TRI44" s="76"/>
      <c r="TRJ44" s="76"/>
      <c r="TRK44" s="76"/>
      <c r="TRL44" s="76"/>
      <c r="TRM44" s="76"/>
      <c r="TRN44" s="76"/>
      <c r="TRO44" s="76"/>
      <c r="TRP44" s="76"/>
      <c r="TRQ44" s="76"/>
      <c r="TRR44" s="76"/>
      <c r="TRS44" s="76"/>
      <c r="TRT44" s="76"/>
      <c r="TRU44" s="76"/>
      <c r="TRV44" s="76"/>
      <c r="TRW44" s="76"/>
      <c r="TRX44" s="76"/>
      <c r="TRY44" s="76"/>
      <c r="TRZ44" s="76"/>
      <c r="TSA44" s="76"/>
      <c r="TSB44" s="76"/>
      <c r="TSC44" s="76"/>
      <c r="TSD44" s="76"/>
      <c r="TSE44" s="76"/>
      <c r="TSF44" s="76"/>
      <c r="TSG44" s="76"/>
      <c r="TSH44" s="76"/>
      <c r="TSI44" s="76"/>
      <c r="TSJ44" s="76"/>
      <c r="TSK44" s="76"/>
      <c r="TSL44" s="76"/>
      <c r="TSM44" s="76"/>
      <c r="TSN44" s="76"/>
      <c r="TSO44" s="76"/>
      <c r="TSP44" s="76"/>
      <c r="TSQ44" s="76"/>
      <c r="TSR44" s="76"/>
      <c r="TSS44" s="76"/>
      <c r="TST44" s="76"/>
      <c r="TSU44" s="76"/>
      <c r="TSV44" s="76"/>
      <c r="TSW44" s="76"/>
      <c r="TSX44" s="76"/>
      <c r="TSY44" s="76"/>
      <c r="TSZ44" s="76"/>
      <c r="TTA44" s="76"/>
      <c r="TTB44" s="76"/>
      <c r="TTC44" s="76"/>
      <c r="TTD44" s="76"/>
      <c r="TTE44" s="76"/>
      <c r="TTF44" s="76"/>
      <c r="TTG44" s="76"/>
      <c r="TTH44" s="76"/>
      <c r="TTI44" s="76"/>
      <c r="TTJ44" s="76"/>
      <c r="TTK44" s="76"/>
      <c r="TTL44" s="76"/>
      <c r="TTM44" s="76"/>
      <c r="TTN44" s="76"/>
      <c r="TTO44" s="76"/>
      <c r="TTP44" s="76"/>
      <c r="TTQ44" s="76"/>
      <c r="TTR44" s="76"/>
      <c r="TTS44" s="76"/>
      <c r="TTT44" s="76"/>
      <c r="TTU44" s="76"/>
      <c r="TTV44" s="76"/>
      <c r="TTW44" s="76"/>
      <c r="TTX44" s="76"/>
      <c r="TTY44" s="76"/>
      <c r="TTZ44" s="76"/>
      <c r="TUA44" s="76"/>
      <c r="TUB44" s="76"/>
      <c r="TUC44" s="76"/>
      <c r="TUD44" s="76"/>
      <c r="TUE44" s="76"/>
      <c r="TUF44" s="76"/>
      <c r="TUG44" s="76"/>
      <c r="TUH44" s="76"/>
      <c r="TUI44" s="76"/>
      <c r="TUJ44" s="76"/>
      <c r="TUK44" s="76"/>
      <c r="TUL44" s="76"/>
      <c r="TUM44" s="76"/>
      <c r="TUN44" s="76"/>
      <c r="TUO44" s="76"/>
      <c r="TUP44" s="76"/>
      <c r="TUQ44" s="76"/>
      <c r="TUR44" s="76"/>
      <c r="TUS44" s="76"/>
      <c r="TUT44" s="76"/>
      <c r="TUU44" s="76"/>
      <c r="TUV44" s="76"/>
      <c r="TUW44" s="76"/>
      <c r="TUX44" s="76"/>
      <c r="TUY44" s="76"/>
      <c r="TUZ44" s="76"/>
      <c r="TVA44" s="76"/>
      <c r="TVB44" s="76"/>
      <c r="TVC44" s="76"/>
      <c r="TVD44" s="76"/>
      <c r="TVE44" s="76"/>
      <c r="TVF44" s="76"/>
      <c r="TVG44" s="76"/>
      <c r="TVH44" s="76"/>
      <c r="TVI44" s="76"/>
      <c r="TVJ44" s="76"/>
      <c r="TVK44" s="76"/>
      <c r="TVL44" s="76"/>
      <c r="TVM44" s="76"/>
      <c r="TVN44" s="76"/>
      <c r="TVO44" s="76"/>
      <c r="TVP44" s="76"/>
      <c r="TVQ44" s="76"/>
      <c r="TVR44" s="76"/>
      <c r="TVS44" s="76"/>
      <c r="TVT44" s="76"/>
      <c r="TVU44" s="76"/>
      <c r="TVV44" s="76"/>
      <c r="TVW44" s="76"/>
      <c r="TVX44" s="76"/>
      <c r="TVY44" s="76"/>
      <c r="TVZ44" s="76"/>
      <c r="TWA44" s="76"/>
      <c r="TWB44" s="76"/>
      <c r="TWC44" s="76"/>
      <c r="TWD44" s="76"/>
      <c r="TWE44" s="76"/>
      <c r="TWF44" s="76"/>
      <c r="TWG44" s="76"/>
      <c r="TWH44" s="76"/>
      <c r="TWI44" s="76"/>
      <c r="TWJ44" s="76"/>
      <c r="TWK44" s="76"/>
      <c r="TWL44" s="76"/>
      <c r="TWM44" s="76"/>
      <c r="TWN44" s="76"/>
      <c r="TWO44" s="76"/>
      <c r="TWP44" s="76"/>
      <c r="TWQ44" s="76"/>
      <c r="TWR44" s="76"/>
      <c r="TWS44" s="76"/>
      <c r="TWT44" s="76"/>
      <c r="TWU44" s="76"/>
      <c r="TWV44" s="76"/>
      <c r="TWW44" s="76"/>
      <c r="TWX44" s="76"/>
      <c r="TWY44" s="76"/>
      <c r="TWZ44" s="76"/>
      <c r="TXA44" s="76"/>
      <c r="TXB44" s="76"/>
      <c r="TXC44" s="76"/>
      <c r="TXD44" s="76"/>
      <c r="TXE44" s="76"/>
      <c r="TXF44" s="76"/>
      <c r="TXG44" s="76"/>
      <c r="TXH44" s="76"/>
      <c r="TXI44" s="76"/>
      <c r="TXJ44" s="76"/>
      <c r="TXK44" s="76"/>
      <c r="TXL44" s="76"/>
      <c r="TXM44" s="76"/>
      <c r="TXN44" s="76"/>
      <c r="TXO44" s="76"/>
      <c r="TXP44" s="76"/>
      <c r="TXQ44" s="76"/>
      <c r="TXR44" s="76"/>
      <c r="TXS44" s="76"/>
      <c r="TXT44" s="76"/>
      <c r="TXU44" s="76"/>
      <c r="TXV44" s="76"/>
      <c r="TXW44" s="76"/>
      <c r="TXX44" s="76"/>
      <c r="TXY44" s="76"/>
      <c r="TXZ44" s="76"/>
      <c r="TYA44" s="76"/>
      <c r="TYB44" s="76"/>
      <c r="TYC44" s="76"/>
      <c r="TYD44" s="76"/>
      <c r="TYE44" s="76"/>
      <c r="TYF44" s="76"/>
      <c r="TYG44" s="76"/>
      <c r="TYH44" s="76"/>
      <c r="TYI44" s="76"/>
      <c r="TYJ44" s="76"/>
      <c r="TYK44" s="76"/>
      <c r="TYL44" s="76"/>
      <c r="TYM44" s="76"/>
      <c r="TYN44" s="76"/>
      <c r="TYO44" s="76"/>
      <c r="TYP44" s="76"/>
      <c r="TYQ44" s="76"/>
      <c r="TYR44" s="76"/>
      <c r="TYS44" s="76"/>
      <c r="TYT44" s="76"/>
      <c r="TYU44" s="76"/>
      <c r="TYV44" s="76"/>
      <c r="TYW44" s="76"/>
      <c r="TYX44" s="76"/>
      <c r="TYY44" s="76"/>
      <c r="TYZ44" s="76"/>
      <c r="TZA44" s="76"/>
      <c r="TZB44" s="76"/>
      <c r="TZC44" s="76"/>
      <c r="TZD44" s="76"/>
      <c r="TZE44" s="76"/>
      <c r="TZF44" s="76"/>
      <c r="TZG44" s="76"/>
      <c r="TZH44" s="76"/>
      <c r="TZI44" s="76"/>
      <c r="TZJ44" s="76"/>
      <c r="TZK44" s="76"/>
      <c r="TZL44" s="76"/>
      <c r="TZM44" s="76"/>
      <c r="TZN44" s="76"/>
      <c r="TZO44" s="76"/>
      <c r="TZP44" s="76"/>
      <c r="TZQ44" s="76"/>
      <c r="TZR44" s="76"/>
      <c r="TZS44" s="76"/>
      <c r="TZT44" s="76"/>
      <c r="TZU44" s="76"/>
      <c r="TZV44" s="76"/>
      <c r="TZW44" s="76"/>
      <c r="TZX44" s="76"/>
      <c r="TZY44" s="76"/>
      <c r="TZZ44" s="76"/>
      <c r="UAA44" s="76"/>
      <c r="UAB44" s="76"/>
      <c r="UAC44" s="76"/>
      <c r="UAD44" s="76"/>
      <c r="UAE44" s="76"/>
      <c r="UAF44" s="76"/>
      <c r="UAG44" s="76"/>
      <c r="UAH44" s="76"/>
      <c r="UAI44" s="76"/>
      <c r="UAJ44" s="76"/>
      <c r="UAK44" s="76"/>
      <c r="UAL44" s="76"/>
      <c r="UAM44" s="76"/>
      <c r="UAN44" s="76"/>
      <c r="UAO44" s="76"/>
      <c r="UAP44" s="76"/>
      <c r="UAQ44" s="76"/>
      <c r="UAR44" s="76"/>
      <c r="UAS44" s="76"/>
      <c r="UAT44" s="76"/>
      <c r="UAU44" s="76"/>
      <c r="UAV44" s="76"/>
      <c r="UAW44" s="76"/>
      <c r="UAX44" s="76"/>
      <c r="UAY44" s="76"/>
      <c r="UAZ44" s="76"/>
      <c r="UBA44" s="76"/>
      <c r="UBB44" s="76"/>
      <c r="UBC44" s="76"/>
      <c r="UBD44" s="76"/>
      <c r="UBE44" s="76"/>
      <c r="UBF44" s="76"/>
      <c r="UBG44" s="76"/>
      <c r="UBH44" s="76"/>
      <c r="UBI44" s="76"/>
      <c r="UBJ44" s="76"/>
      <c r="UBK44" s="76"/>
      <c r="UBL44" s="76"/>
      <c r="UBM44" s="76"/>
      <c r="UBN44" s="76"/>
      <c r="UBO44" s="76"/>
      <c r="UBP44" s="76"/>
      <c r="UBQ44" s="76"/>
      <c r="UBR44" s="76"/>
      <c r="UBS44" s="76"/>
      <c r="UBT44" s="76"/>
      <c r="UBU44" s="76"/>
      <c r="UBV44" s="76"/>
      <c r="UBW44" s="76"/>
      <c r="UBX44" s="76"/>
      <c r="UBY44" s="76"/>
      <c r="UBZ44" s="76"/>
      <c r="UCA44" s="76"/>
      <c r="UCB44" s="76"/>
      <c r="UCC44" s="76"/>
      <c r="UCD44" s="76"/>
      <c r="UCE44" s="76"/>
      <c r="UCF44" s="76"/>
      <c r="UCG44" s="76"/>
      <c r="UCH44" s="76"/>
      <c r="UCI44" s="76"/>
      <c r="UCJ44" s="76"/>
      <c r="UCK44" s="76"/>
      <c r="UCL44" s="76"/>
      <c r="UCM44" s="76"/>
      <c r="UCN44" s="76"/>
      <c r="UCO44" s="76"/>
      <c r="UCP44" s="76"/>
      <c r="UCQ44" s="76"/>
      <c r="UCR44" s="76"/>
      <c r="UCS44" s="76"/>
      <c r="UCT44" s="76"/>
      <c r="UCU44" s="76"/>
      <c r="UCV44" s="76"/>
      <c r="UCW44" s="76"/>
      <c r="UCX44" s="76"/>
      <c r="UCY44" s="76"/>
      <c r="UCZ44" s="76"/>
      <c r="UDA44" s="76"/>
      <c r="UDB44" s="76"/>
      <c r="UDC44" s="76"/>
      <c r="UDD44" s="76"/>
      <c r="UDE44" s="76"/>
      <c r="UDF44" s="76"/>
      <c r="UDG44" s="76"/>
      <c r="UDH44" s="76"/>
      <c r="UDI44" s="76"/>
      <c r="UDJ44" s="76"/>
      <c r="UDK44" s="76"/>
      <c r="UDL44" s="76"/>
      <c r="UDM44" s="76"/>
      <c r="UDN44" s="76"/>
      <c r="UDO44" s="76"/>
      <c r="UDP44" s="76"/>
      <c r="UDQ44" s="76"/>
      <c r="UDR44" s="76"/>
      <c r="UDS44" s="76"/>
      <c r="UDT44" s="76"/>
      <c r="UDU44" s="76"/>
      <c r="UDV44" s="76"/>
      <c r="UDW44" s="76"/>
      <c r="UDX44" s="76"/>
      <c r="UDY44" s="76"/>
      <c r="UDZ44" s="76"/>
      <c r="UEA44" s="76"/>
      <c r="UEB44" s="76"/>
      <c r="UEC44" s="76"/>
      <c r="UED44" s="76"/>
      <c r="UEE44" s="76"/>
      <c r="UEF44" s="76"/>
      <c r="UEG44" s="76"/>
      <c r="UEH44" s="76"/>
      <c r="UEI44" s="76"/>
      <c r="UEJ44" s="76"/>
      <c r="UEK44" s="76"/>
      <c r="UEL44" s="76"/>
      <c r="UEM44" s="76"/>
      <c r="UEN44" s="76"/>
      <c r="UEO44" s="76"/>
      <c r="UEP44" s="76"/>
      <c r="UEQ44" s="76"/>
      <c r="UER44" s="76"/>
      <c r="UES44" s="76"/>
      <c r="UET44" s="76"/>
      <c r="UEU44" s="76"/>
      <c r="UEV44" s="76"/>
      <c r="UEW44" s="76"/>
      <c r="UEX44" s="76"/>
      <c r="UEY44" s="76"/>
      <c r="UEZ44" s="76"/>
      <c r="UFA44" s="76"/>
      <c r="UFB44" s="76"/>
      <c r="UFC44" s="76"/>
      <c r="UFD44" s="76"/>
      <c r="UFE44" s="76"/>
      <c r="UFF44" s="76"/>
      <c r="UFG44" s="76"/>
      <c r="UFH44" s="76"/>
      <c r="UFI44" s="76"/>
      <c r="UFJ44" s="76"/>
      <c r="UFK44" s="76"/>
      <c r="UFL44" s="76"/>
      <c r="UFM44" s="76"/>
      <c r="UFN44" s="76"/>
      <c r="UFO44" s="76"/>
      <c r="UFP44" s="76"/>
      <c r="UFQ44" s="76"/>
      <c r="UFR44" s="76"/>
      <c r="UFS44" s="76"/>
      <c r="UFT44" s="76"/>
      <c r="UFU44" s="76"/>
      <c r="UFV44" s="76"/>
      <c r="UFW44" s="76"/>
      <c r="UFX44" s="76"/>
      <c r="UFY44" s="76"/>
      <c r="UFZ44" s="76"/>
      <c r="UGA44" s="76"/>
      <c r="UGB44" s="76"/>
      <c r="UGC44" s="76"/>
      <c r="UGD44" s="76"/>
      <c r="UGE44" s="76"/>
      <c r="UGF44" s="76"/>
      <c r="UGG44" s="76"/>
      <c r="UGH44" s="76"/>
      <c r="UGI44" s="76"/>
      <c r="UGJ44" s="76"/>
      <c r="UGK44" s="76"/>
      <c r="UGL44" s="76"/>
      <c r="UGM44" s="76"/>
      <c r="UGN44" s="76"/>
      <c r="UGO44" s="76"/>
      <c r="UGP44" s="76"/>
      <c r="UGQ44" s="76"/>
      <c r="UGR44" s="76"/>
      <c r="UGS44" s="76"/>
      <c r="UGT44" s="76"/>
      <c r="UGU44" s="76"/>
      <c r="UGV44" s="76"/>
      <c r="UGW44" s="76"/>
      <c r="UGX44" s="76"/>
      <c r="UGY44" s="76"/>
      <c r="UGZ44" s="76"/>
      <c r="UHA44" s="76"/>
      <c r="UHB44" s="76"/>
      <c r="UHC44" s="76"/>
      <c r="UHD44" s="76"/>
      <c r="UHE44" s="76"/>
      <c r="UHF44" s="76"/>
      <c r="UHG44" s="76"/>
      <c r="UHH44" s="76"/>
      <c r="UHI44" s="76"/>
      <c r="UHJ44" s="76"/>
      <c r="UHK44" s="76"/>
      <c r="UHL44" s="76"/>
      <c r="UHM44" s="76"/>
      <c r="UHN44" s="76"/>
      <c r="UHO44" s="76"/>
      <c r="UHP44" s="76"/>
      <c r="UHQ44" s="76"/>
      <c r="UHR44" s="76"/>
      <c r="UHS44" s="76"/>
      <c r="UHT44" s="76"/>
      <c r="UHU44" s="76"/>
      <c r="UHV44" s="76"/>
      <c r="UHW44" s="76"/>
      <c r="UHX44" s="76"/>
      <c r="UHY44" s="76"/>
      <c r="UHZ44" s="76"/>
      <c r="UIA44" s="76"/>
      <c r="UIB44" s="76"/>
      <c r="UIC44" s="76"/>
      <c r="UID44" s="76"/>
      <c r="UIE44" s="76"/>
      <c r="UIF44" s="76"/>
      <c r="UIG44" s="76"/>
      <c r="UIH44" s="76"/>
      <c r="UII44" s="76"/>
      <c r="UIJ44" s="76"/>
      <c r="UIK44" s="76"/>
      <c r="UIL44" s="76"/>
      <c r="UIM44" s="76"/>
      <c r="UIN44" s="76"/>
      <c r="UIO44" s="76"/>
      <c r="UIP44" s="76"/>
      <c r="UIQ44" s="76"/>
      <c r="UIR44" s="76"/>
      <c r="UIS44" s="76"/>
      <c r="UIT44" s="76"/>
      <c r="UIU44" s="76"/>
      <c r="UIV44" s="76"/>
      <c r="UIW44" s="76"/>
      <c r="UIX44" s="76"/>
      <c r="UIY44" s="76"/>
      <c r="UIZ44" s="76"/>
      <c r="UJA44" s="76"/>
      <c r="UJB44" s="76"/>
      <c r="UJC44" s="76"/>
      <c r="UJD44" s="76"/>
      <c r="UJE44" s="76"/>
      <c r="UJF44" s="76"/>
      <c r="UJG44" s="76"/>
      <c r="UJH44" s="76"/>
      <c r="UJI44" s="76"/>
      <c r="UJJ44" s="76"/>
      <c r="UJK44" s="76"/>
      <c r="UJL44" s="76"/>
      <c r="UJM44" s="76"/>
      <c r="UJN44" s="76"/>
      <c r="UJO44" s="76"/>
      <c r="UJP44" s="76"/>
      <c r="UJQ44" s="76"/>
      <c r="UJR44" s="76"/>
      <c r="UJS44" s="76"/>
      <c r="UJT44" s="76"/>
      <c r="UJU44" s="76"/>
      <c r="UJV44" s="76"/>
      <c r="UJW44" s="76"/>
      <c r="UJX44" s="76"/>
      <c r="UJY44" s="76"/>
      <c r="UJZ44" s="76"/>
      <c r="UKA44" s="76"/>
      <c r="UKB44" s="76"/>
      <c r="UKC44" s="76"/>
      <c r="UKD44" s="76"/>
      <c r="UKE44" s="76"/>
      <c r="UKF44" s="76"/>
      <c r="UKG44" s="76"/>
      <c r="UKH44" s="76"/>
      <c r="UKI44" s="76"/>
      <c r="UKJ44" s="76"/>
      <c r="UKK44" s="76"/>
      <c r="UKL44" s="76"/>
      <c r="UKM44" s="76"/>
      <c r="UKN44" s="76"/>
      <c r="UKO44" s="76"/>
      <c r="UKP44" s="76"/>
      <c r="UKQ44" s="76"/>
      <c r="UKR44" s="76"/>
      <c r="UKS44" s="76"/>
      <c r="UKT44" s="76"/>
      <c r="UKU44" s="76"/>
      <c r="UKV44" s="76"/>
      <c r="UKW44" s="76"/>
      <c r="UKX44" s="76"/>
      <c r="UKY44" s="76"/>
      <c r="UKZ44" s="76"/>
      <c r="ULA44" s="76"/>
      <c r="ULB44" s="76"/>
      <c r="ULC44" s="76"/>
      <c r="ULD44" s="76"/>
      <c r="ULE44" s="76"/>
      <c r="ULF44" s="76"/>
      <c r="ULG44" s="76"/>
      <c r="ULH44" s="76"/>
      <c r="ULI44" s="76"/>
      <c r="ULJ44" s="76"/>
      <c r="ULK44" s="76"/>
      <c r="ULL44" s="76"/>
      <c r="ULM44" s="76"/>
      <c r="ULN44" s="76"/>
      <c r="ULO44" s="76"/>
      <c r="ULP44" s="76"/>
      <c r="ULQ44" s="76"/>
      <c r="ULR44" s="76"/>
      <c r="ULS44" s="76"/>
      <c r="ULT44" s="76"/>
      <c r="ULU44" s="76"/>
      <c r="ULV44" s="76"/>
      <c r="ULW44" s="76"/>
      <c r="ULX44" s="76"/>
      <c r="ULY44" s="76"/>
      <c r="ULZ44" s="76"/>
      <c r="UMA44" s="76"/>
      <c r="UMB44" s="76"/>
      <c r="UMC44" s="76"/>
      <c r="UMD44" s="76"/>
      <c r="UME44" s="76"/>
      <c r="UMF44" s="76"/>
      <c r="UMG44" s="76"/>
      <c r="UMH44" s="76"/>
      <c r="UMI44" s="76"/>
      <c r="UMJ44" s="76"/>
      <c r="UMK44" s="76"/>
      <c r="UML44" s="76"/>
      <c r="UMM44" s="76"/>
      <c r="UMN44" s="76"/>
      <c r="UMO44" s="76"/>
      <c r="UMP44" s="76"/>
      <c r="UMQ44" s="76"/>
      <c r="UMR44" s="76"/>
      <c r="UMS44" s="76"/>
      <c r="UMT44" s="76"/>
      <c r="UMU44" s="76"/>
      <c r="UMV44" s="76"/>
      <c r="UMW44" s="76"/>
      <c r="UMX44" s="76"/>
      <c r="UMY44" s="76"/>
      <c r="UMZ44" s="76"/>
      <c r="UNA44" s="76"/>
      <c r="UNB44" s="76"/>
      <c r="UNC44" s="76"/>
      <c r="UND44" s="76"/>
      <c r="UNE44" s="76"/>
      <c r="UNF44" s="76"/>
      <c r="UNG44" s="76"/>
      <c r="UNH44" s="76"/>
      <c r="UNI44" s="76"/>
      <c r="UNJ44" s="76"/>
      <c r="UNK44" s="76"/>
      <c r="UNL44" s="76"/>
      <c r="UNM44" s="76"/>
      <c r="UNN44" s="76"/>
      <c r="UNO44" s="76"/>
      <c r="UNP44" s="76"/>
      <c r="UNQ44" s="76"/>
      <c r="UNR44" s="76"/>
      <c r="UNS44" s="76"/>
      <c r="UNT44" s="76"/>
      <c r="UNU44" s="76"/>
      <c r="UNV44" s="76"/>
      <c r="UNW44" s="76"/>
      <c r="UNX44" s="76"/>
      <c r="UNY44" s="76"/>
      <c r="UNZ44" s="76"/>
      <c r="UOA44" s="76"/>
      <c r="UOB44" s="76"/>
      <c r="UOC44" s="76"/>
      <c r="UOD44" s="76"/>
      <c r="UOE44" s="76"/>
      <c r="UOF44" s="76"/>
      <c r="UOG44" s="76"/>
      <c r="UOH44" s="76"/>
      <c r="UOI44" s="76"/>
      <c r="UOJ44" s="76"/>
      <c r="UOK44" s="76"/>
      <c r="UOL44" s="76"/>
      <c r="UOM44" s="76"/>
      <c r="UON44" s="76"/>
      <c r="UOO44" s="76"/>
      <c r="UOP44" s="76"/>
      <c r="UOQ44" s="76"/>
      <c r="UOR44" s="76"/>
      <c r="UOS44" s="76"/>
      <c r="UOT44" s="76"/>
      <c r="UOU44" s="76"/>
      <c r="UOV44" s="76"/>
      <c r="UOW44" s="76"/>
      <c r="UOX44" s="76"/>
      <c r="UOY44" s="76"/>
      <c r="UOZ44" s="76"/>
      <c r="UPA44" s="76"/>
      <c r="UPB44" s="76"/>
      <c r="UPC44" s="76"/>
      <c r="UPD44" s="76"/>
      <c r="UPE44" s="76"/>
      <c r="UPF44" s="76"/>
      <c r="UPG44" s="76"/>
      <c r="UPH44" s="76"/>
      <c r="UPI44" s="76"/>
      <c r="UPJ44" s="76"/>
      <c r="UPK44" s="76"/>
      <c r="UPL44" s="76"/>
      <c r="UPM44" s="76"/>
      <c r="UPN44" s="76"/>
      <c r="UPO44" s="76"/>
      <c r="UPP44" s="76"/>
      <c r="UPQ44" s="76"/>
      <c r="UPR44" s="76"/>
      <c r="UPS44" s="76"/>
      <c r="UPT44" s="76"/>
      <c r="UPU44" s="76"/>
      <c r="UPV44" s="76"/>
      <c r="UPW44" s="76"/>
      <c r="UPX44" s="76"/>
      <c r="UPY44" s="76"/>
      <c r="UPZ44" s="76"/>
      <c r="UQA44" s="76"/>
      <c r="UQB44" s="76"/>
      <c r="UQC44" s="76"/>
      <c r="UQD44" s="76"/>
      <c r="UQE44" s="76"/>
      <c r="UQF44" s="76"/>
      <c r="UQG44" s="76"/>
      <c r="UQH44" s="76"/>
      <c r="UQI44" s="76"/>
      <c r="UQJ44" s="76"/>
      <c r="UQK44" s="76"/>
      <c r="UQL44" s="76"/>
      <c r="UQM44" s="76"/>
      <c r="UQN44" s="76"/>
      <c r="UQO44" s="76"/>
      <c r="UQP44" s="76"/>
      <c r="UQQ44" s="76"/>
      <c r="UQR44" s="76"/>
      <c r="UQS44" s="76"/>
      <c r="UQT44" s="76"/>
      <c r="UQU44" s="76"/>
      <c r="UQV44" s="76"/>
      <c r="UQW44" s="76"/>
      <c r="UQX44" s="76"/>
      <c r="UQY44" s="76"/>
      <c r="UQZ44" s="76"/>
      <c r="URA44" s="76"/>
      <c r="URB44" s="76"/>
      <c r="URC44" s="76"/>
      <c r="URD44" s="76"/>
      <c r="URE44" s="76"/>
      <c r="URF44" s="76"/>
      <c r="URG44" s="76"/>
      <c r="URH44" s="76"/>
      <c r="URI44" s="76"/>
      <c r="URJ44" s="76"/>
      <c r="URK44" s="76"/>
      <c r="URL44" s="76"/>
      <c r="URM44" s="76"/>
      <c r="URN44" s="76"/>
      <c r="URO44" s="76"/>
      <c r="URP44" s="76"/>
      <c r="URQ44" s="76"/>
      <c r="URR44" s="76"/>
      <c r="URS44" s="76"/>
      <c r="URT44" s="76"/>
      <c r="URU44" s="76"/>
      <c r="URV44" s="76"/>
      <c r="URW44" s="76"/>
      <c r="URX44" s="76"/>
      <c r="URY44" s="76"/>
      <c r="URZ44" s="76"/>
      <c r="USA44" s="76"/>
      <c r="USB44" s="76"/>
      <c r="USC44" s="76"/>
      <c r="USD44" s="76"/>
      <c r="USE44" s="76"/>
      <c r="USF44" s="76"/>
      <c r="USG44" s="76"/>
      <c r="USH44" s="76"/>
      <c r="USI44" s="76"/>
      <c r="USJ44" s="76"/>
      <c r="USK44" s="76"/>
      <c r="USL44" s="76"/>
      <c r="USM44" s="76"/>
      <c r="USN44" s="76"/>
      <c r="USO44" s="76"/>
      <c r="USP44" s="76"/>
      <c r="USQ44" s="76"/>
      <c r="USR44" s="76"/>
      <c r="USS44" s="76"/>
      <c r="UST44" s="76"/>
      <c r="USU44" s="76"/>
      <c r="USV44" s="76"/>
      <c r="USW44" s="76"/>
      <c r="USX44" s="76"/>
      <c r="USY44" s="76"/>
      <c r="USZ44" s="76"/>
      <c r="UTA44" s="76"/>
      <c r="UTB44" s="76"/>
      <c r="UTC44" s="76"/>
      <c r="UTD44" s="76"/>
      <c r="UTE44" s="76"/>
      <c r="UTF44" s="76"/>
      <c r="UTG44" s="76"/>
      <c r="UTH44" s="76"/>
      <c r="UTI44" s="76"/>
      <c r="UTJ44" s="76"/>
      <c r="UTK44" s="76"/>
      <c r="UTL44" s="76"/>
      <c r="UTM44" s="76"/>
      <c r="UTN44" s="76"/>
      <c r="UTO44" s="76"/>
      <c r="UTP44" s="76"/>
      <c r="UTQ44" s="76"/>
      <c r="UTR44" s="76"/>
      <c r="UTS44" s="76"/>
      <c r="UTT44" s="76"/>
      <c r="UTU44" s="76"/>
      <c r="UTV44" s="76"/>
      <c r="UTW44" s="76"/>
      <c r="UTX44" s="76"/>
      <c r="UTY44" s="76"/>
      <c r="UTZ44" s="76"/>
      <c r="UUA44" s="76"/>
      <c r="UUB44" s="76"/>
      <c r="UUC44" s="76"/>
      <c r="UUD44" s="76"/>
      <c r="UUE44" s="76"/>
      <c r="UUF44" s="76"/>
      <c r="UUG44" s="76"/>
      <c r="UUH44" s="76"/>
      <c r="UUI44" s="76"/>
      <c r="UUJ44" s="76"/>
      <c r="UUK44" s="76"/>
      <c r="UUL44" s="76"/>
      <c r="UUM44" s="76"/>
      <c r="UUN44" s="76"/>
      <c r="UUO44" s="76"/>
      <c r="UUP44" s="76"/>
      <c r="UUQ44" s="76"/>
      <c r="UUR44" s="76"/>
      <c r="UUS44" s="76"/>
      <c r="UUT44" s="76"/>
      <c r="UUU44" s="76"/>
      <c r="UUV44" s="76"/>
      <c r="UUW44" s="76"/>
      <c r="UUX44" s="76"/>
      <c r="UUY44" s="76"/>
      <c r="UUZ44" s="76"/>
      <c r="UVA44" s="76"/>
      <c r="UVB44" s="76"/>
      <c r="UVC44" s="76"/>
      <c r="UVD44" s="76"/>
      <c r="UVE44" s="76"/>
      <c r="UVF44" s="76"/>
      <c r="UVG44" s="76"/>
      <c r="UVH44" s="76"/>
      <c r="UVI44" s="76"/>
      <c r="UVJ44" s="76"/>
      <c r="UVK44" s="76"/>
      <c r="UVL44" s="76"/>
      <c r="UVM44" s="76"/>
      <c r="UVN44" s="76"/>
      <c r="UVO44" s="76"/>
      <c r="UVP44" s="76"/>
      <c r="UVQ44" s="76"/>
      <c r="UVR44" s="76"/>
      <c r="UVS44" s="76"/>
      <c r="UVT44" s="76"/>
      <c r="UVU44" s="76"/>
      <c r="UVV44" s="76"/>
      <c r="UVW44" s="76"/>
      <c r="UVX44" s="76"/>
      <c r="UVY44" s="76"/>
      <c r="UVZ44" s="76"/>
      <c r="UWA44" s="76"/>
      <c r="UWB44" s="76"/>
      <c r="UWC44" s="76"/>
      <c r="UWD44" s="76"/>
      <c r="UWE44" s="76"/>
      <c r="UWF44" s="76"/>
      <c r="UWG44" s="76"/>
      <c r="UWH44" s="76"/>
      <c r="UWI44" s="76"/>
      <c r="UWJ44" s="76"/>
      <c r="UWK44" s="76"/>
      <c r="UWL44" s="76"/>
      <c r="UWM44" s="76"/>
      <c r="UWN44" s="76"/>
      <c r="UWO44" s="76"/>
      <c r="UWP44" s="76"/>
      <c r="UWQ44" s="76"/>
      <c r="UWR44" s="76"/>
      <c r="UWS44" s="76"/>
      <c r="UWT44" s="76"/>
      <c r="UWU44" s="76"/>
      <c r="UWV44" s="76"/>
      <c r="UWW44" s="76"/>
      <c r="UWX44" s="76"/>
      <c r="UWY44" s="76"/>
      <c r="UWZ44" s="76"/>
      <c r="UXA44" s="76"/>
      <c r="UXB44" s="76"/>
      <c r="UXC44" s="76"/>
      <c r="UXD44" s="76"/>
      <c r="UXE44" s="76"/>
      <c r="UXF44" s="76"/>
      <c r="UXG44" s="76"/>
      <c r="UXH44" s="76"/>
      <c r="UXI44" s="76"/>
      <c r="UXJ44" s="76"/>
      <c r="UXK44" s="76"/>
      <c r="UXL44" s="76"/>
      <c r="UXM44" s="76"/>
      <c r="UXN44" s="76"/>
      <c r="UXO44" s="76"/>
      <c r="UXP44" s="76"/>
      <c r="UXQ44" s="76"/>
      <c r="UXR44" s="76"/>
      <c r="UXS44" s="76"/>
      <c r="UXT44" s="76"/>
      <c r="UXU44" s="76"/>
      <c r="UXV44" s="76"/>
      <c r="UXW44" s="76"/>
      <c r="UXX44" s="76"/>
      <c r="UXY44" s="76"/>
      <c r="UXZ44" s="76"/>
      <c r="UYA44" s="76"/>
      <c r="UYB44" s="76"/>
      <c r="UYC44" s="76"/>
      <c r="UYD44" s="76"/>
      <c r="UYE44" s="76"/>
      <c r="UYF44" s="76"/>
      <c r="UYG44" s="76"/>
      <c r="UYH44" s="76"/>
      <c r="UYI44" s="76"/>
      <c r="UYJ44" s="76"/>
      <c r="UYK44" s="76"/>
      <c r="UYL44" s="76"/>
      <c r="UYM44" s="76"/>
      <c r="UYN44" s="76"/>
      <c r="UYO44" s="76"/>
      <c r="UYP44" s="76"/>
      <c r="UYQ44" s="76"/>
      <c r="UYR44" s="76"/>
      <c r="UYS44" s="76"/>
      <c r="UYT44" s="76"/>
      <c r="UYU44" s="76"/>
      <c r="UYV44" s="76"/>
      <c r="UYW44" s="76"/>
      <c r="UYX44" s="76"/>
      <c r="UYY44" s="76"/>
      <c r="UYZ44" s="76"/>
      <c r="UZA44" s="76"/>
      <c r="UZB44" s="76"/>
      <c r="UZC44" s="76"/>
      <c r="UZD44" s="76"/>
      <c r="UZE44" s="76"/>
      <c r="UZF44" s="76"/>
      <c r="UZG44" s="76"/>
      <c r="UZH44" s="76"/>
      <c r="UZI44" s="76"/>
      <c r="UZJ44" s="76"/>
      <c r="UZK44" s="76"/>
      <c r="UZL44" s="76"/>
      <c r="UZM44" s="76"/>
      <c r="UZN44" s="76"/>
      <c r="UZO44" s="76"/>
      <c r="UZP44" s="76"/>
      <c r="UZQ44" s="76"/>
      <c r="UZR44" s="76"/>
      <c r="UZS44" s="76"/>
      <c r="UZT44" s="76"/>
      <c r="UZU44" s="76"/>
      <c r="UZV44" s="76"/>
      <c r="UZW44" s="76"/>
      <c r="UZX44" s="76"/>
      <c r="UZY44" s="76"/>
      <c r="UZZ44" s="76"/>
      <c r="VAA44" s="76"/>
      <c r="VAB44" s="76"/>
      <c r="VAC44" s="76"/>
      <c r="VAD44" s="76"/>
      <c r="VAE44" s="76"/>
      <c r="VAF44" s="76"/>
      <c r="VAG44" s="76"/>
      <c r="VAH44" s="76"/>
      <c r="VAI44" s="76"/>
      <c r="VAJ44" s="76"/>
      <c r="VAK44" s="76"/>
      <c r="VAL44" s="76"/>
      <c r="VAM44" s="76"/>
      <c r="VAN44" s="76"/>
      <c r="VAO44" s="76"/>
      <c r="VAP44" s="76"/>
      <c r="VAQ44" s="76"/>
      <c r="VAR44" s="76"/>
      <c r="VAS44" s="76"/>
      <c r="VAT44" s="76"/>
      <c r="VAU44" s="76"/>
      <c r="VAV44" s="76"/>
      <c r="VAW44" s="76"/>
      <c r="VAX44" s="76"/>
      <c r="VAY44" s="76"/>
      <c r="VAZ44" s="76"/>
      <c r="VBA44" s="76"/>
      <c r="VBB44" s="76"/>
      <c r="VBC44" s="76"/>
      <c r="VBD44" s="76"/>
      <c r="VBE44" s="76"/>
      <c r="VBF44" s="76"/>
      <c r="VBG44" s="76"/>
      <c r="VBH44" s="76"/>
      <c r="VBI44" s="76"/>
      <c r="VBJ44" s="76"/>
      <c r="VBK44" s="76"/>
      <c r="VBL44" s="76"/>
      <c r="VBM44" s="76"/>
      <c r="VBN44" s="76"/>
      <c r="VBO44" s="76"/>
      <c r="VBP44" s="76"/>
      <c r="VBQ44" s="76"/>
      <c r="VBR44" s="76"/>
      <c r="VBS44" s="76"/>
      <c r="VBT44" s="76"/>
      <c r="VBU44" s="76"/>
      <c r="VBV44" s="76"/>
      <c r="VBW44" s="76"/>
      <c r="VBX44" s="76"/>
      <c r="VBY44" s="76"/>
      <c r="VBZ44" s="76"/>
      <c r="VCA44" s="76"/>
      <c r="VCB44" s="76"/>
      <c r="VCC44" s="76"/>
      <c r="VCD44" s="76"/>
      <c r="VCE44" s="76"/>
      <c r="VCF44" s="76"/>
      <c r="VCG44" s="76"/>
      <c r="VCH44" s="76"/>
      <c r="VCI44" s="76"/>
      <c r="VCJ44" s="76"/>
      <c r="VCK44" s="76"/>
      <c r="VCL44" s="76"/>
      <c r="VCM44" s="76"/>
      <c r="VCN44" s="76"/>
      <c r="VCO44" s="76"/>
      <c r="VCP44" s="76"/>
      <c r="VCQ44" s="76"/>
      <c r="VCR44" s="76"/>
      <c r="VCS44" s="76"/>
      <c r="VCT44" s="76"/>
      <c r="VCU44" s="76"/>
      <c r="VCV44" s="76"/>
      <c r="VCW44" s="76"/>
      <c r="VCX44" s="76"/>
      <c r="VCY44" s="76"/>
      <c r="VCZ44" s="76"/>
      <c r="VDA44" s="76"/>
      <c r="VDB44" s="76"/>
      <c r="VDC44" s="76"/>
      <c r="VDD44" s="76"/>
      <c r="VDE44" s="76"/>
      <c r="VDF44" s="76"/>
      <c r="VDG44" s="76"/>
      <c r="VDH44" s="76"/>
      <c r="VDI44" s="76"/>
      <c r="VDJ44" s="76"/>
      <c r="VDK44" s="76"/>
      <c r="VDL44" s="76"/>
      <c r="VDM44" s="76"/>
      <c r="VDN44" s="76"/>
      <c r="VDO44" s="76"/>
      <c r="VDP44" s="76"/>
      <c r="VDQ44" s="76"/>
      <c r="VDR44" s="76"/>
      <c r="VDS44" s="76"/>
      <c r="VDT44" s="76"/>
      <c r="VDU44" s="76"/>
      <c r="VDV44" s="76"/>
      <c r="VDW44" s="76"/>
      <c r="VDX44" s="76"/>
      <c r="VDY44" s="76"/>
      <c r="VDZ44" s="76"/>
      <c r="VEA44" s="76"/>
      <c r="VEB44" s="76"/>
      <c r="VEC44" s="76"/>
      <c r="VED44" s="76"/>
      <c r="VEE44" s="76"/>
      <c r="VEF44" s="76"/>
      <c r="VEG44" s="76"/>
      <c r="VEH44" s="76"/>
      <c r="VEI44" s="76"/>
      <c r="VEJ44" s="76"/>
      <c r="VEK44" s="76"/>
      <c r="VEL44" s="76"/>
      <c r="VEM44" s="76"/>
      <c r="VEN44" s="76"/>
      <c r="VEO44" s="76"/>
      <c r="VEP44" s="76"/>
      <c r="VEQ44" s="76"/>
      <c r="VER44" s="76"/>
      <c r="VES44" s="76"/>
      <c r="VET44" s="76"/>
      <c r="VEU44" s="76"/>
      <c r="VEV44" s="76"/>
      <c r="VEW44" s="76"/>
      <c r="VEX44" s="76"/>
      <c r="VEY44" s="76"/>
      <c r="VEZ44" s="76"/>
      <c r="VFA44" s="76"/>
      <c r="VFB44" s="76"/>
      <c r="VFC44" s="76"/>
      <c r="VFD44" s="76"/>
      <c r="VFE44" s="76"/>
      <c r="VFF44" s="76"/>
      <c r="VFG44" s="76"/>
      <c r="VFH44" s="76"/>
      <c r="VFI44" s="76"/>
      <c r="VFJ44" s="76"/>
      <c r="VFK44" s="76"/>
      <c r="VFL44" s="76"/>
      <c r="VFM44" s="76"/>
      <c r="VFN44" s="76"/>
      <c r="VFO44" s="76"/>
      <c r="VFP44" s="76"/>
      <c r="VFQ44" s="76"/>
      <c r="VFR44" s="76"/>
      <c r="VFS44" s="76"/>
      <c r="VFT44" s="76"/>
      <c r="VFU44" s="76"/>
      <c r="VFV44" s="76"/>
      <c r="VFW44" s="76"/>
      <c r="VFX44" s="76"/>
      <c r="VFY44" s="76"/>
      <c r="VFZ44" s="76"/>
      <c r="VGA44" s="76"/>
      <c r="VGB44" s="76"/>
      <c r="VGC44" s="76"/>
      <c r="VGD44" s="76"/>
      <c r="VGE44" s="76"/>
      <c r="VGF44" s="76"/>
      <c r="VGG44" s="76"/>
      <c r="VGH44" s="76"/>
      <c r="VGI44" s="76"/>
      <c r="VGJ44" s="76"/>
      <c r="VGK44" s="76"/>
      <c r="VGL44" s="76"/>
      <c r="VGM44" s="76"/>
      <c r="VGN44" s="76"/>
      <c r="VGO44" s="76"/>
      <c r="VGP44" s="76"/>
      <c r="VGQ44" s="76"/>
      <c r="VGR44" s="76"/>
      <c r="VGS44" s="76"/>
      <c r="VGT44" s="76"/>
      <c r="VGU44" s="76"/>
      <c r="VGV44" s="76"/>
      <c r="VGW44" s="76"/>
      <c r="VGX44" s="76"/>
      <c r="VGY44" s="76"/>
      <c r="VGZ44" s="76"/>
      <c r="VHA44" s="76"/>
      <c r="VHB44" s="76"/>
      <c r="VHC44" s="76"/>
      <c r="VHD44" s="76"/>
      <c r="VHE44" s="76"/>
      <c r="VHF44" s="76"/>
      <c r="VHG44" s="76"/>
      <c r="VHH44" s="76"/>
      <c r="VHI44" s="76"/>
      <c r="VHJ44" s="76"/>
      <c r="VHK44" s="76"/>
      <c r="VHL44" s="76"/>
      <c r="VHM44" s="76"/>
      <c r="VHN44" s="76"/>
      <c r="VHO44" s="76"/>
      <c r="VHP44" s="76"/>
      <c r="VHQ44" s="76"/>
      <c r="VHR44" s="76"/>
      <c r="VHS44" s="76"/>
      <c r="VHT44" s="76"/>
      <c r="VHU44" s="76"/>
      <c r="VHV44" s="76"/>
      <c r="VHW44" s="76"/>
      <c r="VHX44" s="76"/>
      <c r="VHY44" s="76"/>
      <c r="VHZ44" s="76"/>
      <c r="VIA44" s="76"/>
      <c r="VIB44" s="76"/>
      <c r="VIC44" s="76"/>
      <c r="VID44" s="76"/>
      <c r="VIE44" s="76"/>
      <c r="VIF44" s="76"/>
      <c r="VIG44" s="76"/>
      <c r="VIH44" s="76"/>
      <c r="VII44" s="76"/>
      <c r="VIJ44" s="76"/>
      <c r="VIK44" s="76"/>
      <c r="VIL44" s="76"/>
      <c r="VIM44" s="76"/>
      <c r="VIN44" s="76"/>
      <c r="VIO44" s="76"/>
      <c r="VIP44" s="76"/>
      <c r="VIQ44" s="76"/>
      <c r="VIR44" s="76"/>
      <c r="VIS44" s="76"/>
      <c r="VIT44" s="76"/>
      <c r="VIU44" s="76"/>
      <c r="VIV44" s="76"/>
      <c r="VIW44" s="76"/>
      <c r="VIX44" s="76"/>
      <c r="VIY44" s="76"/>
      <c r="VIZ44" s="76"/>
      <c r="VJA44" s="76"/>
      <c r="VJB44" s="76"/>
      <c r="VJC44" s="76"/>
      <c r="VJD44" s="76"/>
      <c r="VJE44" s="76"/>
      <c r="VJF44" s="76"/>
      <c r="VJG44" s="76"/>
      <c r="VJH44" s="76"/>
      <c r="VJI44" s="76"/>
      <c r="VJJ44" s="76"/>
      <c r="VJK44" s="76"/>
      <c r="VJL44" s="76"/>
      <c r="VJM44" s="76"/>
      <c r="VJN44" s="76"/>
      <c r="VJO44" s="76"/>
      <c r="VJP44" s="76"/>
      <c r="VJQ44" s="76"/>
      <c r="VJR44" s="76"/>
      <c r="VJS44" s="76"/>
      <c r="VJT44" s="76"/>
      <c r="VJU44" s="76"/>
      <c r="VJV44" s="76"/>
      <c r="VJW44" s="76"/>
      <c r="VJX44" s="76"/>
      <c r="VJY44" s="76"/>
      <c r="VJZ44" s="76"/>
      <c r="VKA44" s="76"/>
      <c r="VKB44" s="76"/>
      <c r="VKC44" s="76"/>
      <c r="VKD44" s="76"/>
      <c r="VKE44" s="76"/>
      <c r="VKF44" s="76"/>
      <c r="VKG44" s="76"/>
      <c r="VKH44" s="76"/>
      <c r="VKI44" s="76"/>
      <c r="VKJ44" s="76"/>
      <c r="VKK44" s="76"/>
      <c r="VKL44" s="76"/>
      <c r="VKM44" s="76"/>
      <c r="VKN44" s="76"/>
      <c r="VKO44" s="76"/>
      <c r="VKP44" s="76"/>
      <c r="VKQ44" s="76"/>
      <c r="VKR44" s="76"/>
      <c r="VKS44" s="76"/>
      <c r="VKT44" s="76"/>
      <c r="VKU44" s="76"/>
      <c r="VKV44" s="76"/>
      <c r="VKW44" s="76"/>
      <c r="VKX44" s="76"/>
      <c r="VKY44" s="76"/>
      <c r="VKZ44" s="76"/>
      <c r="VLA44" s="76"/>
      <c r="VLB44" s="76"/>
      <c r="VLC44" s="76"/>
      <c r="VLD44" s="76"/>
      <c r="VLE44" s="76"/>
      <c r="VLF44" s="76"/>
      <c r="VLG44" s="76"/>
      <c r="VLH44" s="76"/>
      <c r="VLI44" s="76"/>
      <c r="VLJ44" s="76"/>
      <c r="VLK44" s="76"/>
      <c r="VLL44" s="76"/>
      <c r="VLM44" s="76"/>
      <c r="VLN44" s="76"/>
      <c r="VLO44" s="76"/>
      <c r="VLP44" s="76"/>
      <c r="VLQ44" s="76"/>
      <c r="VLR44" s="76"/>
      <c r="VLS44" s="76"/>
      <c r="VLT44" s="76"/>
      <c r="VLU44" s="76"/>
      <c r="VLV44" s="76"/>
      <c r="VLW44" s="76"/>
      <c r="VLX44" s="76"/>
      <c r="VLY44" s="76"/>
      <c r="VLZ44" s="76"/>
      <c r="VMA44" s="76"/>
      <c r="VMB44" s="76"/>
      <c r="VMC44" s="76"/>
      <c r="VMD44" s="76"/>
      <c r="VME44" s="76"/>
      <c r="VMF44" s="76"/>
      <c r="VMG44" s="76"/>
      <c r="VMH44" s="76"/>
      <c r="VMI44" s="76"/>
      <c r="VMJ44" s="76"/>
      <c r="VMK44" s="76"/>
      <c r="VML44" s="76"/>
      <c r="VMM44" s="76"/>
      <c r="VMN44" s="76"/>
      <c r="VMO44" s="76"/>
      <c r="VMP44" s="76"/>
      <c r="VMQ44" s="76"/>
      <c r="VMR44" s="76"/>
      <c r="VMS44" s="76"/>
      <c r="VMT44" s="76"/>
      <c r="VMU44" s="76"/>
      <c r="VMV44" s="76"/>
      <c r="VMW44" s="76"/>
      <c r="VMX44" s="76"/>
      <c r="VMY44" s="76"/>
      <c r="VMZ44" s="76"/>
      <c r="VNA44" s="76"/>
      <c r="VNB44" s="76"/>
      <c r="VNC44" s="76"/>
      <c r="VND44" s="76"/>
      <c r="VNE44" s="76"/>
      <c r="VNF44" s="76"/>
      <c r="VNG44" s="76"/>
      <c r="VNH44" s="76"/>
      <c r="VNI44" s="76"/>
      <c r="VNJ44" s="76"/>
      <c r="VNK44" s="76"/>
      <c r="VNL44" s="76"/>
      <c r="VNM44" s="76"/>
      <c r="VNN44" s="76"/>
      <c r="VNO44" s="76"/>
      <c r="VNP44" s="76"/>
      <c r="VNQ44" s="76"/>
      <c r="VNR44" s="76"/>
      <c r="VNS44" s="76"/>
      <c r="VNT44" s="76"/>
      <c r="VNU44" s="76"/>
      <c r="VNV44" s="76"/>
      <c r="VNW44" s="76"/>
      <c r="VNX44" s="76"/>
      <c r="VNY44" s="76"/>
      <c r="VNZ44" s="76"/>
      <c r="VOA44" s="76"/>
      <c r="VOB44" s="76"/>
      <c r="VOC44" s="76"/>
      <c r="VOD44" s="76"/>
      <c r="VOE44" s="76"/>
      <c r="VOF44" s="76"/>
      <c r="VOG44" s="76"/>
      <c r="VOH44" s="76"/>
      <c r="VOI44" s="76"/>
      <c r="VOJ44" s="76"/>
      <c r="VOK44" s="76"/>
      <c r="VOL44" s="76"/>
      <c r="VOM44" s="76"/>
      <c r="VON44" s="76"/>
      <c r="VOO44" s="76"/>
      <c r="VOP44" s="76"/>
      <c r="VOQ44" s="76"/>
      <c r="VOR44" s="76"/>
      <c r="VOS44" s="76"/>
      <c r="VOT44" s="76"/>
      <c r="VOU44" s="76"/>
      <c r="VOV44" s="76"/>
      <c r="VOW44" s="76"/>
      <c r="VOX44" s="76"/>
      <c r="VOY44" s="76"/>
      <c r="VOZ44" s="76"/>
      <c r="VPA44" s="76"/>
      <c r="VPB44" s="76"/>
      <c r="VPC44" s="76"/>
      <c r="VPD44" s="76"/>
      <c r="VPE44" s="76"/>
      <c r="VPF44" s="76"/>
      <c r="VPG44" s="76"/>
      <c r="VPH44" s="76"/>
      <c r="VPI44" s="76"/>
      <c r="VPJ44" s="76"/>
      <c r="VPK44" s="76"/>
      <c r="VPL44" s="76"/>
      <c r="VPM44" s="76"/>
      <c r="VPN44" s="76"/>
      <c r="VPO44" s="76"/>
      <c r="VPP44" s="76"/>
      <c r="VPQ44" s="76"/>
      <c r="VPR44" s="76"/>
      <c r="VPS44" s="76"/>
      <c r="VPT44" s="76"/>
      <c r="VPU44" s="76"/>
      <c r="VPV44" s="76"/>
      <c r="VPW44" s="76"/>
      <c r="VPX44" s="76"/>
      <c r="VPY44" s="76"/>
      <c r="VPZ44" s="76"/>
      <c r="VQA44" s="76"/>
      <c r="VQB44" s="76"/>
      <c r="VQC44" s="76"/>
      <c r="VQD44" s="76"/>
      <c r="VQE44" s="76"/>
      <c r="VQF44" s="76"/>
      <c r="VQG44" s="76"/>
      <c r="VQH44" s="76"/>
      <c r="VQI44" s="76"/>
      <c r="VQJ44" s="76"/>
      <c r="VQK44" s="76"/>
      <c r="VQL44" s="76"/>
      <c r="VQM44" s="76"/>
      <c r="VQN44" s="76"/>
      <c r="VQO44" s="76"/>
      <c r="VQP44" s="76"/>
      <c r="VQQ44" s="76"/>
      <c r="VQR44" s="76"/>
      <c r="VQS44" s="76"/>
      <c r="VQT44" s="76"/>
      <c r="VQU44" s="76"/>
      <c r="VQV44" s="76"/>
      <c r="VQW44" s="76"/>
      <c r="VQX44" s="76"/>
      <c r="VQY44" s="76"/>
      <c r="VQZ44" s="76"/>
      <c r="VRA44" s="76"/>
      <c r="VRB44" s="76"/>
      <c r="VRC44" s="76"/>
      <c r="VRD44" s="76"/>
      <c r="VRE44" s="76"/>
      <c r="VRF44" s="76"/>
      <c r="VRG44" s="76"/>
      <c r="VRH44" s="76"/>
      <c r="VRI44" s="76"/>
      <c r="VRJ44" s="76"/>
      <c r="VRK44" s="76"/>
      <c r="VRL44" s="76"/>
      <c r="VRM44" s="76"/>
      <c r="VRN44" s="76"/>
      <c r="VRO44" s="76"/>
      <c r="VRP44" s="76"/>
      <c r="VRQ44" s="76"/>
      <c r="VRR44" s="76"/>
      <c r="VRS44" s="76"/>
      <c r="VRT44" s="76"/>
      <c r="VRU44" s="76"/>
      <c r="VRV44" s="76"/>
      <c r="VRW44" s="76"/>
      <c r="VRX44" s="76"/>
      <c r="VRY44" s="76"/>
      <c r="VRZ44" s="76"/>
      <c r="VSA44" s="76"/>
      <c r="VSB44" s="76"/>
      <c r="VSC44" s="76"/>
      <c r="VSD44" s="76"/>
      <c r="VSE44" s="76"/>
      <c r="VSF44" s="76"/>
      <c r="VSG44" s="76"/>
      <c r="VSH44" s="76"/>
      <c r="VSI44" s="76"/>
      <c r="VSJ44" s="76"/>
      <c r="VSK44" s="76"/>
      <c r="VSL44" s="76"/>
      <c r="VSM44" s="76"/>
      <c r="VSN44" s="76"/>
      <c r="VSO44" s="76"/>
      <c r="VSP44" s="76"/>
      <c r="VSQ44" s="76"/>
      <c r="VSR44" s="76"/>
      <c r="VSS44" s="76"/>
      <c r="VST44" s="76"/>
      <c r="VSU44" s="76"/>
      <c r="VSV44" s="76"/>
      <c r="VSW44" s="76"/>
      <c r="VSX44" s="76"/>
      <c r="VSY44" s="76"/>
      <c r="VSZ44" s="76"/>
      <c r="VTA44" s="76"/>
      <c r="VTB44" s="76"/>
      <c r="VTC44" s="76"/>
      <c r="VTD44" s="76"/>
      <c r="VTE44" s="76"/>
      <c r="VTF44" s="76"/>
      <c r="VTG44" s="76"/>
      <c r="VTH44" s="76"/>
      <c r="VTI44" s="76"/>
      <c r="VTJ44" s="76"/>
      <c r="VTK44" s="76"/>
      <c r="VTL44" s="76"/>
      <c r="VTM44" s="76"/>
      <c r="VTN44" s="76"/>
      <c r="VTO44" s="76"/>
      <c r="VTP44" s="76"/>
      <c r="VTQ44" s="76"/>
      <c r="VTR44" s="76"/>
      <c r="VTS44" s="76"/>
      <c r="VTT44" s="76"/>
      <c r="VTU44" s="76"/>
      <c r="VTV44" s="76"/>
      <c r="VTW44" s="76"/>
      <c r="VTX44" s="76"/>
      <c r="VTY44" s="76"/>
      <c r="VTZ44" s="76"/>
      <c r="VUA44" s="76"/>
      <c r="VUB44" s="76"/>
      <c r="VUC44" s="76"/>
      <c r="VUD44" s="76"/>
      <c r="VUE44" s="76"/>
      <c r="VUF44" s="76"/>
      <c r="VUG44" s="76"/>
      <c r="VUH44" s="76"/>
      <c r="VUI44" s="76"/>
      <c r="VUJ44" s="76"/>
      <c r="VUK44" s="76"/>
      <c r="VUL44" s="76"/>
      <c r="VUM44" s="76"/>
      <c r="VUN44" s="76"/>
      <c r="VUO44" s="76"/>
      <c r="VUP44" s="76"/>
      <c r="VUQ44" s="76"/>
      <c r="VUR44" s="76"/>
      <c r="VUS44" s="76"/>
      <c r="VUT44" s="76"/>
      <c r="VUU44" s="76"/>
      <c r="VUV44" s="76"/>
      <c r="VUW44" s="76"/>
      <c r="VUX44" s="76"/>
      <c r="VUY44" s="76"/>
      <c r="VUZ44" s="76"/>
      <c r="VVA44" s="76"/>
      <c r="VVB44" s="76"/>
      <c r="VVC44" s="76"/>
      <c r="VVD44" s="76"/>
      <c r="VVE44" s="76"/>
      <c r="VVF44" s="76"/>
      <c r="VVG44" s="76"/>
      <c r="VVH44" s="76"/>
      <c r="VVI44" s="76"/>
      <c r="VVJ44" s="76"/>
      <c r="VVK44" s="76"/>
      <c r="VVL44" s="76"/>
      <c r="VVM44" s="76"/>
      <c r="VVN44" s="76"/>
      <c r="VVO44" s="76"/>
      <c r="VVP44" s="76"/>
      <c r="VVQ44" s="76"/>
      <c r="VVR44" s="76"/>
      <c r="VVS44" s="76"/>
      <c r="VVT44" s="76"/>
      <c r="VVU44" s="76"/>
      <c r="VVV44" s="76"/>
      <c r="VVW44" s="76"/>
      <c r="VVX44" s="76"/>
      <c r="VVY44" s="76"/>
      <c r="VVZ44" s="76"/>
      <c r="VWA44" s="76"/>
      <c r="VWB44" s="76"/>
      <c r="VWC44" s="76"/>
      <c r="VWD44" s="76"/>
      <c r="VWE44" s="76"/>
      <c r="VWF44" s="76"/>
      <c r="VWG44" s="76"/>
      <c r="VWH44" s="76"/>
      <c r="VWI44" s="76"/>
      <c r="VWJ44" s="76"/>
      <c r="VWK44" s="76"/>
      <c r="VWL44" s="76"/>
      <c r="VWM44" s="76"/>
      <c r="VWN44" s="76"/>
      <c r="VWO44" s="76"/>
      <c r="VWP44" s="76"/>
      <c r="VWQ44" s="76"/>
      <c r="VWR44" s="76"/>
      <c r="VWS44" s="76"/>
      <c r="VWT44" s="76"/>
      <c r="VWU44" s="76"/>
      <c r="VWV44" s="76"/>
      <c r="VWW44" s="76"/>
      <c r="VWX44" s="76"/>
      <c r="VWY44" s="76"/>
      <c r="VWZ44" s="76"/>
      <c r="VXA44" s="76"/>
      <c r="VXB44" s="76"/>
      <c r="VXC44" s="76"/>
      <c r="VXD44" s="76"/>
      <c r="VXE44" s="76"/>
      <c r="VXF44" s="76"/>
      <c r="VXG44" s="76"/>
      <c r="VXH44" s="76"/>
      <c r="VXI44" s="76"/>
      <c r="VXJ44" s="76"/>
      <c r="VXK44" s="76"/>
      <c r="VXL44" s="76"/>
      <c r="VXM44" s="76"/>
      <c r="VXN44" s="76"/>
      <c r="VXO44" s="76"/>
      <c r="VXP44" s="76"/>
      <c r="VXQ44" s="76"/>
      <c r="VXR44" s="76"/>
      <c r="VXS44" s="76"/>
      <c r="VXT44" s="76"/>
      <c r="VXU44" s="76"/>
      <c r="VXV44" s="76"/>
      <c r="VXW44" s="76"/>
      <c r="VXX44" s="76"/>
      <c r="VXY44" s="76"/>
      <c r="VXZ44" s="76"/>
      <c r="VYA44" s="76"/>
      <c r="VYB44" s="76"/>
      <c r="VYC44" s="76"/>
      <c r="VYD44" s="76"/>
      <c r="VYE44" s="76"/>
      <c r="VYF44" s="76"/>
      <c r="VYG44" s="76"/>
      <c r="VYH44" s="76"/>
      <c r="VYI44" s="76"/>
      <c r="VYJ44" s="76"/>
      <c r="VYK44" s="76"/>
      <c r="VYL44" s="76"/>
      <c r="VYM44" s="76"/>
      <c r="VYN44" s="76"/>
      <c r="VYO44" s="76"/>
      <c r="VYP44" s="76"/>
      <c r="VYQ44" s="76"/>
      <c r="VYR44" s="76"/>
      <c r="VYS44" s="76"/>
      <c r="VYT44" s="76"/>
      <c r="VYU44" s="76"/>
      <c r="VYV44" s="76"/>
      <c r="VYW44" s="76"/>
      <c r="VYX44" s="76"/>
      <c r="VYY44" s="76"/>
      <c r="VYZ44" s="76"/>
      <c r="VZA44" s="76"/>
      <c r="VZB44" s="76"/>
      <c r="VZC44" s="76"/>
      <c r="VZD44" s="76"/>
      <c r="VZE44" s="76"/>
      <c r="VZF44" s="76"/>
      <c r="VZG44" s="76"/>
      <c r="VZH44" s="76"/>
      <c r="VZI44" s="76"/>
      <c r="VZJ44" s="76"/>
      <c r="VZK44" s="76"/>
      <c r="VZL44" s="76"/>
      <c r="VZM44" s="76"/>
      <c r="VZN44" s="76"/>
      <c r="VZO44" s="76"/>
      <c r="VZP44" s="76"/>
      <c r="VZQ44" s="76"/>
      <c r="VZR44" s="76"/>
      <c r="VZS44" s="76"/>
      <c r="VZT44" s="76"/>
      <c r="VZU44" s="76"/>
      <c r="VZV44" s="76"/>
      <c r="VZW44" s="76"/>
      <c r="VZX44" s="76"/>
      <c r="VZY44" s="76"/>
      <c r="VZZ44" s="76"/>
      <c r="WAA44" s="76"/>
      <c r="WAB44" s="76"/>
      <c r="WAC44" s="76"/>
      <c r="WAD44" s="76"/>
      <c r="WAE44" s="76"/>
      <c r="WAF44" s="76"/>
      <c r="WAG44" s="76"/>
      <c r="WAH44" s="76"/>
      <c r="WAI44" s="76"/>
      <c r="WAJ44" s="76"/>
      <c r="WAK44" s="76"/>
      <c r="WAL44" s="76"/>
      <c r="WAM44" s="76"/>
      <c r="WAN44" s="76"/>
      <c r="WAO44" s="76"/>
      <c r="WAP44" s="76"/>
      <c r="WAQ44" s="76"/>
      <c r="WAR44" s="76"/>
      <c r="WAS44" s="76"/>
      <c r="WAT44" s="76"/>
      <c r="WAU44" s="76"/>
      <c r="WAV44" s="76"/>
      <c r="WAW44" s="76"/>
      <c r="WAX44" s="76"/>
      <c r="WAY44" s="76"/>
      <c r="WAZ44" s="76"/>
      <c r="WBA44" s="76"/>
      <c r="WBB44" s="76"/>
      <c r="WBC44" s="76"/>
      <c r="WBD44" s="76"/>
      <c r="WBE44" s="76"/>
      <c r="WBF44" s="76"/>
      <c r="WBG44" s="76"/>
      <c r="WBH44" s="76"/>
      <c r="WBI44" s="76"/>
      <c r="WBJ44" s="76"/>
      <c r="WBK44" s="76"/>
      <c r="WBL44" s="76"/>
      <c r="WBM44" s="76"/>
      <c r="WBN44" s="76"/>
      <c r="WBO44" s="76"/>
      <c r="WBP44" s="76"/>
      <c r="WBQ44" s="76"/>
      <c r="WBR44" s="76"/>
      <c r="WBS44" s="76"/>
      <c r="WBT44" s="76"/>
      <c r="WBU44" s="76"/>
      <c r="WBV44" s="76"/>
      <c r="WBW44" s="76"/>
      <c r="WBX44" s="76"/>
      <c r="WBY44" s="76"/>
      <c r="WBZ44" s="76"/>
      <c r="WCA44" s="76"/>
      <c r="WCB44" s="76"/>
      <c r="WCC44" s="76"/>
      <c r="WCD44" s="76"/>
      <c r="WCE44" s="76"/>
      <c r="WCF44" s="76"/>
      <c r="WCG44" s="76"/>
      <c r="WCH44" s="76"/>
      <c r="WCI44" s="76"/>
      <c r="WCJ44" s="76"/>
      <c r="WCK44" s="76"/>
      <c r="WCL44" s="76"/>
      <c r="WCM44" s="76"/>
      <c r="WCN44" s="76"/>
      <c r="WCO44" s="76"/>
      <c r="WCP44" s="76"/>
      <c r="WCQ44" s="76"/>
      <c r="WCR44" s="76"/>
      <c r="WCS44" s="76"/>
      <c r="WCT44" s="76"/>
      <c r="WCU44" s="76"/>
      <c r="WCV44" s="76"/>
      <c r="WCW44" s="76"/>
      <c r="WCX44" s="76"/>
      <c r="WCY44" s="76"/>
      <c r="WCZ44" s="76"/>
      <c r="WDA44" s="76"/>
      <c r="WDB44" s="76"/>
      <c r="WDC44" s="76"/>
      <c r="WDD44" s="76"/>
      <c r="WDE44" s="76"/>
      <c r="WDF44" s="76"/>
      <c r="WDG44" s="76"/>
      <c r="WDH44" s="76"/>
      <c r="WDI44" s="76"/>
      <c r="WDJ44" s="76"/>
      <c r="WDK44" s="76"/>
      <c r="WDL44" s="76"/>
      <c r="WDM44" s="76"/>
      <c r="WDN44" s="76"/>
      <c r="WDO44" s="76"/>
      <c r="WDP44" s="76"/>
      <c r="WDQ44" s="76"/>
      <c r="WDR44" s="76"/>
      <c r="WDS44" s="76"/>
      <c r="WDT44" s="76"/>
      <c r="WDU44" s="76"/>
      <c r="WDV44" s="76"/>
      <c r="WDW44" s="76"/>
      <c r="WDX44" s="76"/>
      <c r="WDY44" s="76"/>
      <c r="WDZ44" s="76"/>
      <c r="WEA44" s="76"/>
      <c r="WEB44" s="76"/>
      <c r="WEC44" s="76"/>
      <c r="WED44" s="76"/>
      <c r="WEE44" s="76"/>
      <c r="WEF44" s="76"/>
      <c r="WEG44" s="76"/>
      <c r="WEH44" s="76"/>
      <c r="WEI44" s="76"/>
      <c r="WEJ44" s="76"/>
      <c r="WEK44" s="76"/>
      <c r="WEL44" s="76"/>
      <c r="WEM44" s="76"/>
      <c r="WEN44" s="76"/>
      <c r="WEO44" s="76"/>
      <c r="WEP44" s="76"/>
      <c r="WEQ44" s="76"/>
      <c r="WER44" s="76"/>
      <c r="WES44" s="76"/>
      <c r="WET44" s="76"/>
      <c r="WEU44" s="76"/>
      <c r="WEV44" s="76"/>
      <c r="WEW44" s="76"/>
      <c r="WEX44" s="76"/>
      <c r="WEY44" s="76"/>
      <c r="WEZ44" s="76"/>
      <c r="WFA44" s="76"/>
      <c r="WFB44" s="76"/>
      <c r="WFC44" s="76"/>
      <c r="WFD44" s="76"/>
      <c r="WFE44" s="76"/>
      <c r="WFF44" s="76"/>
      <c r="WFG44" s="76"/>
      <c r="WFH44" s="76"/>
      <c r="WFI44" s="76"/>
      <c r="WFJ44" s="76"/>
      <c r="WFK44" s="76"/>
      <c r="WFL44" s="76"/>
      <c r="WFM44" s="76"/>
      <c r="WFN44" s="76"/>
      <c r="WFO44" s="76"/>
      <c r="WFP44" s="76"/>
      <c r="WFQ44" s="76"/>
      <c r="WFR44" s="76"/>
      <c r="WFS44" s="76"/>
      <c r="WFT44" s="76"/>
      <c r="WFU44" s="76"/>
      <c r="WFV44" s="76"/>
      <c r="WFW44" s="76"/>
      <c r="WFX44" s="76"/>
      <c r="WFY44" s="76"/>
      <c r="WFZ44" s="76"/>
      <c r="WGA44" s="76"/>
      <c r="WGB44" s="76"/>
      <c r="WGC44" s="76"/>
      <c r="WGD44" s="76"/>
      <c r="WGE44" s="76"/>
      <c r="WGF44" s="76"/>
      <c r="WGG44" s="76"/>
      <c r="WGH44" s="76"/>
      <c r="WGI44" s="76"/>
      <c r="WGJ44" s="76"/>
      <c r="WGK44" s="76"/>
      <c r="WGL44" s="76"/>
      <c r="WGM44" s="76"/>
      <c r="WGN44" s="76"/>
      <c r="WGO44" s="76"/>
      <c r="WGP44" s="76"/>
      <c r="WGQ44" s="76"/>
      <c r="WGR44" s="76"/>
      <c r="WGS44" s="76"/>
      <c r="WGT44" s="76"/>
      <c r="WGU44" s="76"/>
      <c r="WGV44" s="76"/>
      <c r="WGW44" s="76"/>
      <c r="WGX44" s="76"/>
      <c r="WGY44" s="76"/>
      <c r="WGZ44" s="76"/>
      <c r="WHA44" s="76"/>
      <c r="WHB44" s="76"/>
      <c r="WHC44" s="76"/>
      <c r="WHD44" s="76"/>
      <c r="WHE44" s="76"/>
      <c r="WHF44" s="76"/>
      <c r="WHG44" s="76"/>
      <c r="WHH44" s="76"/>
      <c r="WHI44" s="76"/>
      <c r="WHJ44" s="76"/>
      <c r="WHK44" s="76"/>
      <c r="WHL44" s="76"/>
      <c r="WHM44" s="76"/>
      <c r="WHN44" s="76"/>
      <c r="WHO44" s="76"/>
      <c r="WHP44" s="76"/>
      <c r="WHQ44" s="76"/>
      <c r="WHR44" s="76"/>
      <c r="WHS44" s="76"/>
      <c r="WHT44" s="76"/>
      <c r="WHU44" s="76"/>
      <c r="WHV44" s="76"/>
      <c r="WHW44" s="76"/>
      <c r="WHX44" s="76"/>
      <c r="WHY44" s="76"/>
      <c r="WHZ44" s="76"/>
      <c r="WIA44" s="76"/>
      <c r="WIB44" s="76"/>
      <c r="WIC44" s="76"/>
      <c r="WID44" s="76"/>
      <c r="WIE44" s="76"/>
      <c r="WIF44" s="76"/>
      <c r="WIG44" s="76"/>
      <c r="WIH44" s="76"/>
      <c r="WII44" s="76"/>
      <c r="WIJ44" s="76"/>
      <c r="WIK44" s="76"/>
      <c r="WIL44" s="76"/>
      <c r="WIM44" s="76"/>
      <c r="WIN44" s="76"/>
      <c r="WIO44" s="76"/>
      <c r="WIP44" s="76"/>
      <c r="WIQ44" s="76"/>
      <c r="WIR44" s="76"/>
      <c r="WIS44" s="76"/>
      <c r="WIT44" s="76"/>
      <c r="WIU44" s="76"/>
      <c r="WIV44" s="76"/>
      <c r="WIW44" s="76"/>
      <c r="WIX44" s="76"/>
      <c r="WIY44" s="76"/>
      <c r="WIZ44" s="76"/>
      <c r="WJA44" s="76"/>
      <c r="WJB44" s="76"/>
      <c r="WJC44" s="76"/>
      <c r="WJD44" s="76"/>
      <c r="WJE44" s="76"/>
      <c r="WJF44" s="76"/>
      <c r="WJG44" s="76"/>
      <c r="WJH44" s="76"/>
      <c r="WJI44" s="76"/>
      <c r="WJJ44" s="76"/>
      <c r="WJK44" s="76"/>
      <c r="WJL44" s="76"/>
      <c r="WJM44" s="76"/>
      <c r="WJN44" s="76"/>
      <c r="WJO44" s="76"/>
      <c r="WJP44" s="76"/>
      <c r="WJQ44" s="76"/>
      <c r="WJR44" s="76"/>
      <c r="WJS44" s="76"/>
      <c r="WJT44" s="76"/>
      <c r="WJU44" s="76"/>
      <c r="WJV44" s="76"/>
      <c r="WJW44" s="76"/>
      <c r="WJX44" s="76"/>
      <c r="WJY44" s="76"/>
      <c r="WJZ44" s="76"/>
      <c r="WKA44" s="76"/>
      <c r="WKB44" s="76"/>
      <c r="WKC44" s="76"/>
      <c r="WKD44" s="76"/>
      <c r="WKE44" s="76"/>
      <c r="WKF44" s="76"/>
      <c r="WKG44" s="76"/>
      <c r="WKH44" s="76"/>
      <c r="WKI44" s="76"/>
      <c r="WKJ44" s="76"/>
      <c r="WKK44" s="76"/>
      <c r="WKL44" s="76"/>
      <c r="WKM44" s="76"/>
      <c r="WKN44" s="76"/>
      <c r="WKO44" s="76"/>
      <c r="WKP44" s="76"/>
      <c r="WKQ44" s="76"/>
      <c r="WKR44" s="76"/>
      <c r="WKS44" s="76"/>
      <c r="WKT44" s="76"/>
      <c r="WKU44" s="76"/>
      <c r="WKV44" s="76"/>
      <c r="WKW44" s="76"/>
      <c r="WKX44" s="76"/>
      <c r="WKY44" s="76"/>
      <c r="WKZ44" s="76"/>
      <c r="WLA44" s="76"/>
      <c r="WLB44" s="76"/>
      <c r="WLC44" s="76"/>
      <c r="WLD44" s="76"/>
      <c r="WLE44" s="76"/>
      <c r="WLF44" s="76"/>
      <c r="WLG44" s="76"/>
      <c r="WLH44" s="76"/>
      <c r="WLI44" s="76"/>
      <c r="WLJ44" s="76"/>
      <c r="WLK44" s="76"/>
      <c r="WLL44" s="76"/>
      <c r="WLM44" s="76"/>
      <c r="WLN44" s="76"/>
      <c r="WLO44" s="76"/>
      <c r="WLP44" s="76"/>
      <c r="WLQ44" s="76"/>
      <c r="WLR44" s="76"/>
      <c r="WLS44" s="76"/>
      <c r="WLT44" s="76"/>
      <c r="WLU44" s="76"/>
      <c r="WLV44" s="76"/>
      <c r="WLW44" s="76"/>
      <c r="WLX44" s="76"/>
      <c r="WLY44" s="76"/>
      <c r="WLZ44" s="76"/>
      <c r="WMA44" s="76"/>
      <c r="WMB44" s="76"/>
      <c r="WMC44" s="76"/>
      <c r="WMD44" s="76"/>
      <c r="WME44" s="76"/>
      <c r="WMF44" s="76"/>
      <c r="WMG44" s="76"/>
      <c r="WMH44" s="76"/>
      <c r="WMI44" s="76"/>
      <c r="WMJ44" s="76"/>
      <c r="WMK44" s="76"/>
      <c r="WML44" s="76"/>
      <c r="WMM44" s="76"/>
      <c r="WMN44" s="76"/>
      <c r="WMO44" s="76"/>
      <c r="WMP44" s="76"/>
      <c r="WMQ44" s="76"/>
      <c r="WMR44" s="76"/>
      <c r="WMS44" s="76"/>
      <c r="WMT44" s="76"/>
      <c r="WMU44" s="76"/>
      <c r="WMV44" s="76"/>
      <c r="WMW44" s="76"/>
      <c r="WMX44" s="76"/>
      <c r="WMY44" s="76"/>
      <c r="WMZ44" s="76"/>
      <c r="WNA44" s="76"/>
      <c r="WNB44" s="76"/>
      <c r="WNC44" s="76"/>
      <c r="WND44" s="76"/>
      <c r="WNE44" s="76"/>
      <c r="WNF44" s="76"/>
      <c r="WNG44" s="76"/>
      <c r="WNH44" s="76"/>
      <c r="WNI44" s="76"/>
      <c r="WNJ44" s="76"/>
      <c r="WNK44" s="76"/>
      <c r="WNL44" s="76"/>
      <c r="WNM44" s="76"/>
      <c r="WNN44" s="76"/>
      <c r="WNO44" s="76"/>
      <c r="WNP44" s="76"/>
      <c r="WNQ44" s="76"/>
      <c r="WNR44" s="76"/>
      <c r="WNS44" s="76"/>
      <c r="WNT44" s="76"/>
      <c r="WNU44" s="76"/>
      <c r="WNV44" s="76"/>
      <c r="WNW44" s="76"/>
      <c r="WNX44" s="76"/>
      <c r="WNY44" s="76"/>
      <c r="WNZ44" s="76"/>
      <c r="WOA44" s="76"/>
      <c r="WOB44" s="76"/>
      <c r="WOC44" s="76"/>
      <c r="WOD44" s="76"/>
      <c r="WOE44" s="76"/>
      <c r="WOF44" s="76"/>
      <c r="WOG44" s="76"/>
      <c r="WOH44" s="76"/>
      <c r="WOI44" s="76"/>
      <c r="WOJ44" s="76"/>
      <c r="WOK44" s="76"/>
      <c r="WOL44" s="76"/>
      <c r="WOM44" s="76"/>
      <c r="WON44" s="76"/>
      <c r="WOO44" s="76"/>
      <c r="WOP44" s="76"/>
      <c r="WOQ44" s="76"/>
      <c r="WOR44" s="76"/>
      <c r="WOS44" s="76"/>
      <c r="WOT44" s="76"/>
      <c r="WOU44" s="76"/>
      <c r="WOV44" s="76"/>
      <c r="WOW44" s="76"/>
      <c r="WOX44" s="76"/>
      <c r="WOY44" s="76"/>
      <c r="WOZ44" s="76"/>
      <c r="WPA44" s="76"/>
      <c r="WPB44" s="76"/>
      <c r="WPC44" s="76"/>
      <c r="WPD44" s="76"/>
      <c r="WPE44" s="76"/>
      <c r="WPF44" s="76"/>
      <c r="WPG44" s="76"/>
      <c r="WPH44" s="76"/>
      <c r="WPI44" s="76"/>
      <c r="WPJ44" s="76"/>
      <c r="WPK44" s="76"/>
      <c r="WPL44" s="76"/>
      <c r="WPM44" s="76"/>
      <c r="WPN44" s="76"/>
      <c r="WPO44" s="76"/>
      <c r="WPP44" s="76"/>
      <c r="WPQ44" s="76"/>
      <c r="WPR44" s="76"/>
      <c r="WPS44" s="76"/>
      <c r="WPT44" s="76"/>
      <c r="WPU44" s="76"/>
      <c r="WPV44" s="76"/>
      <c r="WPW44" s="76"/>
      <c r="WPX44" s="76"/>
      <c r="WPY44" s="76"/>
      <c r="WPZ44" s="76"/>
      <c r="WQA44" s="76"/>
      <c r="WQB44" s="76"/>
      <c r="WQC44" s="76"/>
      <c r="WQD44" s="76"/>
      <c r="WQE44" s="76"/>
      <c r="WQF44" s="76"/>
      <c r="WQG44" s="76"/>
      <c r="WQH44" s="76"/>
      <c r="WQI44" s="76"/>
      <c r="WQJ44" s="76"/>
      <c r="WQK44" s="76"/>
      <c r="WQL44" s="76"/>
      <c r="WQM44" s="76"/>
      <c r="WQN44" s="76"/>
      <c r="WQO44" s="76"/>
      <c r="WQP44" s="76"/>
      <c r="WQQ44" s="76"/>
      <c r="WQR44" s="76"/>
      <c r="WQS44" s="76"/>
      <c r="WQT44" s="76"/>
      <c r="WQU44" s="76"/>
      <c r="WQV44" s="76"/>
      <c r="WQW44" s="76"/>
      <c r="WQX44" s="76"/>
      <c r="WQY44" s="76"/>
      <c r="WQZ44" s="76"/>
      <c r="WRA44" s="76"/>
      <c r="WRB44" s="76"/>
      <c r="WRC44" s="76"/>
      <c r="WRD44" s="76"/>
      <c r="WRE44" s="76"/>
      <c r="WRF44" s="76"/>
      <c r="WRG44" s="76"/>
      <c r="WRH44" s="76"/>
      <c r="WRI44" s="76"/>
      <c r="WRJ44" s="76"/>
      <c r="WRK44" s="76"/>
      <c r="WRL44" s="76"/>
      <c r="WRM44" s="76"/>
      <c r="WRN44" s="76"/>
      <c r="WRO44" s="76"/>
      <c r="WRP44" s="76"/>
      <c r="WRQ44" s="76"/>
      <c r="WRR44" s="76"/>
      <c r="WRS44" s="76"/>
      <c r="WRT44" s="76"/>
      <c r="WRU44" s="76"/>
      <c r="WRV44" s="76"/>
      <c r="WRW44" s="76"/>
      <c r="WRX44" s="76"/>
      <c r="WRY44" s="76"/>
      <c r="WRZ44" s="76"/>
      <c r="WSA44" s="76"/>
      <c r="WSB44" s="76"/>
      <c r="WSC44" s="76"/>
      <c r="WSD44" s="76"/>
      <c r="WSE44" s="76"/>
      <c r="WSF44" s="76"/>
      <c r="WSG44" s="76"/>
      <c r="WSH44" s="76"/>
      <c r="WSI44" s="76"/>
      <c r="WSJ44" s="76"/>
      <c r="WSK44" s="76"/>
      <c r="WSL44" s="76"/>
      <c r="WSM44" s="76"/>
      <c r="WSN44" s="76"/>
      <c r="WSO44" s="76"/>
      <c r="WSP44" s="76"/>
      <c r="WSQ44" s="76"/>
      <c r="WSR44" s="76"/>
      <c r="WSS44" s="76"/>
      <c r="WST44" s="76"/>
      <c r="WSU44" s="76"/>
      <c r="WSV44" s="76"/>
      <c r="WSW44" s="76"/>
      <c r="WSX44" s="76"/>
      <c r="WSY44" s="76"/>
      <c r="WSZ44" s="76"/>
      <c r="WTA44" s="76"/>
      <c r="WTB44" s="76"/>
      <c r="WTC44" s="76"/>
      <c r="WTD44" s="76"/>
      <c r="WTE44" s="76"/>
      <c r="WTF44" s="76"/>
      <c r="WTG44" s="76"/>
      <c r="WTH44" s="76"/>
      <c r="WTI44" s="76"/>
      <c r="WTJ44" s="76"/>
      <c r="WTK44" s="76"/>
      <c r="WTL44" s="76"/>
      <c r="WTM44" s="76"/>
      <c r="WTN44" s="76"/>
      <c r="WTO44" s="76"/>
      <c r="WTP44" s="76"/>
      <c r="WTQ44" s="76"/>
      <c r="WTR44" s="76"/>
      <c r="WTS44" s="76"/>
      <c r="WTT44" s="76"/>
      <c r="WTU44" s="76"/>
      <c r="WTV44" s="76"/>
      <c r="WTW44" s="76"/>
      <c r="WTX44" s="76"/>
      <c r="WTY44" s="76"/>
      <c r="WTZ44" s="76"/>
      <c r="WUA44" s="76"/>
      <c r="WUB44" s="76"/>
      <c r="WUC44" s="76"/>
      <c r="WUD44" s="76"/>
      <c r="WUE44" s="76"/>
      <c r="WUF44" s="76"/>
      <c r="WUG44" s="76"/>
      <c r="WUH44" s="76"/>
      <c r="WUI44" s="76"/>
      <c r="WUJ44" s="76"/>
      <c r="WUK44" s="76"/>
      <c r="WUL44" s="76"/>
      <c r="WUM44" s="76"/>
      <c r="WUN44" s="76"/>
      <c r="WUO44" s="76"/>
      <c r="WUP44" s="76"/>
      <c r="WUQ44" s="76"/>
      <c r="WUR44" s="76"/>
      <c r="WUS44" s="76"/>
      <c r="WUT44" s="76"/>
      <c r="WUU44" s="76"/>
      <c r="WUV44" s="76"/>
      <c r="WUW44" s="76"/>
      <c r="WUX44" s="76"/>
      <c r="WUY44" s="76"/>
      <c r="WUZ44" s="76"/>
      <c r="WVA44" s="76"/>
      <c r="WVB44" s="76"/>
      <c r="WVC44" s="76"/>
      <c r="WVD44" s="76"/>
      <c r="WVE44" s="76"/>
      <c r="WVF44" s="76"/>
      <c r="WVG44" s="76"/>
      <c r="WVH44" s="76"/>
      <c r="WVI44" s="76"/>
      <c r="WVJ44" s="76"/>
      <c r="WVK44" s="76"/>
      <c r="WVL44" s="76"/>
      <c r="WVM44" s="76"/>
      <c r="WVN44" s="76"/>
      <c r="WVO44" s="76"/>
      <c r="WVP44" s="76"/>
      <c r="WVQ44" s="76"/>
      <c r="WVR44" s="76"/>
      <c r="WVS44" s="76"/>
      <c r="WVT44" s="76"/>
      <c r="WVU44" s="76"/>
      <c r="WVV44" s="76"/>
      <c r="WVW44" s="76"/>
      <c r="WVX44" s="76"/>
      <c r="WVY44" s="76"/>
      <c r="WVZ44" s="76"/>
      <c r="WWA44" s="76"/>
      <c r="WWB44" s="76"/>
      <c r="WWC44" s="76"/>
      <c r="WWD44" s="76"/>
      <c r="WWE44" s="76"/>
      <c r="WWF44" s="76"/>
      <c r="WWG44" s="76"/>
      <c r="WWH44" s="76"/>
      <c r="WWI44" s="76"/>
      <c r="WWJ44" s="76"/>
      <c r="WWK44" s="76"/>
      <c r="WWL44" s="76"/>
      <c r="WWM44" s="76"/>
      <c r="WWN44" s="76"/>
      <c r="WWO44" s="76"/>
      <c r="WWP44" s="76"/>
      <c r="WWQ44" s="76"/>
      <c r="WWR44" s="76"/>
      <c r="WWS44" s="76"/>
      <c r="WWT44" s="76"/>
      <c r="WWU44" s="76"/>
      <c r="WWV44" s="76"/>
      <c r="WWW44" s="76"/>
      <c r="WWX44" s="76"/>
      <c r="WWY44" s="76"/>
      <c r="WWZ44" s="76"/>
      <c r="WXA44" s="76"/>
    </row>
    <row r="45" spans="1:16173" s="77" customFormat="1" ht="20" customHeight="1" thickBot="1" x14ac:dyDescent="0.6">
      <c r="A45" s="76"/>
      <c r="B45" s="76"/>
      <c r="C45" s="85"/>
      <c r="D45" s="124"/>
      <c r="E45" s="125"/>
      <c r="F45" s="125"/>
      <c r="G45" s="125" t="s">
        <v>2092</v>
      </c>
      <c r="H45" s="125"/>
      <c r="I45" s="125" t="s">
        <v>2091</v>
      </c>
      <c r="J45" s="125"/>
      <c r="K45" s="125" t="s">
        <v>2108</v>
      </c>
      <c r="L45" s="125"/>
      <c r="M45" s="125" t="s">
        <v>2128</v>
      </c>
      <c r="N45" s="125"/>
      <c r="O45" s="125" t="s">
        <v>2127</v>
      </c>
      <c r="P45" s="125"/>
      <c r="Q45" s="125" t="s">
        <v>2150</v>
      </c>
      <c r="R45" s="125"/>
      <c r="S45" s="125" t="s">
        <v>2148</v>
      </c>
      <c r="T45" s="125"/>
      <c r="U45" s="125" t="s">
        <v>2156</v>
      </c>
      <c r="V45" s="125"/>
      <c r="W45" s="125" t="s">
        <v>2174</v>
      </c>
      <c r="X45" s="125"/>
      <c r="Y45" s="125" t="s">
        <v>2181</v>
      </c>
      <c r="Z45" s="125"/>
      <c r="AA45" s="125" t="s">
        <v>2164</v>
      </c>
      <c r="AB45" s="125"/>
      <c r="AC45" s="125" t="s">
        <v>2179</v>
      </c>
      <c r="AD45" s="125"/>
      <c r="AE45" s="125" t="s">
        <v>2207</v>
      </c>
      <c r="AF45" s="125"/>
      <c r="AG45" s="125" t="s">
        <v>2205</v>
      </c>
      <c r="AH45" s="125"/>
      <c r="AI45" s="125" t="s">
        <v>2216</v>
      </c>
      <c r="AJ45" s="125"/>
      <c r="AK45" s="125" t="s">
        <v>2233</v>
      </c>
      <c r="AL45" s="125"/>
      <c r="AM45" s="125"/>
      <c r="AN45" s="12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  <c r="BV45" s="76"/>
      <c r="BW45" s="76"/>
      <c r="BX45" s="76"/>
      <c r="BY45" s="76"/>
      <c r="BZ45" s="76"/>
      <c r="CA45" s="76"/>
      <c r="CB45" s="76"/>
      <c r="CC45" s="76"/>
      <c r="CD45" s="76"/>
      <c r="CE45" s="76"/>
      <c r="CF45" s="76"/>
      <c r="CG45" s="76"/>
      <c r="CH45" s="76"/>
      <c r="CI45" s="76"/>
      <c r="CJ45" s="76"/>
      <c r="CK45" s="76"/>
      <c r="CL45" s="76"/>
      <c r="CM45" s="76"/>
      <c r="CN45" s="76"/>
      <c r="CO45" s="76"/>
      <c r="CP45" s="76"/>
      <c r="CQ45" s="76"/>
      <c r="CR45" s="76"/>
      <c r="CS45" s="76"/>
      <c r="CT45" s="76"/>
      <c r="CU45" s="76"/>
      <c r="CV45" s="76"/>
      <c r="CW45" s="76"/>
      <c r="CX45" s="76"/>
      <c r="CY45" s="76"/>
      <c r="CZ45" s="76"/>
      <c r="DA45" s="76"/>
      <c r="DB45" s="76"/>
      <c r="DC45" s="76"/>
      <c r="DD45" s="76"/>
      <c r="DE45" s="76"/>
      <c r="DF45" s="76"/>
      <c r="DG45" s="76"/>
      <c r="DH45" s="76"/>
      <c r="DI45" s="76"/>
      <c r="DJ45" s="76"/>
      <c r="DK45" s="76"/>
      <c r="DL45" s="76"/>
      <c r="DM45" s="76"/>
      <c r="DN45" s="76"/>
      <c r="DO45" s="76"/>
      <c r="DP45" s="76"/>
      <c r="DQ45" s="76"/>
      <c r="DR45" s="76"/>
      <c r="DS45" s="76"/>
      <c r="DT45" s="76"/>
      <c r="DU45" s="76"/>
      <c r="DV45" s="76"/>
      <c r="DW45" s="76"/>
      <c r="DX45" s="76"/>
      <c r="DY45" s="76"/>
      <c r="DZ45" s="76"/>
      <c r="EA45" s="76"/>
      <c r="EB45" s="76"/>
      <c r="EC45" s="76"/>
      <c r="ED45" s="76"/>
      <c r="EE45" s="76"/>
      <c r="EF45" s="76"/>
      <c r="EG45" s="76"/>
      <c r="EH45" s="76"/>
      <c r="EI45" s="76"/>
      <c r="EJ45" s="76"/>
      <c r="EK45" s="76"/>
      <c r="EL45" s="76"/>
      <c r="EM45" s="76"/>
      <c r="EN45" s="76"/>
      <c r="EO45" s="76"/>
      <c r="EP45" s="76"/>
      <c r="EQ45" s="76"/>
      <c r="ER45" s="76"/>
      <c r="ES45" s="76"/>
      <c r="ET45" s="76"/>
      <c r="EU45" s="76"/>
      <c r="EV45" s="76"/>
      <c r="EW45" s="76"/>
      <c r="EX45" s="76"/>
      <c r="EY45" s="76"/>
      <c r="EZ45" s="76"/>
      <c r="FA45" s="76"/>
      <c r="FB45" s="76"/>
      <c r="FC45" s="76"/>
      <c r="FD45" s="76"/>
      <c r="FE45" s="76"/>
      <c r="FF45" s="76"/>
      <c r="FG45" s="76"/>
      <c r="FH45" s="76"/>
      <c r="FI45" s="76"/>
      <c r="FJ45" s="76"/>
      <c r="FK45" s="76"/>
      <c r="FL45" s="76"/>
      <c r="FM45" s="76"/>
      <c r="FN45" s="76"/>
      <c r="FO45" s="76"/>
      <c r="FP45" s="76"/>
      <c r="FQ45" s="76"/>
      <c r="FR45" s="76"/>
      <c r="FS45" s="76"/>
      <c r="FT45" s="76"/>
      <c r="FU45" s="76"/>
      <c r="FV45" s="76"/>
      <c r="FW45" s="76"/>
      <c r="FX45" s="76"/>
      <c r="FY45" s="76"/>
      <c r="FZ45" s="76"/>
      <c r="GA45" s="76"/>
      <c r="GB45" s="76"/>
      <c r="GC45" s="76"/>
      <c r="GD45" s="76"/>
      <c r="GE45" s="76"/>
      <c r="GF45" s="76"/>
      <c r="GG45" s="76"/>
      <c r="GH45" s="76"/>
      <c r="GI45" s="76"/>
      <c r="GJ45" s="76"/>
      <c r="GK45" s="76"/>
      <c r="GL45" s="76"/>
      <c r="GM45" s="76"/>
      <c r="GN45" s="76"/>
      <c r="GO45" s="76"/>
      <c r="GP45" s="76"/>
      <c r="GQ45" s="76"/>
      <c r="GR45" s="76"/>
      <c r="GS45" s="76"/>
      <c r="GT45" s="76"/>
      <c r="GU45" s="76"/>
      <c r="GV45" s="76"/>
      <c r="GW45" s="76"/>
      <c r="GX45" s="76"/>
      <c r="GY45" s="76"/>
      <c r="GZ45" s="76"/>
      <c r="HA45" s="76"/>
      <c r="HB45" s="76"/>
      <c r="HC45" s="76"/>
      <c r="HD45" s="76"/>
      <c r="HE45" s="76"/>
      <c r="HF45" s="76"/>
      <c r="HG45" s="76"/>
      <c r="HH45" s="76"/>
      <c r="HI45" s="76"/>
      <c r="HJ45" s="76"/>
      <c r="HK45" s="76"/>
      <c r="HL45" s="76"/>
      <c r="HM45" s="76"/>
      <c r="HN45" s="76"/>
      <c r="HO45" s="76"/>
      <c r="HP45" s="76"/>
      <c r="HQ45" s="76"/>
      <c r="HR45" s="76"/>
      <c r="HS45" s="76"/>
      <c r="HT45" s="76"/>
      <c r="HU45" s="76"/>
      <c r="HV45" s="76"/>
      <c r="HW45" s="76"/>
      <c r="HX45" s="76"/>
      <c r="HY45" s="76"/>
      <c r="HZ45" s="76"/>
      <c r="IA45" s="76"/>
      <c r="IB45" s="76"/>
      <c r="IC45" s="76"/>
      <c r="ID45" s="76"/>
      <c r="IE45" s="76"/>
      <c r="IF45" s="76"/>
      <c r="IG45" s="76"/>
      <c r="IH45" s="76"/>
      <c r="II45" s="76"/>
      <c r="IJ45" s="76"/>
      <c r="IK45" s="76"/>
      <c r="IL45" s="76"/>
      <c r="IM45" s="76"/>
      <c r="IN45" s="76"/>
      <c r="IO45" s="76"/>
      <c r="IP45" s="76"/>
      <c r="IQ45" s="76"/>
      <c r="IR45" s="76"/>
      <c r="IS45" s="76"/>
      <c r="IT45" s="76"/>
      <c r="IU45" s="76"/>
      <c r="IV45" s="76"/>
      <c r="IW45" s="76"/>
      <c r="IX45" s="76"/>
      <c r="IY45" s="76"/>
      <c r="IZ45" s="76"/>
      <c r="JA45" s="76"/>
      <c r="JB45" s="76"/>
      <c r="JC45" s="76"/>
      <c r="JD45" s="76"/>
      <c r="JE45" s="76"/>
      <c r="JF45" s="76"/>
      <c r="JG45" s="76"/>
      <c r="JH45" s="76"/>
      <c r="JI45" s="76"/>
      <c r="JJ45" s="76"/>
      <c r="JK45" s="76"/>
      <c r="JL45" s="76"/>
      <c r="JM45" s="76"/>
      <c r="JN45" s="76"/>
      <c r="JO45" s="76"/>
      <c r="JP45" s="76"/>
      <c r="JQ45" s="76"/>
      <c r="JR45" s="76"/>
      <c r="JS45" s="76"/>
      <c r="JT45" s="76"/>
      <c r="JU45" s="76"/>
      <c r="JV45" s="76"/>
      <c r="JW45" s="76"/>
      <c r="JX45" s="76"/>
      <c r="JY45" s="76"/>
      <c r="JZ45" s="76"/>
      <c r="KA45" s="76"/>
      <c r="KB45" s="76"/>
      <c r="KC45" s="76"/>
      <c r="KD45" s="76"/>
      <c r="KE45" s="76"/>
      <c r="KF45" s="76"/>
      <c r="KG45" s="76"/>
      <c r="KH45" s="76"/>
      <c r="KI45" s="76"/>
      <c r="KJ45" s="76"/>
      <c r="KK45" s="76"/>
      <c r="KL45" s="76"/>
      <c r="KM45" s="76"/>
      <c r="KN45" s="76"/>
      <c r="KO45" s="76"/>
      <c r="KP45" s="76"/>
      <c r="KQ45" s="76"/>
      <c r="KR45" s="76"/>
      <c r="KS45" s="76"/>
      <c r="KT45" s="76"/>
      <c r="KU45" s="76"/>
      <c r="KV45" s="76"/>
      <c r="KW45" s="76"/>
      <c r="KX45" s="76"/>
      <c r="KY45" s="76"/>
      <c r="KZ45" s="76"/>
      <c r="LA45" s="76"/>
      <c r="LB45" s="76"/>
      <c r="LC45" s="76"/>
      <c r="LD45" s="76"/>
      <c r="LE45" s="76"/>
      <c r="LF45" s="76"/>
      <c r="LG45" s="76"/>
      <c r="LH45" s="76"/>
      <c r="LI45" s="76"/>
      <c r="LJ45" s="76"/>
      <c r="LK45" s="76"/>
      <c r="LL45" s="76"/>
      <c r="LM45" s="76"/>
      <c r="LN45" s="76"/>
      <c r="LO45" s="76"/>
      <c r="LP45" s="76"/>
      <c r="LQ45" s="76"/>
      <c r="LR45" s="76"/>
      <c r="LS45" s="76"/>
      <c r="LT45" s="76"/>
      <c r="LU45" s="76"/>
      <c r="LV45" s="76"/>
      <c r="LW45" s="76"/>
      <c r="LX45" s="76"/>
      <c r="LY45" s="76"/>
      <c r="LZ45" s="76"/>
      <c r="MA45" s="76"/>
      <c r="MB45" s="76"/>
      <c r="MC45" s="76"/>
      <c r="MD45" s="76"/>
      <c r="ME45" s="76"/>
      <c r="MF45" s="76"/>
      <c r="MG45" s="76"/>
      <c r="MH45" s="76"/>
      <c r="MI45" s="76"/>
      <c r="MJ45" s="76"/>
      <c r="MK45" s="76"/>
      <c r="ML45" s="76"/>
      <c r="MM45" s="76"/>
      <c r="MN45" s="76"/>
      <c r="MO45" s="76"/>
      <c r="MP45" s="76"/>
      <c r="MQ45" s="76"/>
      <c r="MR45" s="76"/>
      <c r="MS45" s="76"/>
      <c r="MT45" s="76"/>
      <c r="MU45" s="76"/>
      <c r="MV45" s="76"/>
      <c r="MW45" s="76"/>
      <c r="MX45" s="76"/>
      <c r="MY45" s="76"/>
      <c r="MZ45" s="76"/>
      <c r="NA45" s="76"/>
      <c r="NB45" s="76"/>
      <c r="NC45" s="76"/>
      <c r="ND45" s="76"/>
      <c r="NE45" s="76"/>
      <c r="NF45" s="76"/>
      <c r="NG45" s="76"/>
      <c r="NH45" s="76"/>
      <c r="NI45" s="76"/>
      <c r="NJ45" s="76"/>
      <c r="NK45" s="76"/>
      <c r="NL45" s="76"/>
      <c r="NM45" s="76"/>
      <c r="NN45" s="76"/>
      <c r="NO45" s="76"/>
      <c r="NP45" s="76"/>
      <c r="NQ45" s="76"/>
      <c r="NR45" s="76"/>
      <c r="NS45" s="76"/>
      <c r="NT45" s="76"/>
      <c r="NU45" s="76"/>
      <c r="NV45" s="76"/>
      <c r="NW45" s="76"/>
      <c r="NX45" s="76"/>
      <c r="NY45" s="76"/>
      <c r="NZ45" s="76"/>
      <c r="OA45" s="76"/>
      <c r="OB45" s="76"/>
      <c r="OC45" s="76"/>
      <c r="OD45" s="76"/>
      <c r="OE45" s="76"/>
      <c r="OF45" s="76"/>
      <c r="OG45" s="76"/>
      <c r="OH45" s="76"/>
      <c r="OI45" s="76"/>
      <c r="OJ45" s="76"/>
      <c r="OK45" s="76"/>
      <c r="OL45" s="76"/>
      <c r="OM45" s="76"/>
      <c r="ON45" s="76"/>
      <c r="OO45" s="76"/>
      <c r="OP45" s="76"/>
      <c r="OQ45" s="76"/>
      <c r="OR45" s="76"/>
      <c r="OS45" s="76"/>
      <c r="OT45" s="76"/>
      <c r="OU45" s="76"/>
      <c r="OV45" s="76"/>
      <c r="OW45" s="76"/>
      <c r="OX45" s="76"/>
      <c r="OY45" s="76"/>
      <c r="OZ45" s="76"/>
      <c r="PA45" s="76"/>
      <c r="PB45" s="76"/>
      <c r="PC45" s="76"/>
      <c r="PD45" s="76"/>
      <c r="PE45" s="76"/>
      <c r="PF45" s="76"/>
      <c r="PG45" s="76"/>
      <c r="PH45" s="76"/>
      <c r="PI45" s="76"/>
      <c r="PJ45" s="76"/>
      <c r="PK45" s="76"/>
      <c r="PL45" s="76"/>
      <c r="PM45" s="76"/>
      <c r="PN45" s="76"/>
      <c r="PO45" s="76"/>
      <c r="PP45" s="76"/>
      <c r="PQ45" s="76"/>
      <c r="PR45" s="76"/>
      <c r="PS45" s="76"/>
      <c r="PT45" s="76"/>
      <c r="PU45" s="76"/>
      <c r="PV45" s="76"/>
      <c r="PW45" s="76"/>
      <c r="PX45" s="76"/>
      <c r="PY45" s="76"/>
      <c r="PZ45" s="76"/>
      <c r="QA45" s="76"/>
      <c r="QB45" s="76"/>
      <c r="QC45" s="76"/>
      <c r="QD45" s="76"/>
      <c r="QE45" s="76"/>
      <c r="QF45" s="76"/>
      <c r="QG45" s="76"/>
      <c r="QH45" s="76"/>
      <c r="QI45" s="76"/>
      <c r="QJ45" s="76"/>
      <c r="QK45" s="76"/>
      <c r="QL45" s="76"/>
      <c r="QM45" s="76"/>
      <c r="QN45" s="76"/>
      <c r="QO45" s="76"/>
      <c r="QP45" s="76"/>
      <c r="QQ45" s="76"/>
      <c r="QR45" s="76"/>
      <c r="QS45" s="76"/>
      <c r="QT45" s="76"/>
      <c r="QU45" s="76"/>
      <c r="QV45" s="76"/>
      <c r="QW45" s="76"/>
      <c r="QX45" s="76"/>
      <c r="QY45" s="76"/>
      <c r="QZ45" s="76"/>
      <c r="RA45" s="76"/>
      <c r="RB45" s="76"/>
      <c r="RC45" s="76"/>
      <c r="RD45" s="76"/>
      <c r="RE45" s="76"/>
      <c r="RF45" s="76"/>
      <c r="RG45" s="76"/>
      <c r="RH45" s="76"/>
      <c r="RI45" s="76"/>
      <c r="RJ45" s="76"/>
      <c r="RK45" s="76"/>
      <c r="RL45" s="76"/>
      <c r="RM45" s="76"/>
      <c r="RN45" s="76"/>
      <c r="RO45" s="76"/>
      <c r="RP45" s="76"/>
      <c r="RQ45" s="76"/>
      <c r="RR45" s="76"/>
      <c r="RS45" s="76"/>
      <c r="RT45" s="76"/>
      <c r="RU45" s="76"/>
      <c r="RV45" s="76"/>
      <c r="RW45" s="76"/>
      <c r="RX45" s="76"/>
      <c r="RY45" s="76"/>
      <c r="RZ45" s="76"/>
      <c r="SA45" s="76"/>
      <c r="SB45" s="76"/>
      <c r="SC45" s="76"/>
      <c r="SD45" s="76"/>
      <c r="SE45" s="76"/>
      <c r="SF45" s="76"/>
      <c r="SG45" s="76"/>
      <c r="SH45" s="76"/>
      <c r="SI45" s="76"/>
      <c r="SJ45" s="76"/>
      <c r="SK45" s="76"/>
      <c r="SL45" s="76"/>
      <c r="SM45" s="76"/>
      <c r="SN45" s="76"/>
      <c r="SO45" s="76"/>
      <c r="SP45" s="76"/>
      <c r="SQ45" s="76"/>
      <c r="SR45" s="76"/>
      <c r="SS45" s="76"/>
      <c r="ST45" s="76"/>
      <c r="SU45" s="76"/>
      <c r="SV45" s="76"/>
      <c r="SW45" s="76"/>
      <c r="SX45" s="76"/>
      <c r="SY45" s="76"/>
      <c r="SZ45" s="76"/>
      <c r="TA45" s="76"/>
      <c r="TB45" s="76"/>
      <c r="TC45" s="76"/>
      <c r="TD45" s="76"/>
      <c r="TE45" s="76"/>
      <c r="TF45" s="76"/>
      <c r="TG45" s="76"/>
      <c r="TH45" s="76"/>
      <c r="TI45" s="76"/>
      <c r="TJ45" s="76"/>
      <c r="TK45" s="76"/>
      <c r="TL45" s="76"/>
      <c r="TM45" s="76"/>
      <c r="TN45" s="76"/>
      <c r="TO45" s="76"/>
      <c r="TP45" s="76"/>
      <c r="TQ45" s="76"/>
      <c r="TR45" s="76"/>
      <c r="TS45" s="76"/>
      <c r="TT45" s="76"/>
      <c r="TU45" s="76"/>
      <c r="TV45" s="76"/>
      <c r="TW45" s="76"/>
      <c r="TX45" s="76"/>
      <c r="TY45" s="76"/>
      <c r="TZ45" s="76"/>
      <c r="UA45" s="76"/>
      <c r="UB45" s="76"/>
      <c r="UC45" s="76"/>
      <c r="UD45" s="76"/>
      <c r="UE45" s="76"/>
      <c r="UF45" s="76"/>
      <c r="UG45" s="76"/>
      <c r="UH45" s="76"/>
      <c r="UI45" s="76"/>
      <c r="UJ45" s="76"/>
      <c r="UK45" s="76"/>
      <c r="UL45" s="76"/>
      <c r="UM45" s="76"/>
      <c r="UN45" s="76"/>
      <c r="UO45" s="76"/>
      <c r="UP45" s="76"/>
      <c r="UQ45" s="76"/>
      <c r="UR45" s="76"/>
      <c r="US45" s="76"/>
      <c r="UT45" s="76"/>
      <c r="UU45" s="76"/>
      <c r="UV45" s="76"/>
      <c r="UW45" s="76"/>
      <c r="UX45" s="76"/>
      <c r="UY45" s="76"/>
      <c r="UZ45" s="76"/>
      <c r="VA45" s="76"/>
      <c r="VB45" s="76"/>
      <c r="VC45" s="76"/>
      <c r="VD45" s="76"/>
      <c r="VE45" s="76"/>
      <c r="VF45" s="76"/>
      <c r="VG45" s="76"/>
      <c r="VH45" s="76"/>
      <c r="VI45" s="76"/>
      <c r="VJ45" s="76"/>
      <c r="VK45" s="76"/>
      <c r="VL45" s="76"/>
      <c r="VM45" s="76"/>
      <c r="VN45" s="76"/>
      <c r="VO45" s="76"/>
      <c r="VP45" s="76"/>
      <c r="VQ45" s="76"/>
      <c r="VR45" s="76"/>
      <c r="VS45" s="76"/>
      <c r="VT45" s="76"/>
      <c r="VU45" s="76"/>
      <c r="VV45" s="76"/>
      <c r="VW45" s="76"/>
      <c r="VX45" s="76"/>
      <c r="VY45" s="76"/>
      <c r="VZ45" s="76"/>
      <c r="WA45" s="76"/>
      <c r="WB45" s="76"/>
      <c r="WC45" s="76"/>
      <c r="WD45" s="76"/>
      <c r="WE45" s="76"/>
      <c r="WF45" s="76"/>
      <c r="WG45" s="76"/>
      <c r="WH45" s="76"/>
      <c r="WI45" s="76"/>
      <c r="WJ45" s="76"/>
      <c r="WK45" s="76"/>
      <c r="WL45" s="76"/>
      <c r="WM45" s="76"/>
      <c r="WN45" s="76"/>
      <c r="WO45" s="76"/>
      <c r="WP45" s="76"/>
      <c r="WQ45" s="76"/>
      <c r="WR45" s="76"/>
      <c r="WS45" s="76"/>
      <c r="WT45" s="76"/>
      <c r="WU45" s="76"/>
      <c r="WV45" s="76"/>
      <c r="WW45" s="76"/>
      <c r="WX45" s="76"/>
      <c r="WY45" s="76"/>
      <c r="WZ45" s="76"/>
      <c r="XA45" s="76"/>
      <c r="XB45" s="76"/>
      <c r="XC45" s="76"/>
      <c r="XD45" s="76"/>
      <c r="XE45" s="76"/>
      <c r="XF45" s="76"/>
      <c r="XG45" s="76"/>
      <c r="XH45" s="76"/>
      <c r="XI45" s="76"/>
      <c r="XJ45" s="76"/>
      <c r="XK45" s="76"/>
      <c r="XL45" s="76"/>
      <c r="XM45" s="76"/>
      <c r="XN45" s="76"/>
      <c r="XO45" s="76"/>
      <c r="XP45" s="76"/>
      <c r="XQ45" s="76"/>
      <c r="XR45" s="76"/>
      <c r="XS45" s="76"/>
      <c r="XT45" s="76"/>
      <c r="XU45" s="76"/>
      <c r="XV45" s="76"/>
      <c r="XW45" s="76"/>
      <c r="XX45" s="76"/>
      <c r="XY45" s="76"/>
      <c r="XZ45" s="76"/>
      <c r="YA45" s="76"/>
      <c r="YB45" s="76"/>
      <c r="YC45" s="76"/>
      <c r="YD45" s="76"/>
      <c r="YE45" s="76"/>
      <c r="YF45" s="76"/>
      <c r="YG45" s="76"/>
      <c r="YH45" s="76"/>
      <c r="YI45" s="76"/>
      <c r="YJ45" s="76"/>
      <c r="YK45" s="76"/>
      <c r="YL45" s="76"/>
      <c r="YM45" s="76"/>
      <c r="YN45" s="76"/>
      <c r="YO45" s="76"/>
      <c r="YP45" s="76"/>
      <c r="YQ45" s="76"/>
      <c r="YR45" s="76"/>
      <c r="YS45" s="76"/>
      <c r="YT45" s="76"/>
      <c r="YU45" s="76"/>
      <c r="YV45" s="76"/>
      <c r="YW45" s="76"/>
      <c r="YX45" s="76"/>
      <c r="YY45" s="76"/>
      <c r="YZ45" s="76"/>
      <c r="ZA45" s="76"/>
      <c r="ZB45" s="76"/>
      <c r="ZC45" s="76"/>
      <c r="ZD45" s="76"/>
      <c r="ZE45" s="76"/>
      <c r="ZF45" s="76"/>
      <c r="ZG45" s="76"/>
      <c r="ZH45" s="76"/>
      <c r="ZI45" s="76"/>
      <c r="ZJ45" s="76"/>
      <c r="ZK45" s="76"/>
      <c r="ZL45" s="76"/>
      <c r="ZM45" s="76"/>
      <c r="ZN45" s="76"/>
      <c r="ZO45" s="76"/>
      <c r="ZP45" s="76"/>
      <c r="ZQ45" s="76"/>
      <c r="ZR45" s="76"/>
      <c r="ZS45" s="76"/>
      <c r="ZT45" s="76"/>
      <c r="ZU45" s="76"/>
      <c r="ZV45" s="76"/>
      <c r="ZW45" s="76"/>
      <c r="ZX45" s="76"/>
      <c r="ZY45" s="76"/>
      <c r="ZZ45" s="76"/>
      <c r="AAA45" s="76"/>
      <c r="AAB45" s="76"/>
      <c r="AAC45" s="76"/>
      <c r="AAD45" s="76"/>
      <c r="AAE45" s="76"/>
      <c r="AAF45" s="76"/>
      <c r="AAG45" s="76"/>
      <c r="AAH45" s="76"/>
      <c r="AAI45" s="76"/>
      <c r="AAJ45" s="76"/>
      <c r="AAK45" s="76"/>
      <c r="AAL45" s="76"/>
      <c r="AAM45" s="76"/>
      <c r="AAN45" s="76"/>
      <c r="AAO45" s="76"/>
      <c r="AAP45" s="76"/>
      <c r="AAQ45" s="76"/>
      <c r="AAR45" s="76"/>
      <c r="AAS45" s="76"/>
      <c r="AAT45" s="76"/>
      <c r="AAU45" s="76"/>
      <c r="AAV45" s="76"/>
      <c r="AAW45" s="76"/>
      <c r="AAX45" s="76"/>
      <c r="AAY45" s="76"/>
      <c r="AAZ45" s="76"/>
      <c r="ABA45" s="76"/>
      <c r="ABB45" s="76"/>
      <c r="ABC45" s="76"/>
      <c r="ABD45" s="76"/>
      <c r="ABE45" s="76"/>
      <c r="ABF45" s="76"/>
      <c r="ABG45" s="76"/>
      <c r="ABH45" s="76"/>
      <c r="ABI45" s="76"/>
      <c r="ABJ45" s="76"/>
      <c r="ABK45" s="76"/>
      <c r="ABL45" s="76"/>
      <c r="ABM45" s="76"/>
      <c r="ABN45" s="76"/>
      <c r="ABO45" s="76"/>
      <c r="ABP45" s="76"/>
      <c r="ABQ45" s="76"/>
      <c r="ABR45" s="76"/>
      <c r="ABS45" s="76"/>
      <c r="ABT45" s="76"/>
      <c r="ABU45" s="76"/>
      <c r="ABV45" s="76"/>
      <c r="ABW45" s="76"/>
      <c r="ABX45" s="76"/>
      <c r="ABY45" s="76"/>
      <c r="ABZ45" s="76"/>
      <c r="ACA45" s="76"/>
      <c r="ACB45" s="76"/>
      <c r="ACC45" s="76"/>
      <c r="ACD45" s="76"/>
      <c r="ACE45" s="76"/>
      <c r="ACF45" s="76"/>
      <c r="ACG45" s="76"/>
      <c r="ACH45" s="76"/>
      <c r="ACI45" s="76"/>
      <c r="ACJ45" s="76"/>
      <c r="ACK45" s="76"/>
      <c r="ACL45" s="76"/>
      <c r="ACM45" s="76"/>
      <c r="ACN45" s="76"/>
      <c r="ACO45" s="76"/>
      <c r="ACP45" s="76"/>
      <c r="ACQ45" s="76"/>
      <c r="ACR45" s="76"/>
      <c r="ACS45" s="76"/>
      <c r="ACT45" s="76"/>
      <c r="ACU45" s="76"/>
      <c r="ACV45" s="76"/>
      <c r="ACW45" s="76"/>
      <c r="ACX45" s="76"/>
      <c r="ACY45" s="76"/>
      <c r="ACZ45" s="76"/>
      <c r="ADA45" s="76"/>
      <c r="ADB45" s="76"/>
      <c r="ADC45" s="76"/>
      <c r="ADD45" s="76"/>
      <c r="ADE45" s="76"/>
      <c r="ADF45" s="76"/>
      <c r="ADG45" s="76"/>
      <c r="ADH45" s="76"/>
      <c r="ADI45" s="76"/>
      <c r="ADJ45" s="76"/>
      <c r="ADK45" s="76"/>
      <c r="ADL45" s="76"/>
      <c r="ADM45" s="76"/>
      <c r="ADN45" s="76"/>
      <c r="ADO45" s="76"/>
      <c r="ADP45" s="76"/>
      <c r="ADQ45" s="76"/>
      <c r="ADR45" s="76"/>
      <c r="ADS45" s="76"/>
      <c r="ADT45" s="76"/>
      <c r="ADU45" s="76"/>
      <c r="ADV45" s="76"/>
      <c r="ADW45" s="76"/>
      <c r="ADX45" s="76"/>
      <c r="ADY45" s="76"/>
      <c r="ADZ45" s="76"/>
      <c r="AEA45" s="76"/>
      <c r="AEB45" s="76"/>
      <c r="AEC45" s="76"/>
      <c r="AED45" s="76"/>
      <c r="AEE45" s="76"/>
      <c r="AEF45" s="76"/>
      <c r="AEG45" s="76"/>
      <c r="AEH45" s="76"/>
      <c r="AEI45" s="76"/>
      <c r="AEJ45" s="76"/>
      <c r="AEK45" s="76"/>
      <c r="AEL45" s="76"/>
      <c r="AEM45" s="76"/>
      <c r="AEN45" s="76"/>
      <c r="AEO45" s="76"/>
      <c r="AEP45" s="76"/>
      <c r="AEQ45" s="76"/>
      <c r="AER45" s="76"/>
      <c r="AES45" s="76"/>
      <c r="AET45" s="76"/>
      <c r="AEU45" s="76"/>
      <c r="AEV45" s="76"/>
      <c r="AEW45" s="76"/>
      <c r="AEX45" s="76"/>
      <c r="AEY45" s="76"/>
      <c r="AEZ45" s="76"/>
      <c r="AFA45" s="76"/>
      <c r="AFB45" s="76"/>
      <c r="AFC45" s="76"/>
      <c r="AFD45" s="76"/>
      <c r="AFE45" s="76"/>
      <c r="AFF45" s="76"/>
      <c r="AFG45" s="76"/>
      <c r="AFH45" s="76"/>
      <c r="AFI45" s="76"/>
      <c r="AFJ45" s="76"/>
      <c r="AFK45" s="76"/>
      <c r="AFL45" s="76"/>
      <c r="AFM45" s="76"/>
      <c r="AFN45" s="76"/>
      <c r="AFO45" s="76"/>
      <c r="AFP45" s="76"/>
      <c r="AFQ45" s="76"/>
      <c r="AFR45" s="76"/>
      <c r="AFS45" s="76"/>
      <c r="AFT45" s="76"/>
      <c r="AFU45" s="76"/>
      <c r="AFV45" s="76"/>
      <c r="AFW45" s="76"/>
      <c r="AFX45" s="76"/>
      <c r="AFY45" s="76"/>
      <c r="AFZ45" s="76"/>
      <c r="AGA45" s="76"/>
      <c r="AGB45" s="76"/>
      <c r="AGC45" s="76"/>
      <c r="AGD45" s="76"/>
      <c r="AGE45" s="76"/>
      <c r="AGF45" s="76"/>
      <c r="AGG45" s="76"/>
      <c r="AGH45" s="76"/>
      <c r="AGI45" s="76"/>
      <c r="AGJ45" s="76"/>
      <c r="AGK45" s="76"/>
      <c r="AGL45" s="76"/>
      <c r="AGM45" s="76"/>
      <c r="AGN45" s="76"/>
      <c r="AGO45" s="76"/>
      <c r="AGP45" s="76"/>
      <c r="AGQ45" s="76"/>
      <c r="AGR45" s="76"/>
      <c r="AGS45" s="76"/>
      <c r="AGT45" s="76"/>
      <c r="AGU45" s="76"/>
      <c r="AGV45" s="76"/>
      <c r="AGW45" s="76"/>
      <c r="AGX45" s="76"/>
      <c r="AGY45" s="76"/>
      <c r="AGZ45" s="76"/>
      <c r="AHA45" s="76"/>
      <c r="AHB45" s="76"/>
      <c r="AHC45" s="76"/>
      <c r="AHD45" s="76"/>
      <c r="AHE45" s="76"/>
      <c r="AHF45" s="76"/>
      <c r="AHG45" s="76"/>
      <c r="AHH45" s="76"/>
      <c r="AHI45" s="76"/>
      <c r="AHJ45" s="76"/>
      <c r="AHK45" s="76"/>
      <c r="AHL45" s="76"/>
      <c r="AHM45" s="76"/>
      <c r="AHN45" s="76"/>
      <c r="AHO45" s="76"/>
      <c r="AHP45" s="76"/>
      <c r="AHQ45" s="76"/>
      <c r="AHR45" s="76"/>
      <c r="AHS45" s="76"/>
      <c r="AHT45" s="76"/>
      <c r="AHU45" s="76"/>
      <c r="AHV45" s="76"/>
      <c r="AHW45" s="76"/>
      <c r="AHX45" s="76"/>
      <c r="AHY45" s="76"/>
      <c r="AHZ45" s="76"/>
      <c r="AIA45" s="76"/>
      <c r="AIB45" s="76"/>
      <c r="AIC45" s="76"/>
      <c r="AID45" s="76"/>
      <c r="AIE45" s="76"/>
      <c r="AIF45" s="76"/>
      <c r="AIG45" s="76"/>
      <c r="AIH45" s="76"/>
      <c r="AII45" s="76"/>
      <c r="AIJ45" s="76"/>
      <c r="AIK45" s="76"/>
      <c r="AIL45" s="76"/>
      <c r="AIM45" s="76"/>
      <c r="AIN45" s="76"/>
      <c r="AIO45" s="76"/>
      <c r="AIP45" s="76"/>
      <c r="AIQ45" s="76"/>
      <c r="AIR45" s="76"/>
      <c r="AIS45" s="76"/>
      <c r="AIT45" s="76"/>
      <c r="AIU45" s="76"/>
      <c r="AIV45" s="76"/>
      <c r="AIW45" s="76"/>
      <c r="AIX45" s="76"/>
      <c r="AIY45" s="76"/>
      <c r="AIZ45" s="76"/>
      <c r="AJA45" s="76"/>
      <c r="AJB45" s="76"/>
      <c r="AJC45" s="76"/>
      <c r="AJD45" s="76"/>
      <c r="AJE45" s="76"/>
      <c r="AJF45" s="76"/>
      <c r="AJG45" s="76"/>
      <c r="AJH45" s="76"/>
      <c r="AJI45" s="76"/>
      <c r="AJJ45" s="76"/>
      <c r="AJK45" s="76"/>
      <c r="AJL45" s="76"/>
      <c r="AJM45" s="76"/>
      <c r="AJN45" s="76"/>
      <c r="AJO45" s="76"/>
      <c r="AJP45" s="76"/>
      <c r="AJQ45" s="76"/>
      <c r="AJR45" s="76"/>
      <c r="AJS45" s="76"/>
      <c r="AJT45" s="76"/>
      <c r="AJU45" s="76"/>
      <c r="AJV45" s="76"/>
      <c r="AJW45" s="76"/>
      <c r="AJX45" s="76"/>
      <c r="AJY45" s="76"/>
      <c r="AJZ45" s="76"/>
      <c r="AKA45" s="76"/>
      <c r="AKB45" s="76"/>
      <c r="AKC45" s="76"/>
      <c r="AKD45" s="76"/>
      <c r="AKE45" s="76"/>
      <c r="AKF45" s="76"/>
      <c r="AKG45" s="76"/>
      <c r="AKH45" s="76"/>
      <c r="AKI45" s="76"/>
      <c r="AKJ45" s="76"/>
      <c r="AKK45" s="76"/>
      <c r="AKL45" s="76"/>
      <c r="AKM45" s="76"/>
      <c r="AKN45" s="76"/>
      <c r="AKO45" s="76"/>
      <c r="AKP45" s="76"/>
      <c r="AKQ45" s="76"/>
      <c r="AKR45" s="76"/>
      <c r="AKS45" s="76"/>
      <c r="AKT45" s="76"/>
      <c r="AKU45" s="76"/>
      <c r="AKV45" s="76"/>
      <c r="AKW45" s="76"/>
      <c r="AKX45" s="76"/>
      <c r="AKY45" s="76"/>
      <c r="AKZ45" s="76"/>
      <c r="ALA45" s="76"/>
      <c r="ALB45" s="76"/>
      <c r="ALC45" s="76"/>
      <c r="ALD45" s="76"/>
      <c r="ALE45" s="76"/>
      <c r="ALF45" s="76"/>
      <c r="ALG45" s="76"/>
      <c r="ALH45" s="76"/>
      <c r="ALI45" s="76"/>
      <c r="ALJ45" s="76"/>
      <c r="ALK45" s="76"/>
      <c r="ALL45" s="76"/>
      <c r="ALM45" s="76"/>
      <c r="ALN45" s="76"/>
      <c r="ALO45" s="76"/>
      <c r="ALP45" s="76"/>
      <c r="ALQ45" s="76"/>
      <c r="ALR45" s="76"/>
      <c r="ALS45" s="76"/>
      <c r="ALT45" s="76"/>
      <c r="ALU45" s="76"/>
      <c r="ALV45" s="76"/>
      <c r="ALW45" s="76"/>
      <c r="ALX45" s="76"/>
      <c r="ALY45" s="76"/>
      <c r="ALZ45" s="76"/>
      <c r="AMA45" s="76"/>
      <c r="AMB45" s="76"/>
      <c r="AMC45" s="76"/>
      <c r="AMD45" s="76"/>
      <c r="AME45" s="76"/>
      <c r="AMF45" s="76"/>
      <c r="AMG45" s="76"/>
      <c r="AMH45" s="76"/>
      <c r="AMI45" s="76"/>
      <c r="AMJ45" s="76"/>
      <c r="AMK45" s="76"/>
      <c r="AML45" s="76"/>
      <c r="AMM45" s="76"/>
      <c r="AMN45" s="76"/>
      <c r="AMO45" s="76"/>
      <c r="AMP45" s="76"/>
      <c r="AMQ45" s="76"/>
      <c r="AMR45" s="76"/>
      <c r="AMS45" s="76"/>
      <c r="AMT45" s="76"/>
      <c r="AMU45" s="76"/>
      <c r="AMV45" s="76"/>
      <c r="AMW45" s="76"/>
      <c r="AMX45" s="76"/>
      <c r="AMY45" s="76"/>
      <c r="AMZ45" s="76"/>
      <c r="ANA45" s="76"/>
      <c r="ANB45" s="76"/>
      <c r="ANC45" s="76"/>
      <c r="AND45" s="76"/>
      <c r="ANE45" s="76"/>
      <c r="ANF45" s="76"/>
      <c r="ANG45" s="76"/>
      <c r="ANH45" s="76"/>
      <c r="ANI45" s="76"/>
      <c r="ANJ45" s="76"/>
      <c r="ANK45" s="76"/>
      <c r="ANL45" s="76"/>
      <c r="ANM45" s="76"/>
      <c r="ANN45" s="76"/>
      <c r="ANO45" s="76"/>
      <c r="ANP45" s="76"/>
      <c r="ANQ45" s="76"/>
      <c r="ANR45" s="76"/>
      <c r="ANS45" s="76"/>
      <c r="ANT45" s="76"/>
      <c r="ANU45" s="76"/>
      <c r="ANV45" s="76"/>
      <c r="ANW45" s="76"/>
      <c r="ANX45" s="76"/>
      <c r="ANY45" s="76"/>
      <c r="ANZ45" s="76"/>
      <c r="AOA45" s="76"/>
      <c r="AOB45" s="76"/>
      <c r="AOC45" s="76"/>
      <c r="AOD45" s="76"/>
      <c r="AOE45" s="76"/>
      <c r="AOF45" s="76"/>
      <c r="AOG45" s="76"/>
      <c r="AOH45" s="76"/>
      <c r="AOI45" s="76"/>
      <c r="AOJ45" s="76"/>
      <c r="AOK45" s="76"/>
      <c r="AOL45" s="76"/>
      <c r="AOM45" s="76"/>
      <c r="AON45" s="76"/>
      <c r="AOO45" s="76"/>
      <c r="AOP45" s="76"/>
      <c r="AOQ45" s="76"/>
      <c r="AOR45" s="76"/>
      <c r="AOS45" s="76"/>
      <c r="AOT45" s="76"/>
      <c r="AOU45" s="76"/>
      <c r="AOV45" s="76"/>
      <c r="AOW45" s="76"/>
      <c r="AOX45" s="76"/>
      <c r="AOY45" s="76"/>
      <c r="AOZ45" s="76"/>
      <c r="APA45" s="76"/>
      <c r="APB45" s="76"/>
      <c r="APC45" s="76"/>
      <c r="APD45" s="76"/>
      <c r="APE45" s="76"/>
      <c r="APF45" s="76"/>
      <c r="APG45" s="76"/>
      <c r="APH45" s="76"/>
      <c r="API45" s="76"/>
      <c r="APJ45" s="76"/>
      <c r="APK45" s="76"/>
      <c r="APL45" s="76"/>
      <c r="APM45" s="76"/>
      <c r="APN45" s="76"/>
      <c r="APO45" s="76"/>
      <c r="APP45" s="76"/>
      <c r="APQ45" s="76"/>
      <c r="APR45" s="76"/>
      <c r="APS45" s="76"/>
      <c r="APT45" s="76"/>
      <c r="APU45" s="76"/>
      <c r="APV45" s="76"/>
      <c r="APW45" s="76"/>
      <c r="APX45" s="76"/>
      <c r="APY45" s="76"/>
      <c r="APZ45" s="76"/>
      <c r="AQA45" s="76"/>
      <c r="AQB45" s="76"/>
      <c r="AQC45" s="76"/>
      <c r="AQD45" s="76"/>
      <c r="AQE45" s="76"/>
      <c r="AQF45" s="76"/>
      <c r="AQG45" s="76"/>
      <c r="AQH45" s="76"/>
      <c r="AQI45" s="76"/>
      <c r="AQJ45" s="76"/>
      <c r="AQK45" s="76"/>
      <c r="AQL45" s="76"/>
      <c r="AQM45" s="76"/>
      <c r="AQN45" s="76"/>
      <c r="AQO45" s="76"/>
      <c r="AQP45" s="76"/>
      <c r="AQQ45" s="76"/>
      <c r="AQR45" s="76"/>
      <c r="AQS45" s="76"/>
      <c r="AQT45" s="76"/>
      <c r="AQU45" s="76"/>
      <c r="AQV45" s="76"/>
      <c r="AQW45" s="76"/>
      <c r="AQX45" s="76"/>
      <c r="AQY45" s="76"/>
      <c r="AQZ45" s="76"/>
      <c r="ARA45" s="76"/>
      <c r="ARB45" s="76"/>
      <c r="ARC45" s="76"/>
      <c r="ARD45" s="76"/>
      <c r="ARE45" s="76"/>
      <c r="ARF45" s="76"/>
      <c r="ARG45" s="76"/>
      <c r="ARH45" s="76"/>
      <c r="ARI45" s="76"/>
      <c r="ARJ45" s="76"/>
      <c r="ARK45" s="76"/>
      <c r="ARL45" s="76"/>
      <c r="ARM45" s="76"/>
      <c r="ARN45" s="76"/>
      <c r="ARO45" s="76"/>
      <c r="ARP45" s="76"/>
      <c r="ARQ45" s="76"/>
      <c r="ARR45" s="76"/>
      <c r="ARS45" s="76"/>
      <c r="ART45" s="76"/>
      <c r="ARU45" s="76"/>
      <c r="ARV45" s="76"/>
      <c r="ARW45" s="76"/>
      <c r="ARX45" s="76"/>
      <c r="ARY45" s="76"/>
      <c r="ARZ45" s="76"/>
      <c r="ASA45" s="76"/>
      <c r="ASB45" s="76"/>
      <c r="ASC45" s="76"/>
      <c r="ASD45" s="76"/>
      <c r="ASE45" s="76"/>
      <c r="ASF45" s="76"/>
      <c r="ASG45" s="76"/>
      <c r="ASH45" s="76"/>
      <c r="ASI45" s="76"/>
      <c r="ASJ45" s="76"/>
      <c r="ASK45" s="76"/>
      <c r="ASL45" s="76"/>
      <c r="ASM45" s="76"/>
      <c r="ASN45" s="76"/>
      <c r="ASO45" s="76"/>
      <c r="ASP45" s="76"/>
      <c r="ASQ45" s="76"/>
      <c r="ASR45" s="76"/>
      <c r="ASS45" s="76"/>
      <c r="AST45" s="76"/>
      <c r="ASU45" s="76"/>
      <c r="ASV45" s="76"/>
      <c r="ASW45" s="76"/>
      <c r="ASX45" s="76"/>
      <c r="ASY45" s="76"/>
      <c r="ASZ45" s="76"/>
      <c r="ATA45" s="76"/>
      <c r="ATB45" s="76"/>
      <c r="ATC45" s="76"/>
      <c r="ATD45" s="76"/>
      <c r="ATE45" s="76"/>
      <c r="ATF45" s="76"/>
      <c r="ATG45" s="76"/>
      <c r="ATH45" s="76"/>
      <c r="ATI45" s="76"/>
      <c r="ATJ45" s="76"/>
      <c r="ATK45" s="76"/>
      <c r="ATL45" s="76"/>
      <c r="ATM45" s="76"/>
      <c r="ATN45" s="76"/>
      <c r="ATO45" s="76"/>
      <c r="ATP45" s="76"/>
      <c r="ATQ45" s="76"/>
      <c r="ATR45" s="76"/>
      <c r="ATS45" s="76"/>
      <c r="ATT45" s="76"/>
      <c r="ATU45" s="76"/>
      <c r="ATV45" s="76"/>
      <c r="ATW45" s="76"/>
      <c r="ATX45" s="76"/>
      <c r="ATY45" s="76"/>
      <c r="ATZ45" s="76"/>
      <c r="AUA45" s="76"/>
      <c r="AUB45" s="76"/>
      <c r="AUC45" s="76"/>
      <c r="AUD45" s="76"/>
      <c r="AUE45" s="76"/>
      <c r="AUF45" s="76"/>
      <c r="AUG45" s="76"/>
      <c r="AUH45" s="76"/>
      <c r="AUI45" s="76"/>
      <c r="AUJ45" s="76"/>
      <c r="AUK45" s="76"/>
      <c r="AUL45" s="76"/>
      <c r="AUM45" s="76"/>
      <c r="AUN45" s="76"/>
      <c r="AUO45" s="76"/>
      <c r="AUP45" s="76"/>
      <c r="AUQ45" s="76"/>
      <c r="AUR45" s="76"/>
      <c r="AUS45" s="76"/>
      <c r="AUT45" s="76"/>
      <c r="AUU45" s="76"/>
      <c r="AUV45" s="76"/>
      <c r="AUW45" s="76"/>
      <c r="AUX45" s="76"/>
      <c r="AUY45" s="76"/>
      <c r="AUZ45" s="76"/>
      <c r="AVA45" s="76"/>
      <c r="AVB45" s="76"/>
      <c r="AVC45" s="76"/>
      <c r="AVD45" s="76"/>
      <c r="AVE45" s="76"/>
      <c r="AVF45" s="76"/>
      <c r="AVG45" s="76"/>
      <c r="AVH45" s="76"/>
      <c r="AVI45" s="76"/>
      <c r="AVJ45" s="76"/>
      <c r="AVK45" s="76"/>
      <c r="AVL45" s="76"/>
      <c r="AVM45" s="76"/>
      <c r="AVN45" s="76"/>
      <c r="AVO45" s="76"/>
      <c r="AVP45" s="76"/>
      <c r="AVQ45" s="76"/>
      <c r="AVR45" s="76"/>
      <c r="AVS45" s="76"/>
      <c r="AVT45" s="76"/>
      <c r="AVU45" s="76"/>
      <c r="AVV45" s="76"/>
      <c r="AVW45" s="76"/>
      <c r="AVX45" s="76"/>
      <c r="AVY45" s="76"/>
      <c r="AVZ45" s="76"/>
      <c r="AWA45" s="76"/>
      <c r="AWB45" s="76"/>
      <c r="AWC45" s="76"/>
      <c r="AWD45" s="76"/>
      <c r="AWE45" s="76"/>
      <c r="AWF45" s="76"/>
      <c r="AWG45" s="76"/>
      <c r="AWH45" s="76"/>
      <c r="AWI45" s="76"/>
      <c r="AWJ45" s="76"/>
      <c r="AWK45" s="76"/>
      <c r="AWL45" s="76"/>
      <c r="AWM45" s="76"/>
      <c r="AWN45" s="76"/>
      <c r="AWO45" s="76"/>
      <c r="AWP45" s="76"/>
      <c r="AWQ45" s="76"/>
      <c r="AWR45" s="76"/>
      <c r="AWS45" s="76"/>
      <c r="AWT45" s="76"/>
      <c r="AWU45" s="76"/>
      <c r="AWV45" s="76"/>
      <c r="AWW45" s="76"/>
      <c r="AWX45" s="76"/>
      <c r="AWY45" s="76"/>
      <c r="AWZ45" s="76"/>
      <c r="AXA45" s="76"/>
      <c r="AXB45" s="76"/>
      <c r="AXC45" s="76"/>
      <c r="AXD45" s="76"/>
      <c r="AXE45" s="76"/>
      <c r="AXF45" s="76"/>
      <c r="AXG45" s="76"/>
      <c r="AXH45" s="76"/>
      <c r="AXI45" s="76"/>
      <c r="AXJ45" s="76"/>
      <c r="AXK45" s="76"/>
      <c r="AXL45" s="76"/>
      <c r="AXM45" s="76"/>
      <c r="AXN45" s="76"/>
      <c r="AXO45" s="76"/>
      <c r="AXP45" s="76"/>
      <c r="AXQ45" s="76"/>
      <c r="AXR45" s="76"/>
      <c r="AXS45" s="76"/>
      <c r="AXT45" s="76"/>
      <c r="AXU45" s="76"/>
      <c r="AXV45" s="76"/>
      <c r="AXW45" s="76"/>
      <c r="AXX45" s="76"/>
      <c r="AXY45" s="76"/>
      <c r="AXZ45" s="76"/>
      <c r="AYA45" s="76"/>
      <c r="AYB45" s="76"/>
      <c r="AYC45" s="76"/>
      <c r="AYD45" s="76"/>
      <c r="AYE45" s="76"/>
      <c r="AYF45" s="76"/>
      <c r="AYG45" s="76"/>
      <c r="AYH45" s="76"/>
      <c r="AYI45" s="76"/>
      <c r="AYJ45" s="76"/>
      <c r="AYK45" s="76"/>
      <c r="AYL45" s="76"/>
      <c r="AYM45" s="76"/>
      <c r="AYN45" s="76"/>
      <c r="AYO45" s="76"/>
      <c r="AYP45" s="76"/>
      <c r="AYQ45" s="76"/>
      <c r="AYR45" s="76"/>
      <c r="AYS45" s="76"/>
      <c r="AYT45" s="76"/>
      <c r="AYU45" s="76"/>
      <c r="AYV45" s="76"/>
      <c r="AYW45" s="76"/>
      <c r="AYX45" s="76"/>
      <c r="AYY45" s="76"/>
      <c r="AYZ45" s="76"/>
      <c r="AZA45" s="76"/>
      <c r="AZB45" s="76"/>
      <c r="AZC45" s="76"/>
      <c r="AZD45" s="76"/>
      <c r="AZE45" s="76"/>
      <c r="AZF45" s="76"/>
      <c r="AZG45" s="76"/>
      <c r="AZH45" s="76"/>
      <c r="AZI45" s="76"/>
      <c r="AZJ45" s="76"/>
      <c r="AZK45" s="76"/>
      <c r="AZL45" s="76"/>
      <c r="AZM45" s="76"/>
      <c r="AZN45" s="76"/>
      <c r="AZO45" s="76"/>
      <c r="AZP45" s="76"/>
      <c r="AZQ45" s="76"/>
      <c r="AZR45" s="76"/>
      <c r="AZS45" s="76"/>
      <c r="AZT45" s="76"/>
      <c r="AZU45" s="76"/>
      <c r="AZV45" s="76"/>
      <c r="AZW45" s="76"/>
      <c r="AZX45" s="76"/>
      <c r="AZY45" s="76"/>
      <c r="AZZ45" s="76"/>
      <c r="BAA45" s="76"/>
      <c r="BAB45" s="76"/>
      <c r="BAC45" s="76"/>
      <c r="BAD45" s="76"/>
      <c r="BAE45" s="76"/>
      <c r="BAF45" s="76"/>
      <c r="BAG45" s="76"/>
      <c r="BAH45" s="76"/>
      <c r="BAI45" s="76"/>
      <c r="BAJ45" s="76"/>
      <c r="BAK45" s="76"/>
      <c r="BAL45" s="76"/>
      <c r="BAM45" s="76"/>
      <c r="BAN45" s="76"/>
      <c r="BAO45" s="76"/>
      <c r="BAP45" s="76"/>
      <c r="BAQ45" s="76"/>
      <c r="BAR45" s="76"/>
      <c r="BAS45" s="76"/>
      <c r="BAT45" s="76"/>
      <c r="BAU45" s="76"/>
      <c r="BAV45" s="76"/>
      <c r="BAW45" s="76"/>
      <c r="BAX45" s="76"/>
      <c r="BAY45" s="76"/>
      <c r="BAZ45" s="76"/>
      <c r="BBA45" s="76"/>
      <c r="BBB45" s="76"/>
      <c r="BBC45" s="76"/>
      <c r="BBD45" s="76"/>
      <c r="BBE45" s="76"/>
      <c r="BBF45" s="76"/>
      <c r="BBG45" s="76"/>
      <c r="BBH45" s="76"/>
      <c r="BBI45" s="76"/>
      <c r="BBJ45" s="76"/>
      <c r="BBK45" s="76"/>
      <c r="BBL45" s="76"/>
      <c r="BBM45" s="76"/>
      <c r="BBN45" s="76"/>
      <c r="BBO45" s="76"/>
      <c r="BBP45" s="76"/>
      <c r="BBQ45" s="76"/>
      <c r="BBR45" s="76"/>
      <c r="BBS45" s="76"/>
      <c r="BBT45" s="76"/>
      <c r="BBU45" s="76"/>
      <c r="BBV45" s="76"/>
      <c r="BBW45" s="76"/>
      <c r="BBX45" s="76"/>
      <c r="BBY45" s="76"/>
      <c r="BBZ45" s="76"/>
      <c r="BCA45" s="76"/>
      <c r="BCB45" s="76"/>
      <c r="BCC45" s="76"/>
      <c r="BCD45" s="76"/>
      <c r="BCE45" s="76"/>
      <c r="BCF45" s="76"/>
      <c r="BCG45" s="76"/>
      <c r="BCH45" s="76"/>
      <c r="BCI45" s="76"/>
      <c r="BCJ45" s="76"/>
      <c r="BCK45" s="76"/>
      <c r="BCL45" s="76"/>
      <c r="BCM45" s="76"/>
      <c r="BCN45" s="76"/>
      <c r="BCO45" s="76"/>
      <c r="BCP45" s="76"/>
      <c r="BCQ45" s="76"/>
      <c r="BCR45" s="76"/>
      <c r="BCS45" s="76"/>
      <c r="BCT45" s="76"/>
      <c r="BCU45" s="76"/>
      <c r="BCV45" s="76"/>
      <c r="BCW45" s="76"/>
      <c r="BCX45" s="76"/>
      <c r="BCY45" s="76"/>
      <c r="BCZ45" s="76"/>
      <c r="BDA45" s="76"/>
      <c r="BDB45" s="76"/>
      <c r="BDC45" s="76"/>
      <c r="BDD45" s="76"/>
      <c r="BDE45" s="76"/>
      <c r="BDF45" s="76"/>
      <c r="BDG45" s="76"/>
      <c r="BDH45" s="76"/>
      <c r="BDI45" s="76"/>
      <c r="BDJ45" s="76"/>
      <c r="BDK45" s="76"/>
      <c r="BDL45" s="76"/>
      <c r="BDM45" s="76"/>
      <c r="BDN45" s="76"/>
      <c r="BDO45" s="76"/>
      <c r="BDP45" s="76"/>
      <c r="BDQ45" s="76"/>
      <c r="BDR45" s="76"/>
      <c r="BDS45" s="76"/>
      <c r="BDT45" s="76"/>
      <c r="BDU45" s="76"/>
      <c r="BDV45" s="76"/>
      <c r="BDW45" s="76"/>
      <c r="BDX45" s="76"/>
      <c r="BDY45" s="76"/>
      <c r="BDZ45" s="76"/>
      <c r="BEA45" s="76"/>
      <c r="BEB45" s="76"/>
      <c r="BEC45" s="76"/>
      <c r="BED45" s="76"/>
      <c r="BEE45" s="76"/>
      <c r="BEF45" s="76"/>
      <c r="BEG45" s="76"/>
      <c r="BEH45" s="76"/>
      <c r="BEI45" s="76"/>
      <c r="BEJ45" s="76"/>
      <c r="BEK45" s="76"/>
      <c r="BEL45" s="76"/>
      <c r="BEM45" s="76"/>
      <c r="BEN45" s="76"/>
      <c r="BEO45" s="76"/>
      <c r="BEP45" s="76"/>
      <c r="BEQ45" s="76"/>
      <c r="BER45" s="76"/>
      <c r="BES45" s="76"/>
      <c r="BET45" s="76"/>
      <c r="BEU45" s="76"/>
      <c r="BEV45" s="76"/>
      <c r="BEW45" s="76"/>
      <c r="BEX45" s="76"/>
      <c r="BEY45" s="76"/>
      <c r="BEZ45" s="76"/>
      <c r="BFA45" s="76"/>
      <c r="BFB45" s="76"/>
      <c r="BFC45" s="76"/>
      <c r="BFD45" s="76"/>
      <c r="BFE45" s="76"/>
      <c r="BFF45" s="76"/>
      <c r="BFG45" s="76"/>
      <c r="BFH45" s="76"/>
      <c r="BFI45" s="76"/>
      <c r="BFJ45" s="76"/>
      <c r="BFK45" s="76"/>
      <c r="BFL45" s="76"/>
      <c r="BFM45" s="76"/>
      <c r="BFN45" s="76"/>
      <c r="BFO45" s="76"/>
      <c r="BFP45" s="76"/>
      <c r="BFQ45" s="76"/>
      <c r="BFR45" s="76"/>
      <c r="BFS45" s="76"/>
      <c r="BFT45" s="76"/>
      <c r="BFU45" s="76"/>
      <c r="BFV45" s="76"/>
      <c r="BFW45" s="76"/>
      <c r="BFX45" s="76"/>
      <c r="BFY45" s="76"/>
      <c r="BFZ45" s="76"/>
      <c r="BGA45" s="76"/>
      <c r="BGB45" s="76"/>
      <c r="BGC45" s="76"/>
      <c r="BGD45" s="76"/>
      <c r="BGE45" s="76"/>
      <c r="BGF45" s="76"/>
      <c r="BGG45" s="76"/>
      <c r="BGH45" s="76"/>
      <c r="BGI45" s="76"/>
      <c r="BGJ45" s="76"/>
      <c r="BGK45" s="76"/>
      <c r="BGL45" s="76"/>
      <c r="BGM45" s="76"/>
      <c r="BGN45" s="76"/>
      <c r="BGO45" s="76"/>
      <c r="BGP45" s="76"/>
      <c r="BGQ45" s="76"/>
      <c r="BGR45" s="76"/>
      <c r="BGS45" s="76"/>
      <c r="BGT45" s="76"/>
      <c r="BGU45" s="76"/>
      <c r="BGV45" s="76"/>
      <c r="BGW45" s="76"/>
      <c r="BGX45" s="76"/>
      <c r="BGY45" s="76"/>
      <c r="BGZ45" s="76"/>
      <c r="BHA45" s="76"/>
      <c r="BHB45" s="76"/>
      <c r="BHC45" s="76"/>
      <c r="BHD45" s="76"/>
      <c r="BHE45" s="76"/>
      <c r="BHF45" s="76"/>
      <c r="BHG45" s="76"/>
      <c r="BHH45" s="76"/>
      <c r="BHI45" s="76"/>
      <c r="BHJ45" s="76"/>
      <c r="BHK45" s="76"/>
      <c r="BHL45" s="76"/>
      <c r="BHM45" s="76"/>
      <c r="BHN45" s="76"/>
      <c r="BHO45" s="76"/>
      <c r="BHP45" s="76"/>
      <c r="BHQ45" s="76"/>
      <c r="BHR45" s="76"/>
      <c r="BHS45" s="76"/>
      <c r="BHT45" s="76"/>
      <c r="BHU45" s="76"/>
      <c r="BHV45" s="76"/>
      <c r="BHW45" s="76"/>
      <c r="BHX45" s="76"/>
      <c r="BHY45" s="76"/>
      <c r="BHZ45" s="76"/>
      <c r="BIA45" s="76"/>
      <c r="BIB45" s="76"/>
      <c r="BIC45" s="76"/>
      <c r="BID45" s="76"/>
      <c r="BIE45" s="76"/>
      <c r="BIF45" s="76"/>
      <c r="BIG45" s="76"/>
      <c r="BIH45" s="76"/>
      <c r="BII45" s="76"/>
      <c r="BIJ45" s="76"/>
      <c r="BIK45" s="76"/>
      <c r="BIL45" s="76"/>
      <c r="BIM45" s="76"/>
      <c r="BIN45" s="76"/>
      <c r="BIO45" s="76"/>
      <c r="BIP45" s="76"/>
      <c r="BIQ45" s="76"/>
      <c r="BIR45" s="76"/>
      <c r="BIS45" s="76"/>
      <c r="BIT45" s="76"/>
      <c r="BIU45" s="76"/>
      <c r="BIV45" s="76"/>
      <c r="BIW45" s="76"/>
      <c r="BIX45" s="76"/>
      <c r="BIY45" s="76"/>
      <c r="BIZ45" s="76"/>
      <c r="BJA45" s="76"/>
      <c r="BJB45" s="76"/>
      <c r="BJC45" s="76"/>
      <c r="BJD45" s="76"/>
      <c r="BJE45" s="76"/>
      <c r="BJF45" s="76"/>
      <c r="BJG45" s="76"/>
      <c r="BJH45" s="76"/>
      <c r="BJI45" s="76"/>
      <c r="BJJ45" s="76"/>
      <c r="BJK45" s="76"/>
      <c r="BJL45" s="76"/>
      <c r="BJM45" s="76"/>
      <c r="BJN45" s="76"/>
      <c r="BJO45" s="76"/>
      <c r="BJP45" s="76"/>
      <c r="BJQ45" s="76"/>
      <c r="BJR45" s="76"/>
      <c r="BJS45" s="76"/>
      <c r="BJT45" s="76"/>
      <c r="BJU45" s="76"/>
      <c r="BJV45" s="76"/>
      <c r="BJW45" s="76"/>
      <c r="BJX45" s="76"/>
      <c r="BJY45" s="76"/>
      <c r="BJZ45" s="76"/>
      <c r="BKA45" s="76"/>
      <c r="BKB45" s="76"/>
      <c r="BKC45" s="76"/>
      <c r="BKD45" s="76"/>
      <c r="BKE45" s="76"/>
      <c r="BKF45" s="76"/>
      <c r="BKG45" s="76"/>
      <c r="BKH45" s="76"/>
      <c r="BKI45" s="76"/>
      <c r="BKJ45" s="76"/>
      <c r="BKK45" s="76"/>
      <c r="BKL45" s="76"/>
      <c r="BKM45" s="76"/>
      <c r="BKN45" s="76"/>
      <c r="BKO45" s="76"/>
      <c r="BKP45" s="76"/>
      <c r="BKQ45" s="76"/>
      <c r="BKR45" s="76"/>
      <c r="BKS45" s="76"/>
      <c r="BKT45" s="76"/>
      <c r="BKU45" s="76"/>
      <c r="BKV45" s="76"/>
      <c r="BKW45" s="76"/>
      <c r="BKX45" s="76"/>
      <c r="BKY45" s="76"/>
      <c r="BKZ45" s="76"/>
      <c r="BLA45" s="76"/>
      <c r="BLB45" s="76"/>
      <c r="BLC45" s="76"/>
      <c r="BLD45" s="76"/>
      <c r="BLE45" s="76"/>
      <c r="BLF45" s="76"/>
      <c r="BLG45" s="76"/>
      <c r="BLH45" s="76"/>
      <c r="BLI45" s="76"/>
      <c r="BLJ45" s="76"/>
      <c r="BLK45" s="76"/>
      <c r="BLL45" s="76"/>
      <c r="BLM45" s="76"/>
      <c r="BLN45" s="76"/>
      <c r="BLO45" s="76"/>
      <c r="BLP45" s="76"/>
      <c r="BLQ45" s="76"/>
      <c r="BLR45" s="76"/>
      <c r="BLS45" s="76"/>
      <c r="BLT45" s="76"/>
      <c r="BLU45" s="76"/>
      <c r="BLV45" s="76"/>
      <c r="BLW45" s="76"/>
      <c r="BLX45" s="76"/>
      <c r="BLY45" s="76"/>
      <c r="BLZ45" s="76"/>
      <c r="BMA45" s="76"/>
      <c r="BMB45" s="76"/>
      <c r="BMC45" s="76"/>
      <c r="BMD45" s="76"/>
      <c r="BME45" s="76"/>
      <c r="BMF45" s="76"/>
      <c r="BMG45" s="76"/>
      <c r="BMH45" s="76"/>
      <c r="BMI45" s="76"/>
      <c r="BMJ45" s="76"/>
      <c r="BMK45" s="76"/>
      <c r="BML45" s="76"/>
      <c r="BMM45" s="76"/>
      <c r="BMN45" s="76"/>
      <c r="BMO45" s="76"/>
      <c r="BMP45" s="76"/>
      <c r="BMQ45" s="76"/>
      <c r="BMR45" s="76"/>
      <c r="BMS45" s="76"/>
      <c r="BMT45" s="76"/>
      <c r="BMU45" s="76"/>
      <c r="BMV45" s="76"/>
      <c r="BMW45" s="76"/>
      <c r="BMX45" s="76"/>
      <c r="BMY45" s="76"/>
      <c r="BMZ45" s="76"/>
      <c r="BNA45" s="76"/>
      <c r="BNB45" s="76"/>
      <c r="BNC45" s="76"/>
      <c r="BND45" s="76"/>
      <c r="BNE45" s="76"/>
      <c r="BNF45" s="76"/>
      <c r="BNG45" s="76"/>
      <c r="BNH45" s="76"/>
      <c r="BNI45" s="76"/>
      <c r="BNJ45" s="76"/>
      <c r="BNK45" s="76"/>
      <c r="BNL45" s="76"/>
      <c r="BNM45" s="76"/>
      <c r="BNN45" s="76"/>
      <c r="BNO45" s="76"/>
      <c r="BNP45" s="76"/>
      <c r="BNQ45" s="76"/>
      <c r="BNR45" s="76"/>
      <c r="BNS45" s="76"/>
      <c r="BNT45" s="76"/>
      <c r="BNU45" s="76"/>
      <c r="BNV45" s="76"/>
      <c r="BNW45" s="76"/>
      <c r="BNX45" s="76"/>
      <c r="BNY45" s="76"/>
      <c r="BNZ45" s="76"/>
      <c r="BOA45" s="76"/>
      <c r="BOB45" s="76"/>
      <c r="BOC45" s="76"/>
      <c r="BOD45" s="76"/>
      <c r="BOE45" s="76"/>
      <c r="BOF45" s="76"/>
      <c r="BOG45" s="76"/>
      <c r="BOH45" s="76"/>
      <c r="BOI45" s="76"/>
      <c r="BOJ45" s="76"/>
      <c r="BOK45" s="76"/>
      <c r="BOL45" s="76"/>
      <c r="BOM45" s="76"/>
      <c r="BON45" s="76"/>
      <c r="BOO45" s="76"/>
      <c r="BOP45" s="76"/>
      <c r="BOQ45" s="76"/>
      <c r="BOR45" s="76"/>
      <c r="BOS45" s="76"/>
      <c r="BOT45" s="76"/>
      <c r="BOU45" s="76"/>
      <c r="BOV45" s="76"/>
      <c r="BOW45" s="76"/>
      <c r="BOX45" s="76"/>
      <c r="BOY45" s="76"/>
      <c r="BOZ45" s="76"/>
      <c r="BPA45" s="76"/>
      <c r="BPB45" s="76"/>
      <c r="BPC45" s="76"/>
      <c r="BPD45" s="76"/>
      <c r="BPE45" s="76"/>
      <c r="BPF45" s="76"/>
      <c r="BPG45" s="76"/>
      <c r="BPH45" s="76"/>
      <c r="BPI45" s="76"/>
      <c r="BPJ45" s="76"/>
      <c r="BPK45" s="76"/>
      <c r="BPL45" s="76"/>
      <c r="BPM45" s="76"/>
      <c r="BPN45" s="76"/>
      <c r="BPO45" s="76"/>
      <c r="BPP45" s="76"/>
      <c r="BPQ45" s="76"/>
      <c r="BPR45" s="76"/>
      <c r="BPS45" s="76"/>
      <c r="BPT45" s="76"/>
      <c r="BPU45" s="76"/>
      <c r="BPV45" s="76"/>
      <c r="BPW45" s="76"/>
      <c r="BPX45" s="76"/>
      <c r="BPY45" s="76"/>
      <c r="BPZ45" s="76"/>
      <c r="BQA45" s="76"/>
      <c r="BQB45" s="76"/>
      <c r="BQC45" s="76"/>
      <c r="BQD45" s="76"/>
      <c r="BQE45" s="76"/>
      <c r="BQF45" s="76"/>
      <c r="BQG45" s="76"/>
      <c r="BQH45" s="76"/>
      <c r="BQI45" s="76"/>
      <c r="BQJ45" s="76"/>
      <c r="BQK45" s="76"/>
      <c r="BQL45" s="76"/>
      <c r="BQM45" s="76"/>
      <c r="BQN45" s="76"/>
      <c r="BQO45" s="76"/>
      <c r="BQP45" s="76"/>
      <c r="BQQ45" s="76"/>
      <c r="BQR45" s="76"/>
      <c r="BQS45" s="76"/>
      <c r="BQT45" s="76"/>
      <c r="BQU45" s="76"/>
      <c r="BQV45" s="76"/>
      <c r="BQW45" s="76"/>
      <c r="BQX45" s="76"/>
      <c r="BQY45" s="76"/>
      <c r="BQZ45" s="76"/>
      <c r="BRA45" s="76"/>
      <c r="BRB45" s="76"/>
      <c r="BRC45" s="76"/>
      <c r="BRD45" s="76"/>
      <c r="BRE45" s="76"/>
      <c r="BRF45" s="76"/>
      <c r="BRG45" s="76"/>
      <c r="BRH45" s="76"/>
      <c r="BRI45" s="76"/>
      <c r="BRJ45" s="76"/>
      <c r="BRK45" s="76"/>
      <c r="BRL45" s="76"/>
      <c r="BRM45" s="76"/>
      <c r="BRN45" s="76"/>
      <c r="BRO45" s="76"/>
      <c r="BRP45" s="76"/>
      <c r="BRQ45" s="76"/>
      <c r="BRR45" s="76"/>
      <c r="BRS45" s="76"/>
      <c r="BRT45" s="76"/>
      <c r="BRU45" s="76"/>
      <c r="BRV45" s="76"/>
      <c r="BRW45" s="76"/>
      <c r="BRX45" s="76"/>
      <c r="BRY45" s="76"/>
      <c r="BRZ45" s="76"/>
      <c r="BSA45" s="76"/>
      <c r="BSB45" s="76"/>
      <c r="BSC45" s="76"/>
      <c r="BSD45" s="76"/>
      <c r="BSE45" s="76"/>
      <c r="BSF45" s="76"/>
      <c r="BSG45" s="76"/>
      <c r="BSH45" s="76"/>
      <c r="BSI45" s="76"/>
      <c r="BSJ45" s="76"/>
      <c r="BSK45" s="76"/>
      <c r="BSL45" s="76"/>
      <c r="BSM45" s="76"/>
      <c r="BSN45" s="76"/>
      <c r="BSO45" s="76"/>
      <c r="BSP45" s="76"/>
      <c r="BSQ45" s="76"/>
      <c r="BSR45" s="76"/>
      <c r="BSS45" s="76"/>
      <c r="BST45" s="76"/>
      <c r="BSU45" s="76"/>
      <c r="BSV45" s="76"/>
      <c r="BSW45" s="76"/>
      <c r="BSX45" s="76"/>
      <c r="BSY45" s="76"/>
      <c r="BSZ45" s="76"/>
      <c r="BTA45" s="76"/>
      <c r="BTB45" s="76"/>
      <c r="BTC45" s="76"/>
      <c r="BTD45" s="76"/>
      <c r="BTE45" s="76"/>
      <c r="BTF45" s="76"/>
      <c r="BTG45" s="76"/>
      <c r="BTH45" s="76"/>
      <c r="BTI45" s="76"/>
      <c r="BTJ45" s="76"/>
      <c r="BTK45" s="76"/>
      <c r="BTL45" s="76"/>
      <c r="BTM45" s="76"/>
      <c r="BTN45" s="76"/>
      <c r="BTO45" s="76"/>
      <c r="BTP45" s="76"/>
      <c r="BTQ45" s="76"/>
      <c r="BTR45" s="76"/>
      <c r="BTS45" s="76"/>
      <c r="BTT45" s="76"/>
      <c r="BTU45" s="76"/>
      <c r="BTV45" s="76"/>
      <c r="BTW45" s="76"/>
      <c r="BTX45" s="76"/>
      <c r="BTY45" s="76"/>
      <c r="BTZ45" s="76"/>
      <c r="BUA45" s="76"/>
      <c r="BUB45" s="76"/>
      <c r="BUC45" s="76"/>
      <c r="BUD45" s="76"/>
      <c r="BUE45" s="76"/>
      <c r="BUF45" s="76"/>
      <c r="BUG45" s="76"/>
      <c r="BUH45" s="76"/>
      <c r="BUI45" s="76"/>
      <c r="BUJ45" s="76"/>
      <c r="BUK45" s="76"/>
      <c r="BUL45" s="76"/>
      <c r="BUM45" s="76"/>
      <c r="BUN45" s="76"/>
      <c r="BUO45" s="76"/>
      <c r="BUP45" s="76"/>
      <c r="BUQ45" s="76"/>
      <c r="BUR45" s="76"/>
      <c r="BUS45" s="76"/>
      <c r="BUT45" s="76"/>
      <c r="BUU45" s="76"/>
      <c r="BUV45" s="76"/>
      <c r="BUW45" s="76"/>
      <c r="BUX45" s="76"/>
      <c r="BUY45" s="76"/>
      <c r="BUZ45" s="76"/>
      <c r="BVA45" s="76"/>
      <c r="BVB45" s="76"/>
      <c r="BVC45" s="76"/>
      <c r="BVD45" s="76"/>
      <c r="BVE45" s="76"/>
      <c r="BVF45" s="76"/>
      <c r="BVG45" s="76"/>
      <c r="BVH45" s="76"/>
      <c r="BVI45" s="76"/>
      <c r="BVJ45" s="76"/>
      <c r="BVK45" s="76"/>
      <c r="BVL45" s="76"/>
      <c r="BVM45" s="76"/>
      <c r="BVN45" s="76"/>
      <c r="BVO45" s="76"/>
      <c r="BVP45" s="76"/>
      <c r="BVQ45" s="76"/>
      <c r="BVR45" s="76"/>
      <c r="BVS45" s="76"/>
      <c r="BVT45" s="76"/>
      <c r="BVU45" s="76"/>
      <c r="BVV45" s="76"/>
      <c r="BVW45" s="76"/>
      <c r="BVX45" s="76"/>
      <c r="BVY45" s="76"/>
      <c r="BVZ45" s="76"/>
      <c r="BWA45" s="76"/>
      <c r="BWB45" s="76"/>
      <c r="BWC45" s="76"/>
      <c r="BWD45" s="76"/>
      <c r="BWE45" s="76"/>
      <c r="BWF45" s="76"/>
      <c r="BWG45" s="76"/>
      <c r="BWH45" s="76"/>
      <c r="BWI45" s="76"/>
      <c r="BWJ45" s="76"/>
      <c r="BWK45" s="76"/>
      <c r="BWL45" s="76"/>
      <c r="BWM45" s="76"/>
      <c r="BWN45" s="76"/>
      <c r="BWO45" s="76"/>
      <c r="BWP45" s="76"/>
      <c r="BWQ45" s="76"/>
      <c r="BWR45" s="76"/>
      <c r="BWS45" s="76"/>
      <c r="BWT45" s="76"/>
      <c r="BWU45" s="76"/>
      <c r="BWV45" s="76"/>
      <c r="BWW45" s="76"/>
      <c r="BWX45" s="76"/>
      <c r="BWY45" s="76"/>
      <c r="BWZ45" s="76"/>
      <c r="BXA45" s="76"/>
      <c r="BXB45" s="76"/>
      <c r="BXC45" s="76"/>
      <c r="BXD45" s="76"/>
      <c r="BXE45" s="76"/>
      <c r="BXF45" s="76"/>
      <c r="BXG45" s="76"/>
      <c r="BXH45" s="76"/>
      <c r="BXI45" s="76"/>
      <c r="BXJ45" s="76"/>
      <c r="BXK45" s="76"/>
      <c r="BXL45" s="76"/>
      <c r="BXM45" s="76"/>
      <c r="BXN45" s="76"/>
      <c r="BXO45" s="76"/>
      <c r="BXP45" s="76"/>
      <c r="BXQ45" s="76"/>
      <c r="BXR45" s="76"/>
      <c r="BXS45" s="76"/>
      <c r="BXT45" s="76"/>
      <c r="BXU45" s="76"/>
      <c r="BXV45" s="76"/>
      <c r="BXW45" s="76"/>
      <c r="BXX45" s="76"/>
      <c r="BXY45" s="76"/>
      <c r="BXZ45" s="76"/>
      <c r="BYA45" s="76"/>
      <c r="BYB45" s="76"/>
      <c r="BYC45" s="76"/>
      <c r="BYD45" s="76"/>
      <c r="BYE45" s="76"/>
      <c r="BYF45" s="76"/>
      <c r="BYG45" s="76"/>
      <c r="BYH45" s="76"/>
      <c r="BYI45" s="76"/>
      <c r="BYJ45" s="76"/>
      <c r="BYK45" s="76"/>
      <c r="BYL45" s="76"/>
      <c r="BYM45" s="76"/>
      <c r="BYN45" s="76"/>
      <c r="BYO45" s="76"/>
      <c r="BYP45" s="76"/>
      <c r="BYQ45" s="76"/>
      <c r="BYR45" s="76"/>
      <c r="BYS45" s="76"/>
      <c r="BYT45" s="76"/>
      <c r="BYU45" s="76"/>
      <c r="BYV45" s="76"/>
      <c r="BYW45" s="76"/>
      <c r="BYX45" s="76"/>
      <c r="BYY45" s="76"/>
      <c r="BYZ45" s="76"/>
      <c r="BZA45" s="76"/>
      <c r="BZB45" s="76"/>
      <c r="BZC45" s="76"/>
      <c r="BZD45" s="76"/>
      <c r="BZE45" s="76"/>
      <c r="BZF45" s="76"/>
      <c r="BZG45" s="76"/>
      <c r="BZH45" s="76"/>
      <c r="BZI45" s="76"/>
      <c r="BZJ45" s="76"/>
      <c r="BZK45" s="76"/>
      <c r="BZL45" s="76"/>
      <c r="BZM45" s="76"/>
      <c r="BZN45" s="76"/>
      <c r="BZO45" s="76"/>
      <c r="BZP45" s="76"/>
      <c r="BZQ45" s="76"/>
      <c r="BZR45" s="76"/>
      <c r="BZS45" s="76"/>
      <c r="BZT45" s="76"/>
      <c r="BZU45" s="76"/>
      <c r="BZV45" s="76"/>
      <c r="BZW45" s="76"/>
      <c r="BZX45" s="76"/>
      <c r="BZY45" s="76"/>
      <c r="BZZ45" s="76"/>
      <c r="CAA45" s="76"/>
      <c r="CAB45" s="76"/>
      <c r="CAC45" s="76"/>
      <c r="CAD45" s="76"/>
      <c r="CAE45" s="76"/>
      <c r="CAF45" s="76"/>
      <c r="CAG45" s="76"/>
      <c r="CAH45" s="76"/>
      <c r="CAI45" s="76"/>
      <c r="CAJ45" s="76"/>
      <c r="CAK45" s="76"/>
      <c r="CAL45" s="76"/>
      <c r="CAM45" s="76"/>
      <c r="CAN45" s="76"/>
      <c r="CAO45" s="76"/>
      <c r="CAP45" s="76"/>
      <c r="CAQ45" s="76"/>
      <c r="CAR45" s="76"/>
      <c r="CAS45" s="76"/>
      <c r="CAT45" s="76"/>
      <c r="CAU45" s="76"/>
      <c r="CAV45" s="76"/>
      <c r="CAW45" s="76"/>
      <c r="CAX45" s="76"/>
      <c r="CAY45" s="76"/>
      <c r="CAZ45" s="76"/>
      <c r="CBA45" s="76"/>
      <c r="CBB45" s="76"/>
      <c r="CBC45" s="76"/>
      <c r="CBD45" s="76"/>
      <c r="CBE45" s="76"/>
      <c r="CBF45" s="76"/>
      <c r="CBG45" s="76"/>
      <c r="CBH45" s="76"/>
      <c r="CBI45" s="76"/>
      <c r="CBJ45" s="76"/>
      <c r="CBK45" s="76"/>
      <c r="CBL45" s="76"/>
      <c r="CBM45" s="76"/>
      <c r="CBN45" s="76"/>
      <c r="CBO45" s="76"/>
      <c r="CBP45" s="76"/>
      <c r="CBQ45" s="76"/>
      <c r="CBR45" s="76"/>
      <c r="CBS45" s="76"/>
      <c r="CBT45" s="76"/>
      <c r="CBU45" s="76"/>
      <c r="CBV45" s="76"/>
      <c r="CBW45" s="76"/>
      <c r="CBX45" s="76"/>
      <c r="CBY45" s="76"/>
      <c r="CBZ45" s="76"/>
      <c r="CCA45" s="76"/>
      <c r="CCB45" s="76"/>
      <c r="CCC45" s="76"/>
      <c r="CCD45" s="76"/>
      <c r="CCE45" s="76"/>
      <c r="CCF45" s="76"/>
      <c r="CCG45" s="76"/>
      <c r="CCH45" s="76"/>
      <c r="CCI45" s="76"/>
      <c r="CCJ45" s="76"/>
      <c r="CCK45" s="76"/>
      <c r="CCL45" s="76"/>
      <c r="CCM45" s="76"/>
      <c r="CCN45" s="76"/>
      <c r="CCO45" s="76"/>
      <c r="CCP45" s="76"/>
      <c r="CCQ45" s="76"/>
      <c r="CCR45" s="76"/>
      <c r="CCS45" s="76"/>
      <c r="CCT45" s="76"/>
      <c r="CCU45" s="76"/>
      <c r="CCV45" s="76"/>
      <c r="CCW45" s="76"/>
      <c r="CCX45" s="76"/>
      <c r="CCY45" s="76"/>
      <c r="CCZ45" s="76"/>
      <c r="CDA45" s="76"/>
      <c r="CDB45" s="76"/>
      <c r="CDC45" s="76"/>
      <c r="CDD45" s="76"/>
      <c r="CDE45" s="76"/>
      <c r="CDF45" s="76"/>
      <c r="CDG45" s="76"/>
      <c r="CDH45" s="76"/>
      <c r="CDI45" s="76"/>
      <c r="CDJ45" s="76"/>
      <c r="CDK45" s="76"/>
      <c r="CDL45" s="76"/>
      <c r="CDM45" s="76"/>
      <c r="CDN45" s="76"/>
      <c r="CDO45" s="76"/>
      <c r="CDP45" s="76"/>
      <c r="CDQ45" s="76"/>
      <c r="CDR45" s="76"/>
      <c r="CDS45" s="76"/>
      <c r="CDT45" s="76"/>
      <c r="CDU45" s="76"/>
      <c r="CDV45" s="76"/>
      <c r="CDW45" s="76"/>
      <c r="CDX45" s="76"/>
      <c r="CDY45" s="76"/>
      <c r="CDZ45" s="76"/>
      <c r="CEA45" s="76"/>
      <c r="CEB45" s="76"/>
      <c r="CEC45" s="76"/>
      <c r="CED45" s="76"/>
      <c r="CEE45" s="76"/>
      <c r="CEF45" s="76"/>
      <c r="CEG45" s="76"/>
      <c r="CEH45" s="76"/>
      <c r="CEI45" s="76"/>
      <c r="CEJ45" s="76"/>
      <c r="CEK45" s="76"/>
      <c r="CEL45" s="76"/>
      <c r="CEM45" s="76"/>
      <c r="CEN45" s="76"/>
      <c r="CEO45" s="76"/>
      <c r="CEP45" s="76"/>
      <c r="CEQ45" s="76"/>
      <c r="CER45" s="76"/>
      <c r="CES45" s="76"/>
      <c r="CET45" s="76"/>
      <c r="CEU45" s="76"/>
      <c r="CEV45" s="76"/>
      <c r="CEW45" s="76"/>
      <c r="CEX45" s="76"/>
      <c r="CEY45" s="76"/>
      <c r="CEZ45" s="76"/>
      <c r="CFA45" s="76"/>
      <c r="CFB45" s="76"/>
      <c r="CFC45" s="76"/>
      <c r="CFD45" s="76"/>
      <c r="CFE45" s="76"/>
      <c r="CFF45" s="76"/>
      <c r="CFG45" s="76"/>
      <c r="CFH45" s="76"/>
      <c r="CFI45" s="76"/>
      <c r="CFJ45" s="76"/>
      <c r="CFK45" s="76"/>
      <c r="CFL45" s="76"/>
      <c r="CFM45" s="76"/>
      <c r="CFN45" s="76"/>
      <c r="CFO45" s="76"/>
      <c r="CFP45" s="76"/>
      <c r="CFQ45" s="76"/>
      <c r="CFR45" s="76"/>
      <c r="CFS45" s="76"/>
      <c r="CFT45" s="76"/>
      <c r="CFU45" s="76"/>
      <c r="CFV45" s="76"/>
      <c r="CFW45" s="76"/>
      <c r="CFX45" s="76"/>
      <c r="CFY45" s="76"/>
      <c r="CFZ45" s="76"/>
      <c r="CGA45" s="76"/>
      <c r="CGB45" s="76"/>
      <c r="CGC45" s="76"/>
      <c r="CGD45" s="76"/>
      <c r="CGE45" s="76"/>
      <c r="CGF45" s="76"/>
      <c r="CGG45" s="76"/>
      <c r="CGH45" s="76"/>
      <c r="CGI45" s="76"/>
      <c r="CGJ45" s="76"/>
      <c r="CGK45" s="76"/>
      <c r="CGL45" s="76"/>
      <c r="CGM45" s="76"/>
      <c r="CGN45" s="76"/>
      <c r="CGO45" s="76"/>
      <c r="CGP45" s="76"/>
      <c r="CGQ45" s="76"/>
      <c r="CGR45" s="76"/>
      <c r="CGS45" s="76"/>
      <c r="CGT45" s="76"/>
      <c r="CGU45" s="76"/>
      <c r="CGV45" s="76"/>
      <c r="CGW45" s="76"/>
      <c r="CGX45" s="76"/>
      <c r="CGY45" s="76"/>
      <c r="CGZ45" s="76"/>
      <c r="CHA45" s="76"/>
      <c r="CHB45" s="76"/>
      <c r="CHC45" s="76"/>
      <c r="CHD45" s="76"/>
      <c r="CHE45" s="76"/>
      <c r="CHF45" s="76"/>
      <c r="CHG45" s="76"/>
      <c r="CHH45" s="76"/>
      <c r="CHI45" s="76"/>
      <c r="CHJ45" s="76"/>
      <c r="CHK45" s="76"/>
      <c r="CHL45" s="76"/>
      <c r="CHM45" s="76"/>
      <c r="CHN45" s="76"/>
      <c r="CHO45" s="76"/>
      <c r="CHP45" s="76"/>
      <c r="CHQ45" s="76"/>
      <c r="CHR45" s="76"/>
      <c r="CHS45" s="76"/>
      <c r="CHT45" s="76"/>
      <c r="CHU45" s="76"/>
      <c r="CHV45" s="76"/>
      <c r="CHW45" s="76"/>
      <c r="CHX45" s="76"/>
      <c r="CHY45" s="76"/>
      <c r="CHZ45" s="76"/>
      <c r="CIA45" s="76"/>
      <c r="CIB45" s="76"/>
      <c r="CIC45" s="76"/>
      <c r="CID45" s="76"/>
      <c r="CIE45" s="76"/>
      <c r="CIF45" s="76"/>
      <c r="CIG45" s="76"/>
      <c r="CIH45" s="76"/>
      <c r="CII45" s="76"/>
      <c r="CIJ45" s="76"/>
      <c r="CIK45" s="76"/>
      <c r="CIL45" s="76"/>
      <c r="CIM45" s="76"/>
      <c r="CIN45" s="76"/>
      <c r="CIO45" s="76"/>
      <c r="CIP45" s="76"/>
      <c r="CIQ45" s="76"/>
      <c r="CIR45" s="76"/>
      <c r="CIS45" s="76"/>
      <c r="CIT45" s="76"/>
      <c r="CIU45" s="76"/>
      <c r="CIV45" s="76"/>
      <c r="CIW45" s="76"/>
      <c r="CIX45" s="76"/>
      <c r="CIY45" s="76"/>
      <c r="CIZ45" s="76"/>
      <c r="CJA45" s="76"/>
      <c r="CJB45" s="76"/>
      <c r="CJC45" s="76"/>
      <c r="CJD45" s="76"/>
      <c r="CJE45" s="76"/>
      <c r="CJF45" s="76"/>
      <c r="CJG45" s="76"/>
      <c r="CJH45" s="76"/>
      <c r="CJI45" s="76"/>
      <c r="CJJ45" s="76"/>
      <c r="CJK45" s="76"/>
      <c r="CJL45" s="76"/>
      <c r="CJM45" s="76"/>
      <c r="CJN45" s="76"/>
      <c r="CJO45" s="76"/>
      <c r="CJP45" s="76"/>
      <c r="CJQ45" s="76"/>
      <c r="CJR45" s="76"/>
      <c r="CJS45" s="76"/>
      <c r="CJT45" s="76"/>
      <c r="CJU45" s="76"/>
      <c r="CJV45" s="76"/>
      <c r="CJW45" s="76"/>
      <c r="CJX45" s="76"/>
      <c r="CJY45" s="76"/>
      <c r="CJZ45" s="76"/>
      <c r="CKA45" s="76"/>
      <c r="CKB45" s="76"/>
      <c r="CKC45" s="76"/>
      <c r="CKD45" s="76"/>
      <c r="CKE45" s="76"/>
      <c r="CKF45" s="76"/>
      <c r="CKG45" s="76"/>
      <c r="CKH45" s="76"/>
      <c r="CKI45" s="76"/>
      <c r="CKJ45" s="76"/>
      <c r="CKK45" s="76"/>
      <c r="CKL45" s="76"/>
      <c r="CKM45" s="76"/>
      <c r="CKN45" s="76"/>
      <c r="CKO45" s="76"/>
      <c r="CKP45" s="76"/>
      <c r="CKQ45" s="76"/>
      <c r="CKR45" s="76"/>
      <c r="CKS45" s="76"/>
      <c r="CKT45" s="76"/>
      <c r="CKU45" s="76"/>
      <c r="CKV45" s="76"/>
      <c r="CKW45" s="76"/>
      <c r="CKX45" s="76"/>
      <c r="CKY45" s="76"/>
      <c r="CKZ45" s="76"/>
      <c r="CLA45" s="76"/>
      <c r="CLB45" s="76"/>
      <c r="CLC45" s="76"/>
      <c r="CLD45" s="76"/>
      <c r="CLE45" s="76"/>
      <c r="CLF45" s="76"/>
      <c r="CLG45" s="76"/>
      <c r="CLH45" s="76"/>
      <c r="CLI45" s="76"/>
      <c r="CLJ45" s="76"/>
      <c r="CLK45" s="76"/>
      <c r="CLL45" s="76"/>
      <c r="CLM45" s="76"/>
      <c r="CLN45" s="76"/>
      <c r="CLO45" s="76"/>
      <c r="CLP45" s="76"/>
      <c r="CLQ45" s="76"/>
      <c r="CLR45" s="76"/>
      <c r="CLS45" s="76"/>
      <c r="CLT45" s="76"/>
      <c r="CLU45" s="76"/>
      <c r="CLV45" s="76"/>
      <c r="CLW45" s="76"/>
      <c r="CLX45" s="76"/>
      <c r="CLY45" s="76"/>
      <c r="CLZ45" s="76"/>
      <c r="CMA45" s="76"/>
      <c r="CMB45" s="76"/>
      <c r="CMC45" s="76"/>
      <c r="CMD45" s="76"/>
      <c r="CME45" s="76"/>
      <c r="CMF45" s="76"/>
      <c r="CMG45" s="76"/>
      <c r="CMH45" s="76"/>
      <c r="CMI45" s="76"/>
      <c r="CMJ45" s="76"/>
      <c r="CMK45" s="76"/>
      <c r="CML45" s="76"/>
      <c r="CMM45" s="76"/>
      <c r="CMN45" s="76"/>
      <c r="CMO45" s="76"/>
      <c r="CMP45" s="76"/>
      <c r="CMQ45" s="76"/>
      <c r="CMR45" s="76"/>
      <c r="CMS45" s="76"/>
      <c r="CMT45" s="76"/>
      <c r="CMU45" s="76"/>
      <c r="CMV45" s="76"/>
      <c r="CMW45" s="76"/>
      <c r="CMX45" s="76"/>
      <c r="CMY45" s="76"/>
      <c r="CMZ45" s="76"/>
      <c r="CNA45" s="76"/>
      <c r="CNB45" s="76"/>
      <c r="CNC45" s="76"/>
      <c r="CND45" s="76"/>
      <c r="CNE45" s="76"/>
      <c r="CNF45" s="76"/>
      <c r="CNG45" s="76"/>
      <c r="CNH45" s="76"/>
      <c r="CNI45" s="76"/>
      <c r="CNJ45" s="76"/>
      <c r="CNK45" s="76"/>
      <c r="CNL45" s="76"/>
      <c r="CNM45" s="76"/>
      <c r="CNN45" s="76"/>
      <c r="CNO45" s="76"/>
      <c r="CNP45" s="76"/>
      <c r="CNQ45" s="76"/>
      <c r="CNR45" s="76"/>
      <c r="CNS45" s="76"/>
      <c r="CNT45" s="76"/>
      <c r="CNU45" s="76"/>
      <c r="CNV45" s="76"/>
      <c r="CNW45" s="76"/>
      <c r="CNX45" s="76"/>
      <c r="CNY45" s="76"/>
      <c r="CNZ45" s="76"/>
      <c r="COA45" s="76"/>
      <c r="COB45" s="76"/>
      <c r="COC45" s="76"/>
      <c r="COD45" s="76"/>
      <c r="COE45" s="76"/>
      <c r="COF45" s="76"/>
      <c r="COG45" s="76"/>
      <c r="COH45" s="76"/>
      <c r="COI45" s="76"/>
      <c r="COJ45" s="76"/>
      <c r="COK45" s="76"/>
      <c r="COL45" s="76"/>
      <c r="COM45" s="76"/>
      <c r="CON45" s="76"/>
      <c r="COO45" s="76"/>
      <c r="COP45" s="76"/>
      <c r="COQ45" s="76"/>
      <c r="COR45" s="76"/>
      <c r="COS45" s="76"/>
      <c r="COT45" s="76"/>
      <c r="COU45" s="76"/>
      <c r="COV45" s="76"/>
      <c r="COW45" s="76"/>
      <c r="COX45" s="76"/>
      <c r="COY45" s="76"/>
      <c r="COZ45" s="76"/>
      <c r="CPA45" s="76"/>
      <c r="CPB45" s="76"/>
      <c r="CPC45" s="76"/>
      <c r="CPD45" s="76"/>
      <c r="CPE45" s="76"/>
      <c r="CPF45" s="76"/>
      <c r="CPG45" s="76"/>
      <c r="CPH45" s="76"/>
      <c r="CPI45" s="76"/>
      <c r="CPJ45" s="76"/>
      <c r="CPK45" s="76"/>
      <c r="CPL45" s="76"/>
      <c r="CPM45" s="76"/>
      <c r="CPN45" s="76"/>
      <c r="CPO45" s="76"/>
      <c r="CPP45" s="76"/>
      <c r="CPQ45" s="76"/>
      <c r="CPR45" s="76"/>
      <c r="CPS45" s="76"/>
      <c r="CPT45" s="76"/>
      <c r="CPU45" s="76"/>
      <c r="CPV45" s="76"/>
      <c r="CPW45" s="76"/>
      <c r="CPX45" s="76"/>
      <c r="CPY45" s="76"/>
      <c r="CPZ45" s="76"/>
      <c r="CQA45" s="76"/>
      <c r="CQB45" s="76"/>
      <c r="CQC45" s="76"/>
      <c r="CQD45" s="76"/>
      <c r="CQE45" s="76"/>
      <c r="CQF45" s="76"/>
      <c r="CQG45" s="76"/>
      <c r="CQH45" s="76"/>
      <c r="CQI45" s="76"/>
      <c r="CQJ45" s="76"/>
      <c r="CQK45" s="76"/>
      <c r="CQL45" s="76"/>
      <c r="CQM45" s="76"/>
      <c r="CQN45" s="76"/>
      <c r="CQO45" s="76"/>
      <c r="CQP45" s="76"/>
      <c r="CQQ45" s="76"/>
      <c r="CQR45" s="76"/>
      <c r="CQS45" s="76"/>
      <c r="CQT45" s="76"/>
      <c r="CQU45" s="76"/>
      <c r="CQV45" s="76"/>
      <c r="CQW45" s="76"/>
      <c r="CQX45" s="76"/>
      <c r="CQY45" s="76"/>
      <c r="CQZ45" s="76"/>
      <c r="CRA45" s="76"/>
      <c r="CRB45" s="76"/>
      <c r="CRC45" s="76"/>
      <c r="CRD45" s="76"/>
      <c r="CRE45" s="76"/>
      <c r="CRF45" s="76"/>
      <c r="CRG45" s="76"/>
      <c r="CRH45" s="76"/>
      <c r="CRI45" s="76"/>
      <c r="CRJ45" s="76"/>
      <c r="CRK45" s="76"/>
      <c r="CRL45" s="76"/>
      <c r="CRM45" s="76"/>
      <c r="CRN45" s="76"/>
      <c r="CRO45" s="76"/>
      <c r="CRP45" s="76"/>
      <c r="CRQ45" s="76"/>
      <c r="CRR45" s="76"/>
      <c r="CRS45" s="76"/>
      <c r="CRT45" s="76"/>
      <c r="CRU45" s="76"/>
      <c r="CRV45" s="76"/>
      <c r="CRW45" s="76"/>
      <c r="CRX45" s="76"/>
      <c r="CRY45" s="76"/>
      <c r="CRZ45" s="76"/>
      <c r="CSA45" s="76"/>
      <c r="CSB45" s="76"/>
      <c r="CSC45" s="76"/>
      <c r="CSD45" s="76"/>
      <c r="CSE45" s="76"/>
      <c r="CSF45" s="76"/>
      <c r="CSG45" s="76"/>
      <c r="CSH45" s="76"/>
      <c r="CSI45" s="76"/>
      <c r="CSJ45" s="76"/>
      <c r="CSK45" s="76"/>
      <c r="CSL45" s="76"/>
      <c r="CSM45" s="76"/>
      <c r="CSN45" s="76"/>
      <c r="CSO45" s="76"/>
      <c r="CSP45" s="76"/>
      <c r="CSQ45" s="76"/>
      <c r="CSR45" s="76"/>
      <c r="CSS45" s="76"/>
      <c r="CST45" s="76"/>
      <c r="CSU45" s="76"/>
      <c r="CSV45" s="76"/>
      <c r="CSW45" s="76"/>
      <c r="CSX45" s="76"/>
      <c r="CSY45" s="76"/>
      <c r="CSZ45" s="76"/>
      <c r="CTA45" s="76"/>
      <c r="CTB45" s="76"/>
      <c r="CTC45" s="76"/>
      <c r="CTD45" s="76"/>
      <c r="CTE45" s="76"/>
      <c r="CTF45" s="76"/>
      <c r="CTG45" s="76"/>
      <c r="CTH45" s="76"/>
      <c r="CTI45" s="76"/>
      <c r="CTJ45" s="76"/>
      <c r="CTK45" s="76"/>
      <c r="CTL45" s="76"/>
      <c r="CTM45" s="76"/>
      <c r="CTN45" s="76"/>
      <c r="CTO45" s="76"/>
      <c r="CTP45" s="76"/>
      <c r="CTQ45" s="76"/>
      <c r="CTR45" s="76"/>
      <c r="CTS45" s="76"/>
      <c r="CTT45" s="76"/>
      <c r="CTU45" s="76"/>
      <c r="CTV45" s="76"/>
      <c r="CTW45" s="76"/>
      <c r="CTX45" s="76"/>
      <c r="CTY45" s="76"/>
      <c r="CTZ45" s="76"/>
      <c r="CUA45" s="76"/>
      <c r="CUB45" s="76"/>
      <c r="CUC45" s="76"/>
      <c r="CUD45" s="76"/>
      <c r="CUE45" s="76"/>
      <c r="CUF45" s="76"/>
      <c r="CUG45" s="76"/>
      <c r="CUH45" s="76"/>
      <c r="CUI45" s="76"/>
      <c r="CUJ45" s="76"/>
      <c r="CUK45" s="76"/>
      <c r="CUL45" s="76"/>
      <c r="CUM45" s="76"/>
      <c r="CUN45" s="76"/>
      <c r="CUO45" s="76"/>
      <c r="CUP45" s="76"/>
      <c r="CUQ45" s="76"/>
      <c r="CUR45" s="76"/>
      <c r="CUS45" s="76"/>
      <c r="CUT45" s="76"/>
      <c r="CUU45" s="76"/>
      <c r="CUV45" s="76"/>
      <c r="CUW45" s="76"/>
      <c r="CUX45" s="76"/>
      <c r="CUY45" s="76"/>
      <c r="CUZ45" s="76"/>
      <c r="CVA45" s="76"/>
      <c r="CVB45" s="76"/>
      <c r="CVC45" s="76"/>
      <c r="CVD45" s="76"/>
      <c r="CVE45" s="76"/>
      <c r="CVF45" s="76"/>
      <c r="CVG45" s="76"/>
      <c r="CVH45" s="76"/>
      <c r="CVI45" s="76"/>
      <c r="CVJ45" s="76"/>
      <c r="CVK45" s="76"/>
      <c r="CVL45" s="76"/>
      <c r="CVM45" s="76"/>
      <c r="CVN45" s="76"/>
      <c r="CVO45" s="76"/>
      <c r="CVP45" s="76"/>
      <c r="CVQ45" s="76"/>
      <c r="CVR45" s="76"/>
      <c r="CVS45" s="76"/>
      <c r="CVT45" s="76"/>
      <c r="CVU45" s="76"/>
      <c r="CVV45" s="76"/>
      <c r="CVW45" s="76"/>
      <c r="CVX45" s="76"/>
      <c r="CVY45" s="76"/>
      <c r="CVZ45" s="76"/>
      <c r="CWA45" s="76"/>
      <c r="CWB45" s="76"/>
      <c r="CWC45" s="76"/>
      <c r="CWD45" s="76"/>
      <c r="CWE45" s="76"/>
      <c r="CWF45" s="76"/>
      <c r="CWG45" s="76"/>
      <c r="CWH45" s="76"/>
      <c r="CWI45" s="76"/>
      <c r="CWJ45" s="76"/>
      <c r="CWK45" s="76"/>
      <c r="CWL45" s="76"/>
      <c r="CWM45" s="76"/>
      <c r="CWN45" s="76"/>
      <c r="CWO45" s="76"/>
      <c r="CWP45" s="76"/>
      <c r="CWQ45" s="76"/>
      <c r="CWR45" s="76"/>
      <c r="CWS45" s="76"/>
      <c r="CWT45" s="76"/>
      <c r="CWU45" s="76"/>
      <c r="CWV45" s="76"/>
      <c r="CWW45" s="76"/>
      <c r="CWX45" s="76"/>
      <c r="CWY45" s="76"/>
      <c r="CWZ45" s="76"/>
      <c r="CXA45" s="76"/>
      <c r="CXB45" s="76"/>
      <c r="CXC45" s="76"/>
      <c r="CXD45" s="76"/>
      <c r="CXE45" s="76"/>
      <c r="CXF45" s="76"/>
      <c r="CXG45" s="76"/>
      <c r="CXH45" s="76"/>
      <c r="CXI45" s="76"/>
      <c r="CXJ45" s="76"/>
      <c r="CXK45" s="76"/>
      <c r="CXL45" s="76"/>
      <c r="CXM45" s="76"/>
      <c r="CXN45" s="76"/>
      <c r="CXO45" s="76"/>
      <c r="CXP45" s="76"/>
      <c r="CXQ45" s="76"/>
      <c r="CXR45" s="76"/>
      <c r="CXS45" s="76"/>
      <c r="CXT45" s="76"/>
      <c r="CXU45" s="76"/>
      <c r="CXV45" s="76"/>
      <c r="CXW45" s="76"/>
      <c r="CXX45" s="76"/>
      <c r="CXY45" s="76"/>
      <c r="CXZ45" s="76"/>
      <c r="CYA45" s="76"/>
      <c r="CYB45" s="76"/>
      <c r="CYC45" s="76"/>
      <c r="CYD45" s="76"/>
      <c r="CYE45" s="76"/>
      <c r="CYF45" s="76"/>
      <c r="CYG45" s="76"/>
      <c r="CYH45" s="76"/>
      <c r="CYI45" s="76"/>
      <c r="CYJ45" s="76"/>
      <c r="CYK45" s="76"/>
      <c r="CYL45" s="76"/>
      <c r="CYM45" s="76"/>
      <c r="CYN45" s="76"/>
      <c r="CYO45" s="76"/>
      <c r="CYP45" s="76"/>
      <c r="CYQ45" s="76"/>
      <c r="CYR45" s="76"/>
      <c r="CYS45" s="76"/>
      <c r="CYT45" s="76"/>
      <c r="CYU45" s="76"/>
      <c r="CYV45" s="76"/>
      <c r="CYW45" s="76"/>
      <c r="CYX45" s="76"/>
      <c r="CYY45" s="76"/>
      <c r="CYZ45" s="76"/>
      <c r="CZA45" s="76"/>
      <c r="CZB45" s="76"/>
      <c r="CZC45" s="76"/>
      <c r="CZD45" s="76"/>
      <c r="CZE45" s="76"/>
      <c r="CZF45" s="76"/>
      <c r="CZG45" s="76"/>
      <c r="CZH45" s="76"/>
      <c r="CZI45" s="76"/>
      <c r="CZJ45" s="76"/>
      <c r="CZK45" s="76"/>
      <c r="CZL45" s="76"/>
      <c r="CZM45" s="76"/>
      <c r="CZN45" s="76"/>
      <c r="CZO45" s="76"/>
      <c r="CZP45" s="76"/>
      <c r="CZQ45" s="76"/>
      <c r="CZR45" s="76"/>
      <c r="CZS45" s="76"/>
      <c r="CZT45" s="76"/>
      <c r="CZU45" s="76"/>
      <c r="CZV45" s="76"/>
      <c r="CZW45" s="76"/>
      <c r="CZX45" s="76"/>
      <c r="CZY45" s="76"/>
      <c r="CZZ45" s="76"/>
      <c r="DAA45" s="76"/>
      <c r="DAB45" s="76"/>
      <c r="DAC45" s="76"/>
      <c r="DAD45" s="76"/>
      <c r="DAE45" s="76"/>
      <c r="DAF45" s="76"/>
      <c r="DAG45" s="76"/>
      <c r="DAH45" s="76"/>
      <c r="DAI45" s="76"/>
      <c r="DAJ45" s="76"/>
      <c r="DAK45" s="76"/>
      <c r="DAL45" s="76"/>
      <c r="DAM45" s="76"/>
      <c r="DAN45" s="76"/>
      <c r="DAO45" s="76"/>
      <c r="DAP45" s="76"/>
      <c r="DAQ45" s="76"/>
      <c r="DAR45" s="76"/>
      <c r="DAS45" s="76"/>
      <c r="DAT45" s="76"/>
      <c r="DAU45" s="76"/>
      <c r="DAV45" s="76"/>
      <c r="DAW45" s="76"/>
      <c r="DAX45" s="76"/>
      <c r="DAY45" s="76"/>
      <c r="DAZ45" s="76"/>
      <c r="DBA45" s="76"/>
      <c r="DBB45" s="76"/>
      <c r="DBC45" s="76"/>
      <c r="DBD45" s="76"/>
      <c r="DBE45" s="76"/>
      <c r="DBF45" s="76"/>
      <c r="DBG45" s="76"/>
      <c r="DBH45" s="76"/>
      <c r="DBI45" s="76"/>
      <c r="DBJ45" s="76"/>
      <c r="DBK45" s="76"/>
      <c r="DBL45" s="76"/>
      <c r="DBM45" s="76"/>
      <c r="DBN45" s="76"/>
      <c r="DBO45" s="76"/>
      <c r="DBP45" s="76"/>
      <c r="DBQ45" s="76"/>
      <c r="DBR45" s="76"/>
      <c r="DBS45" s="76"/>
      <c r="DBT45" s="76"/>
      <c r="DBU45" s="76"/>
      <c r="DBV45" s="76"/>
      <c r="DBW45" s="76"/>
      <c r="DBX45" s="76"/>
      <c r="DBY45" s="76"/>
      <c r="DBZ45" s="76"/>
      <c r="DCA45" s="76"/>
      <c r="DCB45" s="76"/>
      <c r="DCC45" s="76"/>
      <c r="DCD45" s="76"/>
      <c r="DCE45" s="76"/>
      <c r="DCF45" s="76"/>
      <c r="DCG45" s="76"/>
      <c r="DCH45" s="76"/>
      <c r="DCI45" s="76"/>
      <c r="DCJ45" s="76"/>
      <c r="DCK45" s="76"/>
      <c r="DCL45" s="76"/>
      <c r="DCM45" s="76"/>
      <c r="DCN45" s="76"/>
      <c r="DCO45" s="76"/>
      <c r="DCP45" s="76"/>
      <c r="DCQ45" s="76"/>
      <c r="DCR45" s="76"/>
      <c r="DCS45" s="76"/>
      <c r="DCT45" s="76"/>
      <c r="DCU45" s="76"/>
      <c r="DCV45" s="76"/>
      <c r="DCW45" s="76"/>
      <c r="DCX45" s="76"/>
      <c r="DCY45" s="76"/>
      <c r="DCZ45" s="76"/>
      <c r="DDA45" s="76"/>
      <c r="DDB45" s="76"/>
      <c r="DDC45" s="76"/>
      <c r="DDD45" s="76"/>
      <c r="DDE45" s="76"/>
      <c r="DDF45" s="76"/>
      <c r="DDG45" s="76"/>
      <c r="DDH45" s="76"/>
      <c r="DDI45" s="76"/>
      <c r="DDJ45" s="76"/>
      <c r="DDK45" s="76"/>
      <c r="DDL45" s="76"/>
      <c r="DDM45" s="76"/>
      <c r="DDN45" s="76"/>
      <c r="DDO45" s="76"/>
      <c r="DDP45" s="76"/>
      <c r="DDQ45" s="76"/>
      <c r="DDR45" s="76"/>
      <c r="DDS45" s="76"/>
      <c r="DDT45" s="76"/>
      <c r="DDU45" s="76"/>
      <c r="DDV45" s="76"/>
      <c r="DDW45" s="76"/>
      <c r="DDX45" s="76"/>
      <c r="DDY45" s="76"/>
      <c r="DDZ45" s="76"/>
      <c r="DEA45" s="76"/>
      <c r="DEB45" s="76"/>
      <c r="DEC45" s="76"/>
      <c r="DED45" s="76"/>
      <c r="DEE45" s="76"/>
      <c r="DEF45" s="76"/>
      <c r="DEG45" s="76"/>
      <c r="DEH45" s="76"/>
      <c r="DEI45" s="76"/>
      <c r="DEJ45" s="76"/>
      <c r="DEK45" s="76"/>
      <c r="DEL45" s="76"/>
      <c r="DEM45" s="76"/>
      <c r="DEN45" s="76"/>
      <c r="DEO45" s="76"/>
      <c r="DEP45" s="76"/>
      <c r="DEQ45" s="76"/>
      <c r="DER45" s="76"/>
      <c r="DES45" s="76"/>
      <c r="DET45" s="76"/>
      <c r="DEU45" s="76"/>
      <c r="DEV45" s="76"/>
      <c r="DEW45" s="76"/>
      <c r="DEX45" s="76"/>
      <c r="DEY45" s="76"/>
      <c r="DEZ45" s="76"/>
      <c r="DFA45" s="76"/>
      <c r="DFB45" s="76"/>
      <c r="DFC45" s="76"/>
      <c r="DFD45" s="76"/>
      <c r="DFE45" s="76"/>
      <c r="DFF45" s="76"/>
      <c r="DFG45" s="76"/>
      <c r="DFH45" s="76"/>
      <c r="DFI45" s="76"/>
      <c r="DFJ45" s="76"/>
      <c r="DFK45" s="76"/>
      <c r="DFL45" s="76"/>
      <c r="DFM45" s="76"/>
      <c r="DFN45" s="76"/>
      <c r="DFO45" s="76"/>
      <c r="DFP45" s="76"/>
      <c r="DFQ45" s="76"/>
      <c r="DFR45" s="76"/>
      <c r="DFS45" s="76"/>
      <c r="DFT45" s="76"/>
      <c r="DFU45" s="76"/>
      <c r="DFV45" s="76"/>
      <c r="DFW45" s="76"/>
      <c r="DFX45" s="76"/>
      <c r="DFY45" s="76"/>
      <c r="DFZ45" s="76"/>
      <c r="DGA45" s="76"/>
      <c r="DGB45" s="76"/>
      <c r="DGC45" s="76"/>
      <c r="DGD45" s="76"/>
      <c r="DGE45" s="76"/>
      <c r="DGF45" s="76"/>
      <c r="DGG45" s="76"/>
      <c r="DGH45" s="76"/>
      <c r="DGI45" s="76"/>
      <c r="DGJ45" s="76"/>
      <c r="DGK45" s="76"/>
      <c r="DGL45" s="76"/>
      <c r="DGM45" s="76"/>
      <c r="DGN45" s="76"/>
      <c r="DGO45" s="76"/>
      <c r="DGP45" s="76"/>
      <c r="DGQ45" s="76"/>
      <c r="DGR45" s="76"/>
      <c r="DGS45" s="76"/>
      <c r="DGT45" s="76"/>
      <c r="DGU45" s="76"/>
      <c r="DGV45" s="76"/>
      <c r="DGW45" s="76"/>
      <c r="DGX45" s="76"/>
      <c r="DGY45" s="76"/>
      <c r="DGZ45" s="76"/>
      <c r="DHA45" s="76"/>
      <c r="DHB45" s="76"/>
      <c r="DHC45" s="76"/>
      <c r="DHD45" s="76"/>
      <c r="DHE45" s="76"/>
      <c r="DHF45" s="76"/>
      <c r="DHG45" s="76"/>
      <c r="DHH45" s="76"/>
      <c r="DHI45" s="76"/>
      <c r="DHJ45" s="76"/>
      <c r="DHK45" s="76"/>
      <c r="DHL45" s="76"/>
      <c r="DHM45" s="76"/>
      <c r="DHN45" s="76"/>
      <c r="DHO45" s="76"/>
      <c r="DHP45" s="76"/>
      <c r="DHQ45" s="76"/>
      <c r="DHR45" s="76"/>
      <c r="DHS45" s="76"/>
      <c r="DHT45" s="76"/>
      <c r="DHU45" s="76"/>
      <c r="DHV45" s="76"/>
      <c r="DHW45" s="76"/>
      <c r="DHX45" s="76"/>
      <c r="DHY45" s="76"/>
      <c r="DHZ45" s="76"/>
      <c r="DIA45" s="76"/>
      <c r="DIB45" s="76"/>
      <c r="DIC45" s="76"/>
      <c r="DID45" s="76"/>
      <c r="DIE45" s="76"/>
      <c r="DIF45" s="76"/>
      <c r="DIG45" s="76"/>
      <c r="DIH45" s="76"/>
      <c r="DII45" s="76"/>
      <c r="DIJ45" s="76"/>
      <c r="DIK45" s="76"/>
      <c r="DIL45" s="76"/>
      <c r="DIM45" s="76"/>
      <c r="DIN45" s="76"/>
      <c r="DIO45" s="76"/>
      <c r="DIP45" s="76"/>
      <c r="DIQ45" s="76"/>
      <c r="DIR45" s="76"/>
      <c r="DIS45" s="76"/>
      <c r="DIT45" s="76"/>
      <c r="DIU45" s="76"/>
      <c r="DIV45" s="76"/>
      <c r="DIW45" s="76"/>
      <c r="DIX45" s="76"/>
      <c r="DIY45" s="76"/>
      <c r="DIZ45" s="76"/>
      <c r="DJA45" s="76"/>
      <c r="DJB45" s="76"/>
      <c r="DJC45" s="76"/>
      <c r="DJD45" s="76"/>
      <c r="DJE45" s="76"/>
      <c r="DJF45" s="76"/>
      <c r="DJG45" s="76"/>
      <c r="DJH45" s="76"/>
      <c r="DJI45" s="76"/>
      <c r="DJJ45" s="76"/>
      <c r="DJK45" s="76"/>
      <c r="DJL45" s="76"/>
      <c r="DJM45" s="76"/>
      <c r="DJN45" s="76"/>
      <c r="DJO45" s="76"/>
      <c r="DJP45" s="76"/>
      <c r="DJQ45" s="76"/>
      <c r="DJR45" s="76"/>
      <c r="DJS45" s="76"/>
      <c r="DJT45" s="76"/>
      <c r="DJU45" s="76"/>
      <c r="DJV45" s="76"/>
      <c r="DJW45" s="76"/>
      <c r="DJX45" s="76"/>
      <c r="DJY45" s="76"/>
      <c r="DJZ45" s="76"/>
      <c r="DKA45" s="76"/>
      <c r="DKB45" s="76"/>
      <c r="DKC45" s="76"/>
      <c r="DKD45" s="76"/>
      <c r="DKE45" s="76"/>
      <c r="DKF45" s="76"/>
      <c r="DKG45" s="76"/>
      <c r="DKH45" s="76"/>
      <c r="DKI45" s="76"/>
      <c r="DKJ45" s="76"/>
      <c r="DKK45" s="76"/>
      <c r="DKL45" s="76"/>
      <c r="DKM45" s="76"/>
      <c r="DKN45" s="76"/>
      <c r="DKO45" s="76"/>
      <c r="DKP45" s="76"/>
      <c r="DKQ45" s="76"/>
      <c r="DKR45" s="76"/>
      <c r="DKS45" s="76"/>
      <c r="DKT45" s="76"/>
      <c r="DKU45" s="76"/>
      <c r="DKV45" s="76"/>
      <c r="DKW45" s="76"/>
      <c r="DKX45" s="76"/>
      <c r="DKY45" s="76"/>
      <c r="DKZ45" s="76"/>
      <c r="DLA45" s="76"/>
      <c r="DLB45" s="76"/>
      <c r="DLC45" s="76"/>
      <c r="DLD45" s="76"/>
      <c r="DLE45" s="76"/>
      <c r="DLF45" s="76"/>
      <c r="DLG45" s="76"/>
      <c r="DLH45" s="76"/>
      <c r="DLI45" s="76"/>
      <c r="DLJ45" s="76"/>
      <c r="DLK45" s="76"/>
      <c r="DLL45" s="76"/>
      <c r="DLM45" s="76"/>
      <c r="DLN45" s="76"/>
      <c r="DLO45" s="76"/>
      <c r="DLP45" s="76"/>
      <c r="DLQ45" s="76"/>
      <c r="DLR45" s="76"/>
      <c r="DLS45" s="76"/>
      <c r="DLT45" s="76"/>
      <c r="DLU45" s="76"/>
      <c r="DLV45" s="76"/>
      <c r="DLW45" s="76"/>
      <c r="DLX45" s="76"/>
      <c r="DLY45" s="76"/>
      <c r="DLZ45" s="76"/>
      <c r="DMA45" s="76"/>
      <c r="DMB45" s="76"/>
      <c r="DMC45" s="76"/>
      <c r="DMD45" s="76"/>
      <c r="DME45" s="76"/>
      <c r="DMF45" s="76"/>
      <c r="DMG45" s="76"/>
      <c r="DMH45" s="76"/>
      <c r="DMI45" s="76"/>
      <c r="DMJ45" s="76"/>
      <c r="DMK45" s="76"/>
      <c r="DML45" s="76"/>
      <c r="DMM45" s="76"/>
      <c r="DMN45" s="76"/>
      <c r="DMO45" s="76"/>
      <c r="DMP45" s="76"/>
      <c r="DMQ45" s="76"/>
      <c r="DMR45" s="76"/>
      <c r="DMS45" s="76"/>
      <c r="DMT45" s="76"/>
      <c r="DMU45" s="76"/>
      <c r="DMV45" s="76"/>
      <c r="DMW45" s="76"/>
      <c r="DMX45" s="76"/>
      <c r="DMY45" s="76"/>
      <c r="DMZ45" s="76"/>
      <c r="DNA45" s="76"/>
      <c r="DNB45" s="76"/>
      <c r="DNC45" s="76"/>
      <c r="DND45" s="76"/>
      <c r="DNE45" s="76"/>
      <c r="DNF45" s="76"/>
      <c r="DNG45" s="76"/>
      <c r="DNH45" s="76"/>
      <c r="DNI45" s="76"/>
      <c r="DNJ45" s="76"/>
      <c r="DNK45" s="76"/>
      <c r="DNL45" s="76"/>
      <c r="DNM45" s="76"/>
      <c r="DNN45" s="76"/>
      <c r="DNO45" s="76"/>
      <c r="DNP45" s="76"/>
      <c r="DNQ45" s="76"/>
      <c r="DNR45" s="76"/>
      <c r="DNS45" s="76"/>
      <c r="DNT45" s="76"/>
      <c r="DNU45" s="76"/>
      <c r="DNV45" s="76"/>
      <c r="DNW45" s="76"/>
      <c r="DNX45" s="76"/>
      <c r="DNY45" s="76"/>
      <c r="DNZ45" s="76"/>
      <c r="DOA45" s="76"/>
      <c r="DOB45" s="76"/>
      <c r="DOC45" s="76"/>
      <c r="DOD45" s="76"/>
      <c r="DOE45" s="76"/>
      <c r="DOF45" s="76"/>
      <c r="DOG45" s="76"/>
      <c r="DOH45" s="76"/>
      <c r="DOI45" s="76"/>
      <c r="DOJ45" s="76"/>
      <c r="DOK45" s="76"/>
      <c r="DOL45" s="76"/>
      <c r="DOM45" s="76"/>
      <c r="DON45" s="76"/>
      <c r="DOO45" s="76"/>
      <c r="DOP45" s="76"/>
      <c r="DOQ45" s="76"/>
      <c r="DOR45" s="76"/>
      <c r="DOS45" s="76"/>
      <c r="DOT45" s="76"/>
      <c r="DOU45" s="76"/>
      <c r="DOV45" s="76"/>
      <c r="DOW45" s="76"/>
      <c r="DOX45" s="76"/>
      <c r="DOY45" s="76"/>
      <c r="DOZ45" s="76"/>
      <c r="DPA45" s="76"/>
      <c r="DPB45" s="76"/>
      <c r="DPC45" s="76"/>
      <c r="DPD45" s="76"/>
      <c r="DPE45" s="76"/>
      <c r="DPF45" s="76"/>
      <c r="DPG45" s="76"/>
      <c r="DPH45" s="76"/>
      <c r="DPI45" s="76"/>
      <c r="DPJ45" s="76"/>
      <c r="DPK45" s="76"/>
      <c r="DPL45" s="76"/>
      <c r="DPM45" s="76"/>
      <c r="DPN45" s="76"/>
      <c r="DPO45" s="76"/>
      <c r="DPP45" s="76"/>
      <c r="DPQ45" s="76"/>
      <c r="DPR45" s="76"/>
      <c r="DPS45" s="76"/>
      <c r="DPT45" s="76"/>
      <c r="DPU45" s="76"/>
      <c r="DPV45" s="76"/>
      <c r="DPW45" s="76"/>
      <c r="DPX45" s="76"/>
      <c r="DPY45" s="76"/>
      <c r="DPZ45" s="76"/>
      <c r="DQA45" s="76"/>
      <c r="DQB45" s="76"/>
      <c r="DQC45" s="76"/>
      <c r="DQD45" s="76"/>
      <c r="DQE45" s="76"/>
      <c r="DQF45" s="76"/>
      <c r="DQG45" s="76"/>
      <c r="DQH45" s="76"/>
      <c r="DQI45" s="76"/>
      <c r="DQJ45" s="76"/>
      <c r="DQK45" s="76"/>
      <c r="DQL45" s="76"/>
      <c r="DQM45" s="76"/>
      <c r="DQN45" s="76"/>
      <c r="DQO45" s="76"/>
      <c r="DQP45" s="76"/>
      <c r="DQQ45" s="76"/>
      <c r="DQR45" s="76"/>
      <c r="DQS45" s="76"/>
      <c r="DQT45" s="76"/>
      <c r="DQU45" s="76"/>
      <c r="DQV45" s="76"/>
      <c r="DQW45" s="76"/>
      <c r="DQX45" s="76"/>
      <c r="DQY45" s="76"/>
      <c r="DQZ45" s="76"/>
      <c r="DRA45" s="76"/>
      <c r="DRB45" s="76"/>
      <c r="DRC45" s="76"/>
      <c r="DRD45" s="76"/>
      <c r="DRE45" s="76"/>
      <c r="DRF45" s="76"/>
      <c r="DRG45" s="76"/>
      <c r="DRH45" s="76"/>
      <c r="DRI45" s="76"/>
      <c r="DRJ45" s="76"/>
      <c r="DRK45" s="76"/>
      <c r="DRL45" s="76"/>
      <c r="DRM45" s="76"/>
      <c r="DRN45" s="76"/>
      <c r="DRO45" s="76"/>
      <c r="DRP45" s="76"/>
      <c r="DRQ45" s="76"/>
      <c r="DRR45" s="76"/>
      <c r="DRS45" s="76"/>
      <c r="DRT45" s="76"/>
      <c r="DRU45" s="76"/>
      <c r="DRV45" s="76"/>
      <c r="DRW45" s="76"/>
      <c r="DRX45" s="76"/>
      <c r="DRY45" s="76"/>
      <c r="DRZ45" s="76"/>
      <c r="DSA45" s="76"/>
      <c r="DSB45" s="76"/>
      <c r="DSC45" s="76"/>
      <c r="DSD45" s="76"/>
      <c r="DSE45" s="76"/>
      <c r="DSF45" s="76"/>
      <c r="DSG45" s="76"/>
      <c r="DSH45" s="76"/>
      <c r="DSI45" s="76"/>
      <c r="DSJ45" s="76"/>
      <c r="DSK45" s="76"/>
      <c r="DSL45" s="76"/>
      <c r="DSM45" s="76"/>
      <c r="DSN45" s="76"/>
      <c r="DSO45" s="76"/>
      <c r="DSP45" s="76"/>
      <c r="DSQ45" s="76"/>
      <c r="DSR45" s="76"/>
      <c r="DSS45" s="76"/>
      <c r="DST45" s="76"/>
      <c r="DSU45" s="76"/>
      <c r="DSV45" s="76"/>
      <c r="DSW45" s="76"/>
      <c r="DSX45" s="76"/>
      <c r="DSY45" s="76"/>
      <c r="DSZ45" s="76"/>
      <c r="DTA45" s="76"/>
      <c r="DTB45" s="76"/>
      <c r="DTC45" s="76"/>
      <c r="DTD45" s="76"/>
      <c r="DTE45" s="76"/>
      <c r="DTF45" s="76"/>
      <c r="DTG45" s="76"/>
      <c r="DTH45" s="76"/>
      <c r="DTI45" s="76"/>
      <c r="DTJ45" s="76"/>
      <c r="DTK45" s="76"/>
      <c r="DTL45" s="76"/>
      <c r="DTM45" s="76"/>
      <c r="DTN45" s="76"/>
      <c r="DTO45" s="76"/>
      <c r="DTP45" s="76"/>
      <c r="DTQ45" s="76"/>
      <c r="DTR45" s="76"/>
      <c r="DTS45" s="76"/>
      <c r="DTT45" s="76"/>
      <c r="DTU45" s="76"/>
      <c r="DTV45" s="76"/>
      <c r="DTW45" s="76"/>
      <c r="DTX45" s="76"/>
      <c r="DTY45" s="76"/>
      <c r="DTZ45" s="76"/>
      <c r="DUA45" s="76"/>
      <c r="DUB45" s="76"/>
      <c r="DUC45" s="76"/>
      <c r="DUD45" s="76"/>
      <c r="DUE45" s="76"/>
      <c r="DUF45" s="76"/>
      <c r="DUG45" s="76"/>
      <c r="DUH45" s="76"/>
      <c r="DUI45" s="76"/>
      <c r="DUJ45" s="76"/>
      <c r="DUK45" s="76"/>
      <c r="DUL45" s="76"/>
      <c r="DUM45" s="76"/>
      <c r="DUN45" s="76"/>
      <c r="DUO45" s="76"/>
      <c r="DUP45" s="76"/>
      <c r="DUQ45" s="76"/>
      <c r="DUR45" s="76"/>
      <c r="DUS45" s="76"/>
      <c r="DUT45" s="76"/>
      <c r="DUU45" s="76"/>
      <c r="DUV45" s="76"/>
      <c r="DUW45" s="76"/>
      <c r="DUX45" s="76"/>
      <c r="DUY45" s="76"/>
      <c r="DUZ45" s="76"/>
      <c r="DVA45" s="76"/>
      <c r="DVB45" s="76"/>
      <c r="DVC45" s="76"/>
      <c r="DVD45" s="76"/>
      <c r="DVE45" s="76"/>
      <c r="DVF45" s="76"/>
      <c r="DVG45" s="76"/>
      <c r="DVH45" s="76"/>
      <c r="DVI45" s="76"/>
      <c r="DVJ45" s="76"/>
      <c r="DVK45" s="76"/>
      <c r="DVL45" s="76"/>
      <c r="DVM45" s="76"/>
      <c r="DVN45" s="76"/>
      <c r="DVO45" s="76"/>
      <c r="DVP45" s="76"/>
      <c r="DVQ45" s="76"/>
      <c r="DVR45" s="76"/>
      <c r="DVS45" s="76"/>
      <c r="DVT45" s="76"/>
      <c r="DVU45" s="76"/>
      <c r="DVV45" s="76"/>
      <c r="DVW45" s="76"/>
      <c r="DVX45" s="76"/>
      <c r="DVY45" s="76"/>
      <c r="DVZ45" s="76"/>
      <c r="DWA45" s="76"/>
      <c r="DWB45" s="76"/>
      <c r="DWC45" s="76"/>
      <c r="DWD45" s="76"/>
      <c r="DWE45" s="76"/>
      <c r="DWF45" s="76"/>
      <c r="DWG45" s="76"/>
      <c r="DWH45" s="76"/>
      <c r="DWI45" s="76"/>
      <c r="DWJ45" s="76"/>
      <c r="DWK45" s="76"/>
      <c r="DWL45" s="76"/>
      <c r="DWM45" s="76"/>
      <c r="DWN45" s="76"/>
      <c r="DWO45" s="76"/>
      <c r="DWP45" s="76"/>
      <c r="DWQ45" s="76"/>
      <c r="DWR45" s="76"/>
      <c r="DWS45" s="76"/>
      <c r="DWT45" s="76"/>
      <c r="DWU45" s="76"/>
      <c r="DWV45" s="76"/>
      <c r="DWW45" s="76"/>
      <c r="DWX45" s="76"/>
      <c r="DWY45" s="76"/>
      <c r="DWZ45" s="76"/>
      <c r="DXA45" s="76"/>
      <c r="DXB45" s="76"/>
      <c r="DXC45" s="76"/>
      <c r="DXD45" s="76"/>
      <c r="DXE45" s="76"/>
      <c r="DXF45" s="76"/>
      <c r="DXG45" s="76"/>
      <c r="DXH45" s="76"/>
      <c r="DXI45" s="76"/>
      <c r="DXJ45" s="76"/>
      <c r="DXK45" s="76"/>
      <c r="DXL45" s="76"/>
      <c r="DXM45" s="76"/>
      <c r="DXN45" s="76"/>
      <c r="DXO45" s="76"/>
      <c r="DXP45" s="76"/>
      <c r="DXQ45" s="76"/>
      <c r="DXR45" s="76"/>
      <c r="DXS45" s="76"/>
      <c r="DXT45" s="76"/>
      <c r="DXU45" s="76"/>
      <c r="DXV45" s="76"/>
      <c r="DXW45" s="76"/>
      <c r="DXX45" s="76"/>
      <c r="DXY45" s="76"/>
      <c r="DXZ45" s="76"/>
      <c r="DYA45" s="76"/>
      <c r="DYB45" s="76"/>
      <c r="DYC45" s="76"/>
      <c r="DYD45" s="76"/>
      <c r="DYE45" s="76"/>
      <c r="DYF45" s="76"/>
      <c r="DYG45" s="76"/>
      <c r="DYH45" s="76"/>
      <c r="DYI45" s="76"/>
      <c r="DYJ45" s="76"/>
      <c r="DYK45" s="76"/>
      <c r="DYL45" s="76"/>
      <c r="DYM45" s="76"/>
      <c r="DYN45" s="76"/>
      <c r="DYO45" s="76"/>
      <c r="DYP45" s="76"/>
      <c r="DYQ45" s="76"/>
      <c r="DYR45" s="76"/>
      <c r="DYS45" s="76"/>
      <c r="DYT45" s="76"/>
      <c r="DYU45" s="76"/>
      <c r="DYV45" s="76"/>
      <c r="DYW45" s="76"/>
      <c r="DYX45" s="76"/>
      <c r="DYY45" s="76"/>
      <c r="DYZ45" s="76"/>
      <c r="DZA45" s="76"/>
      <c r="DZB45" s="76"/>
      <c r="DZC45" s="76"/>
      <c r="DZD45" s="76"/>
      <c r="DZE45" s="76"/>
      <c r="DZF45" s="76"/>
      <c r="DZG45" s="76"/>
      <c r="DZH45" s="76"/>
      <c r="DZI45" s="76"/>
      <c r="DZJ45" s="76"/>
      <c r="DZK45" s="76"/>
      <c r="DZL45" s="76"/>
      <c r="DZM45" s="76"/>
      <c r="DZN45" s="76"/>
      <c r="DZO45" s="76"/>
      <c r="DZP45" s="76"/>
      <c r="DZQ45" s="76"/>
      <c r="DZR45" s="76"/>
      <c r="DZS45" s="76"/>
      <c r="DZT45" s="76"/>
      <c r="DZU45" s="76"/>
      <c r="DZV45" s="76"/>
      <c r="DZW45" s="76"/>
      <c r="DZX45" s="76"/>
      <c r="DZY45" s="76"/>
      <c r="DZZ45" s="76"/>
      <c r="EAA45" s="76"/>
      <c r="EAB45" s="76"/>
      <c r="EAC45" s="76"/>
      <c r="EAD45" s="76"/>
      <c r="EAE45" s="76"/>
      <c r="EAF45" s="76"/>
      <c r="EAG45" s="76"/>
      <c r="EAH45" s="76"/>
      <c r="EAI45" s="76"/>
      <c r="EAJ45" s="76"/>
      <c r="EAK45" s="76"/>
      <c r="EAL45" s="76"/>
      <c r="EAM45" s="76"/>
      <c r="EAN45" s="76"/>
      <c r="EAO45" s="76"/>
      <c r="EAP45" s="76"/>
      <c r="EAQ45" s="76"/>
      <c r="EAR45" s="76"/>
      <c r="EAS45" s="76"/>
      <c r="EAT45" s="76"/>
      <c r="EAU45" s="76"/>
      <c r="EAV45" s="76"/>
      <c r="EAW45" s="76"/>
      <c r="EAX45" s="76"/>
      <c r="EAY45" s="76"/>
      <c r="EAZ45" s="76"/>
      <c r="EBA45" s="76"/>
      <c r="EBB45" s="76"/>
      <c r="EBC45" s="76"/>
      <c r="EBD45" s="76"/>
      <c r="EBE45" s="76"/>
      <c r="EBF45" s="76"/>
      <c r="EBG45" s="76"/>
      <c r="EBH45" s="76"/>
      <c r="EBI45" s="76"/>
      <c r="EBJ45" s="76"/>
      <c r="EBK45" s="76"/>
      <c r="EBL45" s="76"/>
      <c r="EBM45" s="76"/>
      <c r="EBN45" s="76"/>
      <c r="EBO45" s="76"/>
      <c r="EBP45" s="76"/>
      <c r="EBQ45" s="76"/>
      <c r="EBR45" s="76"/>
      <c r="EBS45" s="76"/>
      <c r="EBT45" s="76"/>
      <c r="EBU45" s="76"/>
      <c r="EBV45" s="76"/>
      <c r="EBW45" s="76"/>
      <c r="EBX45" s="76"/>
      <c r="EBY45" s="76"/>
      <c r="EBZ45" s="76"/>
      <c r="ECA45" s="76"/>
      <c r="ECB45" s="76"/>
      <c r="ECC45" s="76"/>
      <c r="ECD45" s="76"/>
      <c r="ECE45" s="76"/>
      <c r="ECF45" s="76"/>
      <c r="ECG45" s="76"/>
      <c r="ECH45" s="76"/>
      <c r="ECI45" s="76"/>
      <c r="ECJ45" s="76"/>
      <c r="ECK45" s="76"/>
      <c r="ECL45" s="76"/>
      <c r="ECM45" s="76"/>
      <c r="ECN45" s="76"/>
      <c r="ECO45" s="76"/>
      <c r="ECP45" s="76"/>
      <c r="ECQ45" s="76"/>
      <c r="ECR45" s="76"/>
      <c r="ECS45" s="76"/>
      <c r="ECT45" s="76"/>
      <c r="ECU45" s="76"/>
      <c r="ECV45" s="76"/>
      <c r="ECW45" s="76"/>
      <c r="ECX45" s="76"/>
      <c r="ECY45" s="76"/>
      <c r="ECZ45" s="76"/>
      <c r="EDA45" s="76"/>
      <c r="EDB45" s="76"/>
      <c r="EDC45" s="76"/>
      <c r="EDD45" s="76"/>
      <c r="EDE45" s="76"/>
      <c r="EDF45" s="76"/>
      <c r="EDG45" s="76"/>
      <c r="EDH45" s="76"/>
      <c r="EDI45" s="76"/>
      <c r="EDJ45" s="76"/>
      <c r="EDK45" s="76"/>
      <c r="EDL45" s="76"/>
      <c r="EDM45" s="76"/>
      <c r="EDN45" s="76"/>
      <c r="EDO45" s="76"/>
      <c r="EDP45" s="76"/>
      <c r="EDQ45" s="76"/>
      <c r="EDR45" s="76"/>
      <c r="EDS45" s="76"/>
      <c r="EDT45" s="76"/>
      <c r="EDU45" s="76"/>
      <c r="EDV45" s="76"/>
      <c r="EDW45" s="76"/>
      <c r="EDX45" s="76"/>
      <c r="EDY45" s="76"/>
      <c r="EDZ45" s="76"/>
      <c r="EEA45" s="76"/>
      <c r="EEB45" s="76"/>
      <c r="EEC45" s="76"/>
      <c r="EED45" s="76"/>
      <c r="EEE45" s="76"/>
      <c r="EEF45" s="76"/>
      <c r="EEG45" s="76"/>
      <c r="EEH45" s="76"/>
      <c r="EEI45" s="76"/>
      <c r="EEJ45" s="76"/>
      <c r="EEK45" s="76"/>
      <c r="EEL45" s="76"/>
      <c r="EEM45" s="76"/>
      <c r="EEN45" s="76"/>
      <c r="EEO45" s="76"/>
      <c r="EEP45" s="76"/>
      <c r="EEQ45" s="76"/>
      <c r="EER45" s="76"/>
      <c r="EES45" s="76"/>
      <c r="EET45" s="76"/>
      <c r="EEU45" s="76"/>
      <c r="EEV45" s="76"/>
      <c r="EEW45" s="76"/>
      <c r="EEX45" s="76"/>
      <c r="EEY45" s="76"/>
      <c r="EEZ45" s="76"/>
      <c r="EFA45" s="76"/>
      <c r="EFB45" s="76"/>
      <c r="EFC45" s="76"/>
      <c r="EFD45" s="76"/>
      <c r="EFE45" s="76"/>
      <c r="EFF45" s="76"/>
      <c r="EFG45" s="76"/>
      <c r="EFH45" s="76"/>
      <c r="EFI45" s="76"/>
      <c r="EFJ45" s="76"/>
      <c r="EFK45" s="76"/>
      <c r="EFL45" s="76"/>
      <c r="EFM45" s="76"/>
      <c r="EFN45" s="76"/>
      <c r="EFO45" s="76"/>
      <c r="EFP45" s="76"/>
      <c r="EFQ45" s="76"/>
      <c r="EFR45" s="76"/>
      <c r="EFS45" s="76"/>
      <c r="EFT45" s="76"/>
      <c r="EFU45" s="76"/>
      <c r="EFV45" s="76"/>
      <c r="EFW45" s="76"/>
      <c r="EFX45" s="76"/>
      <c r="EFY45" s="76"/>
      <c r="EFZ45" s="76"/>
      <c r="EGA45" s="76"/>
      <c r="EGB45" s="76"/>
      <c r="EGC45" s="76"/>
      <c r="EGD45" s="76"/>
      <c r="EGE45" s="76"/>
      <c r="EGF45" s="76"/>
      <c r="EGG45" s="76"/>
      <c r="EGH45" s="76"/>
      <c r="EGI45" s="76"/>
      <c r="EGJ45" s="76"/>
      <c r="EGK45" s="76"/>
      <c r="EGL45" s="76"/>
      <c r="EGM45" s="76"/>
      <c r="EGN45" s="76"/>
      <c r="EGO45" s="76"/>
      <c r="EGP45" s="76"/>
      <c r="EGQ45" s="76"/>
      <c r="EGR45" s="76"/>
      <c r="EGS45" s="76"/>
      <c r="EGT45" s="76"/>
      <c r="EGU45" s="76"/>
      <c r="EGV45" s="76"/>
      <c r="EGW45" s="76"/>
      <c r="EGX45" s="76"/>
      <c r="EGY45" s="76"/>
      <c r="EGZ45" s="76"/>
      <c r="EHA45" s="76"/>
      <c r="EHB45" s="76"/>
      <c r="EHC45" s="76"/>
      <c r="EHD45" s="76"/>
      <c r="EHE45" s="76"/>
      <c r="EHF45" s="76"/>
      <c r="EHG45" s="76"/>
      <c r="EHH45" s="76"/>
      <c r="EHI45" s="76"/>
      <c r="EHJ45" s="76"/>
      <c r="EHK45" s="76"/>
      <c r="EHL45" s="76"/>
      <c r="EHM45" s="76"/>
      <c r="EHN45" s="76"/>
      <c r="EHO45" s="76"/>
      <c r="EHP45" s="76"/>
      <c r="EHQ45" s="76"/>
      <c r="EHR45" s="76"/>
      <c r="EHS45" s="76"/>
      <c r="EHT45" s="76"/>
      <c r="EHU45" s="76"/>
      <c r="EHV45" s="76"/>
      <c r="EHW45" s="76"/>
      <c r="EHX45" s="76"/>
      <c r="EHY45" s="76"/>
      <c r="EHZ45" s="76"/>
      <c r="EIA45" s="76"/>
      <c r="EIB45" s="76"/>
      <c r="EIC45" s="76"/>
      <c r="EID45" s="76"/>
      <c r="EIE45" s="76"/>
      <c r="EIF45" s="76"/>
      <c r="EIG45" s="76"/>
      <c r="EIH45" s="76"/>
      <c r="EII45" s="76"/>
      <c r="EIJ45" s="76"/>
      <c r="EIK45" s="76"/>
      <c r="EIL45" s="76"/>
      <c r="EIM45" s="76"/>
      <c r="EIN45" s="76"/>
      <c r="EIO45" s="76"/>
      <c r="EIP45" s="76"/>
      <c r="EIQ45" s="76"/>
      <c r="EIR45" s="76"/>
      <c r="EIS45" s="76"/>
      <c r="EIT45" s="76"/>
      <c r="EIU45" s="76"/>
      <c r="EIV45" s="76"/>
      <c r="EIW45" s="76"/>
      <c r="EIX45" s="76"/>
      <c r="EIY45" s="76"/>
      <c r="EIZ45" s="76"/>
      <c r="EJA45" s="76"/>
      <c r="EJB45" s="76"/>
      <c r="EJC45" s="76"/>
      <c r="EJD45" s="76"/>
      <c r="EJE45" s="76"/>
      <c r="EJF45" s="76"/>
      <c r="EJG45" s="76"/>
      <c r="EJH45" s="76"/>
      <c r="EJI45" s="76"/>
      <c r="EJJ45" s="76"/>
      <c r="EJK45" s="76"/>
      <c r="EJL45" s="76"/>
      <c r="EJM45" s="76"/>
      <c r="EJN45" s="76"/>
      <c r="EJO45" s="76"/>
      <c r="EJP45" s="76"/>
      <c r="EJQ45" s="76"/>
      <c r="EJR45" s="76"/>
      <c r="EJS45" s="76"/>
      <c r="EJT45" s="76"/>
      <c r="EJU45" s="76"/>
      <c r="EJV45" s="76"/>
      <c r="EJW45" s="76"/>
      <c r="EJX45" s="76"/>
      <c r="EJY45" s="76"/>
      <c r="EJZ45" s="76"/>
      <c r="EKA45" s="76"/>
      <c r="EKB45" s="76"/>
      <c r="EKC45" s="76"/>
      <c r="EKD45" s="76"/>
      <c r="EKE45" s="76"/>
      <c r="EKF45" s="76"/>
      <c r="EKG45" s="76"/>
      <c r="EKH45" s="76"/>
      <c r="EKI45" s="76"/>
      <c r="EKJ45" s="76"/>
      <c r="EKK45" s="76"/>
      <c r="EKL45" s="76"/>
      <c r="EKM45" s="76"/>
      <c r="EKN45" s="76"/>
      <c r="EKO45" s="76"/>
      <c r="EKP45" s="76"/>
      <c r="EKQ45" s="76"/>
      <c r="EKR45" s="76"/>
      <c r="EKS45" s="76"/>
      <c r="EKT45" s="76"/>
      <c r="EKU45" s="76"/>
      <c r="EKV45" s="76"/>
      <c r="EKW45" s="76"/>
      <c r="EKX45" s="76"/>
      <c r="EKY45" s="76"/>
      <c r="EKZ45" s="76"/>
      <c r="ELA45" s="76"/>
      <c r="ELB45" s="76"/>
      <c r="ELC45" s="76"/>
      <c r="ELD45" s="76"/>
      <c r="ELE45" s="76"/>
      <c r="ELF45" s="76"/>
      <c r="ELG45" s="76"/>
      <c r="ELH45" s="76"/>
      <c r="ELI45" s="76"/>
      <c r="ELJ45" s="76"/>
      <c r="ELK45" s="76"/>
      <c r="ELL45" s="76"/>
      <c r="ELM45" s="76"/>
      <c r="ELN45" s="76"/>
      <c r="ELO45" s="76"/>
      <c r="ELP45" s="76"/>
      <c r="ELQ45" s="76"/>
      <c r="ELR45" s="76"/>
      <c r="ELS45" s="76"/>
      <c r="ELT45" s="76"/>
      <c r="ELU45" s="76"/>
      <c r="ELV45" s="76"/>
      <c r="ELW45" s="76"/>
      <c r="ELX45" s="76"/>
      <c r="ELY45" s="76"/>
      <c r="ELZ45" s="76"/>
      <c r="EMA45" s="76"/>
      <c r="EMB45" s="76"/>
      <c r="EMC45" s="76"/>
      <c r="EMD45" s="76"/>
      <c r="EME45" s="76"/>
      <c r="EMF45" s="76"/>
      <c r="EMG45" s="76"/>
      <c r="EMH45" s="76"/>
      <c r="EMI45" s="76"/>
      <c r="EMJ45" s="76"/>
      <c r="EMK45" s="76"/>
      <c r="EML45" s="76"/>
      <c r="EMM45" s="76"/>
      <c r="EMN45" s="76"/>
      <c r="EMO45" s="76"/>
      <c r="EMP45" s="76"/>
      <c r="EMQ45" s="76"/>
      <c r="EMR45" s="76"/>
      <c r="EMS45" s="76"/>
      <c r="EMT45" s="76"/>
      <c r="EMU45" s="76"/>
      <c r="EMV45" s="76"/>
      <c r="EMW45" s="76"/>
      <c r="EMX45" s="76"/>
      <c r="EMY45" s="76"/>
      <c r="EMZ45" s="76"/>
      <c r="ENA45" s="76"/>
      <c r="ENB45" s="76"/>
      <c r="ENC45" s="76"/>
      <c r="END45" s="76"/>
      <c r="ENE45" s="76"/>
      <c r="ENF45" s="76"/>
      <c r="ENG45" s="76"/>
      <c r="ENH45" s="76"/>
      <c r="ENI45" s="76"/>
      <c r="ENJ45" s="76"/>
      <c r="ENK45" s="76"/>
      <c r="ENL45" s="76"/>
      <c r="ENM45" s="76"/>
      <c r="ENN45" s="76"/>
      <c r="ENO45" s="76"/>
      <c r="ENP45" s="76"/>
      <c r="ENQ45" s="76"/>
      <c r="ENR45" s="76"/>
      <c r="ENS45" s="76"/>
      <c r="ENT45" s="76"/>
      <c r="ENU45" s="76"/>
      <c r="ENV45" s="76"/>
      <c r="ENW45" s="76"/>
      <c r="ENX45" s="76"/>
      <c r="ENY45" s="76"/>
      <c r="ENZ45" s="76"/>
      <c r="EOA45" s="76"/>
      <c r="EOB45" s="76"/>
      <c r="EOC45" s="76"/>
      <c r="EOD45" s="76"/>
      <c r="EOE45" s="76"/>
      <c r="EOF45" s="76"/>
      <c r="EOG45" s="76"/>
      <c r="EOH45" s="76"/>
      <c r="EOI45" s="76"/>
      <c r="EOJ45" s="76"/>
      <c r="EOK45" s="76"/>
      <c r="EOL45" s="76"/>
      <c r="EOM45" s="76"/>
      <c r="EON45" s="76"/>
      <c r="EOO45" s="76"/>
      <c r="EOP45" s="76"/>
      <c r="EOQ45" s="76"/>
      <c r="EOR45" s="76"/>
      <c r="EOS45" s="76"/>
      <c r="EOT45" s="76"/>
      <c r="EOU45" s="76"/>
      <c r="EOV45" s="76"/>
      <c r="EOW45" s="76"/>
      <c r="EOX45" s="76"/>
      <c r="EOY45" s="76"/>
      <c r="EOZ45" s="76"/>
      <c r="EPA45" s="76"/>
      <c r="EPB45" s="76"/>
      <c r="EPC45" s="76"/>
      <c r="EPD45" s="76"/>
      <c r="EPE45" s="76"/>
      <c r="EPF45" s="76"/>
      <c r="EPG45" s="76"/>
      <c r="EPH45" s="76"/>
      <c r="EPI45" s="76"/>
      <c r="EPJ45" s="76"/>
      <c r="EPK45" s="76"/>
      <c r="EPL45" s="76"/>
      <c r="EPM45" s="76"/>
      <c r="EPN45" s="76"/>
      <c r="EPO45" s="76"/>
      <c r="EPP45" s="76"/>
      <c r="EPQ45" s="76"/>
      <c r="EPR45" s="76"/>
      <c r="EPS45" s="76"/>
      <c r="EPT45" s="76"/>
      <c r="EPU45" s="76"/>
      <c r="EPV45" s="76"/>
      <c r="EPW45" s="76"/>
      <c r="EPX45" s="76"/>
      <c r="EPY45" s="76"/>
      <c r="EPZ45" s="76"/>
      <c r="EQA45" s="76"/>
      <c r="EQB45" s="76"/>
      <c r="EQC45" s="76"/>
      <c r="EQD45" s="76"/>
      <c r="EQE45" s="76"/>
      <c r="EQF45" s="76"/>
      <c r="EQG45" s="76"/>
      <c r="EQH45" s="76"/>
      <c r="EQI45" s="76"/>
      <c r="EQJ45" s="76"/>
      <c r="EQK45" s="76"/>
      <c r="EQL45" s="76"/>
      <c r="EQM45" s="76"/>
      <c r="EQN45" s="76"/>
      <c r="EQO45" s="76"/>
      <c r="EQP45" s="76"/>
      <c r="EQQ45" s="76"/>
      <c r="EQR45" s="76"/>
      <c r="EQS45" s="76"/>
      <c r="EQT45" s="76"/>
      <c r="EQU45" s="76"/>
      <c r="EQV45" s="76"/>
      <c r="EQW45" s="76"/>
      <c r="EQX45" s="76"/>
      <c r="EQY45" s="76"/>
      <c r="EQZ45" s="76"/>
      <c r="ERA45" s="76"/>
      <c r="ERB45" s="76"/>
      <c r="ERC45" s="76"/>
      <c r="ERD45" s="76"/>
      <c r="ERE45" s="76"/>
      <c r="ERF45" s="76"/>
      <c r="ERG45" s="76"/>
      <c r="ERH45" s="76"/>
      <c r="ERI45" s="76"/>
      <c r="ERJ45" s="76"/>
      <c r="ERK45" s="76"/>
      <c r="ERL45" s="76"/>
      <c r="ERM45" s="76"/>
      <c r="ERN45" s="76"/>
      <c r="ERO45" s="76"/>
      <c r="ERP45" s="76"/>
      <c r="ERQ45" s="76"/>
      <c r="ERR45" s="76"/>
      <c r="ERS45" s="76"/>
      <c r="ERT45" s="76"/>
      <c r="ERU45" s="76"/>
      <c r="ERV45" s="76"/>
      <c r="ERW45" s="76"/>
      <c r="ERX45" s="76"/>
      <c r="ERY45" s="76"/>
      <c r="ERZ45" s="76"/>
      <c r="ESA45" s="76"/>
      <c r="ESB45" s="76"/>
      <c r="ESC45" s="76"/>
      <c r="ESD45" s="76"/>
      <c r="ESE45" s="76"/>
      <c r="ESF45" s="76"/>
      <c r="ESG45" s="76"/>
      <c r="ESH45" s="76"/>
      <c r="ESI45" s="76"/>
      <c r="ESJ45" s="76"/>
      <c r="ESK45" s="76"/>
      <c r="ESL45" s="76"/>
      <c r="ESM45" s="76"/>
      <c r="ESN45" s="76"/>
      <c r="ESO45" s="76"/>
      <c r="ESP45" s="76"/>
      <c r="ESQ45" s="76"/>
      <c r="ESR45" s="76"/>
      <c r="ESS45" s="76"/>
      <c r="EST45" s="76"/>
      <c r="ESU45" s="76"/>
      <c r="ESV45" s="76"/>
      <c r="ESW45" s="76"/>
      <c r="ESX45" s="76"/>
      <c r="ESY45" s="76"/>
      <c r="ESZ45" s="76"/>
      <c r="ETA45" s="76"/>
      <c r="ETB45" s="76"/>
      <c r="ETC45" s="76"/>
      <c r="ETD45" s="76"/>
      <c r="ETE45" s="76"/>
      <c r="ETF45" s="76"/>
      <c r="ETG45" s="76"/>
      <c r="ETH45" s="76"/>
      <c r="ETI45" s="76"/>
      <c r="ETJ45" s="76"/>
      <c r="ETK45" s="76"/>
      <c r="ETL45" s="76"/>
      <c r="ETM45" s="76"/>
      <c r="ETN45" s="76"/>
      <c r="ETO45" s="76"/>
      <c r="ETP45" s="76"/>
      <c r="ETQ45" s="76"/>
      <c r="ETR45" s="76"/>
      <c r="ETS45" s="76"/>
      <c r="ETT45" s="76"/>
      <c r="ETU45" s="76"/>
      <c r="ETV45" s="76"/>
      <c r="ETW45" s="76"/>
      <c r="ETX45" s="76"/>
      <c r="ETY45" s="76"/>
      <c r="ETZ45" s="76"/>
      <c r="EUA45" s="76"/>
      <c r="EUB45" s="76"/>
      <c r="EUC45" s="76"/>
      <c r="EUD45" s="76"/>
      <c r="EUE45" s="76"/>
      <c r="EUF45" s="76"/>
      <c r="EUG45" s="76"/>
      <c r="EUH45" s="76"/>
      <c r="EUI45" s="76"/>
      <c r="EUJ45" s="76"/>
      <c r="EUK45" s="76"/>
      <c r="EUL45" s="76"/>
      <c r="EUM45" s="76"/>
      <c r="EUN45" s="76"/>
      <c r="EUO45" s="76"/>
      <c r="EUP45" s="76"/>
      <c r="EUQ45" s="76"/>
      <c r="EUR45" s="76"/>
      <c r="EUS45" s="76"/>
      <c r="EUT45" s="76"/>
      <c r="EUU45" s="76"/>
      <c r="EUV45" s="76"/>
      <c r="EUW45" s="76"/>
      <c r="EUX45" s="76"/>
      <c r="EUY45" s="76"/>
      <c r="EUZ45" s="76"/>
      <c r="EVA45" s="76"/>
      <c r="EVB45" s="76"/>
      <c r="EVC45" s="76"/>
      <c r="EVD45" s="76"/>
      <c r="EVE45" s="76"/>
      <c r="EVF45" s="76"/>
      <c r="EVG45" s="76"/>
      <c r="EVH45" s="76"/>
      <c r="EVI45" s="76"/>
      <c r="EVJ45" s="76"/>
      <c r="EVK45" s="76"/>
      <c r="EVL45" s="76"/>
      <c r="EVM45" s="76"/>
      <c r="EVN45" s="76"/>
      <c r="EVO45" s="76"/>
      <c r="EVP45" s="76"/>
      <c r="EVQ45" s="76"/>
      <c r="EVR45" s="76"/>
      <c r="EVS45" s="76"/>
      <c r="EVT45" s="76"/>
      <c r="EVU45" s="76"/>
      <c r="EVV45" s="76"/>
      <c r="EVW45" s="76"/>
      <c r="EVX45" s="76"/>
      <c r="EVY45" s="76"/>
      <c r="EVZ45" s="76"/>
      <c r="EWA45" s="76"/>
      <c r="EWB45" s="76"/>
      <c r="EWC45" s="76"/>
      <c r="EWD45" s="76"/>
      <c r="EWE45" s="76"/>
      <c r="EWF45" s="76"/>
      <c r="EWG45" s="76"/>
      <c r="EWH45" s="76"/>
      <c r="EWI45" s="76"/>
      <c r="EWJ45" s="76"/>
      <c r="EWK45" s="76"/>
      <c r="EWL45" s="76"/>
      <c r="EWM45" s="76"/>
      <c r="EWN45" s="76"/>
      <c r="EWO45" s="76"/>
      <c r="EWP45" s="76"/>
      <c r="EWQ45" s="76"/>
      <c r="EWR45" s="76"/>
      <c r="EWS45" s="76"/>
      <c r="EWT45" s="76"/>
      <c r="EWU45" s="76"/>
      <c r="EWV45" s="76"/>
      <c r="EWW45" s="76"/>
      <c r="EWX45" s="76"/>
      <c r="EWY45" s="76"/>
      <c r="EWZ45" s="76"/>
      <c r="EXA45" s="76"/>
      <c r="EXB45" s="76"/>
      <c r="EXC45" s="76"/>
      <c r="EXD45" s="76"/>
      <c r="EXE45" s="76"/>
      <c r="EXF45" s="76"/>
      <c r="EXG45" s="76"/>
      <c r="EXH45" s="76"/>
      <c r="EXI45" s="76"/>
      <c r="EXJ45" s="76"/>
      <c r="EXK45" s="76"/>
      <c r="EXL45" s="76"/>
      <c r="EXM45" s="76"/>
      <c r="EXN45" s="76"/>
      <c r="EXO45" s="76"/>
      <c r="EXP45" s="76"/>
      <c r="EXQ45" s="76"/>
      <c r="EXR45" s="76"/>
      <c r="EXS45" s="76"/>
      <c r="EXT45" s="76"/>
      <c r="EXU45" s="76"/>
      <c r="EXV45" s="76"/>
      <c r="EXW45" s="76"/>
      <c r="EXX45" s="76"/>
      <c r="EXY45" s="76"/>
      <c r="EXZ45" s="76"/>
      <c r="EYA45" s="76"/>
      <c r="EYB45" s="76"/>
      <c r="EYC45" s="76"/>
      <c r="EYD45" s="76"/>
      <c r="EYE45" s="76"/>
      <c r="EYF45" s="76"/>
      <c r="EYG45" s="76"/>
      <c r="EYH45" s="76"/>
      <c r="EYI45" s="76"/>
      <c r="EYJ45" s="76"/>
      <c r="EYK45" s="76"/>
      <c r="EYL45" s="76"/>
      <c r="EYM45" s="76"/>
      <c r="EYN45" s="76"/>
      <c r="EYO45" s="76"/>
      <c r="EYP45" s="76"/>
      <c r="EYQ45" s="76"/>
      <c r="EYR45" s="76"/>
      <c r="EYS45" s="76"/>
      <c r="EYT45" s="76"/>
      <c r="EYU45" s="76"/>
      <c r="EYV45" s="76"/>
      <c r="EYW45" s="76"/>
      <c r="EYX45" s="76"/>
      <c r="EYY45" s="76"/>
      <c r="EYZ45" s="76"/>
      <c r="EZA45" s="76"/>
      <c r="EZB45" s="76"/>
      <c r="EZC45" s="76"/>
      <c r="EZD45" s="76"/>
      <c r="EZE45" s="76"/>
      <c r="EZF45" s="76"/>
      <c r="EZG45" s="76"/>
      <c r="EZH45" s="76"/>
      <c r="EZI45" s="76"/>
      <c r="EZJ45" s="76"/>
      <c r="EZK45" s="76"/>
      <c r="EZL45" s="76"/>
      <c r="EZM45" s="76"/>
      <c r="EZN45" s="76"/>
      <c r="EZO45" s="76"/>
      <c r="EZP45" s="76"/>
      <c r="EZQ45" s="76"/>
      <c r="EZR45" s="76"/>
      <c r="EZS45" s="76"/>
      <c r="EZT45" s="76"/>
      <c r="EZU45" s="76"/>
      <c r="EZV45" s="76"/>
      <c r="EZW45" s="76"/>
      <c r="EZX45" s="76"/>
      <c r="EZY45" s="76"/>
      <c r="EZZ45" s="76"/>
      <c r="FAA45" s="76"/>
      <c r="FAB45" s="76"/>
      <c r="FAC45" s="76"/>
      <c r="FAD45" s="76"/>
      <c r="FAE45" s="76"/>
      <c r="FAF45" s="76"/>
      <c r="FAG45" s="76"/>
      <c r="FAH45" s="76"/>
      <c r="FAI45" s="76"/>
      <c r="FAJ45" s="76"/>
      <c r="FAK45" s="76"/>
      <c r="FAL45" s="76"/>
      <c r="FAM45" s="76"/>
      <c r="FAN45" s="76"/>
      <c r="FAO45" s="76"/>
      <c r="FAP45" s="76"/>
      <c r="FAQ45" s="76"/>
      <c r="FAR45" s="76"/>
      <c r="FAS45" s="76"/>
      <c r="FAT45" s="76"/>
      <c r="FAU45" s="76"/>
      <c r="FAV45" s="76"/>
      <c r="FAW45" s="76"/>
      <c r="FAX45" s="76"/>
      <c r="FAY45" s="76"/>
      <c r="FAZ45" s="76"/>
      <c r="FBA45" s="76"/>
      <c r="FBB45" s="76"/>
      <c r="FBC45" s="76"/>
      <c r="FBD45" s="76"/>
      <c r="FBE45" s="76"/>
      <c r="FBF45" s="76"/>
      <c r="FBG45" s="76"/>
      <c r="FBH45" s="76"/>
      <c r="FBI45" s="76"/>
      <c r="FBJ45" s="76"/>
      <c r="FBK45" s="76"/>
      <c r="FBL45" s="76"/>
      <c r="FBM45" s="76"/>
      <c r="FBN45" s="76"/>
      <c r="FBO45" s="76"/>
      <c r="FBP45" s="76"/>
      <c r="FBQ45" s="76"/>
      <c r="FBR45" s="76"/>
      <c r="FBS45" s="76"/>
      <c r="FBT45" s="76"/>
      <c r="FBU45" s="76"/>
      <c r="FBV45" s="76"/>
      <c r="FBW45" s="76"/>
      <c r="FBX45" s="76"/>
      <c r="FBY45" s="76"/>
      <c r="FBZ45" s="76"/>
      <c r="FCA45" s="76"/>
      <c r="FCB45" s="76"/>
      <c r="FCC45" s="76"/>
      <c r="FCD45" s="76"/>
      <c r="FCE45" s="76"/>
      <c r="FCF45" s="76"/>
      <c r="FCG45" s="76"/>
      <c r="FCH45" s="76"/>
      <c r="FCI45" s="76"/>
      <c r="FCJ45" s="76"/>
      <c r="FCK45" s="76"/>
      <c r="FCL45" s="76"/>
      <c r="FCM45" s="76"/>
      <c r="FCN45" s="76"/>
      <c r="FCO45" s="76"/>
      <c r="FCP45" s="76"/>
      <c r="FCQ45" s="76"/>
      <c r="FCR45" s="76"/>
      <c r="FCS45" s="76"/>
      <c r="FCT45" s="76"/>
      <c r="FCU45" s="76"/>
      <c r="FCV45" s="76"/>
      <c r="FCW45" s="76"/>
      <c r="FCX45" s="76"/>
      <c r="FCY45" s="76"/>
      <c r="FCZ45" s="76"/>
      <c r="FDA45" s="76"/>
      <c r="FDB45" s="76"/>
      <c r="FDC45" s="76"/>
      <c r="FDD45" s="76"/>
      <c r="FDE45" s="76"/>
      <c r="FDF45" s="76"/>
      <c r="FDG45" s="76"/>
      <c r="FDH45" s="76"/>
      <c r="FDI45" s="76"/>
      <c r="FDJ45" s="76"/>
      <c r="FDK45" s="76"/>
      <c r="FDL45" s="76"/>
      <c r="FDM45" s="76"/>
      <c r="FDN45" s="76"/>
      <c r="FDO45" s="76"/>
      <c r="FDP45" s="76"/>
      <c r="FDQ45" s="76"/>
      <c r="FDR45" s="76"/>
      <c r="FDS45" s="76"/>
      <c r="FDT45" s="76"/>
      <c r="FDU45" s="76"/>
      <c r="FDV45" s="76"/>
      <c r="FDW45" s="76"/>
      <c r="FDX45" s="76"/>
      <c r="FDY45" s="76"/>
      <c r="FDZ45" s="76"/>
      <c r="FEA45" s="76"/>
      <c r="FEB45" s="76"/>
      <c r="FEC45" s="76"/>
      <c r="FED45" s="76"/>
      <c r="FEE45" s="76"/>
      <c r="FEF45" s="76"/>
      <c r="FEG45" s="76"/>
      <c r="FEH45" s="76"/>
      <c r="FEI45" s="76"/>
      <c r="FEJ45" s="76"/>
      <c r="FEK45" s="76"/>
      <c r="FEL45" s="76"/>
      <c r="FEM45" s="76"/>
      <c r="FEN45" s="76"/>
      <c r="FEO45" s="76"/>
      <c r="FEP45" s="76"/>
      <c r="FEQ45" s="76"/>
      <c r="FER45" s="76"/>
      <c r="FES45" s="76"/>
      <c r="FET45" s="76"/>
      <c r="FEU45" s="76"/>
      <c r="FEV45" s="76"/>
      <c r="FEW45" s="76"/>
      <c r="FEX45" s="76"/>
      <c r="FEY45" s="76"/>
      <c r="FEZ45" s="76"/>
      <c r="FFA45" s="76"/>
      <c r="FFB45" s="76"/>
      <c r="FFC45" s="76"/>
      <c r="FFD45" s="76"/>
      <c r="FFE45" s="76"/>
      <c r="FFF45" s="76"/>
      <c r="FFG45" s="76"/>
      <c r="FFH45" s="76"/>
      <c r="FFI45" s="76"/>
      <c r="FFJ45" s="76"/>
      <c r="FFK45" s="76"/>
      <c r="FFL45" s="76"/>
      <c r="FFM45" s="76"/>
      <c r="FFN45" s="76"/>
      <c r="FFO45" s="76"/>
      <c r="FFP45" s="76"/>
      <c r="FFQ45" s="76"/>
      <c r="FFR45" s="76"/>
      <c r="FFS45" s="76"/>
      <c r="FFT45" s="76"/>
      <c r="FFU45" s="76"/>
      <c r="FFV45" s="76"/>
      <c r="FFW45" s="76"/>
      <c r="FFX45" s="76"/>
      <c r="FFY45" s="76"/>
      <c r="FFZ45" s="76"/>
      <c r="FGA45" s="76"/>
      <c r="FGB45" s="76"/>
      <c r="FGC45" s="76"/>
      <c r="FGD45" s="76"/>
      <c r="FGE45" s="76"/>
      <c r="FGF45" s="76"/>
      <c r="FGG45" s="76"/>
      <c r="FGH45" s="76"/>
      <c r="FGI45" s="76"/>
      <c r="FGJ45" s="76"/>
      <c r="FGK45" s="76"/>
      <c r="FGL45" s="76"/>
      <c r="FGM45" s="76"/>
      <c r="FGN45" s="76"/>
      <c r="FGO45" s="76"/>
      <c r="FGP45" s="76"/>
      <c r="FGQ45" s="76"/>
      <c r="FGR45" s="76"/>
      <c r="FGS45" s="76"/>
      <c r="FGT45" s="76"/>
      <c r="FGU45" s="76"/>
      <c r="FGV45" s="76"/>
      <c r="FGW45" s="76"/>
      <c r="FGX45" s="76"/>
      <c r="FGY45" s="76"/>
      <c r="FGZ45" s="76"/>
      <c r="FHA45" s="76"/>
      <c r="FHB45" s="76"/>
      <c r="FHC45" s="76"/>
      <c r="FHD45" s="76"/>
      <c r="FHE45" s="76"/>
      <c r="FHF45" s="76"/>
      <c r="FHG45" s="76"/>
      <c r="FHH45" s="76"/>
      <c r="FHI45" s="76"/>
      <c r="FHJ45" s="76"/>
      <c r="FHK45" s="76"/>
      <c r="FHL45" s="76"/>
      <c r="FHM45" s="76"/>
      <c r="FHN45" s="76"/>
      <c r="FHO45" s="76"/>
      <c r="FHP45" s="76"/>
      <c r="FHQ45" s="76"/>
      <c r="FHR45" s="76"/>
      <c r="FHS45" s="76"/>
      <c r="FHT45" s="76"/>
      <c r="FHU45" s="76"/>
      <c r="FHV45" s="76"/>
      <c r="FHW45" s="76"/>
      <c r="FHX45" s="76"/>
      <c r="FHY45" s="76"/>
      <c r="FHZ45" s="76"/>
      <c r="FIA45" s="76"/>
      <c r="FIB45" s="76"/>
      <c r="FIC45" s="76"/>
      <c r="FID45" s="76"/>
      <c r="FIE45" s="76"/>
      <c r="FIF45" s="76"/>
      <c r="FIG45" s="76"/>
      <c r="FIH45" s="76"/>
      <c r="FII45" s="76"/>
      <c r="FIJ45" s="76"/>
      <c r="FIK45" s="76"/>
      <c r="FIL45" s="76"/>
      <c r="FIM45" s="76"/>
      <c r="FIN45" s="76"/>
      <c r="FIO45" s="76"/>
      <c r="FIP45" s="76"/>
      <c r="FIQ45" s="76"/>
      <c r="FIR45" s="76"/>
      <c r="FIS45" s="76"/>
      <c r="FIT45" s="76"/>
      <c r="FIU45" s="76"/>
      <c r="FIV45" s="76"/>
      <c r="FIW45" s="76"/>
      <c r="FIX45" s="76"/>
      <c r="FIY45" s="76"/>
      <c r="FIZ45" s="76"/>
      <c r="FJA45" s="76"/>
      <c r="FJB45" s="76"/>
      <c r="FJC45" s="76"/>
      <c r="FJD45" s="76"/>
      <c r="FJE45" s="76"/>
      <c r="FJF45" s="76"/>
      <c r="FJG45" s="76"/>
      <c r="FJH45" s="76"/>
      <c r="FJI45" s="76"/>
      <c r="FJJ45" s="76"/>
      <c r="FJK45" s="76"/>
      <c r="FJL45" s="76"/>
      <c r="FJM45" s="76"/>
      <c r="FJN45" s="76"/>
      <c r="FJO45" s="76"/>
      <c r="FJP45" s="76"/>
      <c r="FJQ45" s="76"/>
      <c r="FJR45" s="76"/>
      <c r="FJS45" s="76"/>
      <c r="FJT45" s="76"/>
      <c r="FJU45" s="76"/>
      <c r="FJV45" s="76"/>
      <c r="FJW45" s="76"/>
      <c r="FJX45" s="76"/>
      <c r="FJY45" s="76"/>
      <c r="FJZ45" s="76"/>
      <c r="FKA45" s="76"/>
      <c r="FKB45" s="76"/>
      <c r="FKC45" s="76"/>
      <c r="FKD45" s="76"/>
      <c r="FKE45" s="76"/>
      <c r="FKF45" s="76"/>
      <c r="FKG45" s="76"/>
      <c r="FKH45" s="76"/>
      <c r="FKI45" s="76"/>
      <c r="FKJ45" s="76"/>
      <c r="FKK45" s="76"/>
      <c r="FKL45" s="76"/>
      <c r="FKM45" s="76"/>
      <c r="FKN45" s="76"/>
      <c r="FKO45" s="76"/>
      <c r="FKP45" s="76"/>
      <c r="FKQ45" s="76"/>
      <c r="FKR45" s="76"/>
      <c r="FKS45" s="76"/>
      <c r="FKT45" s="76"/>
      <c r="FKU45" s="76"/>
      <c r="FKV45" s="76"/>
      <c r="FKW45" s="76"/>
      <c r="FKX45" s="76"/>
      <c r="FKY45" s="76"/>
      <c r="FKZ45" s="76"/>
      <c r="FLA45" s="76"/>
      <c r="FLB45" s="76"/>
      <c r="FLC45" s="76"/>
      <c r="FLD45" s="76"/>
      <c r="FLE45" s="76"/>
      <c r="FLF45" s="76"/>
      <c r="FLG45" s="76"/>
      <c r="FLH45" s="76"/>
      <c r="FLI45" s="76"/>
      <c r="FLJ45" s="76"/>
      <c r="FLK45" s="76"/>
      <c r="FLL45" s="76"/>
      <c r="FLM45" s="76"/>
      <c r="FLN45" s="76"/>
      <c r="FLO45" s="76"/>
      <c r="FLP45" s="76"/>
      <c r="FLQ45" s="76"/>
      <c r="FLR45" s="76"/>
      <c r="FLS45" s="76"/>
      <c r="FLT45" s="76"/>
      <c r="FLU45" s="76"/>
      <c r="FLV45" s="76"/>
      <c r="FLW45" s="76"/>
      <c r="FLX45" s="76"/>
      <c r="FLY45" s="76"/>
      <c r="FLZ45" s="76"/>
      <c r="FMA45" s="76"/>
      <c r="FMB45" s="76"/>
      <c r="FMC45" s="76"/>
      <c r="FMD45" s="76"/>
      <c r="FME45" s="76"/>
      <c r="FMF45" s="76"/>
      <c r="FMG45" s="76"/>
      <c r="FMH45" s="76"/>
      <c r="FMI45" s="76"/>
      <c r="FMJ45" s="76"/>
      <c r="FMK45" s="76"/>
      <c r="FML45" s="76"/>
      <c r="FMM45" s="76"/>
      <c r="FMN45" s="76"/>
      <c r="FMO45" s="76"/>
      <c r="FMP45" s="76"/>
      <c r="FMQ45" s="76"/>
      <c r="FMR45" s="76"/>
      <c r="FMS45" s="76"/>
      <c r="FMT45" s="76"/>
      <c r="FMU45" s="76"/>
      <c r="FMV45" s="76"/>
      <c r="FMW45" s="76"/>
      <c r="FMX45" s="76"/>
      <c r="FMY45" s="76"/>
      <c r="FMZ45" s="76"/>
      <c r="FNA45" s="76"/>
      <c r="FNB45" s="76"/>
      <c r="FNC45" s="76"/>
      <c r="FND45" s="76"/>
      <c r="FNE45" s="76"/>
      <c r="FNF45" s="76"/>
      <c r="FNG45" s="76"/>
      <c r="FNH45" s="76"/>
      <c r="FNI45" s="76"/>
      <c r="FNJ45" s="76"/>
      <c r="FNK45" s="76"/>
      <c r="FNL45" s="76"/>
      <c r="FNM45" s="76"/>
      <c r="FNN45" s="76"/>
      <c r="FNO45" s="76"/>
      <c r="FNP45" s="76"/>
      <c r="FNQ45" s="76"/>
      <c r="FNR45" s="76"/>
      <c r="FNS45" s="76"/>
      <c r="FNT45" s="76"/>
      <c r="FNU45" s="76"/>
      <c r="FNV45" s="76"/>
      <c r="FNW45" s="76"/>
      <c r="FNX45" s="76"/>
      <c r="FNY45" s="76"/>
      <c r="FNZ45" s="76"/>
      <c r="FOA45" s="76"/>
      <c r="FOB45" s="76"/>
      <c r="FOC45" s="76"/>
      <c r="FOD45" s="76"/>
      <c r="FOE45" s="76"/>
      <c r="FOF45" s="76"/>
      <c r="FOG45" s="76"/>
      <c r="FOH45" s="76"/>
      <c r="FOI45" s="76"/>
      <c r="FOJ45" s="76"/>
      <c r="FOK45" s="76"/>
      <c r="FOL45" s="76"/>
      <c r="FOM45" s="76"/>
      <c r="FON45" s="76"/>
      <c r="FOO45" s="76"/>
      <c r="FOP45" s="76"/>
      <c r="FOQ45" s="76"/>
      <c r="FOR45" s="76"/>
      <c r="FOS45" s="76"/>
      <c r="FOT45" s="76"/>
      <c r="FOU45" s="76"/>
      <c r="FOV45" s="76"/>
      <c r="FOW45" s="76"/>
      <c r="FOX45" s="76"/>
      <c r="FOY45" s="76"/>
      <c r="FOZ45" s="76"/>
      <c r="FPA45" s="76"/>
      <c r="FPB45" s="76"/>
      <c r="FPC45" s="76"/>
      <c r="FPD45" s="76"/>
      <c r="FPE45" s="76"/>
      <c r="FPF45" s="76"/>
      <c r="FPG45" s="76"/>
      <c r="FPH45" s="76"/>
      <c r="FPI45" s="76"/>
      <c r="FPJ45" s="76"/>
      <c r="FPK45" s="76"/>
      <c r="FPL45" s="76"/>
      <c r="FPM45" s="76"/>
      <c r="FPN45" s="76"/>
      <c r="FPO45" s="76"/>
      <c r="FPP45" s="76"/>
      <c r="FPQ45" s="76"/>
      <c r="FPR45" s="76"/>
      <c r="FPS45" s="76"/>
      <c r="FPT45" s="76"/>
      <c r="FPU45" s="76"/>
      <c r="FPV45" s="76"/>
      <c r="FPW45" s="76"/>
      <c r="FPX45" s="76"/>
      <c r="FPY45" s="76"/>
      <c r="FPZ45" s="76"/>
      <c r="FQA45" s="76"/>
      <c r="FQB45" s="76"/>
      <c r="FQC45" s="76"/>
      <c r="FQD45" s="76"/>
      <c r="FQE45" s="76"/>
      <c r="FQF45" s="76"/>
      <c r="FQG45" s="76"/>
      <c r="FQH45" s="76"/>
      <c r="FQI45" s="76"/>
      <c r="FQJ45" s="76"/>
      <c r="FQK45" s="76"/>
      <c r="FQL45" s="76"/>
      <c r="FQM45" s="76"/>
      <c r="FQN45" s="76"/>
      <c r="FQO45" s="76"/>
      <c r="FQP45" s="76"/>
      <c r="FQQ45" s="76"/>
      <c r="FQR45" s="76"/>
      <c r="FQS45" s="76"/>
      <c r="FQT45" s="76"/>
      <c r="FQU45" s="76"/>
      <c r="FQV45" s="76"/>
      <c r="FQW45" s="76"/>
      <c r="FQX45" s="76"/>
      <c r="FQY45" s="76"/>
      <c r="FQZ45" s="76"/>
      <c r="FRA45" s="76"/>
      <c r="FRB45" s="76"/>
      <c r="FRC45" s="76"/>
      <c r="FRD45" s="76"/>
      <c r="FRE45" s="76"/>
      <c r="FRF45" s="76"/>
      <c r="FRG45" s="76"/>
      <c r="FRH45" s="76"/>
      <c r="FRI45" s="76"/>
      <c r="FRJ45" s="76"/>
      <c r="FRK45" s="76"/>
      <c r="FRL45" s="76"/>
      <c r="FRM45" s="76"/>
      <c r="FRN45" s="76"/>
      <c r="FRO45" s="76"/>
      <c r="FRP45" s="76"/>
      <c r="FRQ45" s="76"/>
      <c r="FRR45" s="76"/>
      <c r="FRS45" s="76"/>
      <c r="FRT45" s="76"/>
      <c r="FRU45" s="76"/>
      <c r="FRV45" s="76"/>
      <c r="FRW45" s="76"/>
      <c r="FRX45" s="76"/>
      <c r="FRY45" s="76"/>
      <c r="FRZ45" s="76"/>
      <c r="FSA45" s="76"/>
      <c r="FSB45" s="76"/>
      <c r="FSC45" s="76"/>
      <c r="FSD45" s="76"/>
      <c r="FSE45" s="76"/>
      <c r="FSF45" s="76"/>
      <c r="FSG45" s="76"/>
      <c r="FSH45" s="76"/>
      <c r="FSI45" s="76"/>
      <c r="FSJ45" s="76"/>
      <c r="FSK45" s="76"/>
      <c r="FSL45" s="76"/>
      <c r="FSM45" s="76"/>
      <c r="FSN45" s="76"/>
      <c r="FSO45" s="76"/>
      <c r="FSP45" s="76"/>
      <c r="FSQ45" s="76"/>
      <c r="FSR45" s="76"/>
      <c r="FSS45" s="76"/>
      <c r="FST45" s="76"/>
      <c r="FSU45" s="76"/>
      <c r="FSV45" s="76"/>
      <c r="FSW45" s="76"/>
      <c r="FSX45" s="76"/>
      <c r="FSY45" s="76"/>
      <c r="FSZ45" s="76"/>
      <c r="FTA45" s="76"/>
      <c r="FTB45" s="76"/>
      <c r="FTC45" s="76"/>
      <c r="FTD45" s="76"/>
      <c r="FTE45" s="76"/>
      <c r="FTF45" s="76"/>
      <c r="FTG45" s="76"/>
      <c r="FTH45" s="76"/>
      <c r="FTI45" s="76"/>
      <c r="FTJ45" s="76"/>
      <c r="FTK45" s="76"/>
      <c r="FTL45" s="76"/>
      <c r="FTM45" s="76"/>
      <c r="FTN45" s="76"/>
      <c r="FTO45" s="76"/>
      <c r="FTP45" s="76"/>
      <c r="FTQ45" s="76"/>
      <c r="FTR45" s="76"/>
      <c r="FTS45" s="76"/>
      <c r="FTT45" s="76"/>
      <c r="FTU45" s="76"/>
      <c r="FTV45" s="76"/>
      <c r="FTW45" s="76"/>
      <c r="FTX45" s="76"/>
      <c r="FTY45" s="76"/>
      <c r="FTZ45" s="76"/>
      <c r="FUA45" s="76"/>
      <c r="FUB45" s="76"/>
      <c r="FUC45" s="76"/>
      <c r="FUD45" s="76"/>
      <c r="FUE45" s="76"/>
      <c r="FUF45" s="76"/>
      <c r="FUG45" s="76"/>
      <c r="FUH45" s="76"/>
      <c r="FUI45" s="76"/>
      <c r="FUJ45" s="76"/>
      <c r="FUK45" s="76"/>
      <c r="FUL45" s="76"/>
      <c r="FUM45" s="76"/>
      <c r="FUN45" s="76"/>
      <c r="FUO45" s="76"/>
      <c r="FUP45" s="76"/>
      <c r="FUQ45" s="76"/>
      <c r="FUR45" s="76"/>
      <c r="FUS45" s="76"/>
      <c r="FUT45" s="76"/>
      <c r="FUU45" s="76"/>
      <c r="FUV45" s="76"/>
      <c r="FUW45" s="76"/>
      <c r="FUX45" s="76"/>
      <c r="FUY45" s="76"/>
      <c r="FUZ45" s="76"/>
      <c r="FVA45" s="76"/>
      <c r="FVB45" s="76"/>
      <c r="FVC45" s="76"/>
      <c r="FVD45" s="76"/>
      <c r="FVE45" s="76"/>
      <c r="FVF45" s="76"/>
      <c r="FVG45" s="76"/>
      <c r="FVH45" s="76"/>
      <c r="FVI45" s="76"/>
      <c r="FVJ45" s="76"/>
      <c r="FVK45" s="76"/>
      <c r="FVL45" s="76"/>
      <c r="FVM45" s="76"/>
      <c r="FVN45" s="76"/>
      <c r="FVO45" s="76"/>
      <c r="FVP45" s="76"/>
      <c r="FVQ45" s="76"/>
      <c r="FVR45" s="76"/>
      <c r="FVS45" s="76"/>
      <c r="FVT45" s="76"/>
      <c r="FVU45" s="76"/>
      <c r="FVV45" s="76"/>
      <c r="FVW45" s="76"/>
      <c r="FVX45" s="76"/>
      <c r="FVY45" s="76"/>
      <c r="FVZ45" s="76"/>
      <c r="FWA45" s="76"/>
      <c r="FWB45" s="76"/>
      <c r="FWC45" s="76"/>
      <c r="FWD45" s="76"/>
      <c r="FWE45" s="76"/>
      <c r="FWF45" s="76"/>
      <c r="FWG45" s="76"/>
      <c r="FWH45" s="76"/>
      <c r="FWI45" s="76"/>
      <c r="FWJ45" s="76"/>
      <c r="FWK45" s="76"/>
      <c r="FWL45" s="76"/>
      <c r="FWM45" s="76"/>
      <c r="FWN45" s="76"/>
      <c r="FWO45" s="76"/>
      <c r="FWP45" s="76"/>
      <c r="FWQ45" s="76"/>
      <c r="FWR45" s="76"/>
      <c r="FWS45" s="76"/>
      <c r="FWT45" s="76"/>
      <c r="FWU45" s="76"/>
      <c r="FWV45" s="76"/>
      <c r="FWW45" s="76"/>
      <c r="FWX45" s="76"/>
      <c r="FWY45" s="76"/>
      <c r="FWZ45" s="76"/>
      <c r="FXA45" s="76"/>
      <c r="FXB45" s="76"/>
      <c r="FXC45" s="76"/>
      <c r="FXD45" s="76"/>
      <c r="FXE45" s="76"/>
      <c r="FXF45" s="76"/>
      <c r="FXG45" s="76"/>
      <c r="FXH45" s="76"/>
      <c r="FXI45" s="76"/>
      <c r="FXJ45" s="76"/>
      <c r="FXK45" s="76"/>
      <c r="FXL45" s="76"/>
      <c r="FXM45" s="76"/>
      <c r="FXN45" s="76"/>
      <c r="FXO45" s="76"/>
      <c r="FXP45" s="76"/>
      <c r="FXQ45" s="76"/>
      <c r="FXR45" s="76"/>
      <c r="FXS45" s="76"/>
      <c r="FXT45" s="76"/>
      <c r="FXU45" s="76"/>
      <c r="FXV45" s="76"/>
      <c r="FXW45" s="76"/>
      <c r="FXX45" s="76"/>
      <c r="FXY45" s="76"/>
      <c r="FXZ45" s="76"/>
      <c r="FYA45" s="76"/>
      <c r="FYB45" s="76"/>
      <c r="FYC45" s="76"/>
      <c r="FYD45" s="76"/>
      <c r="FYE45" s="76"/>
      <c r="FYF45" s="76"/>
      <c r="FYG45" s="76"/>
      <c r="FYH45" s="76"/>
      <c r="FYI45" s="76"/>
      <c r="FYJ45" s="76"/>
      <c r="FYK45" s="76"/>
      <c r="FYL45" s="76"/>
      <c r="FYM45" s="76"/>
      <c r="FYN45" s="76"/>
      <c r="FYO45" s="76"/>
      <c r="FYP45" s="76"/>
      <c r="FYQ45" s="76"/>
      <c r="FYR45" s="76"/>
      <c r="FYS45" s="76"/>
      <c r="FYT45" s="76"/>
      <c r="FYU45" s="76"/>
      <c r="FYV45" s="76"/>
      <c r="FYW45" s="76"/>
      <c r="FYX45" s="76"/>
      <c r="FYY45" s="76"/>
      <c r="FYZ45" s="76"/>
      <c r="FZA45" s="76"/>
      <c r="FZB45" s="76"/>
      <c r="FZC45" s="76"/>
      <c r="FZD45" s="76"/>
      <c r="FZE45" s="76"/>
      <c r="FZF45" s="76"/>
      <c r="FZG45" s="76"/>
      <c r="FZH45" s="76"/>
      <c r="FZI45" s="76"/>
      <c r="FZJ45" s="76"/>
      <c r="FZK45" s="76"/>
      <c r="FZL45" s="76"/>
      <c r="FZM45" s="76"/>
      <c r="FZN45" s="76"/>
      <c r="FZO45" s="76"/>
      <c r="FZP45" s="76"/>
      <c r="FZQ45" s="76"/>
      <c r="FZR45" s="76"/>
      <c r="FZS45" s="76"/>
      <c r="FZT45" s="76"/>
      <c r="FZU45" s="76"/>
      <c r="FZV45" s="76"/>
      <c r="FZW45" s="76"/>
      <c r="FZX45" s="76"/>
      <c r="FZY45" s="76"/>
      <c r="FZZ45" s="76"/>
      <c r="GAA45" s="76"/>
      <c r="GAB45" s="76"/>
      <c r="GAC45" s="76"/>
      <c r="GAD45" s="76"/>
      <c r="GAE45" s="76"/>
      <c r="GAF45" s="76"/>
      <c r="GAG45" s="76"/>
      <c r="GAH45" s="76"/>
      <c r="GAI45" s="76"/>
      <c r="GAJ45" s="76"/>
      <c r="GAK45" s="76"/>
      <c r="GAL45" s="76"/>
      <c r="GAM45" s="76"/>
      <c r="GAN45" s="76"/>
      <c r="GAO45" s="76"/>
      <c r="GAP45" s="76"/>
      <c r="GAQ45" s="76"/>
      <c r="GAR45" s="76"/>
      <c r="GAS45" s="76"/>
      <c r="GAT45" s="76"/>
      <c r="GAU45" s="76"/>
      <c r="GAV45" s="76"/>
      <c r="GAW45" s="76"/>
      <c r="GAX45" s="76"/>
      <c r="GAY45" s="76"/>
      <c r="GAZ45" s="76"/>
      <c r="GBA45" s="76"/>
      <c r="GBB45" s="76"/>
      <c r="GBC45" s="76"/>
      <c r="GBD45" s="76"/>
      <c r="GBE45" s="76"/>
      <c r="GBF45" s="76"/>
      <c r="GBG45" s="76"/>
      <c r="GBH45" s="76"/>
      <c r="GBI45" s="76"/>
      <c r="GBJ45" s="76"/>
      <c r="GBK45" s="76"/>
      <c r="GBL45" s="76"/>
      <c r="GBM45" s="76"/>
      <c r="GBN45" s="76"/>
      <c r="GBO45" s="76"/>
      <c r="GBP45" s="76"/>
      <c r="GBQ45" s="76"/>
      <c r="GBR45" s="76"/>
      <c r="GBS45" s="76"/>
      <c r="GBT45" s="76"/>
      <c r="GBU45" s="76"/>
      <c r="GBV45" s="76"/>
      <c r="GBW45" s="76"/>
      <c r="GBX45" s="76"/>
      <c r="GBY45" s="76"/>
      <c r="GBZ45" s="76"/>
      <c r="GCA45" s="76"/>
      <c r="GCB45" s="76"/>
      <c r="GCC45" s="76"/>
      <c r="GCD45" s="76"/>
      <c r="GCE45" s="76"/>
      <c r="GCF45" s="76"/>
      <c r="GCG45" s="76"/>
      <c r="GCH45" s="76"/>
      <c r="GCI45" s="76"/>
      <c r="GCJ45" s="76"/>
      <c r="GCK45" s="76"/>
      <c r="GCL45" s="76"/>
      <c r="GCM45" s="76"/>
      <c r="GCN45" s="76"/>
      <c r="GCO45" s="76"/>
      <c r="GCP45" s="76"/>
      <c r="GCQ45" s="76"/>
      <c r="GCR45" s="76"/>
      <c r="GCS45" s="76"/>
      <c r="GCT45" s="76"/>
      <c r="GCU45" s="76"/>
      <c r="GCV45" s="76"/>
      <c r="GCW45" s="76"/>
      <c r="GCX45" s="76"/>
      <c r="GCY45" s="76"/>
      <c r="GCZ45" s="76"/>
      <c r="GDA45" s="76"/>
      <c r="GDB45" s="76"/>
      <c r="GDC45" s="76"/>
      <c r="GDD45" s="76"/>
      <c r="GDE45" s="76"/>
      <c r="GDF45" s="76"/>
      <c r="GDG45" s="76"/>
      <c r="GDH45" s="76"/>
      <c r="GDI45" s="76"/>
      <c r="GDJ45" s="76"/>
      <c r="GDK45" s="76"/>
      <c r="GDL45" s="76"/>
      <c r="GDM45" s="76"/>
      <c r="GDN45" s="76"/>
      <c r="GDO45" s="76"/>
      <c r="GDP45" s="76"/>
      <c r="GDQ45" s="76"/>
      <c r="GDR45" s="76"/>
      <c r="GDS45" s="76"/>
      <c r="GDT45" s="76"/>
      <c r="GDU45" s="76"/>
      <c r="GDV45" s="76"/>
      <c r="GDW45" s="76"/>
      <c r="GDX45" s="76"/>
      <c r="GDY45" s="76"/>
      <c r="GDZ45" s="76"/>
      <c r="GEA45" s="76"/>
      <c r="GEB45" s="76"/>
      <c r="GEC45" s="76"/>
      <c r="GED45" s="76"/>
      <c r="GEE45" s="76"/>
      <c r="GEF45" s="76"/>
      <c r="GEG45" s="76"/>
      <c r="GEH45" s="76"/>
      <c r="GEI45" s="76"/>
      <c r="GEJ45" s="76"/>
      <c r="GEK45" s="76"/>
      <c r="GEL45" s="76"/>
      <c r="GEM45" s="76"/>
      <c r="GEN45" s="76"/>
      <c r="GEO45" s="76"/>
      <c r="GEP45" s="76"/>
      <c r="GEQ45" s="76"/>
      <c r="GER45" s="76"/>
      <c r="GES45" s="76"/>
      <c r="GET45" s="76"/>
      <c r="GEU45" s="76"/>
      <c r="GEV45" s="76"/>
      <c r="GEW45" s="76"/>
      <c r="GEX45" s="76"/>
      <c r="GEY45" s="76"/>
      <c r="GEZ45" s="76"/>
      <c r="GFA45" s="76"/>
      <c r="GFB45" s="76"/>
      <c r="GFC45" s="76"/>
      <c r="GFD45" s="76"/>
      <c r="GFE45" s="76"/>
      <c r="GFF45" s="76"/>
      <c r="GFG45" s="76"/>
      <c r="GFH45" s="76"/>
      <c r="GFI45" s="76"/>
      <c r="GFJ45" s="76"/>
      <c r="GFK45" s="76"/>
      <c r="GFL45" s="76"/>
      <c r="GFM45" s="76"/>
      <c r="GFN45" s="76"/>
      <c r="GFO45" s="76"/>
      <c r="GFP45" s="76"/>
      <c r="GFQ45" s="76"/>
      <c r="GFR45" s="76"/>
      <c r="GFS45" s="76"/>
      <c r="GFT45" s="76"/>
      <c r="GFU45" s="76"/>
      <c r="GFV45" s="76"/>
      <c r="GFW45" s="76"/>
      <c r="GFX45" s="76"/>
      <c r="GFY45" s="76"/>
      <c r="GFZ45" s="76"/>
      <c r="GGA45" s="76"/>
      <c r="GGB45" s="76"/>
      <c r="GGC45" s="76"/>
      <c r="GGD45" s="76"/>
      <c r="GGE45" s="76"/>
      <c r="GGF45" s="76"/>
      <c r="GGG45" s="76"/>
      <c r="GGH45" s="76"/>
      <c r="GGI45" s="76"/>
      <c r="GGJ45" s="76"/>
      <c r="GGK45" s="76"/>
      <c r="GGL45" s="76"/>
      <c r="GGM45" s="76"/>
      <c r="GGN45" s="76"/>
      <c r="GGO45" s="76"/>
      <c r="GGP45" s="76"/>
      <c r="GGQ45" s="76"/>
      <c r="GGR45" s="76"/>
      <c r="GGS45" s="76"/>
      <c r="GGT45" s="76"/>
      <c r="GGU45" s="76"/>
      <c r="GGV45" s="76"/>
      <c r="GGW45" s="76"/>
      <c r="GGX45" s="76"/>
      <c r="GGY45" s="76"/>
      <c r="GGZ45" s="76"/>
      <c r="GHA45" s="76"/>
      <c r="GHB45" s="76"/>
      <c r="GHC45" s="76"/>
      <c r="GHD45" s="76"/>
      <c r="GHE45" s="76"/>
      <c r="GHF45" s="76"/>
      <c r="GHG45" s="76"/>
      <c r="GHH45" s="76"/>
      <c r="GHI45" s="76"/>
      <c r="GHJ45" s="76"/>
      <c r="GHK45" s="76"/>
      <c r="GHL45" s="76"/>
      <c r="GHM45" s="76"/>
      <c r="GHN45" s="76"/>
      <c r="GHO45" s="76"/>
      <c r="GHP45" s="76"/>
      <c r="GHQ45" s="76"/>
      <c r="GHR45" s="76"/>
      <c r="GHS45" s="76"/>
      <c r="GHT45" s="76"/>
      <c r="GHU45" s="76"/>
      <c r="GHV45" s="76"/>
      <c r="GHW45" s="76"/>
      <c r="GHX45" s="76"/>
      <c r="GHY45" s="76"/>
      <c r="GHZ45" s="76"/>
      <c r="GIA45" s="76"/>
      <c r="GIB45" s="76"/>
      <c r="GIC45" s="76"/>
      <c r="GID45" s="76"/>
      <c r="GIE45" s="76"/>
      <c r="GIF45" s="76"/>
      <c r="GIG45" s="76"/>
      <c r="GIH45" s="76"/>
      <c r="GII45" s="76"/>
      <c r="GIJ45" s="76"/>
      <c r="GIK45" s="76"/>
      <c r="GIL45" s="76"/>
      <c r="GIM45" s="76"/>
      <c r="GIN45" s="76"/>
      <c r="GIO45" s="76"/>
      <c r="GIP45" s="76"/>
      <c r="GIQ45" s="76"/>
      <c r="GIR45" s="76"/>
      <c r="GIS45" s="76"/>
      <c r="GIT45" s="76"/>
      <c r="GIU45" s="76"/>
      <c r="GIV45" s="76"/>
      <c r="GIW45" s="76"/>
      <c r="GIX45" s="76"/>
      <c r="GIY45" s="76"/>
      <c r="GIZ45" s="76"/>
      <c r="GJA45" s="76"/>
      <c r="GJB45" s="76"/>
      <c r="GJC45" s="76"/>
      <c r="GJD45" s="76"/>
      <c r="GJE45" s="76"/>
      <c r="GJF45" s="76"/>
      <c r="GJG45" s="76"/>
      <c r="GJH45" s="76"/>
      <c r="GJI45" s="76"/>
      <c r="GJJ45" s="76"/>
      <c r="GJK45" s="76"/>
      <c r="GJL45" s="76"/>
      <c r="GJM45" s="76"/>
      <c r="GJN45" s="76"/>
      <c r="GJO45" s="76"/>
      <c r="GJP45" s="76"/>
      <c r="GJQ45" s="76"/>
      <c r="GJR45" s="76"/>
      <c r="GJS45" s="76"/>
      <c r="GJT45" s="76"/>
      <c r="GJU45" s="76"/>
      <c r="GJV45" s="76"/>
      <c r="GJW45" s="76"/>
      <c r="GJX45" s="76"/>
      <c r="GJY45" s="76"/>
      <c r="GJZ45" s="76"/>
      <c r="GKA45" s="76"/>
      <c r="GKB45" s="76"/>
      <c r="GKC45" s="76"/>
      <c r="GKD45" s="76"/>
      <c r="GKE45" s="76"/>
      <c r="GKF45" s="76"/>
      <c r="GKG45" s="76"/>
      <c r="GKH45" s="76"/>
      <c r="GKI45" s="76"/>
      <c r="GKJ45" s="76"/>
      <c r="GKK45" s="76"/>
      <c r="GKL45" s="76"/>
      <c r="GKM45" s="76"/>
      <c r="GKN45" s="76"/>
      <c r="GKO45" s="76"/>
      <c r="GKP45" s="76"/>
      <c r="GKQ45" s="76"/>
      <c r="GKR45" s="76"/>
      <c r="GKS45" s="76"/>
      <c r="GKT45" s="76"/>
      <c r="GKU45" s="76"/>
      <c r="GKV45" s="76"/>
      <c r="GKW45" s="76"/>
      <c r="GKX45" s="76"/>
      <c r="GKY45" s="76"/>
      <c r="GKZ45" s="76"/>
      <c r="GLA45" s="76"/>
      <c r="GLB45" s="76"/>
      <c r="GLC45" s="76"/>
      <c r="GLD45" s="76"/>
      <c r="GLE45" s="76"/>
      <c r="GLF45" s="76"/>
      <c r="GLG45" s="76"/>
      <c r="GLH45" s="76"/>
      <c r="GLI45" s="76"/>
      <c r="GLJ45" s="76"/>
      <c r="GLK45" s="76"/>
      <c r="GLL45" s="76"/>
      <c r="GLM45" s="76"/>
      <c r="GLN45" s="76"/>
      <c r="GLO45" s="76"/>
      <c r="GLP45" s="76"/>
      <c r="GLQ45" s="76"/>
      <c r="GLR45" s="76"/>
      <c r="GLS45" s="76"/>
      <c r="GLT45" s="76"/>
      <c r="GLU45" s="76"/>
      <c r="GLV45" s="76"/>
      <c r="GLW45" s="76"/>
      <c r="GLX45" s="76"/>
      <c r="GLY45" s="76"/>
      <c r="GLZ45" s="76"/>
      <c r="GMA45" s="76"/>
      <c r="GMB45" s="76"/>
      <c r="GMC45" s="76"/>
      <c r="GMD45" s="76"/>
      <c r="GME45" s="76"/>
      <c r="GMF45" s="76"/>
      <c r="GMG45" s="76"/>
      <c r="GMH45" s="76"/>
      <c r="GMI45" s="76"/>
      <c r="GMJ45" s="76"/>
      <c r="GMK45" s="76"/>
      <c r="GML45" s="76"/>
      <c r="GMM45" s="76"/>
      <c r="GMN45" s="76"/>
      <c r="GMO45" s="76"/>
      <c r="GMP45" s="76"/>
      <c r="GMQ45" s="76"/>
      <c r="GMR45" s="76"/>
      <c r="GMS45" s="76"/>
      <c r="GMT45" s="76"/>
      <c r="GMU45" s="76"/>
      <c r="GMV45" s="76"/>
      <c r="GMW45" s="76"/>
      <c r="GMX45" s="76"/>
      <c r="GMY45" s="76"/>
      <c r="GMZ45" s="76"/>
      <c r="GNA45" s="76"/>
      <c r="GNB45" s="76"/>
      <c r="GNC45" s="76"/>
      <c r="GND45" s="76"/>
      <c r="GNE45" s="76"/>
      <c r="GNF45" s="76"/>
      <c r="GNG45" s="76"/>
      <c r="GNH45" s="76"/>
      <c r="GNI45" s="76"/>
      <c r="GNJ45" s="76"/>
      <c r="GNK45" s="76"/>
      <c r="GNL45" s="76"/>
      <c r="GNM45" s="76"/>
      <c r="GNN45" s="76"/>
      <c r="GNO45" s="76"/>
      <c r="GNP45" s="76"/>
      <c r="GNQ45" s="76"/>
      <c r="GNR45" s="76"/>
      <c r="GNS45" s="76"/>
      <c r="GNT45" s="76"/>
      <c r="GNU45" s="76"/>
      <c r="GNV45" s="76"/>
      <c r="GNW45" s="76"/>
      <c r="GNX45" s="76"/>
      <c r="GNY45" s="76"/>
      <c r="GNZ45" s="76"/>
      <c r="GOA45" s="76"/>
      <c r="GOB45" s="76"/>
      <c r="GOC45" s="76"/>
      <c r="GOD45" s="76"/>
      <c r="GOE45" s="76"/>
      <c r="GOF45" s="76"/>
      <c r="GOG45" s="76"/>
      <c r="GOH45" s="76"/>
      <c r="GOI45" s="76"/>
      <c r="GOJ45" s="76"/>
      <c r="GOK45" s="76"/>
      <c r="GOL45" s="76"/>
      <c r="GOM45" s="76"/>
      <c r="GON45" s="76"/>
      <c r="GOO45" s="76"/>
      <c r="GOP45" s="76"/>
      <c r="GOQ45" s="76"/>
      <c r="GOR45" s="76"/>
      <c r="GOS45" s="76"/>
      <c r="GOT45" s="76"/>
      <c r="GOU45" s="76"/>
      <c r="GOV45" s="76"/>
      <c r="GOW45" s="76"/>
      <c r="GOX45" s="76"/>
      <c r="GOY45" s="76"/>
      <c r="GOZ45" s="76"/>
      <c r="GPA45" s="76"/>
      <c r="GPB45" s="76"/>
      <c r="GPC45" s="76"/>
      <c r="GPD45" s="76"/>
      <c r="GPE45" s="76"/>
      <c r="GPF45" s="76"/>
      <c r="GPG45" s="76"/>
      <c r="GPH45" s="76"/>
      <c r="GPI45" s="76"/>
      <c r="GPJ45" s="76"/>
      <c r="GPK45" s="76"/>
      <c r="GPL45" s="76"/>
      <c r="GPM45" s="76"/>
      <c r="GPN45" s="76"/>
      <c r="GPO45" s="76"/>
      <c r="GPP45" s="76"/>
      <c r="GPQ45" s="76"/>
      <c r="GPR45" s="76"/>
      <c r="GPS45" s="76"/>
      <c r="GPT45" s="76"/>
      <c r="GPU45" s="76"/>
      <c r="GPV45" s="76"/>
      <c r="GPW45" s="76"/>
      <c r="GPX45" s="76"/>
      <c r="GPY45" s="76"/>
      <c r="GPZ45" s="76"/>
      <c r="GQA45" s="76"/>
      <c r="GQB45" s="76"/>
      <c r="GQC45" s="76"/>
      <c r="GQD45" s="76"/>
      <c r="GQE45" s="76"/>
      <c r="GQF45" s="76"/>
      <c r="GQG45" s="76"/>
      <c r="GQH45" s="76"/>
      <c r="GQI45" s="76"/>
      <c r="GQJ45" s="76"/>
      <c r="GQK45" s="76"/>
      <c r="GQL45" s="76"/>
      <c r="GQM45" s="76"/>
      <c r="GQN45" s="76"/>
      <c r="GQO45" s="76"/>
      <c r="GQP45" s="76"/>
      <c r="GQQ45" s="76"/>
      <c r="GQR45" s="76"/>
      <c r="GQS45" s="76"/>
      <c r="GQT45" s="76"/>
      <c r="GQU45" s="76"/>
      <c r="GQV45" s="76"/>
      <c r="GQW45" s="76"/>
      <c r="GQX45" s="76"/>
      <c r="GQY45" s="76"/>
      <c r="GQZ45" s="76"/>
      <c r="GRA45" s="76"/>
      <c r="GRB45" s="76"/>
      <c r="GRC45" s="76"/>
      <c r="GRD45" s="76"/>
      <c r="GRE45" s="76"/>
      <c r="GRF45" s="76"/>
      <c r="GRG45" s="76"/>
      <c r="GRH45" s="76"/>
      <c r="GRI45" s="76"/>
      <c r="GRJ45" s="76"/>
      <c r="GRK45" s="76"/>
      <c r="GRL45" s="76"/>
      <c r="GRM45" s="76"/>
      <c r="GRN45" s="76"/>
      <c r="GRO45" s="76"/>
      <c r="GRP45" s="76"/>
      <c r="GRQ45" s="76"/>
      <c r="GRR45" s="76"/>
      <c r="GRS45" s="76"/>
      <c r="GRT45" s="76"/>
      <c r="GRU45" s="76"/>
      <c r="GRV45" s="76"/>
      <c r="GRW45" s="76"/>
      <c r="GRX45" s="76"/>
      <c r="GRY45" s="76"/>
      <c r="GRZ45" s="76"/>
      <c r="GSA45" s="76"/>
      <c r="GSB45" s="76"/>
      <c r="GSC45" s="76"/>
      <c r="GSD45" s="76"/>
      <c r="GSE45" s="76"/>
      <c r="GSF45" s="76"/>
      <c r="GSG45" s="76"/>
      <c r="GSH45" s="76"/>
      <c r="GSI45" s="76"/>
      <c r="GSJ45" s="76"/>
      <c r="GSK45" s="76"/>
      <c r="GSL45" s="76"/>
      <c r="GSM45" s="76"/>
      <c r="GSN45" s="76"/>
      <c r="GSO45" s="76"/>
      <c r="GSP45" s="76"/>
      <c r="GSQ45" s="76"/>
      <c r="GSR45" s="76"/>
      <c r="GSS45" s="76"/>
      <c r="GST45" s="76"/>
      <c r="GSU45" s="76"/>
      <c r="GSV45" s="76"/>
      <c r="GSW45" s="76"/>
      <c r="GSX45" s="76"/>
      <c r="GSY45" s="76"/>
      <c r="GSZ45" s="76"/>
      <c r="GTA45" s="76"/>
      <c r="GTB45" s="76"/>
      <c r="GTC45" s="76"/>
      <c r="GTD45" s="76"/>
      <c r="GTE45" s="76"/>
      <c r="GTF45" s="76"/>
      <c r="GTG45" s="76"/>
      <c r="GTH45" s="76"/>
      <c r="GTI45" s="76"/>
      <c r="GTJ45" s="76"/>
      <c r="GTK45" s="76"/>
      <c r="GTL45" s="76"/>
      <c r="GTM45" s="76"/>
      <c r="GTN45" s="76"/>
      <c r="GTO45" s="76"/>
      <c r="GTP45" s="76"/>
      <c r="GTQ45" s="76"/>
      <c r="GTR45" s="76"/>
      <c r="GTS45" s="76"/>
      <c r="GTT45" s="76"/>
      <c r="GTU45" s="76"/>
      <c r="GTV45" s="76"/>
      <c r="GTW45" s="76"/>
      <c r="GTX45" s="76"/>
      <c r="GTY45" s="76"/>
      <c r="GTZ45" s="76"/>
      <c r="GUA45" s="76"/>
      <c r="GUB45" s="76"/>
      <c r="GUC45" s="76"/>
      <c r="GUD45" s="76"/>
      <c r="GUE45" s="76"/>
      <c r="GUF45" s="76"/>
      <c r="GUG45" s="76"/>
      <c r="GUH45" s="76"/>
      <c r="GUI45" s="76"/>
      <c r="GUJ45" s="76"/>
      <c r="GUK45" s="76"/>
      <c r="GUL45" s="76"/>
      <c r="GUM45" s="76"/>
      <c r="GUN45" s="76"/>
      <c r="GUO45" s="76"/>
      <c r="GUP45" s="76"/>
      <c r="GUQ45" s="76"/>
      <c r="GUR45" s="76"/>
      <c r="GUS45" s="76"/>
      <c r="GUT45" s="76"/>
      <c r="GUU45" s="76"/>
      <c r="GUV45" s="76"/>
      <c r="GUW45" s="76"/>
      <c r="GUX45" s="76"/>
      <c r="GUY45" s="76"/>
      <c r="GUZ45" s="76"/>
      <c r="GVA45" s="76"/>
      <c r="GVB45" s="76"/>
      <c r="GVC45" s="76"/>
      <c r="GVD45" s="76"/>
      <c r="GVE45" s="76"/>
      <c r="GVF45" s="76"/>
      <c r="GVG45" s="76"/>
      <c r="GVH45" s="76"/>
      <c r="GVI45" s="76"/>
      <c r="GVJ45" s="76"/>
      <c r="GVK45" s="76"/>
      <c r="GVL45" s="76"/>
      <c r="GVM45" s="76"/>
      <c r="GVN45" s="76"/>
      <c r="GVO45" s="76"/>
      <c r="GVP45" s="76"/>
      <c r="GVQ45" s="76"/>
      <c r="GVR45" s="76"/>
      <c r="GVS45" s="76"/>
      <c r="GVT45" s="76"/>
      <c r="GVU45" s="76"/>
      <c r="GVV45" s="76"/>
      <c r="GVW45" s="76"/>
      <c r="GVX45" s="76"/>
      <c r="GVY45" s="76"/>
      <c r="GVZ45" s="76"/>
      <c r="GWA45" s="76"/>
      <c r="GWB45" s="76"/>
      <c r="GWC45" s="76"/>
      <c r="GWD45" s="76"/>
      <c r="GWE45" s="76"/>
      <c r="GWF45" s="76"/>
      <c r="GWG45" s="76"/>
      <c r="GWH45" s="76"/>
      <c r="GWI45" s="76"/>
      <c r="GWJ45" s="76"/>
      <c r="GWK45" s="76"/>
      <c r="GWL45" s="76"/>
      <c r="GWM45" s="76"/>
      <c r="GWN45" s="76"/>
      <c r="GWO45" s="76"/>
      <c r="GWP45" s="76"/>
      <c r="GWQ45" s="76"/>
      <c r="GWR45" s="76"/>
      <c r="GWS45" s="76"/>
      <c r="GWT45" s="76"/>
      <c r="GWU45" s="76"/>
      <c r="GWV45" s="76"/>
      <c r="GWW45" s="76"/>
      <c r="GWX45" s="76"/>
      <c r="GWY45" s="76"/>
      <c r="GWZ45" s="76"/>
      <c r="GXA45" s="76"/>
      <c r="GXB45" s="76"/>
      <c r="GXC45" s="76"/>
      <c r="GXD45" s="76"/>
      <c r="GXE45" s="76"/>
      <c r="GXF45" s="76"/>
      <c r="GXG45" s="76"/>
      <c r="GXH45" s="76"/>
      <c r="GXI45" s="76"/>
      <c r="GXJ45" s="76"/>
      <c r="GXK45" s="76"/>
      <c r="GXL45" s="76"/>
      <c r="GXM45" s="76"/>
      <c r="GXN45" s="76"/>
      <c r="GXO45" s="76"/>
      <c r="GXP45" s="76"/>
      <c r="GXQ45" s="76"/>
      <c r="GXR45" s="76"/>
      <c r="GXS45" s="76"/>
      <c r="GXT45" s="76"/>
      <c r="GXU45" s="76"/>
      <c r="GXV45" s="76"/>
      <c r="GXW45" s="76"/>
      <c r="GXX45" s="76"/>
      <c r="GXY45" s="76"/>
      <c r="GXZ45" s="76"/>
      <c r="GYA45" s="76"/>
      <c r="GYB45" s="76"/>
      <c r="GYC45" s="76"/>
      <c r="GYD45" s="76"/>
      <c r="GYE45" s="76"/>
      <c r="GYF45" s="76"/>
      <c r="GYG45" s="76"/>
      <c r="GYH45" s="76"/>
      <c r="GYI45" s="76"/>
      <c r="GYJ45" s="76"/>
      <c r="GYK45" s="76"/>
      <c r="GYL45" s="76"/>
      <c r="GYM45" s="76"/>
      <c r="GYN45" s="76"/>
      <c r="GYO45" s="76"/>
      <c r="GYP45" s="76"/>
      <c r="GYQ45" s="76"/>
      <c r="GYR45" s="76"/>
      <c r="GYS45" s="76"/>
      <c r="GYT45" s="76"/>
      <c r="GYU45" s="76"/>
      <c r="GYV45" s="76"/>
      <c r="GYW45" s="76"/>
      <c r="GYX45" s="76"/>
      <c r="GYY45" s="76"/>
      <c r="GYZ45" s="76"/>
      <c r="GZA45" s="76"/>
      <c r="GZB45" s="76"/>
      <c r="GZC45" s="76"/>
      <c r="GZD45" s="76"/>
      <c r="GZE45" s="76"/>
      <c r="GZF45" s="76"/>
      <c r="GZG45" s="76"/>
      <c r="GZH45" s="76"/>
      <c r="GZI45" s="76"/>
      <c r="GZJ45" s="76"/>
      <c r="GZK45" s="76"/>
      <c r="GZL45" s="76"/>
      <c r="GZM45" s="76"/>
      <c r="GZN45" s="76"/>
      <c r="GZO45" s="76"/>
      <c r="GZP45" s="76"/>
      <c r="GZQ45" s="76"/>
      <c r="GZR45" s="76"/>
      <c r="GZS45" s="76"/>
      <c r="GZT45" s="76"/>
      <c r="GZU45" s="76"/>
      <c r="GZV45" s="76"/>
      <c r="GZW45" s="76"/>
      <c r="GZX45" s="76"/>
      <c r="GZY45" s="76"/>
      <c r="GZZ45" s="76"/>
      <c r="HAA45" s="76"/>
      <c r="HAB45" s="76"/>
      <c r="HAC45" s="76"/>
      <c r="HAD45" s="76"/>
      <c r="HAE45" s="76"/>
      <c r="HAF45" s="76"/>
      <c r="HAG45" s="76"/>
      <c r="HAH45" s="76"/>
      <c r="HAI45" s="76"/>
      <c r="HAJ45" s="76"/>
      <c r="HAK45" s="76"/>
      <c r="HAL45" s="76"/>
      <c r="HAM45" s="76"/>
      <c r="HAN45" s="76"/>
      <c r="HAO45" s="76"/>
      <c r="HAP45" s="76"/>
      <c r="HAQ45" s="76"/>
      <c r="HAR45" s="76"/>
      <c r="HAS45" s="76"/>
      <c r="HAT45" s="76"/>
      <c r="HAU45" s="76"/>
      <c r="HAV45" s="76"/>
      <c r="HAW45" s="76"/>
      <c r="HAX45" s="76"/>
      <c r="HAY45" s="76"/>
      <c r="HAZ45" s="76"/>
      <c r="HBA45" s="76"/>
      <c r="HBB45" s="76"/>
      <c r="HBC45" s="76"/>
      <c r="HBD45" s="76"/>
      <c r="HBE45" s="76"/>
      <c r="HBF45" s="76"/>
      <c r="HBG45" s="76"/>
      <c r="HBH45" s="76"/>
      <c r="HBI45" s="76"/>
      <c r="HBJ45" s="76"/>
      <c r="HBK45" s="76"/>
      <c r="HBL45" s="76"/>
      <c r="HBM45" s="76"/>
      <c r="HBN45" s="76"/>
      <c r="HBO45" s="76"/>
      <c r="HBP45" s="76"/>
      <c r="HBQ45" s="76"/>
      <c r="HBR45" s="76"/>
      <c r="HBS45" s="76"/>
      <c r="HBT45" s="76"/>
      <c r="HBU45" s="76"/>
      <c r="HBV45" s="76"/>
      <c r="HBW45" s="76"/>
      <c r="HBX45" s="76"/>
      <c r="HBY45" s="76"/>
      <c r="HBZ45" s="76"/>
      <c r="HCA45" s="76"/>
      <c r="HCB45" s="76"/>
      <c r="HCC45" s="76"/>
      <c r="HCD45" s="76"/>
      <c r="HCE45" s="76"/>
      <c r="HCF45" s="76"/>
      <c r="HCG45" s="76"/>
      <c r="HCH45" s="76"/>
      <c r="HCI45" s="76"/>
      <c r="HCJ45" s="76"/>
      <c r="HCK45" s="76"/>
      <c r="HCL45" s="76"/>
      <c r="HCM45" s="76"/>
      <c r="HCN45" s="76"/>
      <c r="HCO45" s="76"/>
      <c r="HCP45" s="76"/>
      <c r="HCQ45" s="76"/>
      <c r="HCR45" s="76"/>
      <c r="HCS45" s="76"/>
      <c r="HCT45" s="76"/>
      <c r="HCU45" s="76"/>
      <c r="HCV45" s="76"/>
      <c r="HCW45" s="76"/>
      <c r="HCX45" s="76"/>
      <c r="HCY45" s="76"/>
      <c r="HCZ45" s="76"/>
      <c r="HDA45" s="76"/>
      <c r="HDB45" s="76"/>
      <c r="HDC45" s="76"/>
      <c r="HDD45" s="76"/>
      <c r="HDE45" s="76"/>
      <c r="HDF45" s="76"/>
      <c r="HDG45" s="76"/>
      <c r="HDH45" s="76"/>
      <c r="HDI45" s="76"/>
      <c r="HDJ45" s="76"/>
      <c r="HDK45" s="76"/>
      <c r="HDL45" s="76"/>
      <c r="HDM45" s="76"/>
      <c r="HDN45" s="76"/>
      <c r="HDO45" s="76"/>
      <c r="HDP45" s="76"/>
      <c r="HDQ45" s="76"/>
      <c r="HDR45" s="76"/>
      <c r="HDS45" s="76"/>
      <c r="HDT45" s="76"/>
      <c r="HDU45" s="76"/>
      <c r="HDV45" s="76"/>
      <c r="HDW45" s="76"/>
      <c r="HDX45" s="76"/>
      <c r="HDY45" s="76"/>
      <c r="HDZ45" s="76"/>
      <c r="HEA45" s="76"/>
      <c r="HEB45" s="76"/>
      <c r="HEC45" s="76"/>
      <c r="HED45" s="76"/>
      <c r="HEE45" s="76"/>
      <c r="HEF45" s="76"/>
      <c r="HEG45" s="76"/>
      <c r="HEH45" s="76"/>
      <c r="HEI45" s="76"/>
      <c r="HEJ45" s="76"/>
      <c r="HEK45" s="76"/>
      <c r="HEL45" s="76"/>
      <c r="HEM45" s="76"/>
      <c r="HEN45" s="76"/>
      <c r="HEO45" s="76"/>
      <c r="HEP45" s="76"/>
      <c r="HEQ45" s="76"/>
      <c r="HER45" s="76"/>
      <c r="HES45" s="76"/>
      <c r="HET45" s="76"/>
      <c r="HEU45" s="76"/>
      <c r="HEV45" s="76"/>
      <c r="HEW45" s="76"/>
      <c r="HEX45" s="76"/>
      <c r="HEY45" s="76"/>
      <c r="HEZ45" s="76"/>
      <c r="HFA45" s="76"/>
      <c r="HFB45" s="76"/>
      <c r="HFC45" s="76"/>
      <c r="HFD45" s="76"/>
      <c r="HFE45" s="76"/>
      <c r="HFF45" s="76"/>
      <c r="HFG45" s="76"/>
      <c r="HFH45" s="76"/>
      <c r="HFI45" s="76"/>
      <c r="HFJ45" s="76"/>
      <c r="HFK45" s="76"/>
      <c r="HFL45" s="76"/>
      <c r="HFM45" s="76"/>
      <c r="HFN45" s="76"/>
      <c r="HFO45" s="76"/>
      <c r="HFP45" s="76"/>
      <c r="HFQ45" s="76"/>
      <c r="HFR45" s="76"/>
      <c r="HFS45" s="76"/>
      <c r="HFT45" s="76"/>
      <c r="HFU45" s="76"/>
      <c r="HFV45" s="76"/>
      <c r="HFW45" s="76"/>
      <c r="HFX45" s="76"/>
      <c r="HFY45" s="76"/>
      <c r="HFZ45" s="76"/>
      <c r="HGA45" s="76"/>
      <c r="HGB45" s="76"/>
      <c r="HGC45" s="76"/>
      <c r="HGD45" s="76"/>
      <c r="HGE45" s="76"/>
      <c r="HGF45" s="76"/>
      <c r="HGG45" s="76"/>
      <c r="HGH45" s="76"/>
      <c r="HGI45" s="76"/>
      <c r="HGJ45" s="76"/>
      <c r="HGK45" s="76"/>
      <c r="HGL45" s="76"/>
      <c r="HGM45" s="76"/>
      <c r="HGN45" s="76"/>
      <c r="HGO45" s="76"/>
      <c r="HGP45" s="76"/>
      <c r="HGQ45" s="76"/>
      <c r="HGR45" s="76"/>
      <c r="HGS45" s="76"/>
      <c r="HGT45" s="76"/>
      <c r="HGU45" s="76"/>
      <c r="HGV45" s="76"/>
      <c r="HGW45" s="76"/>
      <c r="HGX45" s="76"/>
      <c r="HGY45" s="76"/>
      <c r="HGZ45" s="76"/>
      <c r="HHA45" s="76"/>
      <c r="HHB45" s="76"/>
      <c r="HHC45" s="76"/>
      <c r="HHD45" s="76"/>
      <c r="HHE45" s="76"/>
      <c r="HHF45" s="76"/>
      <c r="HHG45" s="76"/>
      <c r="HHH45" s="76"/>
      <c r="HHI45" s="76"/>
      <c r="HHJ45" s="76"/>
      <c r="HHK45" s="76"/>
      <c r="HHL45" s="76"/>
      <c r="HHM45" s="76"/>
      <c r="HHN45" s="76"/>
      <c r="HHO45" s="76"/>
      <c r="HHP45" s="76"/>
      <c r="HHQ45" s="76"/>
      <c r="HHR45" s="76"/>
      <c r="HHS45" s="76"/>
      <c r="HHT45" s="76"/>
      <c r="HHU45" s="76"/>
      <c r="HHV45" s="76"/>
      <c r="HHW45" s="76"/>
      <c r="HHX45" s="76"/>
      <c r="HHY45" s="76"/>
      <c r="HHZ45" s="76"/>
      <c r="HIA45" s="76"/>
      <c r="HIB45" s="76"/>
      <c r="HIC45" s="76"/>
      <c r="HID45" s="76"/>
      <c r="HIE45" s="76"/>
      <c r="HIF45" s="76"/>
      <c r="HIG45" s="76"/>
      <c r="HIH45" s="76"/>
      <c r="HII45" s="76"/>
      <c r="HIJ45" s="76"/>
      <c r="HIK45" s="76"/>
      <c r="HIL45" s="76"/>
      <c r="HIM45" s="76"/>
      <c r="HIN45" s="76"/>
      <c r="HIO45" s="76"/>
      <c r="HIP45" s="76"/>
      <c r="HIQ45" s="76"/>
      <c r="HIR45" s="76"/>
      <c r="HIS45" s="76"/>
      <c r="HIT45" s="76"/>
      <c r="HIU45" s="76"/>
      <c r="HIV45" s="76"/>
      <c r="HIW45" s="76"/>
      <c r="HIX45" s="76"/>
      <c r="HIY45" s="76"/>
      <c r="HIZ45" s="76"/>
      <c r="HJA45" s="76"/>
      <c r="HJB45" s="76"/>
      <c r="HJC45" s="76"/>
      <c r="HJD45" s="76"/>
      <c r="HJE45" s="76"/>
      <c r="HJF45" s="76"/>
      <c r="HJG45" s="76"/>
      <c r="HJH45" s="76"/>
      <c r="HJI45" s="76"/>
      <c r="HJJ45" s="76"/>
      <c r="HJK45" s="76"/>
      <c r="HJL45" s="76"/>
      <c r="HJM45" s="76"/>
      <c r="HJN45" s="76"/>
      <c r="HJO45" s="76"/>
      <c r="HJP45" s="76"/>
      <c r="HJQ45" s="76"/>
      <c r="HJR45" s="76"/>
      <c r="HJS45" s="76"/>
      <c r="HJT45" s="76"/>
      <c r="HJU45" s="76"/>
      <c r="HJV45" s="76"/>
      <c r="HJW45" s="76"/>
      <c r="HJX45" s="76"/>
      <c r="HJY45" s="76"/>
      <c r="HJZ45" s="76"/>
      <c r="HKA45" s="76"/>
      <c r="HKB45" s="76"/>
      <c r="HKC45" s="76"/>
      <c r="HKD45" s="76"/>
      <c r="HKE45" s="76"/>
      <c r="HKF45" s="76"/>
      <c r="HKG45" s="76"/>
      <c r="HKH45" s="76"/>
      <c r="HKI45" s="76"/>
      <c r="HKJ45" s="76"/>
      <c r="HKK45" s="76"/>
      <c r="HKL45" s="76"/>
      <c r="HKM45" s="76"/>
      <c r="HKN45" s="76"/>
      <c r="HKO45" s="76"/>
      <c r="HKP45" s="76"/>
      <c r="HKQ45" s="76"/>
      <c r="HKR45" s="76"/>
      <c r="HKS45" s="76"/>
      <c r="HKT45" s="76"/>
      <c r="HKU45" s="76"/>
      <c r="HKV45" s="76"/>
      <c r="HKW45" s="76"/>
      <c r="HKX45" s="76"/>
      <c r="HKY45" s="76"/>
      <c r="HKZ45" s="76"/>
      <c r="HLA45" s="76"/>
      <c r="HLB45" s="76"/>
      <c r="HLC45" s="76"/>
      <c r="HLD45" s="76"/>
      <c r="HLE45" s="76"/>
      <c r="HLF45" s="76"/>
      <c r="HLG45" s="76"/>
      <c r="HLH45" s="76"/>
      <c r="HLI45" s="76"/>
      <c r="HLJ45" s="76"/>
      <c r="HLK45" s="76"/>
      <c r="HLL45" s="76"/>
      <c r="HLM45" s="76"/>
      <c r="HLN45" s="76"/>
      <c r="HLO45" s="76"/>
      <c r="HLP45" s="76"/>
      <c r="HLQ45" s="76"/>
      <c r="HLR45" s="76"/>
      <c r="HLS45" s="76"/>
      <c r="HLT45" s="76"/>
      <c r="HLU45" s="76"/>
      <c r="HLV45" s="76"/>
      <c r="HLW45" s="76"/>
      <c r="HLX45" s="76"/>
      <c r="HLY45" s="76"/>
      <c r="HLZ45" s="76"/>
      <c r="HMA45" s="76"/>
      <c r="HMB45" s="76"/>
      <c r="HMC45" s="76"/>
      <c r="HMD45" s="76"/>
      <c r="HME45" s="76"/>
      <c r="HMF45" s="76"/>
      <c r="HMG45" s="76"/>
      <c r="HMH45" s="76"/>
      <c r="HMI45" s="76"/>
      <c r="HMJ45" s="76"/>
      <c r="HMK45" s="76"/>
      <c r="HML45" s="76"/>
      <c r="HMM45" s="76"/>
      <c r="HMN45" s="76"/>
      <c r="HMO45" s="76"/>
      <c r="HMP45" s="76"/>
      <c r="HMQ45" s="76"/>
      <c r="HMR45" s="76"/>
      <c r="HMS45" s="76"/>
      <c r="HMT45" s="76"/>
      <c r="HMU45" s="76"/>
      <c r="HMV45" s="76"/>
      <c r="HMW45" s="76"/>
      <c r="HMX45" s="76"/>
      <c r="HMY45" s="76"/>
      <c r="HMZ45" s="76"/>
      <c r="HNA45" s="76"/>
      <c r="HNB45" s="76"/>
      <c r="HNC45" s="76"/>
      <c r="HND45" s="76"/>
      <c r="HNE45" s="76"/>
      <c r="HNF45" s="76"/>
      <c r="HNG45" s="76"/>
      <c r="HNH45" s="76"/>
      <c r="HNI45" s="76"/>
      <c r="HNJ45" s="76"/>
      <c r="HNK45" s="76"/>
      <c r="HNL45" s="76"/>
      <c r="HNM45" s="76"/>
      <c r="HNN45" s="76"/>
      <c r="HNO45" s="76"/>
      <c r="HNP45" s="76"/>
      <c r="HNQ45" s="76"/>
      <c r="HNR45" s="76"/>
      <c r="HNS45" s="76"/>
      <c r="HNT45" s="76"/>
      <c r="HNU45" s="76"/>
      <c r="HNV45" s="76"/>
      <c r="HNW45" s="76"/>
      <c r="HNX45" s="76"/>
      <c r="HNY45" s="76"/>
      <c r="HNZ45" s="76"/>
      <c r="HOA45" s="76"/>
      <c r="HOB45" s="76"/>
      <c r="HOC45" s="76"/>
      <c r="HOD45" s="76"/>
      <c r="HOE45" s="76"/>
      <c r="HOF45" s="76"/>
      <c r="HOG45" s="76"/>
      <c r="HOH45" s="76"/>
      <c r="HOI45" s="76"/>
      <c r="HOJ45" s="76"/>
      <c r="HOK45" s="76"/>
      <c r="HOL45" s="76"/>
      <c r="HOM45" s="76"/>
      <c r="HON45" s="76"/>
      <c r="HOO45" s="76"/>
      <c r="HOP45" s="76"/>
      <c r="HOQ45" s="76"/>
      <c r="HOR45" s="76"/>
      <c r="HOS45" s="76"/>
      <c r="HOT45" s="76"/>
      <c r="HOU45" s="76"/>
      <c r="HOV45" s="76"/>
      <c r="HOW45" s="76"/>
      <c r="HOX45" s="76"/>
      <c r="HOY45" s="76"/>
      <c r="HOZ45" s="76"/>
      <c r="HPA45" s="76"/>
      <c r="HPB45" s="76"/>
      <c r="HPC45" s="76"/>
      <c r="HPD45" s="76"/>
      <c r="HPE45" s="76"/>
      <c r="HPF45" s="76"/>
      <c r="HPG45" s="76"/>
      <c r="HPH45" s="76"/>
      <c r="HPI45" s="76"/>
      <c r="HPJ45" s="76"/>
      <c r="HPK45" s="76"/>
      <c r="HPL45" s="76"/>
      <c r="HPM45" s="76"/>
      <c r="HPN45" s="76"/>
      <c r="HPO45" s="76"/>
      <c r="HPP45" s="76"/>
      <c r="HPQ45" s="76"/>
      <c r="HPR45" s="76"/>
      <c r="HPS45" s="76"/>
      <c r="HPT45" s="76"/>
      <c r="HPU45" s="76"/>
      <c r="HPV45" s="76"/>
      <c r="HPW45" s="76"/>
      <c r="HPX45" s="76"/>
      <c r="HPY45" s="76"/>
      <c r="HPZ45" s="76"/>
      <c r="HQA45" s="76"/>
      <c r="HQB45" s="76"/>
      <c r="HQC45" s="76"/>
      <c r="HQD45" s="76"/>
      <c r="HQE45" s="76"/>
      <c r="HQF45" s="76"/>
      <c r="HQG45" s="76"/>
      <c r="HQH45" s="76"/>
      <c r="HQI45" s="76"/>
      <c r="HQJ45" s="76"/>
      <c r="HQK45" s="76"/>
      <c r="HQL45" s="76"/>
      <c r="HQM45" s="76"/>
      <c r="HQN45" s="76"/>
      <c r="HQO45" s="76"/>
      <c r="HQP45" s="76"/>
      <c r="HQQ45" s="76"/>
      <c r="HQR45" s="76"/>
      <c r="HQS45" s="76"/>
      <c r="HQT45" s="76"/>
      <c r="HQU45" s="76"/>
      <c r="HQV45" s="76"/>
      <c r="HQW45" s="76"/>
      <c r="HQX45" s="76"/>
      <c r="HQY45" s="76"/>
      <c r="HQZ45" s="76"/>
      <c r="HRA45" s="76"/>
      <c r="HRB45" s="76"/>
      <c r="HRC45" s="76"/>
      <c r="HRD45" s="76"/>
      <c r="HRE45" s="76"/>
      <c r="HRF45" s="76"/>
      <c r="HRG45" s="76"/>
      <c r="HRH45" s="76"/>
      <c r="HRI45" s="76"/>
      <c r="HRJ45" s="76"/>
      <c r="HRK45" s="76"/>
      <c r="HRL45" s="76"/>
      <c r="HRM45" s="76"/>
      <c r="HRN45" s="76"/>
      <c r="HRO45" s="76"/>
      <c r="HRP45" s="76"/>
      <c r="HRQ45" s="76"/>
      <c r="HRR45" s="76"/>
      <c r="HRS45" s="76"/>
      <c r="HRT45" s="76"/>
      <c r="HRU45" s="76"/>
      <c r="HRV45" s="76"/>
      <c r="HRW45" s="76"/>
      <c r="HRX45" s="76"/>
      <c r="HRY45" s="76"/>
      <c r="HRZ45" s="76"/>
      <c r="HSA45" s="76"/>
      <c r="HSB45" s="76"/>
      <c r="HSC45" s="76"/>
      <c r="HSD45" s="76"/>
      <c r="HSE45" s="76"/>
      <c r="HSF45" s="76"/>
      <c r="HSG45" s="76"/>
      <c r="HSH45" s="76"/>
      <c r="HSI45" s="76"/>
      <c r="HSJ45" s="76"/>
      <c r="HSK45" s="76"/>
      <c r="HSL45" s="76"/>
      <c r="HSM45" s="76"/>
      <c r="HSN45" s="76"/>
      <c r="HSO45" s="76"/>
      <c r="HSP45" s="76"/>
      <c r="HSQ45" s="76"/>
      <c r="HSR45" s="76"/>
      <c r="HSS45" s="76"/>
      <c r="HST45" s="76"/>
      <c r="HSU45" s="76"/>
      <c r="HSV45" s="76"/>
      <c r="HSW45" s="76"/>
      <c r="HSX45" s="76"/>
      <c r="HSY45" s="76"/>
      <c r="HSZ45" s="76"/>
      <c r="HTA45" s="76"/>
      <c r="HTB45" s="76"/>
      <c r="HTC45" s="76"/>
      <c r="HTD45" s="76"/>
      <c r="HTE45" s="76"/>
      <c r="HTF45" s="76"/>
      <c r="HTG45" s="76"/>
      <c r="HTH45" s="76"/>
      <c r="HTI45" s="76"/>
      <c r="HTJ45" s="76"/>
      <c r="HTK45" s="76"/>
      <c r="HTL45" s="76"/>
      <c r="HTM45" s="76"/>
      <c r="HTN45" s="76"/>
      <c r="HTO45" s="76"/>
      <c r="HTP45" s="76"/>
      <c r="HTQ45" s="76"/>
      <c r="HTR45" s="76"/>
      <c r="HTS45" s="76"/>
      <c r="HTT45" s="76"/>
      <c r="HTU45" s="76"/>
      <c r="HTV45" s="76"/>
      <c r="HTW45" s="76"/>
      <c r="HTX45" s="76"/>
      <c r="HTY45" s="76"/>
      <c r="HTZ45" s="76"/>
      <c r="HUA45" s="76"/>
      <c r="HUB45" s="76"/>
      <c r="HUC45" s="76"/>
      <c r="HUD45" s="76"/>
      <c r="HUE45" s="76"/>
      <c r="HUF45" s="76"/>
      <c r="HUG45" s="76"/>
      <c r="HUH45" s="76"/>
      <c r="HUI45" s="76"/>
      <c r="HUJ45" s="76"/>
      <c r="HUK45" s="76"/>
      <c r="HUL45" s="76"/>
      <c r="HUM45" s="76"/>
      <c r="HUN45" s="76"/>
      <c r="HUO45" s="76"/>
      <c r="HUP45" s="76"/>
      <c r="HUQ45" s="76"/>
      <c r="HUR45" s="76"/>
      <c r="HUS45" s="76"/>
      <c r="HUT45" s="76"/>
      <c r="HUU45" s="76"/>
      <c r="HUV45" s="76"/>
      <c r="HUW45" s="76"/>
      <c r="HUX45" s="76"/>
      <c r="HUY45" s="76"/>
      <c r="HUZ45" s="76"/>
      <c r="HVA45" s="76"/>
      <c r="HVB45" s="76"/>
      <c r="HVC45" s="76"/>
      <c r="HVD45" s="76"/>
      <c r="HVE45" s="76"/>
      <c r="HVF45" s="76"/>
      <c r="HVG45" s="76"/>
      <c r="HVH45" s="76"/>
      <c r="HVI45" s="76"/>
      <c r="HVJ45" s="76"/>
      <c r="HVK45" s="76"/>
      <c r="HVL45" s="76"/>
      <c r="HVM45" s="76"/>
      <c r="HVN45" s="76"/>
      <c r="HVO45" s="76"/>
      <c r="HVP45" s="76"/>
      <c r="HVQ45" s="76"/>
      <c r="HVR45" s="76"/>
      <c r="HVS45" s="76"/>
      <c r="HVT45" s="76"/>
      <c r="HVU45" s="76"/>
      <c r="HVV45" s="76"/>
      <c r="HVW45" s="76"/>
      <c r="HVX45" s="76"/>
      <c r="HVY45" s="76"/>
      <c r="HVZ45" s="76"/>
      <c r="HWA45" s="76"/>
      <c r="HWB45" s="76"/>
      <c r="HWC45" s="76"/>
      <c r="HWD45" s="76"/>
      <c r="HWE45" s="76"/>
      <c r="HWF45" s="76"/>
      <c r="HWG45" s="76"/>
      <c r="HWH45" s="76"/>
      <c r="HWI45" s="76"/>
      <c r="HWJ45" s="76"/>
      <c r="HWK45" s="76"/>
      <c r="HWL45" s="76"/>
      <c r="HWM45" s="76"/>
      <c r="HWN45" s="76"/>
      <c r="HWO45" s="76"/>
      <c r="HWP45" s="76"/>
      <c r="HWQ45" s="76"/>
      <c r="HWR45" s="76"/>
      <c r="HWS45" s="76"/>
      <c r="HWT45" s="76"/>
      <c r="HWU45" s="76"/>
      <c r="HWV45" s="76"/>
      <c r="HWW45" s="76"/>
      <c r="HWX45" s="76"/>
      <c r="HWY45" s="76"/>
      <c r="HWZ45" s="76"/>
      <c r="HXA45" s="76"/>
      <c r="HXB45" s="76"/>
      <c r="HXC45" s="76"/>
      <c r="HXD45" s="76"/>
      <c r="HXE45" s="76"/>
      <c r="HXF45" s="76"/>
      <c r="HXG45" s="76"/>
      <c r="HXH45" s="76"/>
      <c r="HXI45" s="76"/>
      <c r="HXJ45" s="76"/>
      <c r="HXK45" s="76"/>
      <c r="HXL45" s="76"/>
      <c r="HXM45" s="76"/>
      <c r="HXN45" s="76"/>
      <c r="HXO45" s="76"/>
      <c r="HXP45" s="76"/>
      <c r="HXQ45" s="76"/>
      <c r="HXR45" s="76"/>
      <c r="HXS45" s="76"/>
      <c r="HXT45" s="76"/>
      <c r="HXU45" s="76"/>
      <c r="HXV45" s="76"/>
      <c r="HXW45" s="76"/>
      <c r="HXX45" s="76"/>
      <c r="HXY45" s="76"/>
      <c r="HXZ45" s="76"/>
      <c r="HYA45" s="76"/>
      <c r="HYB45" s="76"/>
      <c r="HYC45" s="76"/>
      <c r="HYD45" s="76"/>
      <c r="HYE45" s="76"/>
      <c r="HYF45" s="76"/>
      <c r="HYG45" s="76"/>
      <c r="HYH45" s="76"/>
      <c r="HYI45" s="76"/>
      <c r="HYJ45" s="76"/>
      <c r="HYK45" s="76"/>
      <c r="HYL45" s="76"/>
      <c r="HYM45" s="76"/>
      <c r="HYN45" s="76"/>
      <c r="HYO45" s="76"/>
      <c r="HYP45" s="76"/>
      <c r="HYQ45" s="76"/>
      <c r="HYR45" s="76"/>
      <c r="HYS45" s="76"/>
      <c r="HYT45" s="76"/>
      <c r="HYU45" s="76"/>
      <c r="HYV45" s="76"/>
      <c r="HYW45" s="76"/>
      <c r="HYX45" s="76"/>
      <c r="HYY45" s="76"/>
      <c r="HYZ45" s="76"/>
      <c r="HZA45" s="76"/>
      <c r="HZB45" s="76"/>
      <c r="HZC45" s="76"/>
      <c r="HZD45" s="76"/>
      <c r="HZE45" s="76"/>
      <c r="HZF45" s="76"/>
      <c r="HZG45" s="76"/>
      <c r="HZH45" s="76"/>
      <c r="HZI45" s="76"/>
      <c r="HZJ45" s="76"/>
      <c r="HZK45" s="76"/>
      <c r="HZL45" s="76"/>
      <c r="HZM45" s="76"/>
      <c r="HZN45" s="76"/>
      <c r="HZO45" s="76"/>
      <c r="HZP45" s="76"/>
      <c r="HZQ45" s="76"/>
      <c r="HZR45" s="76"/>
      <c r="HZS45" s="76"/>
      <c r="HZT45" s="76"/>
      <c r="HZU45" s="76"/>
      <c r="HZV45" s="76"/>
      <c r="HZW45" s="76"/>
      <c r="HZX45" s="76"/>
      <c r="HZY45" s="76"/>
      <c r="HZZ45" s="76"/>
      <c r="IAA45" s="76"/>
      <c r="IAB45" s="76"/>
      <c r="IAC45" s="76"/>
      <c r="IAD45" s="76"/>
      <c r="IAE45" s="76"/>
      <c r="IAF45" s="76"/>
      <c r="IAG45" s="76"/>
      <c r="IAH45" s="76"/>
      <c r="IAI45" s="76"/>
      <c r="IAJ45" s="76"/>
      <c r="IAK45" s="76"/>
      <c r="IAL45" s="76"/>
      <c r="IAM45" s="76"/>
      <c r="IAN45" s="76"/>
      <c r="IAO45" s="76"/>
      <c r="IAP45" s="76"/>
      <c r="IAQ45" s="76"/>
      <c r="IAR45" s="76"/>
      <c r="IAS45" s="76"/>
      <c r="IAT45" s="76"/>
      <c r="IAU45" s="76"/>
      <c r="IAV45" s="76"/>
      <c r="IAW45" s="76"/>
      <c r="IAX45" s="76"/>
      <c r="IAY45" s="76"/>
      <c r="IAZ45" s="76"/>
      <c r="IBA45" s="76"/>
      <c r="IBB45" s="76"/>
      <c r="IBC45" s="76"/>
      <c r="IBD45" s="76"/>
      <c r="IBE45" s="76"/>
      <c r="IBF45" s="76"/>
      <c r="IBG45" s="76"/>
      <c r="IBH45" s="76"/>
      <c r="IBI45" s="76"/>
      <c r="IBJ45" s="76"/>
      <c r="IBK45" s="76"/>
      <c r="IBL45" s="76"/>
      <c r="IBM45" s="76"/>
      <c r="IBN45" s="76"/>
      <c r="IBO45" s="76"/>
      <c r="IBP45" s="76"/>
      <c r="IBQ45" s="76"/>
      <c r="IBR45" s="76"/>
      <c r="IBS45" s="76"/>
      <c r="IBT45" s="76"/>
      <c r="IBU45" s="76"/>
      <c r="IBV45" s="76"/>
      <c r="IBW45" s="76"/>
      <c r="IBX45" s="76"/>
      <c r="IBY45" s="76"/>
      <c r="IBZ45" s="76"/>
      <c r="ICA45" s="76"/>
      <c r="ICB45" s="76"/>
      <c r="ICC45" s="76"/>
      <c r="ICD45" s="76"/>
      <c r="ICE45" s="76"/>
      <c r="ICF45" s="76"/>
      <c r="ICG45" s="76"/>
      <c r="ICH45" s="76"/>
      <c r="ICI45" s="76"/>
      <c r="ICJ45" s="76"/>
      <c r="ICK45" s="76"/>
      <c r="ICL45" s="76"/>
      <c r="ICM45" s="76"/>
      <c r="ICN45" s="76"/>
      <c r="ICO45" s="76"/>
      <c r="ICP45" s="76"/>
      <c r="ICQ45" s="76"/>
      <c r="ICR45" s="76"/>
      <c r="ICS45" s="76"/>
      <c r="ICT45" s="76"/>
      <c r="ICU45" s="76"/>
      <c r="ICV45" s="76"/>
      <c r="ICW45" s="76"/>
      <c r="ICX45" s="76"/>
      <c r="ICY45" s="76"/>
      <c r="ICZ45" s="76"/>
      <c r="IDA45" s="76"/>
      <c r="IDB45" s="76"/>
      <c r="IDC45" s="76"/>
      <c r="IDD45" s="76"/>
      <c r="IDE45" s="76"/>
      <c r="IDF45" s="76"/>
      <c r="IDG45" s="76"/>
      <c r="IDH45" s="76"/>
      <c r="IDI45" s="76"/>
      <c r="IDJ45" s="76"/>
      <c r="IDK45" s="76"/>
      <c r="IDL45" s="76"/>
      <c r="IDM45" s="76"/>
      <c r="IDN45" s="76"/>
      <c r="IDO45" s="76"/>
      <c r="IDP45" s="76"/>
      <c r="IDQ45" s="76"/>
      <c r="IDR45" s="76"/>
      <c r="IDS45" s="76"/>
      <c r="IDT45" s="76"/>
      <c r="IDU45" s="76"/>
      <c r="IDV45" s="76"/>
      <c r="IDW45" s="76"/>
      <c r="IDX45" s="76"/>
      <c r="IDY45" s="76"/>
      <c r="IDZ45" s="76"/>
      <c r="IEA45" s="76"/>
      <c r="IEB45" s="76"/>
      <c r="IEC45" s="76"/>
      <c r="IED45" s="76"/>
      <c r="IEE45" s="76"/>
      <c r="IEF45" s="76"/>
      <c r="IEG45" s="76"/>
      <c r="IEH45" s="76"/>
      <c r="IEI45" s="76"/>
      <c r="IEJ45" s="76"/>
      <c r="IEK45" s="76"/>
      <c r="IEL45" s="76"/>
      <c r="IEM45" s="76"/>
      <c r="IEN45" s="76"/>
      <c r="IEO45" s="76"/>
      <c r="IEP45" s="76"/>
      <c r="IEQ45" s="76"/>
      <c r="IER45" s="76"/>
      <c r="IES45" s="76"/>
      <c r="IET45" s="76"/>
      <c r="IEU45" s="76"/>
      <c r="IEV45" s="76"/>
      <c r="IEW45" s="76"/>
      <c r="IEX45" s="76"/>
      <c r="IEY45" s="76"/>
      <c r="IEZ45" s="76"/>
      <c r="IFA45" s="76"/>
      <c r="IFB45" s="76"/>
      <c r="IFC45" s="76"/>
      <c r="IFD45" s="76"/>
      <c r="IFE45" s="76"/>
      <c r="IFF45" s="76"/>
      <c r="IFG45" s="76"/>
      <c r="IFH45" s="76"/>
      <c r="IFI45" s="76"/>
      <c r="IFJ45" s="76"/>
      <c r="IFK45" s="76"/>
      <c r="IFL45" s="76"/>
      <c r="IFM45" s="76"/>
      <c r="IFN45" s="76"/>
      <c r="IFO45" s="76"/>
      <c r="IFP45" s="76"/>
      <c r="IFQ45" s="76"/>
      <c r="IFR45" s="76"/>
      <c r="IFS45" s="76"/>
      <c r="IFT45" s="76"/>
      <c r="IFU45" s="76"/>
      <c r="IFV45" s="76"/>
      <c r="IFW45" s="76"/>
      <c r="IFX45" s="76"/>
      <c r="IFY45" s="76"/>
      <c r="IFZ45" s="76"/>
      <c r="IGA45" s="76"/>
      <c r="IGB45" s="76"/>
      <c r="IGC45" s="76"/>
      <c r="IGD45" s="76"/>
      <c r="IGE45" s="76"/>
      <c r="IGF45" s="76"/>
      <c r="IGG45" s="76"/>
      <c r="IGH45" s="76"/>
      <c r="IGI45" s="76"/>
      <c r="IGJ45" s="76"/>
      <c r="IGK45" s="76"/>
      <c r="IGL45" s="76"/>
      <c r="IGM45" s="76"/>
      <c r="IGN45" s="76"/>
      <c r="IGO45" s="76"/>
      <c r="IGP45" s="76"/>
      <c r="IGQ45" s="76"/>
      <c r="IGR45" s="76"/>
      <c r="IGS45" s="76"/>
      <c r="IGT45" s="76"/>
      <c r="IGU45" s="76"/>
      <c r="IGV45" s="76"/>
      <c r="IGW45" s="76"/>
      <c r="IGX45" s="76"/>
      <c r="IGY45" s="76"/>
      <c r="IGZ45" s="76"/>
      <c r="IHA45" s="76"/>
      <c r="IHB45" s="76"/>
      <c r="IHC45" s="76"/>
      <c r="IHD45" s="76"/>
      <c r="IHE45" s="76"/>
      <c r="IHF45" s="76"/>
      <c r="IHG45" s="76"/>
      <c r="IHH45" s="76"/>
      <c r="IHI45" s="76"/>
      <c r="IHJ45" s="76"/>
      <c r="IHK45" s="76"/>
      <c r="IHL45" s="76"/>
      <c r="IHM45" s="76"/>
      <c r="IHN45" s="76"/>
      <c r="IHO45" s="76"/>
      <c r="IHP45" s="76"/>
      <c r="IHQ45" s="76"/>
      <c r="IHR45" s="76"/>
      <c r="IHS45" s="76"/>
      <c r="IHT45" s="76"/>
      <c r="IHU45" s="76"/>
      <c r="IHV45" s="76"/>
      <c r="IHW45" s="76"/>
      <c r="IHX45" s="76"/>
      <c r="IHY45" s="76"/>
      <c r="IHZ45" s="76"/>
      <c r="IIA45" s="76"/>
      <c r="IIB45" s="76"/>
      <c r="IIC45" s="76"/>
      <c r="IID45" s="76"/>
      <c r="IIE45" s="76"/>
      <c r="IIF45" s="76"/>
      <c r="IIG45" s="76"/>
      <c r="IIH45" s="76"/>
      <c r="III45" s="76"/>
      <c r="IIJ45" s="76"/>
      <c r="IIK45" s="76"/>
      <c r="IIL45" s="76"/>
      <c r="IIM45" s="76"/>
      <c r="IIN45" s="76"/>
      <c r="IIO45" s="76"/>
      <c r="IIP45" s="76"/>
      <c r="IIQ45" s="76"/>
      <c r="IIR45" s="76"/>
      <c r="IIS45" s="76"/>
      <c r="IIT45" s="76"/>
      <c r="IIU45" s="76"/>
      <c r="IIV45" s="76"/>
      <c r="IIW45" s="76"/>
      <c r="IIX45" s="76"/>
      <c r="IIY45" s="76"/>
      <c r="IIZ45" s="76"/>
      <c r="IJA45" s="76"/>
      <c r="IJB45" s="76"/>
      <c r="IJC45" s="76"/>
      <c r="IJD45" s="76"/>
      <c r="IJE45" s="76"/>
      <c r="IJF45" s="76"/>
      <c r="IJG45" s="76"/>
      <c r="IJH45" s="76"/>
      <c r="IJI45" s="76"/>
      <c r="IJJ45" s="76"/>
      <c r="IJK45" s="76"/>
      <c r="IJL45" s="76"/>
      <c r="IJM45" s="76"/>
      <c r="IJN45" s="76"/>
      <c r="IJO45" s="76"/>
      <c r="IJP45" s="76"/>
      <c r="IJQ45" s="76"/>
      <c r="IJR45" s="76"/>
      <c r="IJS45" s="76"/>
      <c r="IJT45" s="76"/>
      <c r="IJU45" s="76"/>
      <c r="IJV45" s="76"/>
      <c r="IJW45" s="76"/>
      <c r="IJX45" s="76"/>
      <c r="IJY45" s="76"/>
      <c r="IJZ45" s="76"/>
      <c r="IKA45" s="76"/>
      <c r="IKB45" s="76"/>
      <c r="IKC45" s="76"/>
      <c r="IKD45" s="76"/>
      <c r="IKE45" s="76"/>
      <c r="IKF45" s="76"/>
      <c r="IKG45" s="76"/>
      <c r="IKH45" s="76"/>
      <c r="IKI45" s="76"/>
      <c r="IKJ45" s="76"/>
      <c r="IKK45" s="76"/>
      <c r="IKL45" s="76"/>
      <c r="IKM45" s="76"/>
      <c r="IKN45" s="76"/>
      <c r="IKO45" s="76"/>
      <c r="IKP45" s="76"/>
      <c r="IKQ45" s="76"/>
      <c r="IKR45" s="76"/>
      <c r="IKS45" s="76"/>
      <c r="IKT45" s="76"/>
      <c r="IKU45" s="76"/>
      <c r="IKV45" s="76"/>
      <c r="IKW45" s="76"/>
      <c r="IKX45" s="76"/>
      <c r="IKY45" s="76"/>
      <c r="IKZ45" s="76"/>
      <c r="ILA45" s="76"/>
      <c r="ILB45" s="76"/>
      <c r="ILC45" s="76"/>
      <c r="ILD45" s="76"/>
      <c r="ILE45" s="76"/>
      <c r="ILF45" s="76"/>
      <c r="ILG45" s="76"/>
      <c r="ILH45" s="76"/>
      <c r="ILI45" s="76"/>
      <c r="ILJ45" s="76"/>
      <c r="ILK45" s="76"/>
      <c r="ILL45" s="76"/>
      <c r="ILM45" s="76"/>
      <c r="ILN45" s="76"/>
      <c r="ILO45" s="76"/>
      <c r="ILP45" s="76"/>
      <c r="ILQ45" s="76"/>
      <c r="ILR45" s="76"/>
      <c r="ILS45" s="76"/>
      <c r="ILT45" s="76"/>
      <c r="ILU45" s="76"/>
      <c r="ILV45" s="76"/>
      <c r="ILW45" s="76"/>
      <c r="ILX45" s="76"/>
      <c r="ILY45" s="76"/>
      <c r="ILZ45" s="76"/>
      <c r="IMA45" s="76"/>
      <c r="IMB45" s="76"/>
      <c r="IMC45" s="76"/>
      <c r="IMD45" s="76"/>
      <c r="IME45" s="76"/>
      <c r="IMF45" s="76"/>
      <c r="IMG45" s="76"/>
      <c r="IMH45" s="76"/>
      <c r="IMI45" s="76"/>
      <c r="IMJ45" s="76"/>
      <c r="IMK45" s="76"/>
      <c r="IML45" s="76"/>
      <c r="IMM45" s="76"/>
      <c r="IMN45" s="76"/>
      <c r="IMO45" s="76"/>
      <c r="IMP45" s="76"/>
      <c r="IMQ45" s="76"/>
      <c r="IMR45" s="76"/>
      <c r="IMS45" s="76"/>
      <c r="IMT45" s="76"/>
      <c r="IMU45" s="76"/>
      <c r="IMV45" s="76"/>
      <c r="IMW45" s="76"/>
      <c r="IMX45" s="76"/>
      <c r="IMY45" s="76"/>
      <c r="IMZ45" s="76"/>
      <c r="INA45" s="76"/>
      <c r="INB45" s="76"/>
      <c r="INC45" s="76"/>
      <c r="IND45" s="76"/>
      <c r="INE45" s="76"/>
      <c r="INF45" s="76"/>
      <c r="ING45" s="76"/>
      <c r="INH45" s="76"/>
      <c r="INI45" s="76"/>
      <c r="INJ45" s="76"/>
      <c r="INK45" s="76"/>
      <c r="INL45" s="76"/>
      <c r="INM45" s="76"/>
      <c r="INN45" s="76"/>
      <c r="INO45" s="76"/>
      <c r="INP45" s="76"/>
      <c r="INQ45" s="76"/>
      <c r="INR45" s="76"/>
      <c r="INS45" s="76"/>
      <c r="INT45" s="76"/>
      <c r="INU45" s="76"/>
      <c r="INV45" s="76"/>
      <c r="INW45" s="76"/>
      <c r="INX45" s="76"/>
      <c r="INY45" s="76"/>
      <c r="INZ45" s="76"/>
      <c r="IOA45" s="76"/>
      <c r="IOB45" s="76"/>
      <c r="IOC45" s="76"/>
      <c r="IOD45" s="76"/>
      <c r="IOE45" s="76"/>
      <c r="IOF45" s="76"/>
      <c r="IOG45" s="76"/>
      <c r="IOH45" s="76"/>
      <c r="IOI45" s="76"/>
      <c r="IOJ45" s="76"/>
      <c r="IOK45" s="76"/>
      <c r="IOL45" s="76"/>
      <c r="IOM45" s="76"/>
      <c r="ION45" s="76"/>
      <c r="IOO45" s="76"/>
      <c r="IOP45" s="76"/>
      <c r="IOQ45" s="76"/>
      <c r="IOR45" s="76"/>
      <c r="IOS45" s="76"/>
      <c r="IOT45" s="76"/>
      <c r="IOU45" s="76"/>
      <c r="IOV45" s="76"/>
      <c r="IOW45" s="76"/>
      <c r="IOX45" s="76"/>
      <c r="IOY45" s="76"/>
      <c r="IOZ45" s="76"/>
      <c r="IPA45" s="76"/>
      <c r="IPB45" s="76"/>
      <c r="IPC45" s="76"/>
      <c r="IPD45" s="76"/>
      <c r="IPE45" s="76"/>
      <c r="IPF45" s="76"/>
      <c r="IPG45" s="76"/>
      <c r="IPH45" s="76"/>
      <c r="IPI45" s="76"/>
      <c r="IPJ45" s="76"/>
      <c r="IPK45" s="76"/>
      <c r="IPL45" s="76"/>
      <c r="IPM45" s="76"/>
      <c r="IPN45" s="76"/>
      <c r="IPO45" s="76"/>
      <c r="IPP45" s="76"/>
      <c r="IPQ45" s="76"/>
      <c r="IPR45" s="76"/>
      <c r="IPS45" s="76"/>
      <c r="IPT45" s="76"/>
      <c r="IPU45" s="76"/>
      <c r="IPV45" s="76"/>
      <c r="IPW45" s="76"/>
      <c r="IPX45" s="76"/>
      <c r="IPY45" s="76"/>
      <c r="IPZ45" s="76"/>
      <c r="IQA45" s="76"/>
      <c r="IQB45" s="76"/>
      <c r="IQC45" s="76"/>
      <c r="IQD45" s="76"/>
      <c r="IQE45" s="76"/>
      <c r="IQF45" s="76"/>
      <c r="IQG45" s="76"/>
      <c r="IQH45" s="76"/>
      <c r="IQI45" s="76"/>
      <c r="IQJ45" s="76"/>
      <c r="IQK45" s="76"/>
      <c r="IQL45" s="76"/>
      <c r="IQM45" s="76"/>
      <c r="IQN45" s="76"/>
      <c r="IQO45" s="76"/>
      <c r="IQP45" s="76"/>
      <c r="IQQ45" s="76"/>
      <c r="IQR45" s="76"/>
      <c r="IQS45" s="76"/>
      <c r="IQT45" s="76"/>
      <c r="IQU45" s="76"/>
      <c r="IQV45" s="76"/>
      <c r="IQW45" s="76"/>
      <c r="IQX45" s="76"/>
      <c r="IQY45" s="76"/>
      <c r="IQZ45" s="76"/>
      <c r="IRA45" s="76"/>
      <c r="IRB45" s="76"/>
      <c r="IRC45" s="76"/>
      <c r="IRD45" s="76"/>
      <c r="IRE45" s="76"/>
      <c r="IRF45" s="76"/>
      <c r="IRG45" s="76"/>
      <c r="IRH45" s="76"/>
      <c r="IRI45" s="76"/>
      <c r="IRJ45" s="76"/>
      <c r="IRK45" s="76"/>
      <c r="IRL45" s="76"/>
      <c r="IRM45" s="76"/>
      <c r="IRN45" s="76"/>
      <c r="IRO45" s="76"/>
      <c r="IRP45" s="76"/>
      <c r="IRQ45" s="76"/>
      <c r="IRR45" s="76"/>
      <c r="IRS45" s="76"/>
      <c r="IRT45" s="76"/>
      <c r="IRU45" s="76"/>
      <c r="IRV45" s="76"/>
      <c r="IRW45" s="76"/>
      <c r="IRX45" s="76"/>
      <c r="IRY45" s="76"/>
      <c r="IRZ45" s="76"/>
      <c r="ISA45" s="76"/>
      <c r="ISB45" s="76"/>
      <c r="ISC45" s="76"/>
      <c r="ISD45" s="76"/>
      <c r="ISE45" s="76"/>
      <c r="ISF45" s="76"/>
      <c r="ISG45" s="76"/>
      <c r="ISH45" s="76"/>
      <c r="ISI45" s="76"/>
      <c r="ISJ45" s="76"/>
      <c r="ISK45" s="76"/>
      <c r="ISL45" s="76"/>
      <c r="ISM45" s="76"/>
      <c r="ISN45" s="76"/>
      <c r="ISO45" s="76"/>
      <c r="ISP45" s="76"/>
      <c r="ISQ45" s="76"/>
      <c r="ISR45" s="76"/>
      <c r="ISS45" s="76"/>
      <c r="IST45" s="76"/>
      <c r="ISU45" s="76"/>
      <c r="ISV45" s="76"/>
      <c r="ISW45" s="76"/>
      <c r="ISX45" s="76"/>
      <c r="ISY45" s="76"/>
      <c r="ISZ45" s="76"/>
      <c r="ITA45" s="76"/>
      <c r="ITB45" s="76"/>
      <c r="ITC45" s="76"/>
      <c r="ITD45" s="76"/>
      <c r="ITE45" s="76"/>
      <c r="ITF45" s="76"/>
      <c r="ITG45" s="76"/>
      <c r="ITH45" s="76"/>
      <c r="ITI45" s="76"/>
      <c r="ITJ45" s="76"/>
      <c r="ITK45" s="76"/>
      <c r="ITL45" s="76"/>
      <c r="ITM45" s="76"/>
      <c r="ITN45" s="76"/>
      <c r="ITO45" s="76"/>
      <c r="ITP45" s="76"/>
      <c r="ITQ45" s="76"/>
      <c r="ITR45" s="76"/>
      <c r="ITS45" s="76"/>
      <c r="ITT45" s="76"/>
      <c r="ITU45" s="76"/>
      <c r="ITV45" s="76"/>
      <c r="ITW45" s="76"/>
      <c r="ITX45" s="76"/>
      <c r="ITY45" s="76"/>
      <c r="ITZ45" s="76"/>
      <c r="IUA45" s="76"/>
      <c r="IUB45" s="76"/>
      <c r="IUC45" s="76"/>
      <c r="IUD45" s="76"/>
      <c r="IUE45" s="76"/>
      <c r="IUF45" s="76"/>
      <c r="IUG45" s="76"/>
      <c r="IUH45" s="76"/>
      <c r="IUI45" s="76"/>
      <c r="IUJ45" s="76"/>
      <c r="IUK45" s="76"/>
      <c r="IUL45" s="76"/>
      <c r="IUM45" s="76"/>
      <c r="IUN45" s="76"/>
      <c r="IUO45" s="76"/>
      <c r="IUP45" s="76"/>
      <c r="IUQ45" s="76"/>
      <c r="IUR45" s="76"/>
      <c r="IUS45" s="76"/>
      <c r="IUT45" s="76"/>
      <c r="IUU45" s="76"/>
      <c r="IUV45" s="76"/>
      <c r="IUW45" s="76"/>
      <c r="IUX45" s="76"/>
      <c r="IUY45" s="76"/>
      <c r="IUZ45" s="76"/>
      <c r="IVA45" s="76"/>
      <c r="IVB45" s="76"/>
      <c r="IVC45" s="76"/>
      <c r="IVD45" s="76"/>
      <c r="IVE45" s="76"/>
      <c r="IVF45" s="76"/>
      <c r="IVG45" s="76"/>
      <c r="IVH45" s="76"/>
      <c r="IVI45" s="76"/>
      <c r="IVJ45" s="76"/>
      <c r="IVK45" s="76"/>
      <c r="IVL45" s="76"/>
      <c r="IVM45" s="76"/>
      <c r="IVN45" s="76"/>
      <c r="IVO45" s="76"/>
      <c r="IVP45" s="76"/>
      <c r="IVQ45" s="76"/>
      <c r="IVR45" s="76"/>
      <c r="IVS45" s="76"/>
      <c r="IVT45" s="76"/>
      <c r="IVU45" s="76"/>
      <c r="IVV45" s="76"/>
      <c r="IVW45" s="76"/>
      <c r="IVX45" s="76"/>
      <c r="IVY45" s="76"/>
      <c r="IVZ45" s="76"/>
      <c r="IWA45" s="76"/>
      <c r="IWB45" s="76"/>
      <c r="IWC45" s="76"/>
      <c r="IWD45" s="76"/>
      <c r="IWE45" s="76"/>
      <c r="IWF45" s="76"/>
      <c r="IWG45" s="76"/>
      <c r="IWH45" s="76"/>
      <c r="IWI45" s="76"/>
      <c r="IWJ45" s="76"/>
      <c r="IWK45" s="76"/>
      <c r="IWL45" s="76"/>
      <c r="IWM45" s="76"/>
      <c r="IWN45" s="76"/>
      <c r="IWO45" s="76"/>
      <c r="IWP45" s="76"/>
      <c r="IWQ45" s="76"/>
      <c r="IWR45" s="76"/>
      <c r="IWS45" s="76"/>
      <c r="IWT45" s="76"/>
      <c r="IWU45" s="76"/>
      <c r="IWV45" s="76"/>
      <c r="IWW45" s="76"/>
      <c r="IWX45" s="76"/>
      <c r="IWY45" s="76"/>
      <c r="IWZ45" s="76"/>
      <c r="IXA45" s="76"/>
      <c r="IXB45" s="76"/>
      <c r="IXC45" s="76"/>
      <c r="IXD45" s="76"/>
      <c r="IXE45" s="76"/>
      <c r="IXF45" s="76"/>
      <c r="IXG45" s="76"/>
      <c r="IXH45" s="76"/>
      <c r="IXI45" s="76"/>
      <c r="IXJ45" s="76"/>
      <c r="IXK45" s="76"/>
      <c r="IXL45" s="76"/>
      <c r="IXM45" s="76"/>
      <c r="IXN45" s="76"/>
      <c r="IXO45" s="76"/>
      <c r="IXP45" s="76"/>
      <c r="IXQ45" s="76"/>
      <c r="IXR45" s="76"/>
      <c r="IXS45" s="76"/>
      <c r="IXT45" s="76"/>
      <c r="IXU45" s="76"/>
      <c r="IXV45" s="76"/>
      <c r="IXW45" s="76"/>
      <c r="IXX45" s="76"/>
      <c r="IXY45" s="76"/>
      <c r="IXZ45" s="76"/>
      <c r="IYA45" s="76"/>
      <c r="IYB45" s="76"/>
      <c r="IYC45" s="76"/>
      <c r="IYD45" s="76"/>
      <c r="IYE45" s="76"/>
      <c r="IYF45" s="76"/>
      <c r="IYG45" s="76"/>
      <c r="IYH45" s="76"/>
      <c r="IYI45" s="76"/>
      <c r="IYJ45" s="76"/>
      <c r="IYK45" s="76"/>
      <c r="IYL45" s="76"/>
      <c r="IYM45" s="76"/>
      <c r="IYN45" s="76"/>
      <c r="IYO45" s="76"/>
      <c r="IYP45" s="76"/>
      <c r="IYQ45" s="76"/>
      <c r="IYR45" s="76"/>
      <c r="IYS45" s="76"/>
      <c r="IYT45" s="76"/>
      <c r="IYU45" s="76"/>
      <c r="IYV45" s="76"/>
      <c r="IYW45" s="76"/>
      <c r="IYX45" s="76"/>
      <c r="IYY45" s="76"/>
      <c r="IYZ45" s="76"/>
      <c r="IZA45" s="76"/>
      <c r="IZB45" s="76"/>
      <c r="IZC45" s="76"/>
      <c r="IZD45" s="76"/>
      <c r="IZE45" s="76"/>
      <c r="IZF45" s="76"/>
      <c r="IZG45" s="76"/>
      <c r="IZH45" s="76"/>
      <c r="IZI45" s="76"/>
      <c r="IZJ45" s="76"/>
      <c r="IZK45" s="76"/>
      <c r="IZL45" s="76"/>
      <c r="IZM45" s="76"/>
      <c r="IZN45" s="76"/>
      <c r="IZO45" s="76"/>
      <c r="IZP45" s="76"/>
      <c r="IZQ45" s="76"/>
      <c r="IZR45" s="76"/>
      <c r="IZS45" s="76"/>
      <c r="IZT45" s="76"/>
      <c r="IZU45" s="76"/>
      <c r="IZV45" s="76"/>
      <c r="IZW45" s="76"/>
      <c r="IZX45" s="76"/>
      <c r="IZY45" s="76"/>
      <c r="IZZ45" s="76"/>
      <c r="JAA45" s="76"/>
      <c r="JAB45" s="76"/>
      <c r="JAC45" s="76"/>
      <c r="JAD45" s="76"/>
      <c r="JAE45" s="76"/>
      <c r="JAF45" s="76"/>
      <c r="JAG45" s="76"/>
      <c r="JAH45" s="76"/>
      <c r="JAI45" s="76"/>
      <c r="JAJ45" s="76"/>
      <c r="JAK45" s="76"/>
      <c r="JAL45" s="76"/>
      <c r="JAM45" s="76"/>
      <c r="JAN45" s="76"/>
      <c r="JAO45" s="76"/>
      <c r="JAP45" s="76"/>
      <c r="JAQ45" s="76"/>
      <c r="JAR45" s="76"/>
      <c r="JAS45" s="76"/>
      <c r="JAT45" s="76"/>
      <c r="JAU45" s="76"/>
      <c r="JAV45" s="76"/>
      <c r="JAW45" s="76"/>
      <c r="JAX45" s="76"/>
      <c r="JAY45" s="76"/>
      <c r="JAZ45" s="76"/>
      <c r="JBA45" s="76"/>
      <c r="JBB45" s="76"/>
      <c r="JBC45" s="76"/>
      <c r="JBD45" s="76"/>
      <c r="JBE45" s="76"/>
      <c r="JBF45" s="76"/>
      <c r="JBG45" s="76"/>
      <c r="JBH45" s="76"/>
      <c r="JBI45" s="76"/>
      <c r="JBJ45" s="76"/>
      <c r="JBK45" s="76"/>
      <c r="JBL45" s="76"/>
      <c r="JBM45" s="76"/>
      <c r="JBN45" s="76"/>
      <c r="JBO45" s="76"/>
      <c r="JBP45" s="76"/>
      <c r="JBQ45" s="76"/>
      <c r="JBR45" s="76"/>
      <c r="JBS45" s="76"/>
      <c r="JBT45" s="76"/>
      <c r="JBU45" s="76"/>
      <c r="JBV45" s="76"/>
      <c r="JBW45" s="76"/>
      <c r="JBX45" s="76"/>
      <c r="JBY45" s="76"/>
      <c r="JBZ45" s="76"/>
      <c r="JCA45" s="76"/>
      <c r="JCB45" s="76"/>
      <c r="JCC45" s="76"/>
      <c r="JCD45" s="76"/>
      <c r="JCE45" s="76"/>
      <c r="JCF45" s="76"/>
      <c r="JCG45" s="76"/>
      <c r="JCH45" s="76"/>
      <c r="JCI45" s="76"/>
      <c r="JCJ45" s="76"/>
      <c r="JCK45" s="76"/>
      <c r="JCL45" s="76"/>
      <c r="JCM45" s="76"/>
      <c r="JCN45" s="76"/>
      <c r="JCO45" s="76"/>
      <c r="JCP45" s="76"/>
      <c r="JCQ45" s="76"/>
      <c r="JCR45" s="76"/>
      <c r="JCS45" s="76"/>
      <c r="JCT45" s="76"/>
      <c r="JCU45" s="76"/>
      <c r="JCV45" s="76"/>
      <c r="JCW45" s="76"/>
      <c r="JCX45" s="76"/>
      <c r="JCY45" s="76"/>
      <c r="JCZ45" s="76"/>
      <c r="JDA45" s="76"/>
      <c r="JDB45" s="76"/>
      <c r="JDC45" s="76"/>
      <c r="JDD45" s="76"/>
      <c r="JDE45" s="76"/>
      <c r="JDF45" s="76"/>
      <c r="JDG45" s="76"/>
      <c r="JDH45" s="76"/>
      <c r="JDI45" s="76"/>
      <c r="JDJ45" s="76"/>
      <c r="JDK45" s="76"/>
      <c r="JDL45" s="76"/>
      <c r="JDM45" s="76"/>
      <c r="JDN45" s="76"/>
      <c r="JDO45" s="76"/>
      <c r="JDP45" s="76"/>
      <c r="JDQ45" s="76"/>
      <c r="JDR45" s="76"/>
      <c r="JDS45" s="76"/>
      <c r="JDT45" s="76"/>
      <c r="JDU45" s="76"/>
      <c r="JDV45" s="76"/>
      <c r="JDW45" s="76"/>
      <c r="JDX45" s="76"/>
      <c r="JDY45" s="76"/>
      <c r="JDZ45" s="76"/>
      <c r="JEA45" s="76"/>
      <c r="JEB45" s="76"/>
      <c r="JEC45" s="76"/>
      <c r="JED45" s="76"/>
      <c r="JEE45" s="76"/>
      <c r="JEF45" s="76"/>
      <c r="JEG45" s="76"/>
      <c r="JEH45" s="76"/>
      <c r="JEI45" s="76"/>
      <c r="JEJ45" s="76"/>
      <c r="JEK45" s="76"/>
      <c r="JEL45" s="76"/>
      <c r="JEM45" s="76"/>
      <c r="JEN45" s="76"/>
      <c r="JEO45" s="76"/>
      <c r="JEP45" s="76"/>
      <c r="JEQ45" s="76"/>
      <c r="JER45" s="76"/>
      <c r="JES45" s="76"/>
      <c r="JET45" s="76"/>
      <c r="JEU45" s="76"/>
      <c r="JEV45" s="76"/>
      <c r="JEW45" s="76"/>
      <c r="JEX45" s="76"/>
      <c r="JEY45" s="76"/>
      <c r="JEZ45" s="76"/>
      <c r="JFA45" s="76"/>
      <c r="JFB45" s="76"/>
      <c r="JFC45" s="76"/>
      <c r="JFD45" s="76"/>
      <c r="JFE45" s="76"/>
      <c r="JFF45" s="76"/>
      <c r="JFG45" s="76"/>
      <c r="JFH45" s="76"/>
      <c r="JFI45" s="76"/>
      <c r="JFJ45" s="76"/>
      <c r="JFK45" s="76"/>
      <c r="JFL45" s="76"/>
      <c r="JFM45" s="76"/>
      <c r="JFN45" s="76"/>
      <c r="JFO45" s="76"/>
      <c r="JFP45" s="76"/>
      <c r="JFQ45" s="76"/>
      <c r="JFR45" s="76"/>
      <c r="JFS45" s="76"/>
      <c r="JFT45" s="76"/>
      <c r="JFU45" s="76"/>
      <c r="JFV45" s="76"/>
      <c r="JFW45" s="76"/>
      <c r="JFX45" s="76"/>
      <c r="JFY45" s="76"/>
      <c r="JFZ45" s="76"/>
      <c r="JGA45" s="76"/>
      <c r="JGB45" s="76"/>
      <c r="JGC45" s="76"/>
      <c r="JGD45" s="76"/>
      <c r="JGE45" s="76"/>
      <c r="JGF45" s="76"/>
      <c r="JGG45" s="76"/>
      <c r="JGH45" s="76"/>
      <c r="JGI45" s="76"/>
      <c r="JGJ45" s="76"/>
      <c r="JGK45" s="76"/>
      <c r="JGL45" s="76"/>
      <c r="JGM45" s="76"/>
      <c r="JGN45" s="76"/>
      <c r="JGO45" s="76"/>
      <c r="JGP45" s="76"/>
      <c r="JGQ45" s="76"/>
      <c r="JGR45" s="76"/>
      <c r="JGS45" s="76"/>
      <c r="JGT45" s="76"/>
      <c r="JGU45" s="76"/>
      <c r="JGV45" s="76"/>
      <c r="JGW45" s="76"/>
      <c r="JGX45" s="76"/>
      <c r="JGY45" s="76"/>
      <c r="JGZ45" s="76"/>
      <c r="JHA45" s="76"/>
      <c r="JHB45" s="76"/>
      <c r="JHC45" s="76"/>
      <c r="JHD45" s="76"/>
      <c r="JHE45" s="76"/>
      <c r="JHF45" s="76"/>
      <c r="JHG45" s="76"/>
      <c r="JHH45" s="76"/>
      <c r="JHI45" s="76"/>
      <c r="JHJ45" s="76"/>
      <c r="JHK45" s="76"/>
      <c r="JHL45" s="76"/>
      <c r="JHM45" s="76"/>
      <c r="JHN45" s="76"/>
      <c r="JHO45" s="76"/>
      <c r="JHP45" s="76"/>
      <c r="JHQ45" s="76"/>
      <c r="JHR45" s="76"/>
      <c r="JHS45" s="76"/>
      <c r="JHT45" s="76"/>
      <c r="JHU45" s="76"/>
      <c r="JHV45" s="76"/>
      <c r="JHW45" s="76"/>
      <c r="JHX45" s="76"/>
      <c r="JHY45" s="76"/>
      <c r="JHZ45" s="76"/>
      <c r="JIA45" s="76"/>
      <c r="JIB45" s="76"/>
      <c r="JIC45" s="76"/>
      <c r="JID45" s="76"/>
      <c r="JIE45" s="76"/>
      <c r="JIF45" s="76"/>
      <c r="JIG45" s="76"/>
      <c r="JIH45" s="76"/>
      <c r="JII45" s="76"/>
      <c r="JIJ45" s="76"/>
      <c r="JIK45" s="76"/>
      <c r="JIL45" s="76"/>
      <c r="JIM45" s="76"/>
      <c r="JIN45" s="76"/>
      <c r="JIO45" s="76"/>
      <c r="JIP45" s="76"/>
      <c r="JIQ45" s="76"/>
      <c r="JIR45" s="76"/>
      <c r="JIS45" s="76"/>
      <c r="JIT45" s="76"/>
      <c r="JIU45" s="76"/>
      <c r="JIV45" s="76"/>
      <c r="JIW45" s="76"/>
      <c r="JIX45" s="76"/>
      <c r="JIY45" s="76"/>
      <c r="JIZ45" s="76"/>
      <c r="JJA45" s="76"/>
      <c r="JJB45" s="76"/>
      <c r="JJC45" s="76"/>
      <c r="JJD45" s="76"/>
      <c r="JJE45" s="76"/>
      <c r="JJF45" s="76"/>
      <c r="JJG45" s="76"/>
      <c r="JJH45" s="76"/>
      <c r="JJI45" s="76"/>
      <c r="JJJ45" s="76"/>
      <c r="JJK45" s="76"/>
      <c r="JJL45" s="76"/>
      <c r="JJM45" s="76"/>
      <c r="JJN45" s="76"/>
      <c r="JJO45" s="76"/>
      <c r="JJP45" s="76"/>
      <c r="JJQ45" s="76"/>
      <c r="JJR45" s="76"/>
      <c r="JJS45" s="76"/>
      <c r="JJT45" s="76"/>
      <c r="JJU45" s="76"/>
      <c r="JJV45" s="76"/>
      <c r="JJW45" s="76"/>
      <c r="JJX45" s="76"/>
      <c r="JJY45" s="76"/>
      <c r="JJZ45" s="76"/>
      <c r="JKA45" s="76"/>
      <c r="JKB45" s="76"/>
      <c r="JKC45" s="76"/>
      <c r="JKD45" s="76"/>
      <c r="JKE45" s="76"/>
      <c r="JKF45" s="76"/>
      <c r="JKG45" s="76"/>
      <c r="JKH45" s="76"/>
      <c r="JKI45" s="76"/>
      <c r="JKJ45" s="76"/>
      <c r="JKK45" s="76"/>
      <c r="JKL45" s="76"/>
      <c r="JKM45" s="76"/>
      <c r="JKN45" s="76"/>
      <c r="JKO45" s="76"/>
      <c r="JKP45" s="76"/>
      <c r="JKQ45" s="76"/>
      <c r="JKR45" s="76"/>
      <c r="JKS45" s="76"/>
      <c r="JKT45" s="76"/>
      <c r="JKU45" s="76"/>
      <c r="JKV45" s="76"/>
      <c r="JKW45" s="76"/>
      <c r="JKX45" s="76"/>
      <c r="JKY45" s="76"/>
      <c r="JKZ45" s="76"/>
      <c r="JLA45" s="76"/>
      <c r="JLB45" s="76"/>
      <c r="JLC45" s="76"/>
      <c r="JLD45" s="76"/>
      <c r="JLE45" s="76"/>
      <c r="JLF45" s="76"/>
      <c r="JLG45" s="76"/>
      <c r="JLH45" s="76"/>
      <c r="JLI45" s="76"/>
      <c r="JLJ45" s="76"/>
      <c r="JLK45" s="76"/>
      <c r="JLL45" s="76"/>
      <c r="JLM45" s="76"/>
      <c r="JLN45" s="76"/>
      <c r="JLO45" s="76"/>
      <c r="JLP45" s="76"/>
      <c r="JLQ45" s="76"/>
      <c r="JLR45" s="76"/>
      <c r="JLS45" s="76"/>
      <c r="JLT45" s="76"/>
      <c r="JLU45" s="76"/>
      <c r="JLV45" s="76"/>
      <c r="JLW45" s="76"/>
      <c r="JLX45" s="76"/>
      <c r="JLY45" s="76"/>
      <c r="JLZ45" s="76"/>
      <c r="JMA45" s="76"/>
      <c r="JMB45" s="76"/>
      <c r="JMC45" s="76"/>
      <c r="JMD45" s="76"/>
      <c r="JME45" s="76"/>
      <c r="JMF45" s="76"/>
      <c r="JMG45" s="76"/>
      <c r="JMH45" s="76"/>
      <c r="JMI45" s="76"/>
      <c r="JMJ45" s="76"/>
      <c r="JMK45" s="76"/>
      <c r="JML45" s="76"/>
      <c r="JMM45" s="76"/>
      <c r="JMN45" s="76"/>
      <c r="JMO45" s="76"/>
      <c r="JMP45" s="76"/>
      <c r="JMQ45" s="76"/>
      <c r="JMR45" s="76"/>
      <c r="JMS45" s="76"/>
      <c r="JMT45" s="76"/>
      <c r="JMU45" s="76"/>
      <c r="JMV45" s="76"/>
      <c r="JMW45" s="76"/>
      <c r="JMX45" s="76"/>
      <c r="JMY45" s="76"/>
      <c r="JMZ45" s="76"/>
      <c r="JNA45" s="76"/>
      <c r="JNB45" s="76"/>
      <c r="JNC45" s="76"/>
      <c r="JND45" s="76"/>
      <c r="JNE45" s="76"/>
      <c r="JNF45" s="76"/>
      <c r="JNG45" s="76"/>
      <c r="JNH45" s="76"/>
      <c r="JNI45" s="76"/>
      <c r="JNJ45" s="76"/>
      <c r="JNK45" s="76"/>
      <c r="JNL45" s="76"/>
      <c r="JNM45" s="76"/>
      <c r="JNN45" s="76"/>
      <c r="JNO45" s="76"/>
      <c r="JNP45" s="76"/>
      <c r="JNQ45" s="76"/>
      <c r="JNR45" s="76"/>
      <c r="JNS45" s="76"/>
      <c r="JNT45" s="76"/>
      <c r="JNU45" s="76"/>
      <c r="JNV45" s="76"/>
      <c r="JNW45" s="76"/>
      <c r="JNX45" s="76"/>
      <c r="JNY45" s="76"/>
      <c r="JNZ45" s="76"/>
      <c r="JOA45" s="76"/>
      <c r="JOB45" s="76"/>
      <c r="JOC45" s="76"/>
      <c r="JOD45" s="76"/>
      <c r="JOE45" s="76"/>
      <c r="JOF45" s="76"/>
      <c r="JOG45" s="76"/>
      <c r="JOH45" s="76"/>
      <c r="JOI45" s="76"/>
      <c r="JOJ45" s="76"/>
      <c r="JOK45" s="76"/>
      <c r="JOL45" s="76"/>
      <c r="JOM45" s="76"/>
      <c r="JON45" s="76"/>
      <c r="JOO45" s="76"/>
      <c r="JOP45" s="76"/>
      <c r="JOQ45" s="76"/>
      <c r="JOR45" s="76"/>
      <c r="JOS45" s="76"/>
      <c r="JOT45" s="76"/>
      <c r="JOU45" s="76"/>
      <c r="JOV45" s="76"/>
      <c r="JOW45" s="76"/>
      <c r="JOX45" s="76"/>
      <c r="JOY45" s="76"/>
      <c r="JOZ45" s="76"/>
      <c r="JPA45" s="76"/>
      <c r="JPB45" s="76"/>
      <c r="JPC45" s="76"/>
      <c r="JPD45" s="76"/>
      <c r="JPE45" s="76"/>
      <c r="JPF45" s="76"/>
      <c r="JPG45" s="76"/>
      <c r="JPH45" s="76"/>
      <c r="JPI45" s="76"/>
      <c r="JPJ45" s="76"/>
      <c r="JPK45" s="76"/>
      <c r="JPL45" s="76"/>
      <c r="JPM45" s="76"/>
      <c r="JPN45" s="76"/>
      <c r="JPO45" s="76"/>
      <c r="JPP45" s="76"/>
      <c r="JPQ45" s="76"/>
      <c r="JPR45" s="76"/>
      <c r="JPS45" s="76"/>
      <c r="JPT45" s="76"/>
      <c r="JPU45" s="76"/>
      <c r="JPV45" s="76"/>
      <c r="JPW45" s="76"/>
      <c r="JPX45" s="76"/>
      <c r="JPY45" s="76"/>
      <c r="JPZ45" s="76"/>
      <c r="JQA45" s="76"/>
      <c r="JQB45" s="76"/>
      <c r="JQC45" s="76"/>
      <c r="JQD45" s="76"/>
      <c r="JQE45" s="76"/>
      <c r="JQF45" s="76"/>
      <c r="JQG45" s="76"/>
      <c r="JQH45" s="76"/>
      <c r="JQI45" s="76"/>
      <c r="JQJ45" s="76"/>
      <c r="JQK45" s="76"/>
      <c r="JQL45" s="76"/>
      <c r="JQM45" s="76"/>
      <c r="JQN45" s="76"/>
      <c r="JQO45" s="76"/>
      <c r="JQP45" s="76"/>
      <c r="JQQ45" s="76"/>
      <c r="JQR45" s="76"/>
      <c r="JQS45" s="76"/>
      <c r="JQT45" s="76"/>
      <c r="JQU45" s="76"/>
      <c r="JQV45" s="76"/>
      <c r="JQW45" s="76"/>
      <c r="JQX45" s="76"/>
      <c r="JQY45" s="76"/>
      <c r="JQZ45" s="76"/>
      <c r="JRA45" s="76"/>
      <c r="JRB45" s="76"/>
      <c r="JRC45" s="76"/>
      <c r="JRD45" s="76"/>
      <c r="JRE45" s="76"/>
      <c r="JRF45" s="76"/>
      <c r="JRG45" s="76"/>
      <c r="JRH45" s="76"/>
      <c r="JRI45" s="76"/>
      <c r="JRJ45" s="76"/>
      <c r="JRK45" s="76"/>
      <c r="JRL45" s="76"/>
      <c r="JRM45" s="76"/>
      <c r="JRN45" s="76"/>
      <c r="JRO45" s="76"/>
      <c r="JRP45" s="76"/>
      <c r="JRQ45" s="76"/>
      <c r="JRR45" s="76"/>
      <c r="JRS45" s="76"/>
      <c r="JRT45" s="76"/>
      <c r="JRU45" s="76"/>
      <c r="JRV45" s="76"/>
      <c r="JRW45" s="76"/>
      <c r="JRX45" s="76"/>
      <c r="JRY45" s="76"/>
      <c r="JRZ45" s="76"/>
      <c r="JSA45" s="76"/>
      <c r="JSB45" s="76"/>
      <c r="JSC45" s="76"/>
      <c r="JSD45" s="76"/>
      <c r="JSE45" s="76"/>
      <c r="JSF45" s="76"/>
      <c r="JSG45" s="76"/>
      <c r="JSH45" s="76"/>
      <c r="JSI45" s="76"/>
      <c r="JSJ45" s="76"/>
      <c r="JSK45" s="76"/>
      <c r="JSL45" s="76"/>
      <c r="JSM45" s="76"/>
      <c r="JSN45" s="76"/>
      <c r="JSO45" s="76"/>
      <c r="JSP45" s="76"/>
      <c r="JSQ45" s="76"/>
      <c r="JSR45" s="76"/>
      <c r="JSS45" s="76"/>
      <c r="JST45" s="76"/>
      <c r="JSU45" s="76"/>
      <c r="JSV45" s="76"/>
      <c r="JSW45" s="76"/>
      <c r="JSX45" s="76"/>
      <c r="JSY45" s="76"/>
      <c r="JSZ45" s="76"/>
      <c r="JTA45" s="76"/>
      <c r="JTB45" s="76"/>
      <c r="JTC45" s="76"/>
      <c r="JTD45" s="76"/>
      <c r="JTE45" s="76"/>
      <c r="JTF45" s="76"/>
      <c r="JTG45" s="76"/>
      <c r="JTH45" s="76"/>
      <c r="JTI45" s="76"/>
      <c r="JTJ45" s="76"/>
      <c r="JTK45" s="76"/>
      <c r="JTL45" s="76"/>
      <c r="JTM45" s="76"/>
      <c r="JTN45" s="76"/>
      <c r="JTO45" s="76"/>
      <c r="JTP45" s="76"/>
      <c r="JTQ45" s="76"/>
      <c r="JTR45" s="76"/>
      <c r="JTS45" s="76"/>
      <c r="JTT45" s="76"/>
      <c r="JTU45" s="76"/>
      <c r="JTV45" s="76"/>
      <c r="JTW45" s="76"/>
      <c r="JTX45" s="76"/>
      <c r="JTY45" s="76"/>
      <c r="JTZ45" s="76"/>
      <c r="JUA45" s="76"/>
      <c r="JUB45" s="76"/>
      <c r="JUC45" s="76"/>
      <c r="JUD45" s="76"/>
      <c r="JUE45" s="76"/>
      <c r="JUF45" s="76"/>
      <c r="JUG45" s="76"/>
      <c r="JUH45" s="76"/>
      <c r="JUI45" s="76"/>
      <c r="JUJ45" s="76"/>
      <c r="JUK45" s="76"/>
      <c r="JUL45" s="76"/>
      <c r="JUM45" s="76"/>
      <c r="JUN45" s="76"/>
      <c r="JUO45" s="76"/>
      <c r="JUP45" s="76"/>
      <c r="JUQ45" s="76"/>
      <c r="JUR45" s="76"/>
      <c r="JUS45" s="76"/>
      <c r="JUT45" s="76"/>
      <c r="JUU45" s="76"/>
      <c r="JUV45" s="76"/>
      <c r="JUW45" s="76"/>
      <c r="JUX45" s="76"/>
      <c r="JUY45" s="76"/>
      <c r="JUZ45" s="76"/>
      <c r="JVA45" s="76"/>
      <c r="JVB45" s="76"/>
      <c r="JVC45" s="76"/>
      <c r="JVD45" s="76"/>
      <c r="JVE45" s="76"/>
      <c r="JVF45" s="76"/>
      <c r="JVG45" s="76"/>
      <c r="JVH45" s="76"/>
      <c r="JVI45" s="76"/>
      <c r="JVJ45" s="76"/>
      <c r="JVK45" s="76"/>
      <c r="JVL45" s="76"/>
      <c r="JVM45" s="76"/>
      <c r="JVN45" s="76"/>
      <c r="JVO45" s="76"/>
      <c r="JVP45" s="76"/>
      <c r="JVQ45" s="76"/>
      <c r="JVR45" s="76"/>
      <c r="JVS45" s="76"/>
      <c r="JVT45" s="76"/>
      <c r="JVU45" s="76"/>
      <c r="JVV45" s="76"/>
      <c r="JVW45" s="76"/>
      <c r="JVX45" s="76"/>
      <c r="JVY45" s="76"/>
      <c r="JVZ45" s="76"/>
      <c r="JWA45" s="76"/>
      <c r="JWB45" s="76"/>
      <c r="JWC45" s="76"/>
      <c r="JWD45" s="76"/>
      <c r="JWE45" s="76"/>
      <c r="JWF45" s="76"/>
      <c r="JWG45" s="76"/>
      <c r="JWH45" s="76"/>
      <c r="JWI45" s="76"/>
      <c r="JWJ45" s="76"/>
      <c r="JWK45" s="76"/>
      <c r="JWL45" s="76"/>
      <c r="JWM45" s="76"/>
      <c r="JWN45" s="76"/>
      <c r="JWO45" s="76"/>
      <c r="JWP45" s="76"/>
      <c r="JWQ45" s="76"/>
      <c r="JWR45" s="76"/>
      <c r="JWS45" s="76"/>
      <c r="JWT45" s="76"/>
      <c r="JWU45" s="76"/>
      <c r="JWV45" s="76"/>
      <c r="JWW45" s="76"/>
      <c r="JWX45" s="76"/>
      <c r="JWY45" s="76"/>
      <c r="JWZ45" s="76"/>
      <c r="JXA45" s="76"/>
      <c r="JXB45" s="76"/>
      <c r="JXC45" s="76"/>
      <c r="JXD45" s="76"/>
      <c r="JXE45" s="76"/>
      <c r="JXF45" s="76"/>
      <c r="JXG45" s="76"/>
      <c r="JXH45" s="76"/>
      <c r="JXI45" s="76"/>
      <c r="JXJ45" s="76"/>
      <c r="JXK45" s="76"/>
      <c r="JXL45" s="76"/>
      <c r="JXM45" s="76"/>
      <c r="JXN45" s="76"/>
      <c r="JXO45" s="76"/>
      <c r="JXP45" s="76"/>
      <c r="JXQ45" s="76"/>
      <c r="JXR45" s="76"/>
      <c r="JXS45" s="76"/>
      <c r="JXT45" s="76"/>
      <c r="JXU45" s="76"/>
      <c r="JXV45" s="76"/>
      <c r="JXW45" s="76"/>
      <c r="JXX45" s="76"/>
      <c r="JXY45" s="76"/>
      <c r="JXZ45" s="76"/>
      <c r="JYA45" s="76"/>
      <c r="JYB45" s="76"/>
      <c r="JYC45" s="76"/>
      <c r="JYD45" s="76"/>
      <c r="JYE45" s="76"/>
      <c r="JYF45" s="76"/>
      <c r="JYG45" s="76"/>
      <c r="JYH45" s="76"/>
      <c r="JYI45" s="76"/>
      <c r="JYJ45" s="76"/>
      <c r="JYK45" s="76"/>
      <c r="JYL45" s="76"/>
      <c r="JYM45" s="76"/>
      <c r="JYN45" s="76"/>
      <c r="JYO45" s="76"/>
      <c r="JYP45" s="76"/>
      <c r="JYQ45" s="76"/>
      <c r="JYR45" s="76"/>
      <c r="JYS45" s="76"/>
      <c r="JYT45" s="76"/>
      <c r="JYU45" s="76"/>
      <c r="JYV45" s="76"/>
      <c r="JYW45" s="76"/>
      <c r="JYX45" s="76"/>
      <c r="JYY45" s="76"/>
      <c r="JYZ45" s="76"/>
      <c r="JZA45" s="76"/>
      <c r="JZB45" s="76"/>
      <c r="JZC45" s="76"/>
      <c r="JZD45" s="76"/>
      <c r="JZE45" s="76"/>
      <c r="JZF45" s="76"/>
      <c r="JZG45" s="76"/>
      <c r="JZH45" s="76"/>
      <c r="JZI45" s="76"/>
      <c r="JZJ45" s="76"/>
      <c r="JZK45" s="76"/>
      <c r="JZL45" s="76"/>
      <c r="JZM45" s="76"/>
      <c r="JZN45" s="76"/>
      <c r="JZO45" s="76"/>
      <c r="JZP45" s="76"/>
      <c r="JZQ45" s="76"/>
      <c r="JZR45" s="76"/>
      <c r="JZS45" s="76"/>
      <c r="JZT45" s="76"/>
      <c r="JZU45" s="76"/>
      <c r="JZV45" s="76"/>
      <c r="JZW45" s="76"/>
      <c r="JZX45" s="76"/>
      <c r="JZY45" s="76"/>
      <c r="JZZ45" s="76"/>
      <c r="KAA45" s="76"/>
      <c r="KAB45" s="76"/>
      <c r="KAC45" s="76"/>
      <c r="KAD45" s="76"/>
      <c r="KAE45" s="76"/>
      <c r="KAF45" s="76"/>
      <c r="KAG45" s="76"/>
      <c r="KAH45" s="76"/>
      <c r="KAI45" s="76"/>
      <c r="KAJ45" s="76"/>
      <c r="KAK45" s="76"/>
      <c r="KAL45" s="76"/>
      <c r="KAM45" s="76"/>
      <c r="KAN45" s="76"/>
      <c r="KAO45" s="76"/>
      <c r="KAP45" s="76"/>
      <c r="KAQ45" s="76"/>
      <c r="KAR45" s="76"/>
      <c r="KAS45" s="76"/>
      <c r="KAT45" s="76"/>
      <c r="KAU45" s="76"/>
      <c r="KAV45" s="76"/>
      <c r="KAW45" s="76"/>
      <c r="KAX45" s="76"/>
      <c r="KAY45" s="76"/>
      <c r="KAZ45" s="76"/>
      <c r="KBA45" s="76"/>
      <c r="KBB45" s="76"/>
      <c r="KBC45" s="76"/>
      <c r="KBD45" s="76"/>
      <c r="KBE45" s="76"/>
      <c r="KBF45" s="76"/>
      <c r="KBG45" s="76"/>
      <c r="KBH45" s="76"/>
      <c r="KBI45" s="76"/>
      <c r="KBJ45" s="76"/>
      <c r="KBK45" s="76"/>
      <c r="KBL45" s="76"/>
      <c r="KBM45" s="76"/>
      <c r="KBN45" s="76"/>
      <c r="KBO45" s="76"/>
      <c r="KBP45" s="76"/>
      <c r="KBQ45" s="76"/>
      <c r="KBR45" s="76"/>
      <c r="KBS45" s="76"/>
      <c r="KBT45" s="76"/>
      <c r="KBU45" s="76"/>
      <c r="KBV45" s="76"/>
      <c r="KBW45" s="76"/>
      <c r="KBX45" s="76"/>
      <c r="KBY45" s="76"/>
      <c r="KBZ45" s="76"/>
      <c r="KCA45" s="76"/>
      <c r="KCB45" s="76"/>
      <c r="KCC45" s="76"/>
      <c r="KCD45" s="76"/>
      <c r="KCE45" s="76"/>
      <c r="KCF45" s="76"/>
      <c r="KCG45" s="76"/>
      <c r="KCH45" s="76"/>
      <c r="KCI45" s="76"/>
      <c r="KCJ45" s="76"/>
      <c r="KCK45" s="76"/>
      <c r="KCL45" s="76"/>
      <c r="KCM45" s="76"/>
      <c r="KCN45" s="76"/>
      <c r="KCO45" s="76"/>
      <c r="KCP45" s="76"/>
      <c r="KCQ45" s="76"/>
      <c r="KCR45" s="76"/>
      <c r="KCS45" s="76"/>
      <c r="KCT45" s="76"/>
      <c r="KCU45" s="76"/>
      <c r="KCV45" s="76"/>
      <c r="KCW45" s="76"/>
      <c r="KCX45" s="76"/>
      <c r="KCY45" s="76"/>
      <c r="KCZ45" s="76"/>
      <c r="KDA45" s="76"/>
      <c r="KDB45" s="76"/>
      <c r="KDC45" s="76"/>
      <c r="KDD45" s="76"/>
      <c r="KDE45" s="76"/>
      <c r="KDF45" s="76"/>
      <c r="KDG45" s="76"/>
      <c r="KDH45" s="76"/>
      <c r="KDI45" s="76"/>
      <c r="KDJ45" s="76"/>
      <c r="KDK45" s="76"/>
      <c r="KDL45" s="76"/>
      <c r="KDM45" s="76"/>
      <c r="KDN45" s="76"/>
      <c r="KDO45" s="76"/>
      <c r="KDP45" s="76"/>
      <c r="KDQ45" s="76"/>
      <c r="KDR45" s="76"/>
      <c r="KDS45" s="76"/>
      <c r="KDT45" s="76"/>
      <c r="KDU45" s="76"/>
      <c r="KDV45" s="76"/>
      <c r="KDW45" s="76"/>
      <c r="KDX45" s="76"/>
      <c r="KDY45" s="76"/>
      <c r="KDZ45" s="76"/>
      <c r="KEA45" s="76"/>
      <c r="KEB45" s="76"/>
      <c r="KEC45" s="76"/>
      <c r="KED45" s="76"/>
      <c r="KEE45" s="76"/>
      <c r="KEF45" s="76"/>
      <c r="KEG45" s="76"/>
      <c r="KEH45" s="76"/>
      <c r="KEI45" s="76"/>
      <c r="KEJ45" s="76"/>
      <c r="KEK45" s="76"/>
      <c r="KEL45" s="76"/>
      <c r="KEM45" s="76"/>
      <c r="KEN45" s="76"/>
      <c r="KEO45" s="76"/>
      <c r="KEP45" s="76"/>
      <c r="KEQ45" s="76"/>
      <c r="KER45" s="76"/>
      <c r="KES45" s="76"/>
      <c r="KET45" s="76"/>
      <c r="KEU45" s="76"/>
      <c r="KEV45" s="76"/>
      <c r="KEW45" s="76"/>
      <c r="KEX45" s="76"/>
      <c r="KEY45" s="76"/>
      <c r="KEZ45" s="76"/>
      <c r="KFA45" s="76"/>
      <c r="KFB45" s="76"/>
      <c r="KFC45" s="76"/>
      <c r="KFD45" s="76"/>
      <c r="KFE45" s="76"/>
      <c r="KFF45" s="76"/>
      <c r="KFG45" s="76"/>
      <c r="KFH45" s="76"/>
      <c r="KFI45" s="76"/>
      <c r="KFJ45" s="76"/>
      <c r="KFK45" s="76"/>
      <c r="KFL45" s="76"/>
      <c r="KFM45" s="76"/>
      <c r="KFN45" s="76"/>
      <c r="KFO45" s="76"/>
      <c r="KFP45" s="76"/>
      <c r="KFQ45" s="76"/>
      <c r="KFR45" s="76"/>
      <c r="KFS45" s="76"/>
      <c r="KFT45" s="76"/>
      <c r="KFU45" s="76"/>
      <c r="KFV45" s="76"/>
      <c r="KFW45" s="76"/>
      <c r="KFX45" s="76"/>
      <c r="KFY45" s="76"/>
      <c r="KFZ45" s="76"/>
      <c r="KGA45" s="76"/>
      <c r="KGB45" s="76"/>
      <c r="KGC45" s="76"/>
      <c r="KGD45" s="76"/>
      <c r="KGE45" s="76"/>
      <c r="KGF45" s="76"/>
      <c r="KGG45" s="76"/>
      <c r="KGH45" s="76"/>
      <c r="KGI45" s="76"/>
      <c r="KGJ45" s="76"/>
      <c r="KGK45" s="76"/>
      <c r="KGL45" s="76"/>
      <c r="KGM45" s="76"/>
      <c r="KGN45" s="76"/>
      <c r="KGO45" s="76"/>
      <c r="KGP45" s="76"/>
      <c r="KGQ45" s="76"/>
      <c r="KGR45" s="76"/>
      <c r="KGS45" s="76"/>
      <c r="KGT45" s="76"/>
      <c r="KGU45" s="76"/>
      <c r="KGV45" s="76"/>
      <c r="KGW45" s="76"/>
      <c r="KGX45" s="76"/>
      <c r="KGY45" s="76"/>
      <c r="KGZ45" s="76"/>
      <c r="KHA45" s="76"/>
      <c r="KHB45" s="76"/>
      <c r="KHC45" s="76"/>
      <c r="KHD45" s="76"/>
      <c r="KHE45" s="76"/>
      <c r="KHF45" s="76"/>
      <c r="KHG45" s="76"/>
      <c r="KHH45" s="76"/>
      <c r="KHI45" s="76"/>
      <c r="KHJ45" s="76"/>
      <c r="KHK45" s="76"/>
      <c r="KHL45" s="76"/>
      <c r="KHM45" s="76"/>
      <c r="KHN45" s="76"/>
      <c r="KHO45" s="76"/>
      <c r="KHP45" s="76"/>
      <c r="KHQ45" s="76"/>
      <c r="KHR45" s="76"/>
      <c r="KHS45" s="76"/>
      <c r="KHT45" s="76"/>
      <c r="KHU45" s="76"/>
      <c r="KHV45" s="76"/>
      <c r="KHW45" s="76"/>
      <c r="KHX45" s="76"/>
      <c r="KHY45" s="76"/>
      <c r="KHZ45" s="76"/>
      <c r="KIA45" s="76"/>
      <c r="KIB45" s="76"/>
      <c r="KIC45" s="76"/>
      <c r="KID45" s="76"/>
      <c r="KIE45" s="76"/>
      <c r="KIF45" s="76"/>
      <c r="KIG45" s="76"/>
      <c r="KIH45" s="76"/>
      <c r="KII45" s="76"/>
      <c r="KIJ45" s="76"/>
      <c r="KIK45" s="76"/>
      <c r="KIL45" s="76"/>
      <c r="KIM45" s="76"/>
      <c r="KIN45" s="76"/>
      <c r="KIO45" s="76"/>
      <c r="KIP45" s="76"/>
      <c r="KIQ45" s="76"/>
      <c r="KIR45" s="76"/>
      <c r="KIS45" s="76"/>
      <c r="KIT45" s="76"/>
      <c r="KIU45" s="76"/>
      <c r="KIV45" s="76"/>
      <c r="KIW45" s="76"/>
      <c r="KIX45" s="76"/>
      <c r="KIY45" s="76"/>
      <c r="KIZ45" s="76"/>
      <c r="KJA45" s="76"/>
      <c r="KJB45" s="76"/>
      <c r="KJC45" s="76"/>
      <c r="KJD45" s="76"/>
      <c r="KJE45" s="76"/>
      <c r="KJF45" s="76"/>
      <c r="KJG45" s="76"/>
      <c r="KJH45" s="76"/>
      <c r="KJI45" s="76"/>
      <c r="KJJ45" s="76"/>
      <c r="KJK45" s="76"/>
      <c r="KJL45" s="76"/>
      <c r="KJM45" s="76"/>
      <c r="KJN45" s="76"/>
      <c r="KJO45" s="76"/>
      <c r="KJP45" s="76"/>
      <c r="KJQ45" s="76"/>
      <c r="KJR45" s="76"/>
      <c r="KJS45" s="76"/>
      <c r="KJT45" s="76"/>
      <c r="KJU45" s="76"/>
      <c r="KJV45" s="76"/>
      <c r="KJW45" s="76"/>
      <c r="KJX45" s="76"/>
      <c r="KJY45" s="76"/>
      <c r="KJZ45" s="76"/>
      <c r="KKA45" s="76"/>
      <c r="KKB45" s="76"/>
      <c r="KKC45" s="76"/>
      <c r="KKD45" s="76"/>
      <c r="KKE45" s="76"/>
      <c r="KKF45" s="76"/>
      <c r="KKG45" s="76"/>
      <c r="KKH45" s="76"/>
      <c r="KKI45" s="76"/>
      <c r="KKJ45" s="76"/>
      <c r="KKK45" s="76"/>
      <c r="KKL45" s="76"/>
      <c r="KKM45" s="76"/>
      <c r="KKN45" s="76"/>
      <c r="KKO45" s="76"/>
      <c r="KKP45" s="76"/>
      <c r="KKQ45" s="76"/>
      <c r="KKR45" s="76"/>
      <c r="KKS45" s="76"/>
      <c r="KKT45" s="76"/>
      <c r="KKU45" s="76"/>
      <c r="KKV45" s="76"/>
      <c r="KKW45" s="76"/>
      <c r="KKX45" s="76"/>
      <c r="KKY45" s="76"/>
      <c r="KKZ45" s="76"/>
      <c r="KLA45" s="76"/>
      <c r="KLB45" s="76"/>
      <c r="KLC45" s="76"/>
      <c r="KLD45" s="76"/>
      <c r="KLE45" s="76"/>
      <c r="KLF45" s="76"/>
      <c r="KLG45" s="76"/>
      <c r="KLH45" s="76"/>
      <c r="KLI45" s="76"/>
      <c r="KLJ45" s="76"/>
      <c r="KLK45" s="76"/>
      <c r="KLL45" s="76"/>
      <c r="KLM45" s="76"/>
      <c r="KLN45" s="76"/>
      <c r="KLO45" s="76"/>
      <c r="KLP45" s="76"/>
      <c r="KLQ45" s="76"/>
      <c r="KLR45" s="76"/>
      <c r="KLS45" s="76"/>
      <c r="KLT45" s="76"/>
      <c r="KLU45" s="76"/>
      <c r="KLV45" s="76"/>
      <c r="KLW45" s="76"/>
      <c r="KLX45" s="76"/>
      <c r="KLY45" s="76"/>
      <c r="KLZ45" s="76"/>
      <c r="KMA45" s="76"/>
      <c r="KMB45" s="76"/>
      <c r="KMC45" s="76"/>
      <c r="KMD45" s="76"/>
      <c r="KME45" s="76"/>
      <c r="KMF45" s="76"/>
      <c r="KMG45" s="76"/>
      <c r="KMH45" s="76"/>
      <c r="KMI45" s="76"/>
      <c r="KMJ45" s="76"/>
      <c r="KMK45" s="76"/>
      <c r="KML45" s="76"/>
      <c r="KMM45" s="76"/>
      <c r="KMN45" s="76"/>
      <c r="KMO45" s="76"/>
      <c r="KMP45" s="76"/>
      <c r="KMQ45" s="76"/>
      <c r="KMR45" s="76"/>
      <c r="KMS45" s="76"/>
      <c r="KMT45" s="76"/>
      <c r="KMU45" s="76"/>
      <c r="KMV45" s="76"/>
      <c r="KMW45" s="76"/>
      <c r="KMX45" s="76"/>
      <c r="KMY45" s="76"/>
      <c r="KMZ45" s="76"/>
      <c r="KNA45" s="76"/>
      <c r="KNB45" s="76"/>
      <c r="KNC45" s="76"/>
      <c r="KND45" s="76"/>
      <c r="KNE45" s="76"/>
      <c r="KNF45" s="76"/>
      <c r="KNG45" s="76"/>
      <c r="KNH45" s="76"/>
      <c r="KNI45" s="76"/>
      <c r="KNJ45" s="76"/>
      <c r="KNK45" s="76"/>
      <c r="KNL45" s="76"/>
      <c r="KNM45" s="76"/>
      <c r="KNN45" s="76"/>
      <c r="KNO45" s="76"/>
      <c r="KNP45" s="76"/>
      <c r="KNQ45" s="76"/>
      <c r="KNR45" s="76"/>
      <c r="KNS45" s="76"/>
      <c r="KNT45" s="76"/>
      <c r="KNU45" s="76"/>
      <c r="KNV45" s="76"/>
      <c r="KNW45" s="76"/>
      <c r="KNX45" s="76"/>
      <c r="KNY45" s="76"/>
      <c r="KNZ45" s="76"/>
      <c r="KOA45" s="76"/>
      <c r="KOB45" s="76"/>
      <c r="KOC45" s="76"/>
      <c r="KOD45" s="76"/>
      <c r="KOE45" s="76"/>
      <c r="KOF45" s="76"/>
      <c r="KOG45" s="76"/>
      <c r="KOH45" s="76"/>
      <c r="KOI45" s="76"/>
      <c r="KOJ45" s="76"/>
      <c r="KOK45" s="76"/>
      <c r="KOL45" s="76"/>
      <c r="KOM45" s="76"/>
      <c r="KON45" s="76"/>
      <c r="KOO45" s="76"/>
      <c r="KOP45" s="76"/>
      <c r="KOQ45" s="76"/>
      <c r="KOR45" s="76"/>
      <c r="KOS45" s="76"/>
      <c r="KOT45" s="76"/>
      <c r="KOU45" s="76"/>
      <c r="KOV45" s="76"/>
      <c r="KOW45" s="76"/>
      <c r="KOX45" s="76"/>
      <c r="KOY45" s="76"/>
      <c r="KOZ45" s="76"/>
      <c r="KPA45" s="76"/>
      <c r="KPB45" s="76"/>
      <c r="KPC45" s="76"/>
      <c r="KPD45" s="76"/>
      <c r="KPE45" s="76"/>
      <c r="KPF45" s="76"/>
      <c r="KPG45" s="76"/>
      <c r="KPH45" s="76"/>
      <c r="KPI45" s="76"/>
      <c r="KPJ45" s="76"/>
      <c r="KPK45" s="76"/>
      <c r="KPL45" s="76"/>
      <c r="KPM45" s="76"/>
      <c r="KPN45" s="76"/>
      <c r="KPO45" s="76"/>
      <c r="KPP45" s="76"/>
      <c r="KPQ45" s="76"/>
      <c r="KPR45" s="76"/>
      <c r="KPS45" s="76"/>
      <c r="KPT45" s="76"/>
      <c r="KPU45" s="76"/>
      <c r="KPV45" s="76"/>
      <c r="KPW45" s="76"/>
      <c r="KPX45" s="76"/>
      <c r="KPY45" s="76"/>
      <c r="KPZ45" s="76"/>
      <c r="KQA45" s="76"/>
      <c r="KQB45" s="76"/>
      <c r="KQC45" s="76"/>
      <c r="KQD45" s="76"/>
      <c r="KQE45" s="76"/>
      <c r="KQF45" s="76"/>
      <c r="KQG45" s="76"/>
      <c r="KQH45" s="76"/>
      <c r="KQI45" s="76"/>
      <c r="KQJ45" s="76"/>
      <c r="KQK45" s="76"/>
      <c r="KQL45" s="76"/>
      <c r="KQM45" s="76"/>
      <c r="KQN45" s="76"/>
      <c r="KQO45" s="76"/>
      <c r="KQP45" s="76"/>
      <c r="KQQ45" s="76"/>
      <c r="KQR45" s="76"/>
      <c r="KQS45" s="76"/>
      <c r="KQT45" s="76"/>
      <c r="KQU45" s="76"/>
      <c r="KQV45" s="76"/>
      <c r="KQW45" s="76"/>
      <c r="KQX45" s="76"/>
      <c r="KQY45" s="76"/>
      <c r="KQZ45" s="76"/>
      <c r="KRA45" s="76"/>
      <c r="KRB45" s="76"/>
      <c r="KRC45" s="76"/>
      <c r="KRD45" s="76"/>
      <c r="KRE45" s="76"/>
      <c r="KRF45" s="76"/>
      <c r="KRG45" s="76"/>
      <c r="KRH45" s="76"/>
      <c r="KRI45" s="76"/>
      <c r="KRJ45" s="76"/>
      <c r="KRK45" s="76"/>
      <c r="KRL45" s="76"/>
      <c r="KRM45" s="76"/>
      <c r="KRN45" s="76"/>
      <c r="KRO45" s="76"/>
      <c r="KRP45" s="76"/>
      <c r="KRQ45" s="76"/>
      <c r="KRR45" s="76"/>
      <c r="KRS45" s="76"/>
      <c r="KRT45" s="76"/>
      <c r="KRU45" s="76"/>
      <c r="KRV45" s="76"/>
      <c r="KRW45" s="76"/>
      <c r="KRX45" s="76"/>
      <c r="KRY45" s="76"/>
      <c r="KRZ45" s="76"/>
      <c r="KSA45" s="76"/>
      <c r="KSB45" s="76"/>
      <c r="KSC45" s="76"/>
      <c r="KSD45" s="76"/>
      <c r="KSE45" s="76"/>
      <c r="KSF45" s="76"/>
      <c r="KSG45" s="76"/>
      <c r="KSH45" s="76"/>
      <c r="KSI45" s="76"/>
      <c r="KSJ45" s="76"/>
      <c r="KSK45" s="76"/>
      <c r="KSL45" s="76"/>
      <c r="KSM45" s="76"/>
      <c r="KSN45" s="76"/>
      <c r="KSO45" s="76"/>
      <c r="KSP45" s="76"/>
      <c r="KSQ45" s="76"/>
      <c r="KSR45" s="76"/>
      <c r="KSS45" s="76"/>
      <c r="KST45" s="76"/>
      <c r="KSU45" s="76"/>
      <c r="KSV45" s="76"/>
      <c r="KSW45" s="76"/>
      <c r="KSX45" s="76"/>
      <c r="KSY45" s="76"/>
      <c r="KSZ45" s="76"/>
      <c r="KTA45" s="76"/>
      <c r="KTB45" s="76"/>
      <c r="KTC45" s="76"/>
      <c r="KTD45" s="76"/>
      <c r="KTE45" s="76"/>
      <c r="KTF45" s="76"/>
      <c r="KTG45" s="76"/>
      <c r="KTH45" s="76"/>
      <c r="KTI45" s="76"/>
      <c r="KTJ45" s="76"/>
      <c r="KTK45" s="76"/>
      <c r="KTL45" s="76"/>
      <c r="KTM45" s="76"/>
      <c r="KTN45" s="76"/>
      <c r="KTO45" s="76"/>
      <c r="KTP45" s="76"/>
      <c r="KTQ45" s="76"/>
      <c r="KTR45" s="76"/>
      <c r="KTS45" s="76"/>
      <c r="KTT45" s="76"/>
      <c r="KTU45" s="76"/>
      <c r="KTV45" s="76"/>
      <c r="KTW45" s="76"/>
      <c r="KTX45" s="76"/>
      <c r="KTY45" s="76"/>
      <c r="KTZ45" s="76"/>
      <c r="KUA45" s="76"/>
      <c r="KUB45" s="76"/>
      <c r="KUC45" s="76"/>
      <c r="KUD45" s="76"/>
      <c r="KUE45" s="76"/>
      <c r="KUF45" s="76"/>
      <c r="KUG45" s="76"/>
      <c r="KUH45" s="76"/>
      <c r="KUI45" s="76"/>
      <c r="KUJ45" s="76"/>
      <c r="KUK45" s="76"/>
      <c r="KUL45" s="76"/>
      <c r="KUM45" s="76"/>
      <c r="KUN45" s="76"/>
      <c r="KUO45" s="76"/>
      <c r="KUP45" s="76"/>
      <c r="KUQ45" s="76"/>
      <c r="KUR45" s="76"/>
      <c r="KUS45" s="76"/>
      <c r="KUT45" s="76"/>
      <c r="KUU45" s="76"/>
      <c r="KUV45" s="76"/>
      <c r="KUW45" s="76"/>
      <c r="KUX45" s="76"/>
      <c r="KUY45" s="76"/>
      <c r="KUZ45" s="76"/>
      <c r="KVA45" s="76"/>
      <c r="KVB45" s="76"/>
      <c r="KVC45" s="76"/>
      <c r="KVD45" s="76"/>
      <c r="KVE45" s="76"/>
      <c r="KVF45" s="76"/>
      <c r="KVG45" s="76"/>
      <c r="KVH45" s="76"/>
      <c r="KVI45" s="76"/>
      <c r="KVJ45" s="76"/>
      <c r="KVK45" s="76"/>
      <c r="KVL45" s="76"/>
      <c r="KVM45" s="76"/>
      <c r="KVN45" s="76"/>
      <c r="KVO45" s="76"/>
      <c r="KVP45" s="76"/>
      <c r="KVQ45" s="76"/>
      <c r="KVR45" s="76"/>
      <c r="KVS45" s="76"/>
      <c r="KVT45" s="76"/>
      <c r="KVU45" s="76"/>
      <c r="KVV45" s="76"/>
      <c r="KVW45" s="76"/>
      <c r="KVX45" s="76"/>
      <c r="KVY45" s="76"/>
      <c r="KVZ45" s="76"/>
      <c r="KWA45" s="76"/>
      <c r="KWB45" s="76"/>
      <c r="KWC45" s="76"/>
      <c r="KWD45" s="76"/>
      <c r="KWE45" s="76"/>
      <c r="KWF45" s="76"/>
      <c r="KWG45" s="76"/>
      <c r="KWH45" s="76"/>
      <c r="KWI45" s="76"/>
      <c r="KWJ45" s="76"/>
      <c r="KWK45" s="76"/>
      <c r="KWL45" s="76"/>
      <c r="KWM45" s="76"/>
      <c r="KWN45" s="76"/>
      <c r="KWO45" s="76"/>
      <c r="KWP45" s="76"/>
      <c r="KWQ45" s="76"/>
      <c r="KWR45" s="76"/>
      <c r="KWS45" s="76"/>
      <c r="KWT45" s="76"/>
      <c r="KWU45" s="76"/>
      <c r="KWV45" s="76"/>
      <c r="KWW45" s="76"/>
      <c r="KWX45" s="76"/>
      <c r="KWY45" s="76"/>
      <c r="KWZ45" s="76"/>
      <c r="KXA45" s="76"/>
      <c r="KXB45" s="76"/>
      <c r="KXC45" s="76"/>
      <c r="KXD45" s="76"/>
      <c r="KXE45" s="76"/>
      <c r="KXF45" s="76"/>
      <c r="KXG45" s="76"/>
      <c r="KXH45" s="76"/>
      <c r="KXI45" s="76"/>
      <c r="KXJ45" s="76"/>
      <c r="KXK45" s="76"/>
      <c r="KXL45" s="76"/>
      <c r="KXM45" s="76"/>
      <c r="KXN45" s="76"/>
      <c r="KXO45" s="76"/>
      <c r="KXP45" s="76"/>
      <c r="KXQ45" s="76"/>
      <c r="KXR45" s="76"/>
      <c r="KXS45" s="76"/>
      <c r="KXT45" s="76"/>
      <c r="KXU45" s="76"/>
      <c r="KXV45" s="76"/>
      <c r="KXW45" s="76"/>
      <c r="KXX45" s="76"/>
      <c r="KXY45" s="76"/>
      <c r="KXZ45" s="76"/>
      <c r="KYA45" s="76"/>
      <c r="KYB45" s="76"/>
      <c r="KYC45" s="76"/>
      <c r="KYD45" s="76"/>
      <c r="KYE45" s="76"/>
      <c r="KYF45" s="76"/>
      <c r="KYG45" s="76"/>
      <c r="KYH45" s="76"/>
      <c r="KYI45" s="76"/>
      <c r="KYJ45" s="76"/>
      <c r="KYK45" s="76"/>
      <c r="KYL45" s="76"/>
      <c r="KYM45" s="76"/>
      <c r="KYN45" s="76"/>
      <c r="KYO45" s="76"/>
      <c r="KYP45" s="76"/>
      <c r="KYQ45" s="76"/>
      <c r="KYR45" s="76"/>
      <c r="KYS45" s="76"/>
      <c r="KYT45" s="76"/>
      <c r="KYU45" s="76"/>
      <c r="KYV45" s="76"/>
      <c r="KYW45" s="76"/>
      <c r="KYX45" s="76"/>
      <c r="KYY45" s="76"/>
      <c r="KYZ45" s="76"/>
      <c r="KZA45" s="76"/>
      <c r="KZB45" s="76"/>
      <c r="KZC45" s="76"/>
      <c r="KZD45" s="76"/>
      <c r="KZE45" s="76"/>
      <c r="KZF45" s="76"/>
      <c r="KZG45" s="76"/>
      <c r="KZH45" s="76"/>
      <c r="KZI45" s="76"/>
      <c r="KZJ45" s="76"/>
      <c r="KZK45" s="76"/>
      <c r="KZL45" s="76"/>
      <c r="KZM45" s="76"/>
      <c r="KZN45" s="76"/>
      <c r="KZO45" s="76"/>
      <c r="KZP45" s="76"/>
      <c r="KZQ45" s="76"/>
      <c r="KZR45" s="76"/>
      <c r="KZS45" s="76"/>
      <c r="KZT45" s="76"/>
      <c r="KZU45" s="76"/>
      <c r="KZV45" s="76"/>
      <c r="KZW45" s="76"/>
      <c r="KZX45" s="76"/>
      <c r="KZY45" s="76"/>
      <c r="KZZ45" s="76"/>
      <c r="LAA45" s="76"/>
      <c r="LAB45" s="76"/>
      <c r="LAC45" s="76"/>
      <c r="LAD45" s="76"/>
      <c r="LAE45" s="76"/>
      <c r="LAF45" s="76"/>
      <c r="LAG45" s="76"/>
      <c r="LAH45" s="76"/>
      <c r="LAI45" s="76"/>
      <c r="LAJ45" s="76"/>
      <c r="LAK45" s="76"/>
      <c r="LAL45" s="76"/>
      <c r="LAM45" s="76"/>
      <c r="LAN45" s="76"/>
      <c r="LAO45" s="76"/>
      <c r="LAP45" s="76"/>
      <c r="LAQ45" s="76"/>
      <c r="LAR45" s="76"/>
      <c r="LAS45" s="76"/>
      <c r="LAT45" s="76"/>
      <c r="LAU45" s="76"/>
      <c r="LAV45" s="76"/>
      <c r="LAW45" s="76"/>
      <c r="LAX45" s="76"/>
      <c r="LAY45" s="76"/>
      <c r="LAZ45" s="76"/>
      <c r="LBA45" s="76"/>
      <c r="LBB45" s="76"/>
      <c r="LBC45" s="76"/>
      <c r="LBD45" s="76"/>
      <c r="LBE45" s="76"/>
      <c r="LBF45" s="76"/>
      <c r="LBG45" s="76"/>
      <c r="LBH45" s="76"/>
      <c r="LBI45" s="76"/>
      <c r="LBJ45" s="76"/>
      <c r="LBK45" s="76"/>
      <c r="LBL45" s="76"/>
      <c r="LBM45" s="76"/>
      <c r="LBN45" s="76"/>
      <c r="LBO45" s="76"/>
      <c r="LBP45" s="76"/>
      <c r="LBQ45" s="76"/>
      <c r="LBR45" s="76"/>
      <c r="LBS45" s="76"/>
      <c r="LBT45" s="76"/>
      <c r="LBU45" s="76"/>
      <c r="LBV45" s="76"/>
      <c r="LBW45" s="76"/>
      <c r="LBX45" s="76"/>
      <c r="LBY45" s="76"/>
      <c r="LBZ45" s="76"/>
      <c r="LCA45" s="76"/>
      <c r="LCB45" s="76"/>
      <c r="LCC45" s="76"/>
      <c r="LCD45" s="76"/>
      <c r="LCE45" s="76"/>
      <c r="LCF45" s="76"/>
      <c r="LCG45" s="76"/>
      <c r="LCH45" s="76"/>
      <c r="LCI45" s="76"/>
      <c r="LCJ45" s="76"/>
      <c r="LCK45" s="76"/>
      <c r="LCL45" s="76"/>
      <c r="LCM45" s="76"/>
      <c r="LCN45" s="76"/>
      <c r="LCO45" s="76"/>
      <c r="LCP45" s="76"/>
      <c r="LCQ45" s="76"/>
      <c r="LCR45" s="76"/>
      <c r="LCS45" s="76"/>
      <c r="LCT45" s="76"/>
      <c r="LCU45" s="76"/>
      <c r="LCV45" s="76"/>
      <c r="LCW45" s="76"/>
      <c r="LCX45" s="76"/>
      <c r="LCY45" s="76"/>
      <c r="LCZ45" s="76"/>
      <c r="LDA45" s="76"/>
      <c r="LDB45" s="76"/>
      <c r="LDC45" s="76"/>
      <c r="LDD45" s="76"/>
      <c r="LDE45" s="76"/>
      <c r="LDF45" s="76"/>
      <c r="LDG45" s="76"/>
      <c r="LDH45" s="76"/>
      <c r="LDI45" s="76"/>
      <c r="LDJ45" s="76"/>
      <c r="LDK45" s="76"/>
      <c r="LDL45" s="76"/>
      <c r="LDM45" s="76"/>
      <c r="LDN45" s="76"/>
      <c r="LDO45" s="76"/>
      <c r="LDP45" s="76"/>
      <c r="LDQ45" s="76"/>
      <c r="LDR45" s="76"/>
      <c r="LDS45" s="76"/>
      <c r="LDT45" s="76"/>
      <c r="LDU45" s="76"/>
      <c r="LDV45" s="76"/>
      <c r="LDW45" s="76"/>
      <c r="LDX45" s="76"/>
      <c r="LDY45" s="76"/>
      <c r="LDZ45" s="76"/>
      <c r="LEA45" s="76"/>
      <c r="LEB45" s="76"/>
      <c r="LEC45" s="76"/>
      <c r="LED45" s="76"/>
      <c r="LEE45" s="76"/>
      <c r="LEF45" s="76"/>
      <c r="LEG45" s="76"/>
      <c r="LEH45" s="76"/>
      <c r="LEI45" s="76"/>
      <c r="LEJ45" s="76"/>
      <c r="LEK45" s="76"/>
      <c r="LEL45" s="76"/>
      <c r="LEM45" s="76"/>
      <c r="LEN45" s="76"/>
      <c r="LEO45" s="76"/>
      <c r="LEP45" s="76"/>
      <c r="LEQ45" s="76"/>
      <c r="LER45" s="76"/>
      <c r="LES45" s="76"/>
      <c r="LET45" s="76"/>
      <c r="LEU45" s="76"/>
      <c r="LEV45" s="76"/>
      <c r="LEW45" s="76"/>
      <c r="LEX45" s="76"/>
      <c r="LEY45" s="76"/>
      <c r="LEZ45" s="76"/>
      <c r="LFA45" s="76"/>
      <c r="LFB45" s="76"/>
      <c r="LFC45" s="76"/>
      <c r="LFD45" s="76"/>
      <c r="LFE45" s="76"/>
      <c r="LFF45" s="76"/>
      <c r="LFG45" s="76"/>
      <c r="LFH45" s="76"/>
      <c r="LFI45" s="76"/>
      <c r="LFJ45" s="76"/>
      <c r="LFK45" s="76"/>
      <c r="LFL45" s="76"/>
      <c r="LFM45" s="76"/>
      <c r="LFN45" s="76"/>
      <c r="LFO45" s="76"/>
      <c r="LFP45" s="76"/>
      <c r="LFQ45" s="76"/>
      <c r="LFR45" s="76"/>
      <c r="LFS45" s="76"/>
      <c r="LFT45" s="76"/>
      <c r="LFU45" s="76"/>
      <c r="LFV45" s="76"/>
      <c r="LFW45" s="76"/>
      <c r="LFX45" s="76"/>
      <c r="LFY45" s="76"/>
      <c r="LFZ45" s="76"/>
      <c r="LGA45" s="76"/>
      <c r="LGB45" s="76"/>
      <c r="LGC45" s="76"/>
      <c r="LGD45" s="76"/>
      <c r="LGE45" s="76"/>
      <c r="LGF45" s="76"/>
      <c r="LGG45" s="76"/>
      <c r="LGH45" s="76"/>
      <c r="LGI45" s="76"/>
      <c r="LGJ45" s="76"/>
      <c r="LGK45" s="76"/>
      <c r="LGL45" s="76"/>
      <c r="LGM45" s="76"/>
      <c r="LGN45" s="76"/>
      <c r="LGO45" s="76"/>
      <c r="LGP45" s="76"/>
      <c r="LGQ45" s="76"/>
      <c r="LGR45" s="76"/>
      <c r="LGS45" s="76"/>
      <c r="LGT45" s="76"/>
      <c r="LGU45" s="76"/>
      <c r="LGV45" s="76"/>
      <c r="LGW45" s="76"/>
      <c r="LGX45" s="76"/>
      <c r="LGY45" s="76"/>
      <c r="LGZ45" s="76"/>
      <c r="LHA45" s="76"/>
      <c r="LHB45" s="76"/>
      <c r="LHC45" s="76"/>
      <c r="LHD45" s="76"/>
      <c r="LHE45" s="76"/>
      <c r="LHF45" s="76"/>
      <c r="LHG45" s="76"/>
      <c r="LHH45" s="76"/>
      <c r="LHI45" s="76"/>
      <c r="LHJ45" s="76"/>
      <c r="LHK45" s="76"/>
      <c r="LHL45" s="76"/>
      <c r="LHM45" s="76"/>
      <c r="LHN45" s="76"/>
      <c r="LHO45" s="76"/>
      <c r="LHP45" s="76"/>
      <c r="LHQ45" s="76"/>
      <c r="LHR45" s="76"/>
      <c r="LHS45" s="76"/>
      <c r="LHT45" s="76"/>
      <c r="LHU45" s="76"/>
      <c r="LHV45" s="76"/>
      <c r="LHW45" s="76"/>
      <c r="LHX45" s="76"/>
      <c r="LHY45" s="76"/>
      <c r="LHZ45" s="76"/>
      <c r="LIA45" s="76"/>
      <c r="LIB45" s="76"/>
      <c r="LIC45" s="76"/>
      <c r="LID45" s="76"/>
      <c r="LIE45" s="76"/>
      <c r="LIF45" s="76"/>
      <c r="LIG45" s="76"/>
      <c r="LIH45" s="76"/>
      <c r="LII45" s="76"/>
      <c r="LIJ45" s="76"/>
      <c r="LIK45" s="76"/>
      <c r="LIL45" s="76"/>
      <c r="LIM45" s="76"/>
      <c r="LIN45" s="76"/>
      <c r="LIO45" s="76"/>
      <c r="LIP45" s="76"/>
      <c r="LIQ45" s="76"/>
      <c r="LIR45" s="76"/>
      <c r="LIS45" s="76"/>
      <c r="LIT45" s="76"/>
      <c r="LIU45" s="76"/>
      <c r="LIV45" s="76"/>
      <c r="LIW45" s="76"/>
      <c r="LIX45" s="76"/>
      <c r="LIY45" s="76"/>
      <c r="LIZ45" s="76"/>
      <c r="LJA45" s="76"/>
      <c r="LJB45" s="76"/>
      <c r="LJC45" s="76"/>
      <c r="LJD45" s="76"/>
      <c r="LJE45" s="76"/>
      <c r="LJF45" s="76"/>
      <c r="LJG45" s="76"/>
      <c r="LJH45" s="76"/>
      <c r="LJI45" s="76"/>
      <c r="LJJ45" s="76"/>
      <c r="LJK45" s="76"/>
      <c r="LJL45" s="76"/>
      <c r="LJM45" s="76"/>
      <c r="LJN45" s="76"/>
      <c r="LJO45" s="76"/>
      <c r="LJP45" s="76"/>
      <c r="LJQ45" s="76"/>
      <c r="LJR45" s="76"/>
      <c r="LJS45" s="76"/>
      <c r="LJT45" s="76"/>
      <c r="LJU45" s="76"/>
      <c r="LJV45" s="76"/>
      <c r="LJW45" s="76"/>
      <c r="LJX45" s="76"/>
      <c r="LJY45" s="76"/>
      <c r="LJZ45" s="76"/>
      <c r="LKA45" s="76"/>
      <c r="LKB45" s="76"/>
      <c r="LKC45" s="76"/>
      <c r="LKD45" s="76"/>
      <c r="LKE45" s="76"/>
      <c r="LKF45" s="76"/>
      <c r="LKG45" s="76"/>
      <c r="LKH45" s="76"/>
      <c r="LKI45" s="76"/>
      <c r="LKJ45" s="76"/>
      <c r="LKK45" s="76"/>
      <c r="LKL45" s="76"/>
      <c r="LKM45" s="76"/>
      <c r="LKN45" s="76"/>
      <c r="LKO45" s="76"/>
      <c r="LKP45" s="76"/>
      <c r="LKQ45" s="76"/>
      <c r="LKR45" s="76"/>
      <c r="LKS45" s="76"/>
      <c r="LKT45" s="76"/>
      <c r="LKU45" s="76"/>
      <c r="LKV45" s="76"/>
      <c r="LKW45" s="76"/>
      <c r="LKX45" s="76"/>
      <c r="LKY45" s="76"/>
      <c r="LKZ45" s="76"/>
      <c r="LLA45" s="76"/>
      <c r="LLB45" s="76"/>
      <c r="LLC45" s="76"/>
      <c r="LLD45" s="76"/>
      <c r="LLE45" s="76"/>
      <c r="LLF45" s="76"/>
      <c r="LLG45" s="76"/>
      <c r="LLH45" s="76"/>
      <c r="LLI45" s="76"/>
      <c r="LLJ45" s="76"/>
      <c r="LLK45" s="76"/>
      <c r="LLL45" s="76"/>
      <c r="LLM45" s="76"/>
      <c r="LLN45" s="76"/>
      <c r="LLO45" s="76"/>
      <c r="LLP45" s="76"/>
      <c r="LLQ45" s="76"/>
      <c r="LLR45" s="76"/>
      <c r="LLS45" s="76"/>
      <c r="LLT45" s="76"/>
      <c r="LLU45" s="76"/>
      <c r="LLV45" s="76"/>
      <c r="LLW45" s="76"/>
      <c r="LLX45" s="76"/>
      <c r="LLY45" s="76"/>
      <c r="LLZ45" s="76"/>
      <c r="LMA45" s="76"/>
      <c r="LMB45" s="76"/>
      <c r="LMC45" s="76"/>
      <c r="LMD45" s="76"/>
      <c r="LME45" s="76"/>
      <c r="LMF45" s="76"/>
      <c r="LMG45" s="76"/>
      <c r="LMH45" s="76"/>
      <c r="LMI45" s="76"/>
      <c r="LMJ45" s="76"/>
      <c r="LMK45" s="76"/>
      <c r="LML45" s="76"/>
      <c r="LMM45" s="76"/>
      <c r="LMN45" s="76"/>
      <c r="LMO45" s="76"/>
      <c r="LMP45" s="76"/>
      <c r="LMQ45" s="76"/>
      <c r="LMR45" s="76"/>
      <c r="LMS45" s="76"/>
      <c r="LMT45" s="76"/>
      <c r="LMU45" s="76"/>
      <c r="LMV45" s="76"/>
      <c r="LMW45" s="76"/>
      <c r="LMX45" s="76"/>
      <c r="LMY45" s="76"/>
      <c r="LMZ45" s="76"/>
      <c r="LNA45" s="76"/>
      <c r="LNB45" s="76"/>
      <c r="LNC45" s="76"/>
      <c r="LND45" s="76"/>
      <c r="LNE45" s="76"/>
      <c r="LNF45" s="76"/>
      <c r="LNG45" s="76"/>
      <c r="LNH45" s="76"/>
      <c r="LNI45" s="76"/>
      <c r="LNJ45" s="76"/>
      <c r="LNK45" s="76"/>
      <c r="LNL45" s="76"/>
      <c r="LNM45" s="76"/>
      <c r="LNN45" s="76"/>
      <c r="LNO45" s="76"/>
      <c r="LNP45" s="76"/>
      <c r="LNQ45" s="76"/>
      <c r="LNR45" s="76"/>
      <c r="LNS45" s="76"/>
      <c r="LNT45" s="76"/>
      <c r="LNU45" s="76"/>
      <c r="LNV45" s="76"/>
      <c r="LNW45" s="76"/>
      <c r="LNX45" s="76"/>
      <c r="LNY45" s="76"/>
      <c r="LNZ45" s="76"/>
      <c r="LOA45" s="76"/>
      <c r="LOB45" s="76"/>
      <c r="LOC45" s="76"/>
      <c r="LOD45" s="76"/>
      <c r="LOE45" s="76"/>
      <c r="LOF45" s="76"/>
      <c r="LOG45" s="76"/>
      <c r="LOH45" s="76"/>
      <c r="LOI45" s="76"/>
      <c r="LOJ45" s="76"/>
      <c r="LOK45" s="76"/>
      <c r="LOL45" s="76"/>
      <c r="LOM45" s="76"/>
      <c r="LON45" s="76"/>
      <c r="LOO45" s="76"/>
      <c r="LOP45" s="76"/>
      <c r="LOQ45" s="76"/>
      <c r="LOR45" s="76"/>
      <c r="LOS45" s="76"/>
      <c r="LOT45" s="76"/>
      <c r="LOU45" s="76"/>
      <c r="LOV45" s="76"/>
      <c r="LOW45" s="76"/>
      <c r="LOX45" s="76"/>
      <c r="LOY45" s="76"/>
      <c r="LOZ45" s="76"/>
      <c r="LPA45" s="76"/>
      <c r="LPB45" s="76"/>
      <c r="LPC45" s="76"/>
      <c r="LPD45" s="76"/>
      <c r="LPE45" s="76"/>
      <c r="LPF45" s="76"/>
      <c r="LPG45" s="76"/>
      <c r="LPH45" s="76"/>
      <c r="LPI45" s="76"/>
      <c r="LPJ45" s="76"/>
      <c r="LPK45" s="76"/>
      <c r="LPL45" s="76"/>
      <c r="LPM45" s="76"/>
      <c r="LPN45" s="76"/>
      <c r="LPO45" s="76"/>
      <c r="LPP45" s="76"/>
      <c r="LPQ45" s="76"/>
      <c r="LPR45" s="76"/>
      <c r="LPS45" s="76"/>
      <c r="LPT45" s="76"/>
      <c r="LPU45" s="76"/>
      <c r="LPV45" s="76"/>
      <c r="LPW45" s="76"/>
      <c r="LPX45" s="76"/>
      <c r="LPY45" s="76"/>
      <c r="LPZ45" s="76"/>
      <c r="LQA45" s="76"/>
      <c r="LQB45" s="76"/>
      <c r="LQC45" s="76"/>
      <c r="LQD45" s="76"/>
      <c r="LQE45" s="76"/>
      <c r="LQF45" s="76"/>
      <c r="LQG45" s="76"/>
      <c r="LQH45" s="76"/>
      <c r="LQI45" s="76"/>
      <c r="LQJ45" s="76"/>
      <c r="LQK45" s="76"/>
      <c r="LQL45" s="76"/>
      <c r="LQM45" s="76"/>
      <c r="LQN45" s="76"/>
      <c r="LQO45" s="76"/>
      <c r="LQP45" s="76"/>
      <c r="LQQ45" s="76"/>
      <c r="LQR45" s="76"/>
      <c r="LQS45" s="76"/>
      <c r="LQT45" s="76"/>
      <c r="LQU45" s="76"/>
      <c r="LQV45" s="76"/>
      <c r="LQW45" s="76"/>
      <c r="LQX45" s="76"/>
      <c r="LQY45" s="76"/>
      <c r="LQZ45" s="76"/>
      <c r="LRA45" s="76"/>
      <c r="LRB45" s="76"/>
      <c r="LRC45" s="76"/>
      <c r="LRD45" s="76"/>
      <c r="LRE45" s="76"/>
      <c r="LRF45" s="76"/>
      <c r="LRG45" s="76"/>
      <c r="LRH45" s="76"/>
      <c r="LRI45" s="76"/>
      <c r="LRJ45" s="76"/>
      <c r="LRK45" s="76"/>
      <c r="LRL45" s="76"/>
      <c r="LRM45" s="76"/>
      <c r="LRN45" s="76"/>
      <c r="LRO45" s="76"/>
      <c r="LRP45" s="76"/>
      <c r="LRQ45" s="76"/>
      <c r="LRR45" s="76"/>
      <c r="LRS45" s="76"/>
      <c r="LRT45" s="76"/>
      <c r="LRU45" s="76"/>
      <c r="LRV45" s="76"/>
      <c r="LRW45" s="76"/>
      <c r="LRX45" s="76"/>
      <c r="LRY45" s="76"/>
      <c r="LRZ45" s="76"/>
      <c r="LSA45" s="76"/>
      <c r="LSB45" s="76"/>
      <c r="LSC45" s="76"/>
      <c r="LSD45" s="76"/>
      <c r="LSE45" s="76"/>
      <c r="LSF45" s="76"/>
      <c r="LSG45" s="76"/>
      <c r="LSH45" s="76"/>
      <c r="LSI45" s="76"/>
      <c r="LSJ45" s="76"/>
      <c r="LSK45" s="76"/>
      <c r="LSL45" s="76"/>
      <c r="LSM45" s="76"/>
      <c r="LSN45" s="76"/>
      <c r="LSO45" s="76"/>
      <c r="LSP45" s="76"/>
      <c r="LSQ45" s="76"/>
      <c r="LSR45" s="76"/>
      <c r="LSS45" s="76"/>
      <c r="LST45" s="76"/>
      <c r="LSU45" s="76"/>
      <c r="LSV45" s="76"/>
      <c r="LSW45" s="76"/>
      <c r="LSX45" s="76"/>
      <c r="LSY45" s="76"/>
      <c r="LSZ45" s="76"/>
      <c r="LTA45" s="76"/>
      <c r="LTB45" s="76"/>
      <c r="LTC45" s="76"/>
      <c r="LTD45" s="76"/>
      <c r="LTE45" s="76"/>
      <c r="LTF45" s="76"/>
      <c r="LTG45" s="76"/>
      <c r="LTH45" s="76"/>
      <c r="LTI45" s="76"/>
      <c r="LTJ45" s="76"/>
      <c r="LTK45" s="76"/>
      <c r="LTL45" s="76"/>
      <c r="LTM45" s="76"/>
      <c r="LTN45" s="76"/>
      <c r="LTO45" s="76"/>
      <c r="LTP45" s="76"/>
      <c r="LTQ45" s="76"/>
      <c r="LTR45" s="76"/>
      <c r="LTS45" s="76"/>
      <c r="LTT45" s="76"/>
      <c r="LTU45" s="76"/>
      <c r="LTV45" s="76"/>
      <c r="LTW45" s="76"/>
      <c r="LTX45" s="76"/>
      <c r="LTY45" s="76"/>
      <c r="LTZ45" s="76"/>
      <c r="LUA45" s="76"/>
      <c r="LUB45" s="76"/>
      <c r="LUC45" s="76"/>
      <c r="LUD45" s="76"/>
      <c r="LUE45" s="76"/>
      <c r="LUF45" s="76"/>
      <c r="LUG45" s="76"/>
      <c r="LUH45" s="76"/>
      <c r="LUI45" s="76"/>
      <c r="LUJ45" s="76"/>
      <c r="LUK45" s="76"/>
      <c r="LUL45" s="76"/>
      <c r="LUM45" s="76"/>
      <c r="LUN45" s="76"/>
      <c r="LUO45" s="76"/>
      <c r="LUP45" s="76"/>
      <c r="LUQ45" s="76"/>
      <c r="LUR45" s="76"/>
      <c r="LUS45" s="76"/>
      <c r="LUT45" s="76"/>
      <c r="LUU45" s="76"/>
      <c r="LUV45" s="76"/>
      <c r="LUW45" s="76"/>
      <c r="LUX45" s="76"/>
      <c r="LUY45" s="76"/>
      <c r="LUZ45" s="76"/>
      <c r="LVA45" s="76"/>
      <c r="LVB45" s="76"/>
      <c r="LVC45" s="76"/>
      <c r="LVD45" s="76"/>
      <c r="LVE45" s="76"/>
      <c r="LVF45" s="76"/>
      <c r="LVG45" s="76"/>
      <c r="LVH45" s="76"/>
      <c r="LVI45" s="76"/>
      <c r="LVJ45" s="76"/>
      <c r="LVK45" s="76"/>
      <c r="LVL45" s="76"/>
      <c r="LVM45" s="76"/>
      <c r="LVN45" s="76"/>
      <c r="LVO45" s="76"/>
      <c r="LVP45" s="76"/>
      <c r="LVQ45" s="76"/>
      <c r="LVR45" s="76"/>
      <c r="LVS45" s="76"/>
      <c r="LVT45" s="76"/>
      <c r="LVU45" s="76"/>
      <c r="LVV45" s="76"/>
      <c r="LVW45" s="76"/>
      <c r="LVX45" s="76"/>
      <c r="LVY45" s="76"/>
      <c r="LVZ45" s="76"/>
      <c r="LWA45" s="76"/>
      <c r="LWB45" s="76"/>
      <c r="LWC45" s="76"/>
      <c r="LWD45" s="76"/>
      <c r="LWE45" s="76"/>
      <c r="LWF45" s="76"/>
      <c r="LWG45" s="76"/>
      <c r="LWH45" s="76"/>
      <c r="LWI45" s="76"/>
      <c r="LWJ45" s="76"/>
      <c r="LWK45" s="76"/>
      <c r="LWL45" s="76"/>
      <c r="LWM45" s="76"/>
      <c r="LWN45" s="76"/>
      <c r="LWO45" s="76"/>
      <c r="LWP45" s="76"/>
      <c r="LWQ45" s="76"/>
      <c r="LWR45" s="76"/>
      <c r="LWS45" s="76"/>
      <c r="LWT45" s="76"/>
      <c r="LWU45" s="76"/>
      <c r="LWV45" s="76"/>
      <c r="LWW45" s="76"/>
      <c r="LWX45" s="76"/>
      <c r="LWY45" s="76"/>
      <c r="LWZ45" s="76"/>
      <c r="LXA45" s="76"/>
      <c r="LXB45" s="76"/>
      <c r="LXC45" s="76"/>
      <c r="LXD45" s="76"/>
      <c r="LXE45" s="76"/>
      <c r="LXF45" s="76"/>
      <c r="LXG45" s="76"/>
      <c r="LXH45" s="76"/>
      <c r="LXI45" s="76"/>
      <c r="LXJ45" s="76"/>
      <c r="LXK45" s="76"/>
      <c r="LXL45" s="76"/>
      <c r="LXM45" s="76"/>
      <c r="LXN45" s="76"/>
      <c r="LXO45" s="76"/>
      <c r="LXP45" s="76"/>
      <c r="LXQ45" s="76"/>
      <c r="LXR45" s="76"/>
      <c r="LXS45" s="76"/>
      <c r="LXT45" s="76"/>
      <c r="LXU45" s="76"/>
      <c r="LXV45" s="76"/>
      <c r="LXW45" s="76"/>
      <c r="LXX45" s="76"/>
      <c r="LXY45" s="76"/>
      <c r="LXZ45" s="76"/>
      <c r="LYA45" s="76"/>
      <c r="LYB45" s="76"/>
      <c r="LYC45" s="76"/>
      <c r="LYD45" s="76"/>
      <c r="LYE45" s="76"/>
      <c r="LYF45" s="76"/>
      <c r="LYG45" s="76"/>
      <c r="LYH45" s="76"/>
      <c r="LYI45" s="76"/>
      <c r="LYJ45" s="76"/>
      <c r="LYK45" s="76"/>
      <c r="LYL45" s="76"/>
      <c r="LYM45" s="76"/>
      <c r="LYN45" s="76"/>
      <c r="LYO45" s="76"/>
      <c r="LYP45" s="76"/>
      <c r="LYQ45" s="76"/>
      <c r="LYR45" s="76"/>
      <c r="LYS45" s="76"/>
      <c r="LYT45" s="76"/>
      <c r="LYU45" s="76"/>
      <c r="LYV45" s="76"/>
      <c r="LYW45" s="76"/>
      <c r="LYX45" s="76"/>
      <c r="LYY45" s="76"/>
      <c r="LYZ45" s="76"/>
      <c r="LZA45" s="76"/>
      <c r="LZB45" s="76"/>
      <c r="LZC45" s="76"/>
      <c r="LZD45" s="76"/>
      <c r="LZE45" s="76"/>
      <c r="LZF45" s="76"/>
      <c r="LZG45" s="76"/>
      <c r="LZH45" s="76"/>
      <c r="LZI45" s="76"/>
      <c r="LZJ45" s="76"/>
      <c r="LZK45" s="76"/>
      <c r="LZL45" s="76"/>
      <c r="LZM45" s="76"/>
      <c r="LZN45" s="76"/>
      <c r="LZO45" s="76"/>
      <c r="LZP45" s="76"/>
      <c r="LZQ45" s="76"/>
      <c r="LZR45" s="76"/>
      <c r="LZS45" s="76"/>
      <c r="LZT45" s="76"/>
      <c r="LZU45" s="76"/>
      <c r="LZV45" s="76"/>
      <c r="LZW45" s="76"/>
      <c r="LZX45" s="76"/>
      <c r="LZY45" s="76"/>
      <c r="LZZ45" s="76"/>
      <c r="MAA45" s="76"/>
      <c r="MAB45" s="76"/>
      <c r="MAC45" s="76"/>
      <c r="MAD45" s="76"/>
      <c r="MAE45" s="76"/>
      <c r="MAF45" s="76"/>
      <c r="MAG45" s="76"/>
      <c r="MAH45" s="76"/>
      <c r="MAI45" s="76"/>
      <c r="MAJ45" s="76"/>
      <c r="MAK45" s="76"/>
      <c r="MAL45" s="76"/>
      <c r="MAM45" s="76"/>
      <c r="MAN45" s="76"/>
      <c r="MAO45" s="76"/>
      <c r="MAP45" s="76"/>
      <c r="MAQ45" s="76"/>
      <c r="MAR45" s="76"/>
      <c r="MAS45" s="76"/>
      <c r="MAT45" s="76"/>
      <c r="MAU45" s="76"/>
      <c r="MAV45" s="76"/>
      <c r="MAW45" s="76"/>
      <c r="MAX45" s="76"/>
      <c r="MAY45" s="76"/>
      <c r="MAZ45" s="76"/>
      <c r="MBA45" s="76"/>
      <c r="MBB45" s="76"/>
      <c r="MBC45" s="76"/>
      <c r="MBD45" s="76"/>
      <c r="MBE45" s="76"/>
      <c r="MBF45" s="76"/>
      <c r="MBG45" s="76"/>
      <c r="MBH45" s="76"/>
      <c r="MBI45" s="76"/>
      <c r="MBJ45" s="76"/>
      <c r="MBK45" s="76"/>
      <c r="MBL45" s="76"/>
      <c r="MBM45" s="76"/>
      <c r="MBN45" s="76"/>
      <c r="MBO45" s="76"/>
      <c r="MBP45" s="76"/>
      <c r="MBQ45" s="76"/>
      <c r="MBR45" s="76"/>
      <c r="MBS45" s="76"/>
      <c r="MBT45" s="76"/>
      <c r="MBU45" s="76"/>
      <c r="MBV45" s="76"/>
      <c r="MBW45" s="76"/>
      <c r="MBX45" s="76"/>
      <c r="MBY45" s="76"/>
      <c r="MBZ45" s="76"/>
      <c r="MCA45" s="76"/>
      <c r="MCB45" s="76"/>
      <c r="MCC45" s="76"/>
      <c r="MCD45" s="76"/>
      <c r="MCE45" s="76"/>
      <c r="MCF45" s="76"/>
      <c r="MCG45" s="76"/>
      <c r="MCH45" s="76"/>
      <c r="MCI45" s="76"/>
      <c r="MCJ45" s="76"/>
      <c r="MCK45" s="76"/>
      <c r="MCL45" s="76"/>
      <c r="MCM45" s="76"/>
      <c r="MCN45" s="76"/>
      <c r="MCO45" s="76"/>
      <c r="MCP45" s="76"/>
      <c r="MCQ45" s="76"/>
      <c r="MCR45" s="76"/>
      <c r="MCS45" s="76"/>
      <c r="MCT45" s="76"/>
      <c r="MCU45" s="76"/>
      <c r="MCV45" s="76"/>
      <c r="MCW45" s="76"/>
      <c r="MCX45" s="76"/>
      <c r="MCY45" s="76"/>
      <c r="MCZ45" s="76"/>
      <c r="MDA45" s="76"/>
      <c r="MDB45" s="76"/>
      <c r="MDC45" s="76"/>
      <c r="MDD45" s="76"/>
      <c r="MDE45" s="76"/>
      <c r="MDF45" s="76"/>
      <c r="MDG45" s="76"/>
      <c r="MDH45" s="76"/>
      <c r="MDI45" s="76"/>
      <c r="MDJ45" s="76"/>
      <c r="MDK45" s="76"/>
      <c r="MDL45" s="76"/>
      <c r="MDM45" s="76"/>
      <c r="MDN45" s="76"/>
      <c r="MDO45" s="76"/>
      <c r="MDP45" s="76"/>
      <c r="MDQ45" s="76"/>
      <c r="MDR45" s="76"/>
      <c r="MDS45" s="76"/>
      <c r="MDT45" s="76"/>
      <c r="MDU45" s="76"/>
      <c r="MDV45" s="76"/>
      <c r="MDW45" s="76"/>
      <c r="MDX45" s="76"/>
      <c r="MDY45" s="76"/>
      <c r="MDZ45" s="76"/>
      <c r="MEA45" s="76"/>
      <c r="MEB45" s="76"/>
      <c r="MEC45" s="76"/>
      <c r="MED45" s="76"/>
      <c r="MEE45" s="76"/>
      <c r="MEF45" s="76"/>
      <c r="MEG45" s="76"/>
      <c r="MEH45" s="76"/>
      <c r="MEI45" s="76"/>
      <c r="MEJ45" s="76"/>
      <c r="MEK45" s="76"/>
      <c r="MEL45" s="76"/>
      <c r="MEM45" s="76"/>
      <c r="MEN45" s="76"/>
      <c r="MEO45" s="76"/>
      <c r="MEP45" s="76"/>
      <c r="MEQ45" s="76"/>
      <c r="MER45" s="76"/>
      <c r="MES45" s="76"/>
      <c r="MET45" s="76"/>
      <c r="MEU45" s="76"/>
      <c r="MEV45" s="76"/>
      <c r="MEW45" s="76"/>
      <c r="MEX45" s="76"/>
      <c r="MEY45" s="76"/>
      <c r="MEZ45" s="76"/>
      <c r="MFA45" s="76"/>
      <c r="MFB45" s="76"/>
      <c r="MFC45" s="76"/>
      <c r="MFD45" s="76"/>
      <c r="MFE45" s="76"/>
      <c r="MFF45" s="76"/>
      <c r="MFG45" s="76"/>
      <c r="MFH45" s="76"/>
      <c r="MFI45" s="76"/>
      <c r="MFJ45" s="76"/>
      <c r="MFK45" s="76"/>
      <c r="MFL45" s="76"/>
      <c r="MFM45" s="76"/>
      <c r="MFN45" s="76"/>
      <c r="MFO45" s="76"/>
      <c r="MFP45" s="76"/>
      <c r="MFQ45" s="76"/>
      <c r="MFR45" s="76"/>
      <c r="MFS45" s="76"/>
      <c r="MFT45" s="76"/>
      <c r="MFU45" s="76"/>
      <c r="MFV45" s="76"/>
      <c r="MFW45" s="76"/>
      <c r="MFX45" s="76"/>
      <c r="MFY45" s="76"/>
      <c r="MFZ45" s="76"/>
      <c r="MGA45" s="76"/>
      <c r="MGB45" s="76"/>
      <c r="MGC45" s="76"/>
      <c r="MGD45" s="76"/>
      <c r="MGE45" s="76"/>
      <c r="MGF45" s="76"/>
      <c r="MGG45" s="76"/>
      <c r="MGH45" s="76"/>
      <c r="MGI45" s="76"/>
      <c r="MGJ45" s="76"/>
      <c r="MGK45" s="76"/>
      <c r="MGL45" s="76"/>
      <c r="MGM45" s="76"/>
      <c r="MGN45" s="76"/>
      <c r="MGO45" s="76"/>
      <c r="MGP45" s="76"/>
      <c r="MGQ45" s="76"/>
      <c r="MGR45" s="76"/>
      <c r="MGS45" s="76"/>
      <c r="MGT45" s="76"/>
      <c r="MGU45" s="76"/>
      <c r="MGV45" s="76"/>
      <c r="MGW45" s="76"/>
      <c r="MGX45" s="76"/>
      <c r="MGY45" s="76"/>
      <c r="MGZ45" s="76"/>
      <c r="MHA45" s="76"/>
      <c r="MHB45" s="76"/>
      <c r="MHC45" s="76"/>
      <c r="MHD45" s="76"/>
      <c r="MHE45" s="76"/>
      <c r="MHF45" s="76"/>
      <c r="MHG45" s="76"/>
      <c r="MHH45" s="76"/>
      <c r="MHI45" s="76"/>
      <c r="MHJ45" s="76"/>
      <c r="MHK45" s="76"/>
      <c r="MHL45" s="76"/>
      <c r="MHM45" s="76"/>
      <c r="MHN45" s="76"/>
      <c r="MHO45" s="76"/>
      <c r="MHP45" s="76"/>
      <c r="MHQ45" s="76"/>
      <c r="MHR45" s="76"/>
      <c r="MHS45" s="76"/>
      <c r="MHT45" s="76"/>
      <c r="MHU45" s="76"/>
      <c r="MHV45" s="76"/>
      <c r="MHW45" s="76"/>
      <c r="MHX45" s="76"/>
      <c r="MHY45" s="76"/>
      <c r="MHZ45" s="76"/>
      <c r="MIA45" s="76"/>
      <c r="MIB45" s="76"/>
      <c r="MIC45" s="76"/>
      <c r="MID45" s="76"/>
      <c r="MIE45" s="76"/>
      <c r="MIF45" s="76"/>
      <c r="MIG45" s="76"/>
      <c r="MIH45" s="76"/>
      <c r="MII45" s="76"/>
      <c r="MIJ45" s="76"/>
      <c r="MIK45" s="76"/>
      <c r="MIL45" s="76"/>
      <c r="MIM45" s="76"/>
      <c r="MIN45" s="76"/>
      <c r="MIO45" s="76"/>
      <c r="MIP45" s="76"/>
      <c r="MIQ45" s="76"/>
      <c r="MIR45" s="76"/>
      <c r="MIS45" s="76"/>
      <c r="MIT45" s="76"/>
      <c r="MIU45" s="76"/>
      <c r="MIV45" s="76"/>
      <c r="MIW45" s="76"/>
      <c r="MIX45" s="76"/>
      <c r="MIY45" s="76"/>
      <c r="MIZ45" s="76"/>
      <c r="MJA45" s="76"/>
      <c r="MJB45" s="76"/>
      <c r="MJC45" s="76"/>
      <c r="MJD45" s="76"/>
      <c r="MJE45" s="76"/>
      <c r="MJF45" s="76"/>
      <c r="MJG45" s="76"/>
      <c r="MJH45" s="76"/>
      <c r="MJI45" s="76"/>
      <c r="MJJ45" s="76"/>
      <c r="MJK45" s="76"/>
      <c r="MJL45" s="76"/>
      <c r="MJM45" s="76"/>
      <c r="MJN45" s="76"/>
      <c r="MJO45" s="76"/>
      <c r="MJP45" s="76"/>
      <c r="MJQ45" s="76"/>
      <c r="MJR45" s="76"/>
      <c r="MJS45" s="76"/>
      <c r="MJT45" s="76"/>
      <c r="MJU45" s="76"/>
      <c r="MJV45" s="76"/>
      <c r="MJW45" s="76"/>
      <c r="MJX45" s="76"/>
      <c r="MJY45" s="76"/>
      <c r="MJZ45" s="76"/>
      <c r="MKA45" s="76"/>
      <c r="MKB45" s="76"/>
      <c r="MKC45" s="76"/>
      <c r="MKD45" s="76"/>
      <c r="MKE45" s="76"/>
      <c r="MKF45" s="76"/>
      <c r="MKG45" s="76"/>
      <c r="MKH45" s="76"/>
      <c r="MKI45" s="76"/>
      <c r="MKJ45" s="76"/>
      <c r="MKK45" s="76"/>
      <c r="MKL45" s="76"/>
      <c r="MKM45" s="76"/>
      <c r="MKN45" s="76"/>
      <c r="MKO45" s="76"/>
      <c r="MKP45" s="76"/>
      <c r="MKQ45" s="76"/>
      <c r="MKR45" s="76"/>
      <c r="MKS45" s="76"/>
      <c r="MKT45" s="76"/>
      <c r="MKU45" s="76"/>
      <c r="MKV45" s="76"/>
      <c r="MKW45" s="76"/>
      <c r="MKX45" s="76"/>
      <c r="MKY45" s="76"/>
      <c r="MKZ45" s="76"/>
      <c r="MLA45" s="76"/>
      <c r="MLB45" s="76"/>
      <c r="MLC45" s="76"/>
      <c r="MLD45" s="76"/>
      <c r="MLE45" s="76"/>
      <c r="MLF45" s="76"/>
      <c r="MLG45" s="76"/>
      <c r="MLH45" s="76"/>
      <c r="MLI45" s="76"/>
      <c r="MLJ45" s="76"/>
      <c r="MLK45" s="76"/>
      <c r="MLL45" s="76"/>
      <c r="MLM45" s="76"/>
      <c r="MLN45" s="76"/>
      <c r="MLO45" s="76"/>
      <c r="MLP45" s="76"/>
      <c r="MLQ45" s="76"/>
      <c r="MLR45" s="76"/>
      <c r="MLS45" s="76"/>
      <c r="MLT45" s="76"/>
      <c r="MLU45" s="76"/>
      <c r="MLV45" s="76"/>
      <c r="MLW45" s="76"/>
      <c r="MLX45" s="76"/>
      <c r="MLY45" s="76"/>
      <c r="MLZ45" s="76"/>
      <c r="MMA45" s="76"/>
      <c r="MMB45" s="76"/>
      <c r="MMC45" s="76"/>
      <c r="MMD45" s="76"/>
      <c r="MME45" s="76"/>
      <c r="MMF45" s="76"/>
      <c r="MMG45" s="76"/>
      <c r="MMH45" s="76"/>
      <c r="MMI45" s="76"/>
      <c r="MMJ45" s="76"/>
      <c r="MMK45" s="76"/>
      <c r="MML45" s="76"/>
      <c r="MMM45" s="76"/>
      <c r="MMN45" s="76"/>
      <c r="MMO45" s="76"/>
      <c r="MMP45" s="76"/>
      <c r="MMQ45" s="76"/>
      <c r="MMR45" s="76"/>
      <c r="MMS45" s="76"/>
      <c r="MMT45" s="76"/>
      <c r="MMU45" s="76"/>
      <c r="MMV45" s="76"/>
      <c r="MMW45" s="76"/>
      <c r="MMX45" s="76"/>
      <c r="MMY45" s="76"/>
      <c r="MMZ45" s="76"/>
      <c r="MNA45" s="76"/>
      <c r="MNB45" s="76"/>
      <c r="MNC45" s="76"/>
      <c r="MND45" s="76"/>
      <c r="MNE45" s="76"/>
      <c r="MNF45" s="76"/>
      <c r="MNG45" s="76"/>
      <c r="MNH45" s="76"/>
      <c r="MNI45" s="76"/>
      <c r="MNJ45" s="76"/>
      <c r="MNK45" s="76"/>
      <c r="MNL45" s="76"/>
      <c r="MNM45" s="76"/>
      <c r="MNN45" s="76"/>
      <c r="MNO45" s="76"/>
      <c r="MNP45" s="76"/>
      <c r="MNQ45" s="76"/>
      <c r="MNR45" s="76"/>
      <c r="MNS45" s="76"/>
      <c r="MNT45" s="76"/>
      <c r="MNU45" s="76"/>
      <c r="MNV45" s="76"/>
      <c r="MNW45" s="76"/>
      <c r="MNX45" s="76"/>
      <c r="MNY45" s="76"/>
      <c r="MNZ45" s="76"/>
      <c r="MOA45" s="76"/>
      <c r="MOB45" s="76"/>
      <c r="MOC45" s="76"/>
      <c r="MOD45" s="76"/>
      <c r="MOE45" s="76"/>
      <c r="MOF45" s="76"/>
      <c r="MOG45" s="76"/>
      <c r="MOH45" s="76"/>
      <c r="MOI45" s="76"/>
      <c r="MOJ45" s="76"/>
      <c r="MOK45" s="76"/>
      <c r="MOL45" s="76"/>
      <c r="MOM45" s="76"/>
      <c r="MON45" s="76"/>
      <c r="MOO45" s="76"/>
      <c r="MOP45" s="76"/>
      <c r="MOQ45" s="76"/>
      <c r="MOR45" s="76"/>
      <c r="MOS45" s="76"/>
      <c r="MOT45" s="76"/>
      <c r="MOU45" s="76"/>
      <c r="MOV45" s="76"/>
      <c r="MOW45" s="76"/>
      <c r="MOX45" s="76"/>
      <c r="MOY45" s="76"/>
      <c r="MOZ45" s="76"/>
      <c r="MPA45" s="76"/>
      <c r="MPB45" s="76"/>
      <c r="MPC45" s="76"/>
      <c r="MPD45" s="76"/>
      <c r="MPE45" s="76"/>
      <c r="MPF45" s="76"/>
      <c r="MPG45" s="76"/>
      <c r="MPH45" s="76"/>
      <c r="MPI45" s="76"/>
      <c r="MPJ45" s="76"/>
      <c r="MPK45" s="76"/>
      <c r="MPL45" s="76"/>
      <c r="MPM45" s="76"/>
      <c r="MPN45" s="76"/>
      <c r="MPO45" s="76"/>
      <c r="MPP45" s="76"/>
      <c r="MPQ45" s="76"/>
      <c r="MPR45" s="76"/>
      <c r="MPS45" s="76"/>
      <c r="MPT45" s="76"/>
      <c r="MPU45" s="76"/>
      <c r="MPV45" s="76"/>
      <c r="MPW45" s="76"/>
      <c r="MPX45" s="76"/>
      <c r="MPY45" s="76"/>
      <c r="MPZ45" s="76"/>
      <c r="MQA45" s="76"/>
      <c r="MQB45" s="76"/>
      <c r="MQC45" s="76"/>
      <c r="MQD45" s="76"/>
      <c r="MQE45" s="76"/>
      <c r="MQF45" s="76"/>
      <c r="MQG45" s="76"/>
      <c r="MQH45" s="76"/>
      <c r="MQI45" s="76"/>
      <c r="MQJ45" s="76"/>
      <c r="MQK45" s="76"/>
      <c r="MQL45" s="76"/>
      <c r="MQM45" s="76"/>
      <c r="MQN45" s="76"/>
      <c r="MQO45" s="76"/>
      <c r="MQP45" s="76"/>
      <c r="MQQ45" s="76"/>
      <c r="MQR45" s="76"/>
      <c r="MQS45" s="76"/>
      <c r="MQT45" s="76"/>
      <c r="MQU45" s="76"/>
      <c r="MQV45" s="76"/>
      <c r="MQW45" s="76"/>
      <c r="MQX45" s="76"/>
      <c r="MQY45" s="76"/>
      <c r="MQZ45" s="76"/>
      <c r="MRA45" s="76"/>
      <c r="MRB45" s="76"/>
      <c r="MRC45" s="76"/>
      <c r="MRD45" s="76"/>
      <c r="MRE45" s="76"/>
      <c r="MRF45" s="76"/>
      <c r="MRG45" s="76"/>
      <c r="MRH45" s="76"/>
      <c r="MRI45" s="76"/>
      <c r="MRJ45" s="76"/>
      <c r="MRK45" s="76"/>
      <c r="MRL45" s="76"/>
      <c r="MRM45" s="76"/>
      <c r="MRN45" s="76"/>
      <c r="MRO45" s="76"/>
      <c r="MRP45" s="76"/>
      <c r="MRQ45" s="76"/>
      <c r="MRR45" s="76"/>
      <c r="MRS45" s="76"/>
      <c r="MRT45" s="76"/>
      <c r="MRU45" s="76"/>
      <c r="MRV45" s="76"/>
      <c r="MRW45" s="76"/>
      <c r="MRX45" s="76"/>
      <c r="MRY45" s="76"/>
      <c r="MRZ45" s="76"/>
      <c r="MSA45" s="76"/>
      <c r="MSB45" s="76"/>
      <c r="MSC45" s="76"/>
      <c r="MSD45" s="76"/>
      <c r="MSE45" s="76"/>
      <c r="MSF45" s="76"/>
      <c r="MSG45" s="76"/>
      <c r="MSH45" s="76"/>
      <c r="MSI45" s="76"/>
      <c r="MSJ45" s="76"/>
      <c r="MSK45" s="76"/>
      <c r="MSL45" s="76"/>
      <c r="MSM45" s="76"/>
      <c r="MSN45" s="76"/>
      <c r="MSO45" s="76"/>
      <c r="MSP45" s="76"/>
      <c r="MSQ45" s="76"/>
      <c r="MSR45" s="76"/>
      <c r="MSS45" s="76"/>
      <c r="MST45" s="76"/>
      <c r="MSU45" s="76"/>
      <c r="MSV45" s="76"/>
      <c r="MSW45" s="76"/>
      <c r="MSX45" s="76"/>
      <c r="MSY45" s="76"/>
      <c r="MSZ45" s="76"/>
      <c r="MTA45" s="76"/>
      <c r="MTB45" s="76"/>
      <c r="MTC45" s="76"/>
      <c r="MTD45" s="76"/>
      <c r="MTE45" s="76"/>
      <c r="MTF45" s="76"/>
      <c r="MTG45" s="76"/>
      <c r="MTH45" s="76"/>
      <c r="MTI45" s="76"/>
      <c r="MTJ45" s="76"/>
      <c r="MTK45" s="76"/>
      <c r="MTL45" s="76"/>
      <c r="MTM45" s="76"/>
      <c r="MTN45" s="76"/>
      <c r="MTO45" s="76"/>
      <c r="MTP45" s="76"/>
      <c r="MTQ45" s="76"/>
      <c r="MTR45" s="76"/>
      <c r="MTS45" s="76"/>
      <c r="MTT45" s="76"/>
      <c r="MTU45" s="76"/>
      <c r="MTV45" s="76"/>
      <c r="MTW45" s="76"/>
      <c r="MTX45" s="76"/>
      <c r="MTY45" s="76"/>
      <c r="MTZ45" s="76"/>
      <c r="MUA45" s="76"/>
      <c r="MUB45" s="76"/>
      <c r="MUC45" s="76"/>
      <c r="MUD45" s="76"/>
      <c r="MUE45" s="76"/>
      <c r="MUF45" s="76"/>
      <c r="MUG45" s="76"/>
      <c r="MUH45" s="76"/>
      <c r="MUI45" s="76"/>
      <c r="MUJ45" s="76"/>
      <c r="MUK45" s="76"/>
      <c r="MUL45" s="76"/>
      <c r="MUM45" s="76"/>
      <c r="MUN45" s="76"/>
      <c r="MUO45" s="76"/>
      <c r="MUP45" s="76"/>
      <c r="MUQ45" s="76"/>
      <c r="MUR45" s="76"/>
      <c r="MUS45" s="76"/>
      <c r="MUT45" s="76"/>
      <c r="MUU45" s="76"/>
      <c r="MUV45" s="76"/>
      <c r="MUW45" s="76"/>
      <c r="MUX45" s="76"/>
      <c r="MUY45" s="76"/>
      <c r="MUZ45" s="76"/>
      <c r="MVA45" s="76"/>
      <c r="MVB45" s="76"/>
      <c r="MVC45" s="76"/>
      <c r="MVD45" s="76"/>
      <c r="MVE45" s="76"/>
      <c r="MVF45" s="76"/>
      <c r="MVG45" s="76"/>
      <c r="MVH45" s="76"/>
      <c r="MVI45" s="76"/>
      <c r="MVJ45" s="76"/>
      <c r="MVK45" s="76"/>
      <c r="MVL45" s="76"/>
      <c r="MVM45" s="76"/>
      <c r="MVN45" s="76"/>
      <c r="MVO45" s="76"/>
      <c r="MVP45" s="76"/>
      <c r="MVQ45" s="76"/>
      <c r="MVR45" s="76"/>
      <c r="MVS45" s="76"/>
      <c r="MVT45" s="76"/>
      <c r="MVU45" s="76"/>
      <c r="MVV45" s="76"/>
      <c r="MVW45" s="76"/>
      <c r="MVX45" s="76"/>
      <c r="MVY45" s="76"/>
      <c r="MVZ45" s="76"/>
      <c r="MWA45" s="76"/>
      <c r="MWB45" s="76"/>
      <c r="MWC45" s="76"/>
      <c r="MWD45" s="76"/>
      <c r="MWE45" s="76"/>
      <c r="MWF45" s="76"/>
      <c r="MWG45" s="76"/>
      <c r="MWH45" s="76"/>
      <c r="MWI45" s="76"/>
      <c r="MWJ45" s="76"/>
      <c r="MWK45" s="76"/>
      <c r="MWL45" s="76"/>
      <c r="MWM45" s="76"/>
      <c r="MWN45" s="76"/>
      <c r="MWO45" s="76"/>
      <c r="MWP45" s="76"/>
      <c r="MWQ45" s="76"/>
      <c r="MWR45" s="76"/>
      <c r="MWS45" s="76"/>
      <c r="MWT45" s="76"/>
      <c r="MWU45" s="76"/>
      <c r="MWV45" s="76"/>
      <c r="MWW45" s="76"/>
      <c r="MWX45" s="76"/>
      <c r="MWY45" s="76"/>
      <c r="MWZ45" s="76"/>
      <c r="MXA45" s="76"/>
      <c r="MXB45" s="76"/>
      <c r="MXC45" s="76"/>
      <c r="MXD45" s="76"/>
      <c r="MXE45" s="76"/>
      <c r="MXF45" s="76"/>
      <c r="MXG45" s="76"/>
      <c r="MXH45" s="76"/>
      <c r="MXI45" s="76"/>
      <c r="MXJ45" s="76"/>
      <c r="MXK45" s="76"/>
      <c r="MXL45" s="76"/>
      <c r="MXM45" s="76"/>
      <c r="MXN45" s="76"/>
      <c r="MXO45" s="76"/>
      <c r="MXP45" s="76"/>
      <c r="MXQ45" s="76"/>
      <c r="MXR45" s="76"/>
      <c r="MXS45" s="76"/>
      <c r="MXT45" s="76"/>
      <c r="MXU45" s="76"/>
      <c r="MXV45" s="76"/>
      <c r="MXW45" s="76"/>
      <c r="MXX45" s="76"/>
      <c r="MXY45" s="76"/>
      <c r="MXZ45" s="76"/>
      <c r="MYA45" s="76"/>
      <c r="MYB45" s="76"/>
      <c r="MYC45" s="76"/>
      <c r="MYD45" s="76"/>
      <c r="MYE45" s="76"/>
      <c r="MYF45" s="76"/>
      <c r="MYG45" s="76"/>
      <c r="MYH45" s="76"/>
      <c r="MYI45" s="76"/>
      <c r="MYJ45" s="76"/>
      <c r="MYK45" s="76"/>
      <c r="MYL45" s="76"/>
      <c r="MYM45" s="76"/>
      <c r="MYN45" s="76"/>
      <c r="MYO45" s="76"/>
      <c r="MYP45" s="76"/>
      <c r="MYQ45" s="76"/>
      <c r="MYR45" s="76"/>
      <c r="MYS45" s="76"/>
      <c r="MYT45" s="76"/>
      <c r="MYU45" s="76"/>
      <c r="MYV45" s="76"/>
      <c r="MYW45" s="76"/>
      <c r="MYX45" s="76"/>
      <c r="MYY45" s="76"/>
      <c r="MYZ45" s="76"/>
      <c r="MZA45" s="76"/>
      <c r="MZB45" s="76"/>
      <c r="MZC45" s="76"/>
      <c r="MZD45" s="76"/>
      <c r="MZE45" s="76"/>
      <c r="MZF45" s="76"/>
      <c r="MZG45" s="76"/>
      <c r="MZH45" s="76"/>
      <c r="MZI45" s="76"/>
      <c r="MZJ45" s="76"/>
      <c r="MZK45" s="76"/>
      <c r="MZL45" s="76"/>
      <c r="MZM45" s="76"/>
      <c r="MZN45" s="76"/>
      <c r="MZO45" s="76"/>
      <c r="MZP45" s="76"/>
      <c r="MZQ45" s="76"/>
      <c r="MZR45" s="76"/>
      <c r="MZS45" s="76"/>
      <c r="MZT45" s="76"/>
      <c r="MZU45" s="76"/>
      <c r="MZV45" s="76"/>
      <c r="MZW45" s="76"/>
      <c r="MZX45" s="76"/>
      <c r="MZY45" s="76"/>
      <c r="MZZ45" s="76"/>
      <c r="NAA45" s="76"/>
      <c r="NAB45" s="76"/>
      <c r="NAC45" s="76"/>
      <c r="NAD45" s="76"/>
      <c r="NAE45" s="76"/>
      <c r="NAF45" s="76"/>
      <c r="NAG45" s="76"/>
      <c r="NAH45" s="76"/>
      <c r="NAI45" s="76"/>
      <c r="NAJ45" s="76"/>
      <c r="NAK45" s="76"/>
      <c r="NAL45" s="76"/>
      <c r="NAM45" s="76"/>
      <c r="NAN45" s="76"/>
      <c r="NAO45" s="76"/>
      <c r="NAP45" s="76"/>
      <c r="NAQ45" s="76"/>
      <c r="NAR45" s="76"/>
      <c r="NAS45" s="76"/>
      <c r="NAT45" s="76"/>
      <c r="NAU45" s="76"/>
      <c r="NAV45" s="76"/>
      <c r="NAW45" s="76"/>
      <c r="NAX45" s="76"/>
      <c r="NAY45" s="76"/>
      <c r="NAZ45" s="76"/>
      <c r="NBA45" s="76"/>
      <c r="NBB45" s="76"/>
      <c r="NBC45" s="76"/>
      <c r="NBD45" s="76"/>
      <c r="NBE45" s="76"/>
      <c r="NBF45" s="76"/>
      <c r="NBG45" s="76"/>
      <c r="NBH45" s="76"/>
      <c r="NBI45" s="76"/>
      <c r="NBJ45" s="76"/>
      <c r="NBK45" s="76"/>
      <c r="NBL45" s="76"/>
      <c r="NBM45" s="76"/>
      <c r="NBN45" s="76"/>
      <c r="NBO45" s="76"/>
      <c r="NBP45" s="76"/>
      <c r="NBQ45" s="76"/>
      <c r="NBR45" s="76"/>
      <c r="NBS45" s="76"/>
      <c r="NBT45" s="76"/>
      <c r="NBU45" s="76"/>
      <c r="NBV45" s="76"/>
      <c r="NBW45" s="76"/>
      <c r="NBX45" s="76"/>
      <c r="NBY45" s="76"/>
      <c r="NBZ45" s="76"/>
      <c r="NCA45" s="76"/>
      <c r="NCB45" s="76"/>
      <c r="NCC45" s="76"/>
      <c r="NCD45" s="76"/>
      <c r="NCE45" s="76"/>
      <c r="NCF45" s="76"/>
      <c r="NCG45" s="76"/>
      <c r="NCH45" s="76"/>
      <c r="NCI45" s="76"/>
      <c r="NCJ45" s="76"/>
      <c r="NCK45" s="76"/>
      <c r="NCL45" s="76"/>
      <c r="NCM45" s="76"/>
      <c r="NCN45" s="76"/>
      <c r="NCO45" s="76"/>
      <c r="NCP45" s="76"/>
      <c r="NCQ45" s="76"/>
      <c r="NCR45" s="76"/>
      <c r="NCS45" s="76"/>
      <c r="NCT45" s="76"/>
      <c r="NCU45" s="76"/>
      <c r="NCV45" s="76"/>
      <c r="NCW45" s="76"/>
      <c r="NCX45" s="76"/>
      <c r="NCY45" s="76"/>
      <c r="NCZ45" s="76"/>
      <c r="NDA45" s="76"/>
      <c r="NDB45" s="76"/>
      <c r="NDC45" s="76"/>
      <c r="NDD45" s="76"/>
      <c r="NDE45" s="76"/>
      <c r="NDF45" s="76"/>
      <c r="NDG45" s="76"/>
      <c r="NDH45" s="76"/>
      <c r="NDI45" s="76"/>
      <c r="NDJ45" s="76"/>
      <c r="NDK45" s="76"/>
      <c r="NDL45" s="76"/>
      <c r="NDM45" s="76"/>
      <c r="NDN45" s="76"/>
      <c r="NDO45" s="76"/>
      <c r="NDP45" s="76"/>
      <c r="NDQ45" s="76"/>
      <c r="NDR45" s="76"/>
      <c r="NDS45" s="76"/>
      <c r="NDT45" s="76"/>
      <c r="NDU45" s="76"/>
      <c r="NDV45" s="76"/>
      <c r="NDW45" s="76"/>
      <c r="NDX45" s="76"/>
      <c r="NDY45" s="76"/>
      <c r="NDZ45" s="76"/>
      <c r="NEA45" s="76"/>
      <c r="NEB45" s="76"/>
      <c r="NEC45" s="76"/>
      <c r="NED45" s="76"/>
      <c r="NEE45" s="76"/>
      <c r="NEF45" s="76"/>
      <c r="NEG45" s="76"/>
      <c r="NEH45" s="76"/>
      <c r="NEI45" s="76"/>
      <c r="NEJ45" s="76"/>
      <c r="NEK45" s="76"/>
      <c r="NEL45" s="76"/>
      <c r="NEM45" s="76"/>
      <c r="NEN45" s="76"/>
      <c r="NEO45" s="76"/>
      <c r="NEP45" s="76"/>
      <c r="NEQ45" s="76"/>
      <c r="NER45" s="76"/>
      <c r="NES45" s="76"/>
      <c r="NET45" s="76"/>
      <c r="NEU45" s="76"/>
      <c r="NEV45" s="76"/>
      <c r="NEW45" s="76"/>
      <c r="NEX45" s="76"/>
      <c r="NEY45" s="76"/>
      <c r="NEZ45" s="76"/>
      <c r="NFA45" s="76"/>
      <c r="NFB45" s="76"/>
      <c r="NFC45" s="76"/>
      <c r="NFD45" s="76"/>
      <c r="NFE45" s="76"/>
      <c r="NFF45" s="76"/>
      <c r="NFG45" s="76"/>
      <c r="NFH45" s="76"/>
      <c r="NFI45" s="76"/>
      <c r="NFJ45" s="76"/>
      <c r="NFK45" s="76"/>
      <c r="NFL45" s="76"/>
      <c r="NFM45" s="76"/>
      <c r="NFN45" s="76"/>
      <c r="NFO45" s="76"/>
      <c r="NFP45" s="76"/>
      <c r="NFQ45" s="76"/>
      <c r="NFR45" s="76"/>
      <c r="NFS45" s="76"/>
      <c r="NFT45" s="76"/>
      <c r="NFU45" s="76"/>
      <c r="NFV45" s="76"/>
      <c r="NFW45" s="76"/>
      <c r="NFX45" s="76"/>
      <c r="NFY45" s="76"/>
      <c r="NFZ45" s="76"/>
      <c r="NGA45" s="76"/>
      <c r="NGB45" s="76"/>
      <c r="NGC45" s="76"/>
      <c r="NGD45" s="76"/>
      <c r="NGE45" s="76"/>
      <c r="NGF45" s="76"/>
      <c r="NGG45" s="76"/>
      <c r="NGH45" s="76"/>
      <c r="NGI45" s="76"/>
      <c r="NGJ45" s="76"/>
      <c r="NGK45" s="76"/>
      <c r="NGL45" s="76"/>
      <c r="NGM45" s="76"/>
      <c r="NGN45" s="76"/>
      <c r="NGO45" s="76"/>
      <c r="NGP45" s="76"/>
      <c r="NGQ45" s="76"/>
      <c r="NGR45" s="76"/>
      <c r="NGS45" s="76"/>
      <c r="NGT45" s="76"/>
      <c r="NGU45" s="76"/>
      <c r="NGV45" s="76"/>
      <c r="NGW45" s="76"/>
      <c r="NGX45" s="76"/>
      <c r="NGY45" s="76"/>
      <c r="NGZ45" s="76"/>
      <c r="NHA45" s="76"/>
      <c r="NHB45" s="76"/>
      <c r="NHC45" s="76"/>
      <c r="NHD45" s="76"/>
      <c r="NHE45" s="76"/>
      <c r="NHF45" s="76"/>
      <c r="NHG45" s="76"/>
      <c r="NHH45" s="76"/>
      <c r="NHI45" s="76"/>
      <c r="NHJ45" s="76"/>
      <c r="NHK45" s="76"/>
      <c r="NHL45" s="76"/>
      <c r="NHM45" s="76"/>
      <c r="NHN45" s="76"/>
      <c r="NHO45" s="76"/>
      <c r="NHP45" s="76"/>
      <c r="NHQ45" s="76"/>
      <c r="NHR45" s="76"/>
      <c r="NHS45" s="76"/>
      <c r="NHT45" s="76"/>
      <c r="NHU45" s="76"/>
      <c r="NHV45" s="76"/>
      <c r="NHW45" s="76"/>
      <c r="NHX45" s="76"/>
      <c r="NHY45" s="76"/>
      <c r="NHZ45" s="76"/>
      <c r="NIA45" s="76"/>
      <c r="NIB45" s="76"/>
      <c r="NIC45" s="76"/>
      <c r="NID45" s="76"/>
      <c r="NIE45" s="76"/>
      <c r="NIF45" s="76"/>
      <c r="NIG45" s="76"/>
      <c r="NIH45" s="76"/>
      <c r="NII45" s="76"/>
      <c r="NIJ45" s="76"/>
      <c r="NIK45" s="76"/>
      <c r="NIL45" s="76"/>
      <c r="NIM45" s="76"/>
      <c r="NIN45" s="76"/>
      <c r="NIO45" s="76"/>
      <c r="NIP45" s="76"/>
      <c r="NIQ45" s="76"/>
      <c r="NIR45" s="76"/>
      <c r="NIS45" s="76"/>
      <c r="NIT45" s="76"/>
      <c r="NIU45" s="76"/>
      <c r="NIV45" s="76"/>
      <c r="NIW45" s="76"/>
      <c r="NIX45" s="76"/>
      <c r="NIY45" s="76"/>
      <c r="NIZ45" s="76"/>
      <c r="NJA45" s="76"/>
      <c r="NJB45" s="76"/>
      <c r="NJC45" s="76"/>
      <c r="NJD45" s="76"/>
      <c r="NJE45" s="76"/>
      <c r="NJF45" s="76"/>
      <c r="NJG45" s="76"/>
      <c r="NJH45" s="76"/>
      <c r="NJI45" s="76"/>
      <c r="NJJ45" s="76"/>
      <c r="NJK45" s="76"/>
      <c r="NJL45" s="76"/>
      <c r="NJM45" s="76"/>
      <c r="NJN45" s="76"/>
      <c r="NJO45" s="76"/>
      <c r="NJP45" s="76"/>
      <c r="NJQ45" s="76"/>
      <c r="NJR45" s="76"/>
      <c r="NJS45" s="76"/>
      <c r="NJT45" s="76"/>
      <c r="NJU45" s="76"/>
      <c r="NJV45" s="76"/>
      <c r="NJW45" s="76"/>
      <c r="NJX45" s="76"/>
      <c r="NJY45" s="76"/>
      <c r="NJZ45" s="76"/>
      <c r="NKA45" s="76"/>
      <c r="NKB45" s="76"/>
      <c r="NKC45" s="76"/>
      <c r="NKD45" s="76"/>
      <c r="NKE45" s="76"/>
      <c r="NKF45" s="76"/>
      <c r="NKG45" s="76"/>
      <c r="NKH45" s="76"/>
      <c r="NKI45" s="76"/>
      <c r="NKJ45" s="76"/>
      <c r="NKK45" s="76"/>
      <c r="NKL45" s="76"/>
      <c r="NKM45" s="76"/>
      <c r="NKN45" s="76"/>
      <c r="NKO45" s="76"/>
      <c r="NKP45" s="76"/>
      <c r="NKQ45" s="76"/>
      <c r="NKR45" s="76"/>
      <c r="NKS45" s="76"/>
      <c r="NKT45" s="76"/>
      <c r="NKU45" s="76"/>
      <c r="NKV45" s="76"/>
      <c r="NKW45" s="76"/>
      <c r="NKX45" s="76"/>
      <c r="NKY45" s="76"/>
      <c r="NKZ45" s="76"/>
      <c r="NLA45" s="76"/>
      <c r="NLB45" s="76"/>
      <c r="NLC45" s="76"/>
      <c r="NLD45" s="76"/>
      <c r="NLE45" s="76"/>
      <c r="NLF45" s="76"/>
      <c r="NLG45" s="76"/>
      <c r="NLH45" s="76"/>
      <c r="NLI45" s="76"/>
      <c r="NLJ45" s="76"/>
      <c r="NLK45" s="76"/>
      <c r="NLL45" s="76"/>
      <c r="NLM45" s="76"/>
      <c r="NLN45" s="76"/>
      <c r="NLO45" s="76"/>
      <c r="NLP45" s="76"/>
      <c r="NLQ45" s="76"/>
      <c r="NLR45" s="76"/>
      <c r="NLS45" s="76"/>
      <c r="NLT45" s="76"/>
      <c r="NLU45" s="76"/>
      <c r="NLV45" s="76"/>
      <c r="NLW45" s="76"/>
      <c r="NLX45" s="76"/>
      <c r="NLY45" s="76"/>
      <c r="NLZ45" s="76"/>
      <c r="NMA45" s="76"/>
      <c r="NMB45" s="76"/>
      <c r="NMC45" s="76"/>
      <c r="NMD45" s="76"/>
      <c r="NME45" s="76"/>
      <c r="NMF45" s="76"/>
      <c r="NMG45" s="76"/>
      <c r="NMH45" s="76"/>
      <c r="NMI45" s="76"/>
      <c r="NMJ45" s="76"/>
      <c r="NMK45" s="76"/>
      <c r="NML45" s="76"/>
      <c r="NMM45" s="76"/>
      <c r="NMN45" s="76"/>
      <c r="NMO45" s="76"/>
      <c r="NMP45" s="76"/>
      <c r="NMQ45" s="76"/>
      <c r="NMR45" s="76"/>
      <c r="NMS45" s="76"/>
      <c r="NMT45" s="76"/>
      <c r="NMU45" s="76"/>
      <c r="NMV45" s="76"/>
      <c r="NMW45" s="76"/>
      <c r="NMX45" s="76"/>
      <c r="NMY45" s="76"/>
      <c r="NMZ45" s="76"/>
      <c r="NNA45" s="76"/>
      <c r="NNB45" s="76"/>
      <c r="NNC45" s="76"/>
      <c r="NND45" s="76"/>
      <c r="NNE45" s="76"/>
      <c r="NNF45" s="76"/>
      <c r="NNG45" s="76"/>
      <c r="NNH45" s="76"/>
      <c r="NNI45" s="76"/>
      <c r="NNJ45" s="76"/>
      <c r="NNK45" s="76"/>
      <c r="NNL45" s="76"/>
      <c r="NNM45" s="76"/>
      <c r="NNN45" s="76"/>
      <c r="NNO45" s="76"/>
      <c r="NNP45" s="76"/>
      <c r="NNQ45" s="76"/>
      <c r="NNR45" s="76"/>
      <c r="NNS45" s="76"/>
      <c r="NNT45" s="76"/>
      <c r="NNU45" s="76"/>
      <c r="NNV45" s="76"/>
      <c r="NNW45" s="76"/>
      <c r="NNX45" s="76"/>
      <c r="NNY45" s="76"/>
      <c r="NNZ45" s="76"/>
      <c r="NOA45" s="76"/>
      <c r="NOB45" s="76"/>
      <c r="NOC45" s="76"/>
      <c r="NOD45" s="76"/>
      <c r="NOE45" s="76"/>
      <c r="NOF45" s="76"/>
      <c r="NOG45" s="76"/>
      <c r="NOH45" s="76"/>
      <c r="NOI45" s="76"/>
      <c r="NOJ45" s="76"/>
      <c r="NOK45" s="76"/>
      <c r="NOL45" s="76"/>
      <c r="NOM45" s="76"/>
      <c r="NON45" s="76"/>
      <c r="NOO45" s="76"/>
      <c r="NOP45" s="76"/>
      <c r="NOQ45" s="76"/>
      <c r="NOR45" s="76"/>
      <c r="NOS45" s="76"/>
      <c r="NOT45" s="76"/>
      <c r="NOU45" s="76"/>
      <c r="NOV45" s="76"/>
      <c r="NOW45" s="76"/>
      <c r="NOX45" s="76"/>
      <c r="NOY45" s="76"/>
      <c r="NOZ45" s="76"/>
      <c r="NPA45" s="76"/>
      <c r="NPB45" s="76"/>
      <c r="NPC45" s="76"/>
      <c r="NPD45" s="76"/>
      <c r="NPE45" s="76"/>
      <c r="NPF45" s="76"/>
      <c r="NPG45" s="76"/>
      <c r="NPH45" s="76"/>
      <c r="NPI45" s="76"/>
      <c r="NPJ45" s="76"/>
      <c r="NPK45" s="76"/>
      <c r="NPL45" s="76"/>
      <c r="NPM45" s="76"/>
      <c r="NPN45" s="76"/>
      <c r="NPO45" s="76"/>
      <c r="NPP45" s="76"/>
      <c r="NPQ45" s="76"/>
      <c r="NPR45" s="76"/>
      <c r="NPS45" s="76"/>
      <c r="NPT45" s="76"/>
      <c r="NPU45" s="76"/>
      <c r="NPV45" s="76"/>
      <c r="NPW45" s="76"/>
      <c r="NPX45" s="76"/>
      <c r="NPY45" s="76"/>
      <c r="NPZ45" s="76"/>
      <c r="NQA45" s="76"/>
      <c r="NQB45" s="76"/>
      <c r="NQC45" s="76"/>
      <c r="NQD45" s="76"/>
      <c r="NQE45" s="76"/>
      <c r="NQF45" s="76"/>
      <c r="NQG45" s="76"/>
      <c r="NQH45" s="76"/>
      <c r="NQI45" s="76"/>
      <c r="NQJ45" s="76"/>
      <c r="NQK45" s="76"/>
      <c r="NQL45" s="76"/>
      <c r="NQM45" s="76"/>
      <c r="NQN45" s="76"/>
      <c r="NQO45" s="76"/>
      <c r="NQP45" s="76"/>
      <c r="NQQ45" s="76"/>
      <c r="NQR45" s="76"/>
      <c r="NQS45" s="76"/>
      <c r="NQT45" s="76"/>
      <c r="NQU45" s="76"/>
      <c r="NQV45" s="76"/>
      <c r="NQW45" s="76"/>
      <c r="NQX45" s="76"/>
      <c r="NQY45" s="76"/>
      <c r="NQZ45" s="76"/>
      <c r="NRA45" s="76"/>
      <c r="NRB45" s="76"/>
      <c r="NRC45" s="76"/>
      <c r="NRD45" s="76"/>
      <c r="NRE45" s="76"/>
      <c r="NRF45" s="76"/>
      <c r="NRG45" s="76"/>
      <c r="NRH45" s="76"/>
      <c r="NRI45" s="76"/>
      <c r="NRJ45" s="76"/>
      <c r="NRK45" s="76"/>
      <c r="NRL45" s="76"/>
      <c r="NRM45" s="76"/>
      <c r="NRN45" s="76"/>
      <c r="NRO45" s="76"/>
      <c r="NRP45" s="76"/>
      <c r="NRQ45" s="76"/>
      <c r="NRR45" s="76"/>
      <c r="NRS45" s="76"/>
      <c r="NRT45" s="76"/>
      <c r="NRU45" s="76"/>
      <c r="NRV45" s="76"/>
      <c r="NRW45" s="76"/>
      <c r="NRX45" s="76"/>
      <c r="NRY45" s="76"/>
      <c r="NRZ45" s="76"/>
      <c r="NSA45" s="76"/>
      <c r="NSB45" s="76"/>
      <c r="NSC45" s="76"/>
      <c r="NSD45" s="76"/>
      <c r="NSE45" s="76"/>
      <c r="NSF45" s="76"/>
      <c r="NSG45" s="76"/>
      <c r="NSH45" s="76"/>
      <c r="NSI45" s="76"/>
      <c r="NSJ45" s="76"/>
      <c r="NSK45" s="76"/>
      <c r="NSL45" s="76"/>
      <c r="NSM45" s="76"/>
      <c r="NSN45" s="76"/>
      <c r="NSO45" s="76"/>
      <c r="NSP45" s="76"/>
      <c r="NSQ45" s="76"/>
      <c r="NSR45" s="76"/>
      <c r="NSS45" s="76"/>
      <c r="NST45" s="76"/>
      <c r="NSU45" s="76"/>
      <c r="NSV45" s="76"/>
      <c r="NSW45" s="76"/>
      <c r="NSX45" s="76"/>
      <c r="NSY45" s="76"/>
      <c r="NSZ45" s="76"/>
      <c r="NTA45" s="76"/>
      <c r="NTB45" s="76"/>
      <c r="NTC45" s="76"/>
      <c r="NTD45" s="76"/>
      <c r="NTE45" s="76"/>
      <c r="NTF45" s="76"/>
      <c r="NTG45" s="76"/>
      <c r="NTH45" s="76"/>
      <c r="NTI45" s="76"/>
      <c r="NTJ45" s="76"/>
      <c r="NTK45" s="76"/>
      <c r="NTL45" s="76"/>
      <c r="NTM45" s="76"/>
      <c r="NTN45" s="76"/>
      <c r="NTO45" s="76"/>
      <c r="NTP45" s="76"/>
      <c r="NTQ45" s="76"/>
      <c r="NTR45" s="76"/>
      <c r="NTS45" s="76"/>
      <c r="NTT45" s="76"/>
      <c r="NTU45" s="76"/>
      <c r="NTV45" s="76"/>
      <c r="NTW45" s="76"/>
      <c r="NTX45" s="76"/>
      <c r="NTY45" s="76"/>
      <c r="NTZ45" s="76"/>
      <c r="NUA45" s="76"/>
      <c r="NUB45" s="76"/>
      <c r="NUC45" s="76"/>
      <c r="NUD45" s="76"/>
      <c r="NUE45" s="76"/>
      <c r="NUF45" s="76"/>
      <c r="NUG45" s="76"/>
      <c r="NUH45" s="76"/>
      <c r="NUI45" s="76"/>
      <c r="NUJ45" s="76"/>
      <c r="NUK45" s="76"/>
      <c r="NUL45" s="76"/>
      <c r="NUM45" s="76"/>
      <c r="NUN45" s="76"/>
      <c r="NUO45" s="76"/>
      <c r="NUP45" s="76"/>
      <c r="NUQ45" s="76"/>
      <c r="NUR45" s="76"/>
      <c r="NUS45" s="76"/>
      <c r="NUT45" s="76"/>
      <c r="NUU45" s="76"/>
      <c r="NUV45" s="76"/>
      <c r="NUW45" s="76"/>
      <c r="NUX45" s="76"/>
      <c r="NUY45" s="76"/>
      <c r="NUZ45" s="76"/>
      <c r="NVA45" s="76"/>
      <c r="NVB45" s="76"/>
      <c r="NVC45" s="76"/>
      <c r="NVD45" s="76"/>
      <c r="NVE45" s="76"/>
      <c r="NVF45" s="76"/>
      <c r="NVG45" s="76"/>
      <c r="NVH45" s="76"/>
      <c r="NVI45" s="76"/>
      <c r="NVJ45" s="76"/>
      <c r="NVK45" s="76"/>
      <c r="NVL45" s="76"/>
      <c r="NVM45" s="76"/>
      <c r="NVN45" s="76"/>
      <c r="NVO45" s="76"/>
      <c r="NVP45" s="76"/>
      <c r="NVQ45" s="76"/>
      <c r="NVR45" s="76"/>
      <c r="NVS45" s="76"/>
      <c r="NVT45" s="76"/>
      <c r="NVU45" s="76"/>
      <c r="NVV45" s="76"/>
      <c r="NVW45" s="76"/>
      <c r="NVX45" s="76"/>
      <c r="NVY45" s="76"/>
      <c r="NVZ45" s="76"/>
      <c r="NWA45" s="76"/>
      <c r="NWB45" s="76"/>
      <c r="NWC45" s="76"/>
      <c r="NWD45" s="76"/>
      <c r="NWE45" s="76"/>
      <c r="NWF45" s="76"/>
      <c r="NWG45" s="76"/>
      <c r="NWH45" s="76"/>
      <c r="NWI45" s="76"/>
      <c r="NWJ45" s="76"/>
      <c r="NWK45" s="76"/>
      <c r="NWL45" s="76"/>
      <c r="NWM45" s="76"/>
      <c r="NWN45" s="76"/>
      <c r="NWO45" s="76"/>
      <c r="NWP45" s="76"/>
      <c r="NWQ45" s="76"/>
      <c r="NWR45" s="76"/>
      <c r="NWS45" s="76"/>
      <c r="NWT45" s="76"/>
      <c r="NWU45" s="76"/>
      <c r="NWV45" s="76"/>
      <c r="NWW45" s="76"/>
      <c r="NWX45" s="76"/>
      <c r="NWY45" s="76"/>
      <c r="NWZ45" s="76"/>
      <c r="NXA45" s="76"/>
      <c r="NXB45" s="76"/>
      <c r="NXC45" s="76"/>
      <c r="NXD45" s="76"/>
      <c r="NXE45" s="76"/>
      <c r="NXF45" s="76"/>
      <c r="NXG45" s="76"/>
      <c r="NXH45" s="76"/>
      <c r="NXI45" s="76"/>
      <c r="NXJ45" s="76"/>
      <c r="NXK45" s="76"/>
      <c r="NXL45" s="76"/>
      <c r="NXM45" s="76"/>
      <c r="NXN45" s="76"/>
      <c r="NXO45" s="76"/>
      <c r="NXP45" s="76"/>
      <c r="NXQ45" s="76"/>
      <c r="NXR45" s="76"/>
      <c r="NXS45" s="76"/>
      <c r="NXT45" s="76"/>
      <c r="NXU45" s="76"/>
      <c r="NXV45" s="76"/>
      <c r="NXW45" s="76"/>
      <c r="NXX45" s="76"/>
      <c r="NXY45" s="76"/>
      <c r="NXZ45" s="76"/>
      <c r="NYA45" s="76"/>
      <c r="NYB45" s="76"/>
      <c r="NYC45" s="76"/>
      <c r="NYD45" s="76"/>
      <c r="NYE45" s="76"/>
      <c r="NYF45" s="76"/>
      <c r="NYG45" s="76"/>
      <c r="NYH45" s="76"/>
      <c r="NYI45" s="76"/>
      <c r="NYJ45" s="76"/>
      <c r="NYK45" s="76"/>
      <c r="NYL45" s="76"/>
      <c r="NYM45" s="76"/>
      <c r="NYN45" s="76"/>
      <c r="NYO45" s="76"/>
      <c r="NYP45" s="76"/>
      <c r="NYQ45" s="76"/>
      <c r="NYR45" s="76"/>
      <c r="NYS45" s="76"/>
      <c r="NYT45" s="76"/>
      <c r="NYU45" s="76"/>
      <c r="NYV45" s="76"/>
      <c r="NYW45" s="76"/>
      <c r="NYX45" s="76"/>
      <c r="NYY45" s="76"/>
      <c r="NYZ45" s="76"/>
      <c r="NZA45" s="76"/>
      <c r="NZB45" s="76"/>
      <c r="NZC45" s="76"/>
      <c r="NZD45" s="76"/>
      <c r="NZE45" s="76"/>
      <c r="NZF45" s="76"/>
      <c r="NZG45" s="76"/>
      <c r="NZH45" s="76"/>
      <c r="NZI45" s="76"/>
      <c r="NZJ45" s="76"/>
      <c r="NZK45" s="76"/>
      <c r="NZL45" s="76"/>
      <c r="NZM45" s="76"/>
      <c r="NZN45" s="76"/>
      <c r="NZO45" s="76"/>
      <c r="NZP45" s="76"/>
      <c r="NZQ45" s="76"/>
      <c r="NZR45" s="76"/>
      <c r="NZS45" s="76"/>
      <c r="NZT45" s="76"/>
      <c r="NZU45" s="76"/>
      <c r="NZV45" s="76"/>
      <c r="NZW45" s="76"/>
      <c r="NZX45" s="76"/>
      <c r="NZY45" s="76"/>
      <c r="NZZ45" s="76"/>
      <c r="OAA45" s="76"/>
      <c r="OAB45" s="76"/>
      <c r="OAC45" s="76"/>
      <c r="OAD45" s="76"/>
      <c r="OAE45" s="76"/>
      <c r="OAF45" s="76"/>
      <c r="OAG45" s="76"/>
      <c r="OAH45" s="76"/>
      <c r="OAI45" s="76"/>
      <c r="OAJ45" s="76"/>
      <c r="OAK45" s="76"/>
      <c r="OAL45" s="76"/>
      <c r="OAM45" s="76"/>
      <c r="OAN45" s="76"/>
      <c r="OAO45" s="76"/>
      <c r="OAP45" s="76"/>
      <c r="OAQ45" s="76"/>
      <c r="OAR45" s="76"/>
      <c r="OAS45" s="76"/>
      <c r="OAT45" s="76"/>
      <c r="OAU45" s="76"/>
      <c r="OAV45" s="76"/>
      <c r="OAW45" s="76"/>
      <c r="OAX45" s="76"/>
      <c r="OAY45" s="76"/>
      <c r="OAZ45" s="76"/>
      <c r="OBA45" s="76"/>
      <c r="OBB45" s="76"/>
      <c r="OBC45" s="76"/>
      <c r="OBD45" s="76"/>
      <c r="OBE45" s="76"/>
      <c r="OBF45" s="76"/>
      <c r="OBG45" s="76"/>
      <c r="OBH45" s="76"/>
      <c r="OBI45" s="76"/>
      <c r="OBJ45" s="76"/>
      <c r="OBK45" s="76"/>
      <c r="OBL45" s="76"/>
      <c r="OBM45" s="76"/>
      <c r="OBN45" s="76"/>
      <c r="OBO45" s="76"/>
      <c r="OBP45" s="76"/>
      <c r="OBQ45" s="76"/>
      <c r="OBR45" s="76"/>
      <c r="OBS45" s="76"/>
      <c r="OBT45" s="76"/>
      <c r="OBU45" s="76"/>
      <c r="OBV45" s="76"/>
      <c r="OBW45" s="76"/>
      <c r="OBX45" s="76"/>
      <c r="OBY45" s="76"/>
      <c r="OBZ45" s="76"/>
      <c r="OCA45" s="76"/>
      <c r="OCB45" s="76"/>
      <c r="OCC45" s="76"/>
      <c r="OCD45" s="76"/>
      <c r="OCE45" s="76"/>
      <c r="OCF45" s="76"/>
      <c r="OCG45" s="76"/>
      <c r="OCH45" s="76"/>
      <c r="OCI45" s="76"/>
      <c r="OCJ45" s="76"/>
      <c r="OCK45" s="76"/>
      <c r="OCL45" s="76"/>
      <c r="OCM45" s="76"/>
      <c r="OCN45" s="76"/>
      <c r="OCO45" s="76"/>
      <c r="OCP45" s="76"/>
      <c r="OCQ45" s="76"/>
      <c r="OCR45" s="76"/>
      <c r="OCS45" s="76"/>
      <c r="OCT45" s="76"/>
      <c r="OCU45" s="76"/>
      <c r="OCV45" s="76"/>
      <c r="OCW45" s="76"/>
      <c r="OCX45" s="76"/>
      <c r="OCY45" s="76"/>
      <c r="OCZ45" s="76"/>
      <c r="ODA45" s="76"/>
      <c r="ODB45" s="76"/>
      <c r="ODC45" s="76"/>
      <c r="ODD45" s="76"/>
      <c r="ODE45" s="76"/>
      <c r="ODF45" s="76"/>
      <c r="ODG45" s="76"/>
      <c r="ODH45" s="76"/>
      <c r="ODI45" s="76"/>
      <c r="ODJ45" s="76"/>
      <c r="ODK45" s="76"/>
      <c r="ODL45" s="76"/>
      <c r="ODM45" s="76"/>
      <c r="ODN45" s="76"/>
      <c r="ODO45" s="76"/>
      <c r="ODP45" s="76"/>
      <c r="ODQ45" s="76"/>
      <c r="ODR45" s="76"/>
      <c r="ODS45" s="76"/>
      <c r="ODT45" s="76"/>
      <c r="ODU45" s="76"/>
      <c r="ODV45" s="76"/>
      <c r="ODW45" s="76"/>
      <c r="ODX45" s="76"/>
      <c r="ODY45" s="76"/>
      <c r="ODZ45" s="76"/>
      <c r="OEA45" s="76"/>
      <c r="OEB45" s="76"/>
      <c r="OEC45" s="76"/>
      <c r="OED45" s="76"/>
      <c r="OEE45" s="76"/>
      <c r="OEF45" s="76"/>
      <c r="OEG45" s="76"/>
      <c r="OEH45" s="76"/>
      <c r="OEI45" s="76"/>
      <c r="OEJ45" s="76"/>
      <c r="OEK45" s="76"/>
      <c r="OEL45" s="76"/>
      <c r="OEM45" s="76"/>
      <c r="OEN45" s="76"/>
      <c r="OEO45" s="76"/>
      <c r="OEP45" s="76"/>
      <c r="OEQ45" s="76"/>
      <c r="OER45" s="76"/>
      <c r="OES45" s="76"/>
      <c r="OET45" s="76"/>
      <c r="OEU45" s="76"/>
      <c r="OEV45" s="76"/>
      <c r="OEW45" s="76"/>
      <c r="OEX45" s="76"/>
      <c r="OEY45" s="76"/>
      <c r="OEZ45" s="76"/>
      <c r="OFA45" s="76"/>
      <c r="OFB45" s="76"/>
      <c r="OFC45" s="76"/>
      <c r="OFD45" s="76"/>
      <c r="OFE45" s="76"/>
      <c r="OFF45" s="76"/>
      <c r="OFG45" s="76"/>
      <c r="OFH45" s="76"/>
      <c r="OFI45" s="76"/>
      <c r="OFJ45" s="76"/>
      <c r="OFK45" s="76"/>
      <c r="OFL45" s="76"/>
      <c r="OFM45" s="76"/>
      <c r="OFN45" s="76"/>
      <c r="OFO45" s="76"/>
      <c r="OFP45" s="76"/>
      <c r="OFQ45" s="76"/>
      <c r="OFR45" s="76"/>
      <c r="OFS45" s="76"/>
      <c r="OFT45" s="76"/>
      <c r="OFU45" s="76"/>
      <c r="OFV45" s="76"/>
      <c r="OFW45" s="76"/>
      <c r="OFX45" s="76"/>
      <c r="OFY45" s="76"/>
      <c r="OFZ45" s="76"/>
      <c r="OGA45" s="76"/>
      <c r="OGB45" s="76"/>
      <c r="OGC45" s="76"/>
      <c r="OGD45" s="76"/>
      <c r="OGE45" s="76"/>
      <c r="OGF45" s="76"/>
      <c r="OGG45" s="76"/>
      <c r="OGH45" s="76"/>
      <c r="OGI45" s="76"/>
      <c r="OGJ45" s="76"/>
      <c r="OGK45" s="76"/>
      <c r="OGL45" s="76"/>
      <c r="OGM45" s="76"/>
      <c r="OGN45" s="76"/>
      <c r="OGO45" s="76"/>
      <c r="OGP45" s="76"/>
      <c r="OGQ45" s="76"/>
      <c r="OGR45" s="76"/>
      <c r="OGS45" s="76"/>
      <c r="OGT45" s="76"/>
      <c r="OGU45" s="76"/>
      <c r="OGV45" s="76"/>
      <c r="OGW45" s="76"/>
      <c r="OGX45" s="76"/>
      <c r="OGY45" s="76"/>
      <c r="OGZ45" s="76"/>
      <c r="OHA45" s="76"/>
      <c r="OHB45" s="76"/>
      <c r="OHC45" s="76"/>
      <c r="OHD45" s="76"/>
      <c r="OHE45" s="76"/>
      <c r="OHF45" s="76"/>
      <c r="OHG45" s="76"/>
      <c r="OHH45" s="76"/>
      <c r="OHI45" s="76"/>
      <c r="OHJ45" s="76"/>
      <c r="OHK45" s="76"/>
      <c r="OHL45" s="76"/>
      <c r="OHM45" s="76"/>
      <c r="OHN45" s="76"/>
      <c r="OHO45" s="76"/>
      <c r="OHP45" s="76"/>
      <c r="OHQ45" s="76"/>
      <c r="OHR45" s="76"/>
      <c r="OHS45" s="76"/>
      <c r="OHT45" s="76"/>
      <c r="OHU45" s="76"/>
      <c r="OHV45" s="76"/>
      <c r="OHW45" s="76"/>
      <c r="OHX45" s="76"/>
      <c r="OHY45" s="76"/>
      <c r="OHZ45" s="76"/>
      <c r="OIA45" s="76"/>
      <c r="OIB45" s="76"/>
      <c r="OIC45" s="76"/>
      <c r="OID45" s="76"/>
      <c r="OIE45" s="76"/>
      <c r="OIF45" s="76"/>
      <c r="OIG45" s="76"/>
      <c r="OIH45" s="76"/>
      <c r="OII45" s="76"/>
      <c r="OIJ45" s="76"/>
      <c r="OIK45" s="76"/>
      <c r="OIL45" s="76"/>
      <c r="OIM45" s="76"/>
      <c r="OIN45" s="76"/>
      <c r="OIO45" s="76"/>
      <c r="OIP45" s="76"/>
      <c r="OIQ45" s="76"/>
      <c r="OIR45" s="76"/>
      <c r="OIS45" s="76"/>
      <c r="OIT45" s="76"/>
      <c r="OIU45" s="76"/>
      <c r="OIV45" s="76"/>
      <c r="OIW45" s="76"/>
      <c r="OIX45" s="76"/>
      <c r="OIY45" s="76"/>
      <c r="OIZ45" s="76"/>
      <c r="OJA45" s="76"/>
      <c r="OJB45" s="76"/>
      <c r="OJC45" s="76"/>
      <c r="OJD45" s="76"/>
      <c r="OJE45" s="76"/>
      <c r="OJF45" s="76"/>
      <c r="OJG45" s="76"/>
      <c r="OJH45" s="76"/>
      <c r="OJI45" s="76"/>
      <c r="OJJ45" s="76"/>
      <c r="OJK45" s="76"/>
      <c r="OJL45" s="76"/>
      <c r="OJM45" s="76"/>
      <c r="OJN45" s="76"/>
      <c r="OJO45" s="76"/>
      <c r="OJP45" s="76"/>
      <c r="OJQ45" s="76"/>
      <c r="OJR45" s="76"/>
      <c r="OJS45" s="76"/>
      <c r="OJT45" s="76"/>
      <c r="OJU45" s="76"/>
      <c r="OJV45" s="76"/>
      <c r="OJW45" s="76"/>
      <c r="OJX45" s="76"/>
      <c r="OJY45" s="76"/>
      <c r="OJZ45" s="76"/>
      <c r="OKA45" s="76"/>
      <c r="OKB45" s="76"/>
      <c r="OKC45" s="76"/>
      <c r="OKD45" s="76"/>
      <c r="OKE45" s="76"/>
      <c r="OKF45" s="76"/>
      <c r="OKG45" s="76"/>
      <c r="OKH45" s="76"/>
      <c r="OKI45" s="76"/>
      <c r="OKJ45" s="76"/>
      <c r="OKK45" s="76"/>
      <c r="OKL45" s="76"/>
      <c r="OKM45" s="76"/>
      <c r="OKN45" s="76"/>
      <c r="OKO45" s="76"/>
      <c r="OKP45" s="76"/>
      <c r="OKQ45" s="76"/>
      <c r="OKR45" s="76"/>
      <c r="OKS45" s="76"/>
      <c r="OKT45" s="76"/>
      <c r="OKU45" s="76"/>
      <c r="OKV45" s="76"/>
      <c r="OKW45" s="76"/>
      <c r="OKX45" s="76"/>
      <c r="OKY45" s="76"/>
      <c r="OKZ45" s="76"/>
      <c r="OLA45" s="76"/>
      <c r="OLB45" s="76"/>
      <c r="OLC45" s="76"/>
      <c r="OLD45" s="76"/>
      <c r="OLE45" s="76"/>
      <c r="OLF45" s="76"/>
      <c r="OLG45" s="76"/>
      <c r="OLH45" s="76"/>
      <c r="OLI45" s="76"/>
      <c r="OLJ45" s="76"/>
      <c r="OLK45" s="76"/>
      <c r="OLL45" s="76"/>
      <c r="OLM45" s="76"/>
      <c r="OLN45" s="76"/>
      <c r="OLO45" s="76"/>
      <c r="OLP45" s="76"/>
      <c r="OLQ45" s="76"/>
      <c r="OLR45" s="76"/>
      <c r="OLS45" s="76"/>
      <c r="OLT45" s="76"/>
      <c r="OLU45" s="76"/>
      <c r="OLV45" s="76"/>
      <c r="OLW45" s="76"/>
      <c r="OLX45" s="76"/>
      <c r="OLY45" s="76"/>
      <c r="OLZ45" s="76"/>
      <c r="OMA45" s="76"/>
      <c r="OMB45" s="76"/>
      <c r="OMC45" s="76"/>
      <c r="OMD45" s="76"/>
      <c r="OME45" s="76"/>
      <c r="OMF45" s="76"/>
      <c r="OMG45" s="76"/>
      <c r="OMH45" s="76"/>
      <c r="OMI45" s="76"/>
      <c r="OMJ45" s="76"/>
      <c r="OMK45" s="76"/>
      <c r="OML45" s="76"/>
      <c r="OMM45" s="76"/>
      <c r="OMN45" s="76"/>
      <c r="OMO45" s="76"/>
      <c r="OMP45" s="76"/>
      <c r="OMQ45" s="76"/>
      <c r="OMR45" s="76"/>
      <c r="OMS45" s="76"/>
      <c r="OMT45" s="76"/>
      <c r="OMU45" s="76"/>
      <c r="OMV45" s="76"/>
      <c r="OMW45" s="76"/>
      <c r="OMX45" s="76"/>
      <c r="OMY45" s="76"/>
      <c r="OMZ45" s="76"/>
      <c r="ONA45" s="76"/>
      <c r="ONB45" s="76"/>
      <c r="ONC45" s="76"/>
      <c r="OND45" s="76"/>
      <c r="ONE45" s="76"/>
      <c r="ONF45" s="76"/>
      <c r="ONG45" s="76"/>
      <c r="ONH45" s="76"/>
      <c r="ONI45" s="76"/>
      <c r="ONJ45" s="76"/>
      <c r="ONK45" s="76"/>
      <c r="ONL45" s="76"/>
      <c r="ONM45" s="76"/>
      <c r="ONN45" s="76"/>
      <c r="ONO45" s="76"/>
      <c r="ONP45" s="76"/>
      <c r="ONQ45" s="76"/>
      <c r="ONR45" s="76"/>
      <c r="ONS45" s="76"/>
      <c r="ONT45" s="76"/>
      <c r="ONU45" s="76"/>
      <c r="ONV45" s="76"/>
      <c r="ONW45" s="76"/>
      <c r="ONX45" s="76"/>
      <c r="ONY45" s="76"/>
      <c r="ONZ45" s="76"/>
      <c r="OOA45" s="76"/>
      <c r="OOB45" s="76"/>
      <c r="OOC45" s="76"/>
      <c r="OOD45" s="76"/>
      <c r="OOE45" s="76"/>
      <c r="OOF45" s="76"/>
      <c r="OOG45" s="76"/>
      <c r="OOH45" s="76"/>
      <c r="OOI45" s="76"/>
      <c r="OOJ45" s="76"/>
      <c r="OOK45" s="76"/>
      <c r="OOL45" s="76"/>
      <c r="OOM45" s="76"/>
      <c r="OON45" s="76"/>
      <c r="OOO45" s="76"/>
      <c r="OOP45" s="76"/>
      <c r="OOQ45" s="76"/>
      <c r="OOR45" s="76"/>
      <c r="OOS45" s="76"/>
      <c r="OOT45" s="76"/>
      <c r="OOU45" s="76"/>
      <c r="OOV45" s="76"/>
      <c r="OOW45" s="76"/>
      <c r="OOX45" s="76"/>
      <c r="OOY45" s="76"/>
      <c r="OOZ45" s="76"/>
      <c r="OPA45" s="76"/>
      <c r="OPB45" s="76"/>
      <c r="OPC45" s="76"/>
      <c r="OPD45" s="76"/>
      <c r="OPE45" s="76"/>
      <c r="OPF45" s="76"/>
      <c r="OPG45" s="76"/>
      <c r="OPH45" s="76"/>
      <c r="OPI45" s="76"/>
      <c r="OPJ45" s="76"/>
      <c r="OPK45" s="76"/>
      <c r="OPL45" s="76"/>
      <c r="OPM45" s="76"/>
      <c r="OPN45" s="76"/>
      <c r="OPO45" s="76"/>
      <c r="OPP45" s="76"/>
      <c r="OPQ45" s="76"/>
      <c r="OPR45" s="76"/>
      <c r="OPS45" s="76"/>
      <c r="OPT45" s="76"/>
      <c r="OPU45" s="76"/>
      <c r="OPV45" s="76"/>
      <c r="OPW45" s="76"/>
      <c r="OPX45" s="76"/>
      <c r="OPY45" s="76"/>
      <c r="OPZ45" s="76"/>
      <c r="OQA45" s="76"/>
      <c r="OQB45" s="76"/>
      <c r="OQC45" s="76"/>
      <c r="OQD45" s="76"/>
      <c r="OQE45" s="76"/>
      <c r="OQF45" s="76"/>
      <c r="OQG45" s="76"/>
      <c r="OQH45" s="76"/>
      <c r="OQI45" s="76"/>
      <c r="OQJ45" s="76"/>
      <c r="OQK45" s="76"/>
      <c r="OQL45" s="76"/>
      <c r="OQM45" s="76"/>
      <c r="OQN45" s="76"/>
      <c r="OQO45" s="76"/>
      <c r="OQP45" s="76"/>
      <c r="OQQ45" s="76"/>
      <c r="OQR45" s="76"/>
      <c r="OQS45" s="76"/>
      <c r="OQT45" s="76"/>
      <c r="OQU45" s="76"/>
      <c r="OQV45" s="76"/>
      <c r="OQW45" s="76"/>
      <c r="OQX45" s="76"/>
      <c r="OQY45" s="76"/>
      <c r="OQZ45" s="76"/>
      <c r="ORA45" s="76"/>
      <c r="ORB45" s="76"/>
      <c r="ORC45" s="76"/>
      <c r="ORD45" s="76"/>
      <c r="ORE45" s="76"/>
      <c r="ORF45" s="76"/>
      <c r="ORG45" s="76"/>
      <c r="ORH45" s="76"/>
      <c r="ORI45" s="76"/>
      <c r="ORJ45" s="76"/>
      <c r="ORK45" s="76"/>
      <c r="ORL45" s="76"/>
      <c r="ORM45" s="76"/>
      <c r="ORN45" s="76"/>
      <c r="ORO45" s="76"/>
      <c r="ORP45" s="76"/>
      <c r="ORQ45" s="76"/>
      <c r="ORR45" s="76"/>
      <c r="ORS45" s="76"/>
      <c r="ORT45" s="76"/>
      <c r="ORU45" s="76"/>
      <c r="ORV45" s="76"/>
      <c r="ORW45" s="76"/>
      <c r="ORX45" s="76"/>
      <c r="ORY45" s="76"/>
      <c r="ORZ45" s="76"/>
      <c r="OSA45" s="76"/>
      <c r="OSB45" s="76"/>
      <c r="OSC45" s="76"/>
      <c r="OSD45" s="76"/>
      <c r="OSE45" s="76"/>
      <c r="OSF45" s="76"/>
      <c r="OSG45" s="76"/>
      <c r="OSH45" s="76"/>
      <c r="OSI45" s="76"/>
      <c r="OSJ45" s="76"/>
      <c r="OSK45" s="76"/>
      <c r="OSL45" s="76"/>
      <c r="OSM45" s="76"/>
      <c r="OSN45" s="76"/>
      <c r="OSO45" s="76"/>
      <c r="OSP45" s="76"/>
      <c r="OSQ45" s="76"/>
      <c r="OSR45" s="76"/>
      <c r="OSS45" s="76"/>
      <c r="OST45" s="76"/>
      <c r="OSU45" s="76"/>
      <c r="OSV45" s="76"/>
      <c r="OSW45" s="76"/>
      <c r="OSX45" s="76"/>
      <c r="OSY45" s="76"/>
      <c r="OSZ45" s="76"/>
      <c r="OTA45" s="76"/>
      <c r="OTB45" s="76"/>
      <c r="OTC45" s="76"/>
      <c r="OTD45" s="76"/>
      <c r="OTE45" s="76"/>
      <c r="OTF45" s="76"/>
      <c r="OTG45" s="76"/>
      <c r="OTH45" s="76"/>
      <c r="OTI45" s="76"/>
      <c r="OTJ45" s="76"/>
      <c r="OTK45" s="76"/>
      <c r="OTL45" s="76"/>
      <c r="OTM45" s="76"/>
      <c r="OTN45" s="76"/>
      <c r="OTO45" s="76"/>
      <c r="OTP45" s="76"/>
      <c r="OTQ45" s="76"/>
      <c r="OTR45" s="76"/>
      <c r="OTS45" s="76"/>
      <c r="OTT45" s="76"/>
      <c r="OTU45" s="76"/>
      <c r="OTV45" s="76"/>
      <c r="OTW45" s="76"/>
      <c r="OTX45" s="76"/>
      <c r="OTY45" s="76"/>
      <c r="OTZ45" s="76"/>
      <c r="OUA45" s="76"/>
      <c r="OUB45" s="76"/>
      <c r="OUC45" s="76"/>
      <c r="OUD45" s="76"/>
      <c r="OUE45" s="76"/>
      <c r="OUF45" s="76"/>
      <c r="OUG45" s="76"/>
      <c r="OUH45" s="76"/>
      <c r="OUI45" s="76"/>
      <c r="OUJ45" s="76"/>
      <c r="OUK45" s="76"/>
      <c r="OUL45" s="76"/>
      <c r="OUM45" s="76"/>
      <c r="OUN45" s="76"/>
      <c r="OUO45" s="76"/>
      <c r="OUP45" s="76"/>
      <c r="OUQ45" s="76"/>
      <c r="OUR45" s="76"/>
      <c r="OUS45" s="76"/>
      <c r="OUT45" s="76"/>
      <c r="OUU45" s="76"/>
      <c r="OUV45" s="76"/>
      <c r="OUW45" s="76"/>
      <c r="OUX45" s="76"/>
      <c r="OUY45" s="76"/>
      <c r="OUZ45" s="76"/>
      <c r="OVA45" s="76"/>
      <c r="OVB45" s="76"/>
      <c r="OVC45" s="76"/>
      <c r="OVD45" s="76"/>
      <c r="OVE45" s="76"/>
      <c r="OVF45" s="76"/>
      <c r="OVG45" s="76"/>
      <c r="OVH45" s="76"/>
      <c r="OVI45" s="76"/>
      <c r="OVJ45" s="76"/>
      <c r="OVK45" s="76"/>
      <c r="OVL45" s="76"/>
      <c r="OVM45" s="76"/>
      <c r="OVN45" s="76"/>
      <c r="OVO45" s="76"/>
      <c r="OVP45" s="76"/>
      <c r="OVQ45" s="76"/>
      <c r="OVR45" s="76"/>
      <c r="OVS45" s="76"/>
      <c r="OVT45" s="76"/>
      <c r="OVU45" s="76"/>
      <c r="OVV45" s="76"/>
      <c r="OVW45" s="76"/>
      <c r="OVX45" s="76"/>
      <c r="OVY45" s="76"/>
      <c r="OVZ45" s="76"/>
      <c r="OWA45" s="76"/>
      <c r="OWB45" s="76"/>
      <c r="OWC45" s="76"/>
      <c r="OWD45" s="76"/>
      <c r="OWE45" s="76"/>
      <c r="OWF45" s="76"/>
      <c r="OWG45" s="76"/>
      <c r="OWH45" s="76"/>
      <c r="OWI45" s="76"/>
      <c r="OWJ45" s="76"/>
      <c r="OWK45" s="76"/>
      <c r="OWL45" s="76"/>
      <c r="OWM45" s="76"/>
      <c r="OWN45" s="76"/>
      <c r="OWO45" s="76"/>
      <c r="OWP45" s="76"/>
      <c r="OWQ45" s="76"/>
      <c r="OWR45" s="76"/>
      <c r="OWS45" s="76"/>
      <c r="OWT45" s="76"/>
      <c r="OWU45" s="76"/>
      <c r="OWV45" s="76"/>
      <c r="OWW45" s="76"/>
      <c r="OWX45" s="76"/>
      <c r="OWY45" s="76"/>
      <c r="OWZ45" s="76"/>
      <c r="OXA45" s="76"/>
      <c r="OXB45" s="76"/>
      <c r="OXC45" s="76"/>
      <c r="OXD45" s="76"/>
      <c r="OXE45" s="76"/>
      <c r="OXF45" s="76"/>
      <c r="OXG45" s="76"/>
      <c r="OXH45" s="76"/>
      <c r="OXI45" s="76"/>
      <c r="OXJ45" s="76"/>
      <c r="OXK45" s="76"/>
      <c r="OXL45" s="76"/>
      <c r="OXM45" s="76"/>
      <c r="OXN45" s="76"/>
      <c r="OXO45" s="76"/>
      <c r="OXP45" s="76"/>
      <c r="OXQ45" s="76"/>
      <c r="OXR45" s="76"/>
      <c r="OXS45" s="76"/>
      <c r="OXT45" s="76"/>
      <c r="OXU45" s="76"/>
      <c r="OXV45" s="76"/>
      <c r="OXW45" s="76"/>
      <c r="OXX45" s="76"/>
      <c r="OXY45" s="76"/>
      <c r="OXZ45" s="76"/>
      <c r="OYA45" s="76"/>
      <c r="OYB45" s="76"/>
      <c r="OYC45" s="76"/>
      <c r="OYD45" s="76"/>
      <c r="OYE45" s="76"/>
      <c r="OYF45" s="76"/>
      <c r="OYG45" s="76"/>
      <c r="OYH45" s="76"/>
      <c r="OYI45" s="76"/>
      <c r="OYJ45" s="76"/>
      <c r="OYK45" s="76"/>
      <c r="OYL45" s="76"/>
      <c r="OYM45" s="76"/>
      <c r="OYN45" s="76"/>
      <c r="OYO45" s="76"/>
      <c r="OYP45" s="76"/>
      <c r="OYQ45" s="76"/>
      <c r="OYR45" s="76"/>
      <c r="OYS45" s="76"/>
      <c r="OYT45" s="76"/>
      <c r="OYU45" s="76"/>
      <c r="OYV45" s="76"/>
      <c r="OYW45" s="76"/>
      <c r="OYX45" s="76"/>
      <c r="OYY45" s="76"/>
      <c r="OYZ45" s="76"/>
      <c r="OZA45" s="76"/>
      <c r="OZB45" s="76"/>
      <c r="OZC45" s="76"/>
      <c r="OZD45" s="76"/>
      <c r="OZE45" s="76"/>
      <c r="OZF45" s="76"/>
      <c r="OZG45" s="76"/>
      <c r="OZH45" s="76"/>
      <c r="OZI45" s="76"/>
      <c r="OZJ45" s="76"/>
      <c r="OZK45" s="76"/>
      <c r="OZL45" s="76"/>
      <c r="OZM45" s="76"/>
      <c r="OZN45" s="76"/>
      <c r="OZO45" s="76"/>
      <c r="OZP45" s="76"/>
      <c r="OZQ45" s="76"/>
      <c r="OZR45" s="76"/>
      <c r="OZS45" s="76"/>
      <c r="OZT45" s="76"/>
      <c r="OZU45" s="76"/>
      <c r="OZV45" s="76"/>
      <c r="OZW45" s="76"/>
      <c r="OZX45" s="76"/>
      <c r="OZY45" s="76"/>
      <c r="OZZ45" s="76"/>
      <c r="PAA45" s="76"/>
      <c r="PAB45" s="76"/>
      <c r="PAC45" s="76"/>
      <c r="PAD45" s="76"/>
      <c r="PAE45" s="76"/>
      <c r="PAF45" s="76"/>
      <c r="PAG45" s="76"/>
      <c r="PAH45" s="76"/>
      <c r="PAI45" s="76"/>
      <c r="PAJ45" s="76"/>
      <c r="PAK45" s="76"/>
      <c r="PAL45" s="76"/>
      <c r="PAM45" s="76"/>
      <c r="PAN45" s="76"/>
      <c r="PAO45" s="76"/>
      <c r="PAP45" s="76"/>
      <c r="PAQ45" s="76"/>
      <c r="PAR45" s="76"/>
      <c r="PAS45" s="76"/>
      <c r="PAT45" s="76"/>
      <c r="PAU45" s="76"/>
      <c r="PAV45" s="76"/>
      <c r="PAW45" s="76"/>
      <c r="PAX45" s="76"/>
      <c r="PAY45" s="76"/>
      <c r="PAZ45" s="76"/>
      <c r="PBA45" s="76"/>
      <c r="PBB45" s="76"/>
      <c r="PBC45" s="76"/>
      <c r="PBD45" s="76"/>
      <c r="PBE45" s="76"/>
      <c r="PBF45" s="76"/>
      <c r="PBG45" s="76"/>
      <c r="PBH45" s="76"/>
      <c r="PBI45" s="76"/>
      <c r="PBJ45" s="76"/>
      <c r="PBK45" s="76"/>
      <c r="PBL45" s="76"/>
      <c r="PBM45" s="76"/>
      <c r="PBN45" s="76"/>
      <c r="PBO45" s="76"/>
      <c r="PBP45" s="76"/>
      <c r="PBQ45" s="76"/>
      <c r="PBR45" s="76"/>
      <c r="PBS45" s="76"/>
      <c r="PBT45" s="76"/>
      <c r="PBU45" s="76"/>
      <c r="PBV45" s="76"/>
      <c r="PBW45" s="76"/>
      <c r="PBX45" s="76"/>
      <c r="PBY45" s="76"/>
      <c r="PBZ45" s="76"/>
      <c r="PCA45" s="76"/>
      <c r="PCB45" s="76"/>
      <c r="PCC45" s="76"/>
      <c r="PCD45" s="76"/>
      <c r="PCE45" s="76"/>
      <c r="PCF45" s="76"/>
      <c r="PCG45" s="76"/>
      <c r="PCH45" s="76"/>
      <c r="PCI45" s="76"/>
      <c r="PCJ45" s="76"/>
      <c r="PCK45" s="76"/>
      <c r="PCL45" s="76"/>
      <c r="PCM45" s="76"/>
      <c r="PCN45" s="76"/>
      <c r="PCO45" s="76"/>
      <c r="PCP45" s="76"/>
      <c r="PCQ45" s="76"/>
      <c r="PCR45" s="76"/>
      <c r="PCS45" s="76"/>
      <c r="PCT45" s="76"/>
      <c r="PCU45" s="76"/>
      <c r="PCV45" s="76"/>
      <c r="PCW45" s="76"/>
      <c r="PCX45" s="76"/>
      <c r="PCY45" s="76"/>
      <c r="PCZ45" s="76"/>
      <c r="PDA45" s="76"/>
      <c r="PDB45" s="76"/>
      <c r="PDC45" s="76"/>
      <c r="PDD45" s="76"/>
      <c r="PDE45" s="76"/>
      <c r="PDF45" s="76"/>
      <c r="PDG45" s="76"/>
      <c r="PDH45" s="76"/>
      <c r="PDI45" s="76"/>
      <c r="PDJ45" s="76"/>
      <c r="PDK45" s="76"/>
      <c r="PDL45" s="76"/>
      <c r="PDM45" s="76"/>
      <c r="PDN45" s="76"/>
      <c r="PDO45" s="76"/>
      <c r="PDP45" s="76"/>
      <c r="PDQ45" s="76"/>
      <c r="PDR45" s="76"/>
      <c r="PDS45" s="76"/>
      <c r="PDT45" s="76"/>
      <c r="PDU45" s="76"/>
      <c r="PDV45" s="76"/>
      <c r="PDW45" s="76"/>
      <c r="PDX45" s="76"/>
      <c r="PDY45" s="76"/>
      <c r="PDZ45" s="76"/>
      <c r="PEA45" s="76"/>
      <c r="PEB45" s="76"/>
      <c r="PEC45" s="76"/>
      <c r="PED45" s="76"/>
      <c r="PEE45" s="76"/>
      <c r="PEF45" s="76"/>
      <c r="PEG45" s="76"/>
      <c r="PEH45" s="76"/>
      <c r="PEI45" s="76"/>
      <c r="PEJ45" s="76"/>
      <c r="PEK45" s="76"/>
      <c r="PEL45" s="76"/>
      <c r="PEM45" s="76"/>
      <c r="PEN45" s="76"/>
      <c r="PEO45" s="76"/>
      <c r="PEP45" s="76"/>
      <c r="PEQ45" s="76"/>
      <c r="PER45" s="76"/>
      <c r="PES45" s="76"/>
      <c r="PET45" s="76"/>
      <c r="PEU45" s="76"/>
      <c r="PEV45" s="76"/>
      <c r="PEW45" s="76"/>
      <c r="PEX45" s="76"/>
      <c r="PEY45" s="76"/>
      <c r="PEZ45" s="76"/>
      <c r="PFA45" s="76"/>
      <c r="PFB45" s="76"/>
      <c r="PFC45" s="76"/>
      <c r="PFD45" s="76"/>
      <c r="PFE45" s="76"/>
      <c r="PFF45" s="76"/>
      <c r="PFG45" s="76"/>
      <c r="PFH45" s="76"/>
      <c r="PFI45" s="76"/>
      <c r="PFJ45" s="76"/>
      <c r="PFK45" s="76"/>
      <c r="PFL45" s="76"/>
      <c r="PFM45" s="76"/>
      <c r="PFN45" s="76"/>
      <c r="PFO45" s="76"/>
      <c r="PFP45" s="76"/>
      <c r="PFQ45" s="76"/>
      <c r="PFR45" s="76"/>
      <c r="PFS45" s="76"/>
      <c r="PFT45" s="76"/>
      <c r="PFU45" s="76"/>
      <c r="PFV45" s="76"/>
      <c r="PFW45" s="76"/>
      <c r="PFX45" s="76"/>
      <c r="PFY45" s="76"/>
      <c r="PFZ45" s="76"/>
      <c r="PGA45" s="76"/>
      <c r="PGB45" s="76"/>
      <c r="PGC45" s="76"/>
      <c r="PGD45" s="76"/>
      <c r="PGE45" s="76"/>
      <c r="PGF45" s="76"/>
      <c r="PGG45" s="76"/>
      <c r="PGH45" s="76"/>
      <c r="PGI45" s="76"/>
      <c r="PGJ45" s="76"/>
      <c r="PGK45" s="76"/>
      <c r="PGL45" s="76"/>
      <c r="PGM45" s="76"/>
      <c r="PGN45" s="76"/>
      <c r="PGO45" s="76"/>
      <c r="PGP45" s="76"/>
      <c r="PGQ45" s="76"/>
      <c r="PGR45" s="76"/>
      <c r="PGS45" s="76"/>
      <c r="PGT45" s="76"/>
      <c r="PGU45" s="76"/>
      <c r="PGV45" s="76"/>
      <c r="PGW45" s="76"/>
      <c r="PGX45" s="76"/>
      <c r="PGY45" s="76"/>
      <c r="PGZ45" s="76"/>
      <c r="PHA45" s="76"/>
      <c r="PHB45" s="76"/>
      <c r="PHC45" s="76"/>
      <c r="PHD45" s="76"/>
      <c r="PHE45" s="76"/>
      <c r="PHF45" s="76"/>
      <c r="PHG45" s="76"/>
      <c r="PHH45" s="76"/>
      <c r="PHI45" s="76"/>
      <c r="PHJ45" s="76"/>
      <c r="PHK45" s="76"/>
      <c r="PHL45" s="76"/>
      <c r="PHM45" s="76"/>
      <c r="PHN45" s="76"/>
      <c r="PHO45" s="76"/>
      <c r="PHP45" s="76"/>
      <c r="PHQ45" s="76"/>
      <c r="PHR45" s="76"/>
      <c r="PHS45" s="76"/>
      <c r="PHT45" s="76"/>
      <c r="PHU45" s="76"/>
      <c r="PHV45" s="76"/>
      <c r="PHW45" s="76"/>
      <c r="PHX45" s="76"/>
      <c r="PHY45" s="76"/>
      <c r="PHZ45" s="76"/>
      <c r="PIA45" s="76"/>
      <c r="PIB45" s="76"/>
      <c r="PIC45" s="76"/>
      <c r="PID45" s="76"/>
      <c r="PIE45" s="76"/>
      <c r="PIF45" s="76"/>
      <c r="PIG45" s="76"/>
      <c r="PIH45" s="76"/>
      <c r="PII45" s="76"/>
      <c r="PIJ45" s="76"/>
      <c r="PIK45" s="76"/>
      <c r="PIL45" s="76"/>
      <c r="PIM45" s="76"/>
      <c r="PIN45" s="76"/>
      <c r="PIO45" s="76"/>
      <c r="PIP45" s="76"/>
      <c r="PIQ45" s="76"/>
      <c r="PIR45" s="76"/>
      <c r="PIS45" s="76"/>
      <c r="PIT45" s="76"/>
      <c r="PIU45" s="76"/>
      <c r="PIV45" s="76"/>
      <c r="PIW45" s="76"/>
      <c r="PIX45" s="76"/>
      <c r="PIY45" s="76"/>
      <c r="PIZ45" s="76"/>
      <c r="PJA45" s="76"/>
      <c r="PJB45" s="76"/>
      <c r="PJC45" s="76"/>
      <c r="PJD45" s="76"/>
      <c r="PJE45" s="76"/>
      <c r="PJF45" s="76"/>
      <c r="PJG45" s="76"/>
      <c r="PJH45" s="76"/>
      <c r="PJI45" s="76"/>
      <c r="PJJ45" s="76"/>
      <c r="PJK45" s="76"/>
      <c r="PJL45" s="76"/>
      <c r="PJM45" s="76"/>
      <c r="PJN45" s="76"/>
      <c r="PJO45" s="76"/>
      <c r="PJP45" s="76"/>
      <c r="PJQ45" s="76"/>
      <c r="PJR45" s="76"/>
      <c r="PJS45" s="76"/>
      <c r="PJT45" s="76"/>
      <c r="PJU45" s="76"/>
      <c r="PJV45" s="76"/>
      <c r="PJW45" s="76"/>
      <c r="PJX45" s="76"/>
      <c r="PJY45" s="76"/>
      <c r="PJZ45" s="76"/>
      <c r="PKA45" s="76"/>
      <c r="PKB45" s="76"/>
      <c r="PKC45" s="76"/>
      <c r="PKD45" s="76"/>
      <c r="PKE45" s="76"/>
      <c r="PKF45" s="76"/>
      <c r="PKG45" s="76"/>
      <c r="PKH45" s="76"/>
      <c r="PKI45" s="76"/>
      <c r="PKJ45" s="76"/>
      <c r="PKK45" s="76"/>
      <c r="PKL45" s="76"/>
      <c r="PKM45" s="76"/>
      <c r="PKN45" s="76"/>
      <c r="PKO45" s="76"/>
      <c r="PKP45" s="76"/>
      <c r="PKQ45" s="76"/>
      <c r="PKR45" s="76"/>
      <c r="PKS45" s="76"/>
      <c r="PKT45" s="76"/>
      <c r="PKU45" s="76"/>
      <c r="PKV45" s="76"/>
      <c r="PKW45" s="76"/>
      <c r="PKX45" s="76"/>
      <c r="PKY45" s="76"/>
      <c r="PKZ45" s="76"/>
      <c r="PLA45" s="76"/>
      <c r="PLB45" s="76"/>
      <c r="PLC45" s="76"/>
      <c r="PLD45" s="76"/>
      <c r="PLE45" s="76"/>
      <c r="PLF45" s="76"/>
      <c r="PLG45" s="76"/>
      <c r="PLH45" s="76"/>
      <c r="PLI45" s="76"/>
      <c r="PLJ45" s="76"/>
      <c r="PLK45" s="76"/>
      <c r="PLL45" s="76"/>
      <c r="PLM45" s="76"/>
      <c r="PLN45" s="76"/>
      <c r="PLO45" s="76"/>
      <c r="PLP45" s="76"/>
      <c r="PLQ45" s="76"/>
      <c r="PLR45" s="76"/>
      <c r="PLS45" s="76"/>
      <c r="PLT45" s="76"/>
      <c r="PLU45" s="76"/>
      <c r="PLV45" s="76"/>
      <c r="PLW45" s="76"/>
      <c r="PLX45" s="76"/>
      <c r="PLY45" s="76"/>
      <c r="PLZ45" s="76"/>
      <c r="PMA45" s="76"/>
      <c r="PMB45" s="76"/>
      <c r="PMC45" s="76"/>
      <c r="PMD45" s="76"/>
      <c r="PME45" s="76"/>
      <c r="PMF45" s="76"/>
      <c r="PMG45" s="76"/>
      <c r="PMH45" s="76"/>
      <c r="PMI45" s="76"/>
      <c r="PMJ45" s="76"/>
      <c r="PMK45" s="76"/>
      <c r="PML45" s="76"/>
      <c r="PMM45" s="76"/>
      <c r="PMN45" s="76"/>
      <c r="PMO45" s="76"/>
      <c r="PMP45" s="76"/>
      <c r="PMQ45" s="76"/>
      <c r="PMR45" s="76"/>
      <c r="PMS45" s="76"/>
      <c r="PMT45" s="76"/>
      <c r="PMU45" s="76"/>
      <c r="PMV45" s="76"/>
      <c r="PMW45" s="76"/>
      <c r="PMX45" s="76"/>
      <c r="PMY45" s="76"/>
      <c r="PMZ45" s="76"/>
      <c r="PNA45" s="76"/>
      <c r="PNB45" s="76"/>
      <c r="PNC45" s="76"/>
      <c r="PND45" s="76"/>
      <c r="PNE45" s="76"/>
      <c r="PNF45" s="76"/>
      <c r="PNG45" s="76"/>
      <c r="PNH45" s="76"/>
      <c r="PNI45" s="76"/>
      <c r="PNJ45" s="76"/>
      <c r="PNK45" s="76"/>
      <c r="PNL45" s="76"/>
      <c r="PNM45" s="76"/>
      <c r="PNN45" s="76"/>
      <c r="PNO45" s="76"/>
      <c r="PNP45" s="76"/>
      <c r="PNQ45" s="76"/>
      <c r="PNR45" s="76"/>
      <c r="PNS45" s="76"/>
      <c r="PNT45" s="76"/>
      <c r="PNU45" s="76"/>
      <c r="PNV45" s="76"/>
      <c r="PNW45" s="76"/>
      <c r="PNX45" s="76"/>
      <c r="PNY45" s="76"/>
      <c r="PNZ45" s="76"/>
      <c r="POA45" s="76"/>
      <c r="POB45" s="76"/>
      <c r="POC45" s="76"/>
      <c r="POD45" s="76"/>
      <c r="POE45" s="76"/>
      <c r="POF45" s="76"/>
      <c r="POG45" s="76"/>
      <c r="POH45" s="76"/>
      <c r="POI45" s="76"/>
      <c r="POJ45" s="76"/>
      <c r="POK45" s="76"/>
      <c r="POL45" s="76"/>
      <c r="POM45" s="76"/>
      <c r="PON45" s="76"/>
      <c r="POO45" s="76"/>
      <c r="POP45" s="76"/>
      <c r="POQ45" s="76"/>
      <c r="POR45" s="76"/>
      <c r="POS45" s="76"/>
      <c r="POT45" s="76"/>
      <c r="POU45" s="76"/>
      <c r="POV45" s="76"/>
      <c r="POW45" s="76"/>
      <c r="POX45" s="76"/>
      <c r="POY45" s="76"/>
      <c r="POZ45" s="76"/>
      <c r="PPA45" s="76"/>
      <c r="PPB45" s="76"/>
      <c r="PPC45" s="76"/>
      <c r="PPD45" s="76"/>
      <c r="PPE45" s="76"/>
      <c r="PPF45" s="76"/>
      <c r="PPG45" s="76"/>
      <c r="PPH45" s="76"/>
      <c r="PPI45" s="76"/>
      <c r="PPJ45" s="76"/>
      <c r="PPK45" s="76"/>
      <c r="PPL45" s="76"/>
      <c r="PPM45" s="76"/>
      <c r="PPN45" s="76"/>
      <c r="PPO45" s="76"/>
      <c r="PPP45" s="76"/>
      <c r="PPQ45" s="76"/>
      <c r="PPR45" s="76"/>
      <c r="PPS45" s="76"/>
      <c r="PPT45" s="76"/>
      <c r="PPU45" s="76"/>
      <c r="PPV45" s="76"/>
      <c r="PPW45" s="76"/>
      <c r="PPX45" s="76"/>
      <c r="PPY45" s="76"/>
      <c r="PPZ45" s="76"/>
      <c r="PQA45" s="76"/>
      <c r="PQB45" s="76"/>
      <c r="PQC45" s="76"/>
      <c r="PQD45" s="76"/>
      <c r="PQE45" s="76"/>
      <c r="PQF45" s="76"/>
      <c r="PQG45" s="76"/>
      <c r="PQH45" s="76"/>
      <c r="PQI45" s="76"/>
      <c r="PQJ45" s="76"/>
      <c r="PQK45" s="76"/>
      <c r="PQL45" s="76"/>
      <c r="PQM45" s="76"/>
      <c r="PQN45" s="76"/>
      <c r="PQO45" s="76"/>
      <c r="PQP45" s="76"/>
      <c r="PQQ45" s="76"/>
      <c r="PQR45" s="76"/>
      <c r="PQS45" s="76"/>
      <c r="PQT45" s="76"/>
      <c r="PQU45" s="76"/>
      <c r="PQV45" s="76"/>
      <c r="PQW45" s="76"/>
      <c r="PQX45" s="76"/>
      <c r="PQY45" s="76"/>
      <c r="PQZ45" s="76"/>
      <c r="PRA45" s="76"/>
      <c r="PRB45" s="76"/>
      <c r="PRC45" s="76"/>
      <c r="PRD45" s="76"/>
      <c r="PRE45" s="76"/>
      <c r="PRF45" s="76"/>
      <c r="PRG45" s="76"/>
      <c r="PRH45" s="76"/>
      <c r="PRI45" s="76"/>
      <c r="PRJ45" s="76"/>
      <c r="PRK45" s="76"/>
      <c r="PRL45" s="76"/>
      <c r="PRM45" s="76"/>
      <c r="PRN45" s="76"/>
      <c r="PRO45" s="76"/>
      <c r="PRP45" s="76"/>
      <c r="PRQ45" s="76"/>
      <c r="PRR45" s="76"/>
      <c r="PRS45" s="76"/>
      <c r="PRT45" s="76"/>
      <c r="PRU45" s="76"/>
      <c r="PRV45" s="76"/>
      <c r="PRW45" s="76"/>
      <c r="PRX45" s="76"/>
      <c r="PRY45" s="76"/>
      <c r="PRZ45" s="76"/>
      <c r="PSA45" s="76"/>
      <c r="PSB45" s="76"/>
      <c r="PSC45" s="76"/>
      <c r="PSD45" s="76"/>
      <c r="PSE45" s="76"/>
      <c r="PSF45" s="76"/>
      <c r="PSG45" s="76"/>
      <c r="PSH45" s="76"/>
      <c r="PSI45" s="76"/>
      <c r="PSJ45" s="76"/>
      <c r="PSK45" s="76"/>
      <c r="PSL45" s="76"/>
      <c r="PSM45" s="76"/>
      <c r="PSN45" s="76"/>
      <c r="PSO45" s="76"/>
      <c r="PSP45" s="76"/>
      <c r="PSQ45" s="76"/>
      <c r="PSR45" s="76"/>
      <c r="PSS45" s="76"/>
      <c r="PST45" s="76"/>
      <c r="PSU45" s="76"/>
      <c r="PSV45" s="76"/>
      <c r="PSW45" s="76"/>
      <c r="PSX45" s="76"/>
      <c r="PSY45" s="76"/>
      <c r="PSZ45" s="76"/>
      <c r="PTA45" s="76"/>
      <c r="PTB45" s="76"/>
      <c r="PTC45" s="76"/>
      <c r="PTD45" s="76"/>
      <c r="PTE45" s="76"/>
      <c r="PTF45" s="76"/>
      <c r="PTG45" s="76"/>
      <c r="PTH45" s="76"/>
      <c r="PTI45" s="76"/>
      <c r="PTJ45" s="76"/>
      <c r="PTK45" s="76"/>
      <c r="PTL45" s="76"/>
      <c r="PTM45" s="76"/>
      <c r="PTN45" s="76"/>
      <c r="PTO45" s="76"/>
      <c r="PTP45" s="76"/>
      <c r="PTQ45" s="76"/>
      <c r="PTR45" s="76"/>
      <c r="PTS45" s="76"/>
      <c r="PTT45" s="76"/>
      <c r="PTU45" s="76"/>
      <c r="PTV45" s="76"/>
      <c r="PTW45" s="76"/>
      <c r="PTX45" s="76"/>
      <c r="PTY45" s="76"/>
      <c r="PTZ45" s="76"/>
      <c r="PUA45" s="76"/>
      <c r="PUB45" s="76"/>
      <c r="PUC45" s="76"/>
      <c r="PUD45" s="76"/>
      <c r="PUE45" s="76"/>
      <c r="PUF45" s="76"/>
      <c r="PUG45" s="76"/>
      <c r="PUH45" s="76"/>
      <c r="PUI45" s="76"/>
      <c r="PUJ45" s="76"/>
      <c r="PUK45" s="76"/>
      <c r="PUL45" s="76"/>
      <c r="PUM45" s="76"/>
      <c r="PUN45" s="76"/>
      <c r="PUO45" s="76"/>
      <c r="PUP45" s="76"/>
      <c r="PUQ45" s="76"/>
      <c r="PUR45" s="76"/>
      <c r="PUS45" s="76"/>
      <c r="PUT45" s="76"/>
      <c r="PUU45" s="76"/>
      <c r="PUV45" s="76"/>
      <c r="PUW45" s="76"/>
      <c r="PUX45" s="76"/>
      <c r="PUY45" s="76"/>
      <c r="PUZ45" s="76"/>
      <c r="PVA45" s="76"/>
      <c r="PVB45" s="76"/>
      <c r="PVC45" s="76"/>
      <c r="PVD45" s="76"/>
      <c r="PVE45" s="76"/>
      <c r="PVF45" s="76"/>
      <c r="PVG45" s="76"/>
      <c r="PVH45" s="76"/>
      <c r="PVI45" s="76"/>
      <c r="PVJ45" s="76"/>
      <c r="PVK45" s="76"/>
      <c r="PVL45" s="76"/>
      <c r="PVM45" s="76"/>
      <c r="PVN45" s="76"/>
      <c r="PVO45" s="76"/>
      <c r="PVP45" s="76"/>
      <c r="PVQ45" s="76"/>
      <c r="PVR45" s="76"/>
      <c r="PVS45" s="76"/>
      <c r="PVT45" s="76"/>
      <c r="PVU45" s="76"/>
      <c r="PVV45" s="76"/>
      <c r="PVW45" s="76"/>
      <c r="PVX45" s="76"/>
      <c r="PVY45" s="76"/>
      <c r="PVZ45" s="76"/>
      <c r="PWA45" s="76"/>
      <c r="PWB45" s="76"/>
      <c r="PWC45" s="76"/>
      <c r="PWD45" s="76"/>
      <c r="PWE45" s="76"/>
      <c r="PWF45" s="76"/>
      <c r="PWG45" s="76"/>
      <c r="PWH45" s="76"/>
      <c r="PWI45" s="76"/>
      <c r="PWJ45" s="76"/>
      <c r="PWK45" s="76"/>
      <c r="PWL45" s="76"/>
      <c r="PWM45" s="76"/>
      <c r="PWN45" s="76"/>
      <c r="PWO45" s="76"/>
      <c r="PWP45" s="76"/>
      <c r="PWQ45" s="76"/>
      <c r="PWR45" s="76"/>
      <c r="PWS45" s="76"/>
      <c r="PWT45" s="76"/>
      <c r="PWU45" s="76"/>
      <c r="PWV45" s="76"/>
      <c r="PWW45" s="76"/>
      <c r="PWX45" s="76"/>
      <c r="PWY45" s="76"/>
      <c r="PWZ45" s="76"/>
      <c r="PXA45" s="76"/>
      <c r="PXB45" s="76"/>
      <c r="PXC45" s="76"/>
      <c r="PXD45" s="76"/>
      <c r="PXE45" s="76"/>
      <c r="PXF45" s="76"/>
      <c r="PXG45" s="76"/>
      <c r="PXH45" s="76"/>
      <c r="PXI45" s="76"/>
      <c r="PXJ45" s="76"/>
      <c r="PXK45" s="76"/>
      <c r="PXL45" s="76"/>
      <c r="PXM45" s="76"/>
      <c r="PXN45" s="76"/>
      <c r="PXO45" s="76"/>
      <c r="PXP45" s="76"/>
      <c r="PXQ45" s="76"/>
      <c r="PXR45" s="76"/>
      <c r="PXS45" s="76"/>
      <c r="PXT45" s="76"/>
      <c r="PXU45" s="76"/>
      <c r="PXV45" s="76"/>
      <c r="PXW45" s="76"/>
      <c r="PXX45" s="76"/>
      <c r="PXY45" s="76"/>
      <c r="PXZ45" s="76"/>
      <c r="PYA45" s="76"/>
      <c r="PYB45" s="76"/>
      <c r="PYC45" s="76"/>
      <c r="PYD45" s="76"/>
      <c r="PYE45" s="76"/>
      <c r="PYF45" s="76"/>
      <c r="PYG45" s="76"/>
      <c r="PYH45" s="76"/>
      <c r="PYI45" s="76"/>
      <c r="PYJ45" s="76"/>
      <c r="PYK45" s="76"/>
      <c r="PYL45" s="76"/>
      <c r="PYM45" s="76"/>
      <c r="PYN45" s="76"/>
      <c r="PYO45" s="76"/>
      <c r="PYP45" s="76"/>
      <c r="PYQ45" s="76"/>
      <c r="PYR45" s="76"/>
      <c r="PYS45" s="76"/>
      <c r="PYT45" s="76"/>
      <c r="PYU45" s="76"/>
      <c r="PYV45" s="76"/>
      <c r="PYW45" s="76"/>
      <c r="PYX45" s="76"/>
      <c r="PYY45" s="76"/>
      <c r="PYZ45" s="76"/>
      <c r="PZA45" s="76"/>
      <c r="PZB45" s="76"/>
      <c r="PZC45" s="76"/>
      <c r="PZD45" s="76"/>
      <c r="PZE45" s="76"/>
      <c r="PZF45" s="76"/>
      <c r="PZG45" s="76"/>
      <c r="PZH45" s="76"/>
      <c r="PZI45" s="76"/>
      <c r="PZJ45" s="76"/>
      <c r="PZK45" s="76"/>
      <c r="PZL45" s="76"/>
      <c r="PZM45" s="76"/>
      <c r="PZN45" s="76"/>
      <c r="PZO45" s="76"/>
      <c r="PZP45" s="76"/>
      <c r="PZQ45" s="76"/>
      <c r="PZR45" s="76"/>
      <c r="PZS45" s="76"/>
      <c r="PZT45" s="76"/>
      <c r="PZU45" s="76"/>
      <c r="PZV45" s="76"/>
      <c r="PZW45" s="76"/>
      <c r="PZX45" s="76"/>
      <c r="PZY45" s="76"/>
      <c r="PZZ45" s="76"/>
      <c r="QAA45" s="76"/>
      <c r="QAB45" s="76"/>
      <c r="QAC45" s="76"/>
      <c r="QAD45" s="76"/>
      <c r="QAE45" s="76"/>
      <c r="QAF45" s="76"/>
      <c r="QAG45" s="76"/>
      <c r="QAH45" s="76"/>
      <c r="QAI45" s="76"/>
      <c r="QAJ45" s="76"/>
      <c r="QAK45" s="76"/>
      <c r="QAL45" s="76"/>
      <c r="QAM45" s="76"/>
      <c r="QAN45" s="76"/>
      <c r="QAO45" s="76"/>
      <c r="QAP45" s="76"/>
      <c r="QAQ45" s="76"/>
      <c r="QAR45" s="76"/>
      <c r="QAS45" s="76"/>
      <c r="QAT45" s="76"/>
      <c r="QAU45" s="76"/>
      <c r="QAV45" s="76"/>
      <c r="QAW45" s="76"/>
      <c r="QAX45" s="76"/>
      <c r="QAY45" s="76"/>
      <c r="QAZ45" s="76"/>
      <c r="QBA45" s="76"/>
      <c r="QBB45" s="76"/>
      <c r="QBC45" s="76"/>
      <c r="QBD45" s="76"/>
      <c r="QBE45" s="76"/>
      <c r="QBF45" s="76"/>
      <c r="QBG45" s="76"/>
      <c r="QBH45" s="76"/>
      <c r="QBI45" s="76"/>
      <c r="QBJ45" s="76"/>
      <c r="QBK45" s="76"/>
      <c r="QBL45" s="76"/>
      <c r="QBM45" s="76"/>
      <c r="QBN45" s="76"/>
      <c r="QBO45" s="76"/>
      <c r="QBP45" s="76"/>
      <c r="QBQ45" s="76"/>
      <c r="QBR45" s="76"/>
      <c r="QBS45" s="76"/>
      <c r="QBT45" s="76"/>
      <c r="QBU45" s="76"/>
      <c r="QBV45" s="76"/>
      <c r="QBW45" s="76"/>
      <c r="QBX45" s="76"/>
      <c r="QBY45" s="76"/>
      <c r="QBZ45" s="76"/>
      <c r="QCA45" s="76"/>
      <c r="QCB45" s="76"/>
      <c r="QCC45" s="76"/>
      <c r="QCD45" s="76"/>
      <c r="QCE45" s="76"/>
      <c r="QCF45" s="76"/>
      <c r="QCG45" s="76"/>
      <c r="QCH45" s="76"/>
      <c r="QCI45" s="76"/>
      <c r="QCJ45" s="76"/>
      <c r="QCK45" s="76"/>
      <c r="QCL45" s="76"/>
      <c r="QCM45" s="76"/>
      <c r="QCN45" s="76"/>
      <c r="QCO45" s="76"/>
      <c r="QCP45" s="76"/>
      <c r="QCQ45" s="76"/>
      <c r="QCR45" s="76"/>
      <c r="QCS45" s="76"/>
      <c r="QCT45" s="76"/>
      <c r="QCU45" s="76"/>
      <c r="QCV45" s="76"/>
      <c r="QCW45" s="76"/>
      <c r="QCX45" s="76"/>
      <c r="QCY45" s="76"/>
      <c r="QCZ45" s="76"/>
      <c r="QDA45" s="76"/>
      <c r="QDB45" s="76"/>
      <c r="QDC45" s="76"/>
      <c r="QDD45" s="76"/>
      <c r="QDE45" s="76"/>
      <c r="QDF45" s="76"/>
      <c r="QDG45" s="76"/>
      <c r="QDH45" s="76"/>
      <c r="QDI45" s="76"/>
      <c r="QDJ45" s="76"/>
      <c r="QDK45" s="76"/>
      <c r="QDL45" s="76"/>
      <c r="QDM45" s="76"/>
      <c r="QDN45" s="76"/>
      <c r="QDO45" s="76"/>
      <c r="QDP45" s="76"/>
      <c r="QDQ45" s="76"/>
      <c r="QDR45" s="76"/>
      <c r="QDS45" s="76"/>
      <c r="QDT45" s="76"/>
      <c r="QDU45" s="76"/>
      <c r="QDV45" s="76"/>
      <c r="QDW45" s="76"/>
      <c r="QDX45" s="76"/>
      <c r="QDY45" s="76"/>
      <c r="QDZ45" s="76"/>
      <c r="QEA45" s="76"/>
      <c r="QEB45" s="76"/>
      <c r="QEC45" s="76"/>
      <c r="QED45" s="76"/>
      <c r="QEE45" s="76"/>
      <c r="QEF45" s="76"/>
      <c r="QEG45" s="76"/>
      <c r="QEH45" s="76"/>
      <c r="QEI45" s="76"/>
      <c r="QEJ45" s="76"/>
      <c r="QEK45" s="76"/>
      <c r="QEL45" s="76"/>
      <c r="QEM45" s="76"/>
      <c r="QEN45" s="76"/>
      <c r="QEO45" s="76"/>
      <c r="QEP45" s="76"/>
      <c r="QEQ45" s="76"/>
      <c r="QER45" s="76"/>
      <c r="QES45" s="76"/>
      <c r="QET45" s="76"/>
      <c r="QEU45" s="76"/>
      <c r="QEV45" s="76"/>
      <c r="QEW45" s="76"/>
      <c r="QEX45" s="76"/>
      <c r="QEY45" s="76"/>
      <c r="QEZ45" s="76"/>
      <c r="QFA45" s="76"/>
      <c r="QFB45" s="76"/>
      <c r="QFC45" s="76"/>
      <c r="QFD45" s="76"/>
      <c r="QFE45" s="76"/>
      <c r="QFF45" s="76"/>
      <c r="QFG45" s="76"/>
      <c r="QFH45" s="76"/>
      <c r="QFI45" s="76"/>
      <c r="QFJ45" s="76"/>
      <c r="QFK45" s="76"/>
      <c r="QFL45" s="76"/>
      <c r="QFM45" s="76"/>
      <c r="QFN45" s="76"/>
      <c r="QFO45" s="76"/>
      <c r="QFP45" s="76"/>
      <c r="QFQ45" s="76"/>
      <c r="QFR45" s="76"/>
      <c r="QFS45" s="76"/>
      <c r="QFT45" s="76"/>
      <c r="QFU45" s="76"/>
      <c r="QFV45" s="76"/>
      <c r="QFW45" s="76"/>
      <c r="QFX45" s="76"/>
      <c r="QFY45" s="76"/>
      <c r="QFZ45" s="76"/>
      <c r="QGA45" s="76"/>
      <c r="QGB45" s="76"/>
      <c r="QGC45" s="76"/>
      <c r="QGD45" s="76"/>
      <c r="QGE45" s="76"/>
      <c r="QGF45" s="76"/>
      <c r="QGG45" s="76"/>
      <c r="QGH45" s="76"/>
      <c r="QGI45" s="76"/>
      <c r="QGJ45" s="76"/>
      <c r="QGK45" s="76"/>
      <c r="QGL45" s="76"/>
      <c r="QGM45" s="76"/>
      <c r="QGN45" s="76"/>
      <c r="QGO45" s="76"/>
      <c r="QGP45" s="76"/>
      <c r="QGQ45" s="76"/>
      <c r="QGR45" s="76"/>
      <c r="QGS45" s="76"/>
      <c r="QGT45" s="76"/>
      <c r="QGU45" s="76"/>
      <c r="QGV45" s="76"/>
      <c r="QGW45" s="76"/>
      <c r="QGX45" s="76"/>
      <c r="QGY45" s="76"/>
      <c r="QGZ45" s="76"/>
      <c r="QHA45" s="76"/>
      <c r="QHB45" s="76"/>
      <c r="QHC45" s="76"/>
      <c r="QHD45" s="76"/>
      <c r="QHE45" s="76"/>
      <c r="QHF45" s="76"/>
      <c r="QHG45" s="76"/>
      <c r="QHH45" s="76"/>
      <c r="QHI45" s="76"/>
      <c r="QHJ45" s="76"/>
      <c r="QHK45" s="76"/>
      <c r="QHL45" s="76"/>
      <c r="QHM45" s="76"/>
      <c r="QHN45" s="76"/>
      <c r="QHO45" s="76"/>
      <c r="QHP45" s="76"/>
      <c r="QHQ45" s="76"/>
      <c r="QHR45" s="76"/>
      <c r="QHS45" s="76"/>
      <c r="QHT45" s="76"/>
      <c r="QHU45" s="76"/>
      <c r="QHV45" s="76"/>
      <c r="QHW45" s="76"/>
      <c r="QHX45" s="76"/>
      <c r="QHY45" s="76"/>
      <c r="QHZ45" s="76"/>
      <c r="QIA45" s="76"/>
      <c r="QIB45" s="76"/>
      <c r="QIC45" s="76"/>
      <c r="QID45" s="76"/>
      <c r="QIE45" s="76"/>
      <c r="QIF45" s="76"/>
      <c r="QIG45" s="76"/>
      <c r="QIH45" s="76"/>
      <c r="QII45" s="76"/>
      <c r="QIJ45" s="76"/>
      <c r="QIK45" s="76"/>
      <c r="QIL45" s="76"/>
      <c r="QIM45" s="76"/>
      <c r="QIN45" s="76"/>
      <c r="QIO45" s="76"/>
      <c r="QIP45" s="76"/>
      <c r="QIQ45" s="76"/>
      <c r="QIR45" s="76"/>
      <c r="QIS45" s="76"/>
      <c r="QIT45" s="76"/>
      <c r="QIU45" s="76"/>
      <c r="QIV45" s="76"/>
      <c r="QIW45" s="76"/>
      <c r="QIX45" s="76"/>
      <c r="QIY45" s="76"/>
      <c r="QIZ45" s="76"/>
      <c r="QJA45" s="76"/>
      <c r="QJB45" s="76"/>
      <c r="QJC45" s="76"/>
      <c r="QJD45" s="76"/>
      <c r="QJE45" s="76"/>
      <c r="QJF45" s="76"/>
      <c r="QJG45" s="76"/>
      <c r="QJH45" s="76"/>
      <c r="QJI45" s="76"/>
      <c r="QJJ45" s="76"/>
      <c r="QJK45" s="76"/>
      <c r="QJL45" s="76"/>
      <c r="QJM45" s="76"/>
      <c r="QJN45" s="76"/>
      <c r="QJO45" s="76"/>
      <c r="QJP45" s="76"/>
      <c r="QJQ45" s="76"/>
      <c r="QJR45" s="76"/>
      <c r="QJS45" s="76"/>
      <c r="QJT45" s="76"/>
      <c r="QJU45" s="76"/>
      <c r="QJV45" s="76"/>
      <c r="QJW45" s="76"/>
      <c r="QJX45" s="76"/>
      <c r="QJY45" s="76"/>
      <c r="QJZ45" s="76"/>
      <c r="QKA45" s="76"/>
      <c r="QKB45" s="76"/>
      <c r="QKC45" s="76"/>
      <c r="QKD45" s="76"/>
      <c r="QKE45" s="76"/>
      <c r="QKF45" s="76"/>
      <c r="QKG45" s="76"/>
      <c r="QKH45" s="76"/>
      <c r="QKI45" s="76"/>
      <c r="QKJ45" s="76"/>
      <c r="QKK45" s="76"/>
      <c r="QKL45" s="76"/>
      <c r="QKM45" s="76"/>
      <c r="QKN45" s="76"/>
      <c r="QKO45" s="76"/>
      <c r="QKP45" s="76"/>
      <c r="QKQ45" s="76"/>
      <c r="QKR45" s="76"/>
      <c r="QKS45" s="76"/>
      <c r="QKT45" s="76"/>
      <c r="QKU45" s="76"/>
      <c r="QKV45" s="76"/>
      <c r="QKW45" s="76"/>
      <c r="QKX45" s="76"/>
      <c r="QKY45" s="76"/>
      <c r="QKZ45" s="76"/>
      <c r="QLA45" s="76"/>
      <c r="QLB45" s="76"/>
      <c r="QLC45" s="76"/>
      <c r="QLD45" s="76"/>
      <c r="QLE45" s="76"/>
      <c r="QLF45" s="76"/>
      <c r="QLG45" s="76"/>
      <c r="QLH45" s="76"/>
      <c r="QLI45" s="76"/>
      <c r="QLJ45" s="76"/>
      <c r="QLK45" s="76"/>
      <c r="QLL45" s="76"/>
      <c r="QLM45" s="76"/>
      <c r="QLN45" s="76"/>
      <c r="QLO45" s="76"/>
      <c r="QLP45" s="76"/>
      <c r="QLQ45" s="76"/>
      <c r="QLR45" s="76"/>
      <c r="QLS45" s="76"/>
      <c r="QLT45" s="76"/>
      <c r="QLU45" s="76"/>
      <c r="QLV45" s="76"/>
      <c r="QLW45" s="76"/>
      <c r="QLX45" s="76"/>
      <c r="QLY45" s="76"/>
      <c r="QLZ45" s="76"/>
      <c r="QMA45" s="76"/>
      <c r="QMB45" s="76"/>
      <c r="QMC45" s="76"/>
      <c r="QMD45" s="76"/>
      <c r="QME45" s="76"/>
      <c r="QMF45" s="76"/>
      <c r="QMG45" s="76"/>
      <c r="QMH45" s="76"/>
      <c r="QMI45" s="76"/>
      <c r="QMJ45" s="76"/>
      <c r="QMK45" s="76"/>
      <c r="QML45" s="76"/>
      <c r="QMM45" s="76"/>
      <c r="QMN45" s="76"/>
      <c r="QMO45" s="76"/>
      <c r="QMP45" s="76"/>
      <c r="QMQ45" s="76"/>
      <c r="QMR45" s="76"/>
      <c r="QMS45" s="76"/>
      <c r="QMT45" s="76"/>
      <c r="QMU45" s="76"/>
      <c r="QMV45" s="76"/>
      <c r="QMW45" s="76"/>
      <c r="QMX45" s="76"/>
      <c r="QMY45" s="76"/>
      <c r="QMZ45" s="76"/>
      <c r="QNA45" s="76"/>
      <c r="QNB45" s="76"/>
      <c r="QNC45" s="76"/>
      <c r="QND45" s="76"/>
      <c r="QNE45" s="76"/>
      <c r="QNF45" s="76"/>
      <c r="QNG45" s="76"/>
      <c r="QNH45" s="76"/>
      <c r="QNI45" s="76"/>
      <c r="QNJ45" s="76"/>
      <c r="QNK45" s="76"/>
      <c r="QNL45" s="76"/>
      <c r="QNM45" s="76"/>
      <c r="QNN45" s="76"/>
      <c r="QNO45" s="76"/>
      <c r="QNP45" s="76"/>
      <c r="QNQ45" s="76"/>
      <c r="QNR45" s="76"/>
      <c r="QNS45" s="76"/>
      <c r="QNT45" s="76"/>
      <c r="QNU45" s="76"/>
      <c r="QNV45" s="76"/>
      <c r="QNW45" s="76"/>
      <c r="QNX45" s="76"/>
      <c r="QNY45" s="76"/>
      <c r="QNZ45" s="76"/>
      <c r="QOA45" s="76"/>
      <c r="QOB45" s="76"/>
      <c r="QOC45" s="76"/>
      <c r="QOD45" s="76"/>
      <c r="QOE45" s="76"/>
      <c r="QOF45" s="76"/>
      <c r="QOG45" s="76"/>
      <c r="QOH45" s="76"/>
      <c r="QOI45" s="76"/>
      <c r="QOJ45" s="76"/>
      <c r="QOK45" s="76"/>
      <c r="QOL45" s="76"/>
      <c r="QOM45" s="76"/>
      <c r="QON45" s="76"/>
      <c r="QOO45" s="76"/>
      <c r="QOP45" s="76"/>
      <c r="QOQ45" s="76"/>
      <c r="QOR45" s="76"/>
      <c r="QOS45" s="76"/>
      <c r="QOT45" s="76"/>
      <c r="QOU45" s="76"/>
      <c r="QOV45" s="76"/>
      <c r="QOW45" s="76"/>
      <c r="QOX45" s="76"/>
      <c r="QOY45" s="76"/>
      <c r="QOZ45" s="76"/>
      <c r="QPA45" s="76"/>
      <c r="QPB45" s="76"/>
      <c r="QPC45" s="76"/>
      <c r="QPD45" s="76"/>
      <c r="QPE45" s="76"/>
      <c r="QPF45" s="76"/>
      <c r="QPG45" s="76"/>
      <c r="QPH45" s="76"/>
      <c r="QPI45" s="76"/>
      <c r="QPJ45" s="76"/>
      <c r="QPK45" s="76"/>
      <c r="QPL45" s="76"/>
      <c r="QPM45" s="76"/>
      <c r="QPN45" s="76"/>
      <c r="QPO45" s="76"/>
      <c r="QPP45" s="76"/>
      <c r="QPQ45" s="76"/>
      <c r="QPR45" s="76"/>
      <c r="QPS45" s="76"/>
      <c r="QPT45" s="76"/>
      <c r="QPU45" s="76"/>
      <c r="QPV45" s="76"/>
      <c r="QPW45" s="76"/>
      <c r="QPX45" s="76"/>
      <c r="QPY45" s="76"/>
      <c r="QPZ45" s="76"/>
      <c r="QQA45" s="76"/>
      <c r="QQB45" s="76"/>
      <c r="QQC45" s="76"/>
      <c r="QQD45" s="76"/>
      <c r="QQE45" s="76"/>
      <c r="QQF45" s="76"/>
      <c r="QQG45" s="76"/>
      <c r="QQH45" s="76"/>
      <c r="QQI45" s="76"/>
      <c r="QQJ45" s="76"/>
      <c r="QQK45" s="76"/>
      <c r="QQL45" s="76"/>
      <c r="QQM45" s="76"/>
      <c r="QQN45" s="76"/>
      <c r="QQO45" s="76"/>
      <c r="QQP45" s="76"/>
      <c r="QQQ45" s="76"/>
      <c r="QQR45" s="76"/>
      <c r="QQS45" s="76"/>
      <c r="QQT45" s="76"/>
      <c r="QQU45" s="76"/>
      <c r="QQV45" s="76"/>
      <c r="QQW45" s="76"/>
      <c r="QQX45" s="76"/>
      <c r="QQY45" s="76"/>
      <c r="QQZ45" s="76"/>
      <c r="QRA45" s="76"/>
      <c r="QRB45" s="76"/>
      <c r="QRC45" s="76"/>
      <c r="QRD45" s="76"/>
      <c r="QRE45" s="76"/>
      <c r="QRF45" s="76"/>
      <c r="QRG45" s="76"/>
      <c r="QRH45" s="76"/>
      <c r="QRI45" s="76"/>
      <c r="QRJ45" s="76"/>
      <c r="QRK45" s="76"/>
      <c r="QRL45" s="76"/>
      <c r="QRM45" s="76"/>
      <c r="QRN45" s="76"/>
      <c r="QRO45" s="76"/>
      <c r="QRP45" s="76"/>
      <c r="QRQ45" s="76"/>
      <c r="QRR45" s="76"/>
      <c r="QRS45" s="76"/>
      <c r="QRT45" s="76"/>
      <c r="QRU45" s="76"/>
      <c r="QRV45" s="76"/>
      <c r="QRW45" s="76"/>
      <c r="QRX45" s="76"/>
      <c r="QRY45" s="76"/>
      <c r="QRZ45" s="76"/>
      <c r="QSA45" s="76"/>
      <c r="QSB45" s="76"/>
      <c r="QSC45" s="76"/>
      <c r="QSD45" s="76"/>
      <c r="QSE45" s="76"/>
      <c r="QSF45" s="76"/>
      <c r="QSG45" s="76"/>
      <c r="QSH45" s="76"/>
      <c r="QSI45" s="76"/>
      <c r="QSJ45" s="76"/>
      <c r="QSK45" s="76"/>
      <c r="QSL45" s="76"/>
      <c r="QSM45" s="76"/>
      <c r="QSN45" s="76"/>
      <c r="QSO45" s="76"/>
      <c r="QSP45" s="76"/>
      <c r="QSQ45" s="76"/>
      <c r="QSR45" s="76"/>
      <c r="QSS45" s="76"/>
      <c r="QST45" s="76"/>
      <c r="QSU45" s="76"/>
      <c r="QSV45" s="76"/>
      <c r="QSW45" s="76"/>
      <c r="QSX45" s="76"/>
      <c r="QSY45" s="76"/>
      <c r="QSZ45" s="76"/>
      <c r="QTA45" s="76"/>
      <c r="QTB45" s="76"/>
      <c r="QTC45" s="76"/>
      <c r="QTD45" s="76"/>
      <c r="QTE45" s="76"/>
      <c r="QTF45" s="76"/>
      <c r="QTG45" s="76"/>
      <c r="QTH45" s="76"/>
      <c r="QTI45" s="76"/>
      <c r="QTJ45" s="76"/>
      <c r="QTK45" s="76"/>
      <c r="QTL45" s="76"/>
      <c r="QTM45" s="76"/>
      <c r="QTN45" s="76"/>
      <c r="QTO45" s="76"/>
      <c r="QTP45" s="76"/>
      <c r="QTQ45" s="76"/>
      <c r="QTR45" s="76"/>
      <c r="QTS45" s="76"/>
      <c r="QTT45" s="76"/>
      <c r="QTU45" s="76"/>
      <c r="QTV45" s="76"/>
      <c r="QTW45" s="76"/>
      <c r="QTX45" s="76"/>
      <c r="QTY45" s="76"/>
      <c r="QTZ45" s="76"/>
      <c r="QUA45" s="76"/>
      <c r="QUB45" s="76"/>
      <c r="QUC45" s="76"/>
      <c r="QUD45" s="76"/>
      <c r="QUE45" s="76"/>
      <c r="QUF45" s="76"/>
      <c r="QUG45" s="76"/>
      <c r="QUH45" s="76"/>
      <c r="QUI45" s="76"/>
      <c r="QUJ45" s="76"/>
      <c r="QUK45" s="76"/>
      <c r="QUL45" s="76"/>
      <c r="QUM45" s="76"/>
      <c r="QUN45" s="76"/>
      <c r="QUO45" s="76"/>
      <c r="QUP45" s="76"/>
      <c r="QUQ45" s="76"/>
      <c r="QUR45" s="76"/>
      <c r="QUS45" s="76"/>
      <c r="QUT45" s="76"/>
      <c r="QUU45" s="76"/>
      <c r="QUV45" s="76"/>
      <c r="QUW45" s="76"/>
      <c r="QUX45" s="76"/>
      <c r="QUY45" s="76"/>
      <c r="QUZ45" s="76"/>
      <c r="QVA45" s="76"/>
      <c r="QVB45" s="76"/>
      <c r="QVC45" s="76"/>
      <c r="QVD45" s="76"/>
      <c r="QVE45" s="76"/>
      <c r="QVF45" s="76"/>
      <c r="QVG45" s="76"/>
      <c r="QVH45" s="76"/>
      <c r="QVI45" s="76"/>
      <c r="QVJ45" s="76"/>
      <c r="QVK45" s="76"/>
      <c r="QVL45" s="76"/>
      <c r="QVM45" s="76"/>
      <c r="QVN45" s="76"/>
      <c r="QVO45" s="76"/>
      <c r="QVP45" s="76"/>
      <c r="QVQ45" s="76"/>
      <c r="QVR45" s="76"/>
      <c r="QVS45" s="76"/>
      <c r="QVT45" s="76"/>
      <c r="QVU45" s="76"/>
      <c r="QVV45" s="76"/>
      <c r="QVW45" s="76"/>
      <c r="QVX45" s="76"/>
      <c r="QVY45" s="76"/>
      <c r="QVZ45" s="76"/>
      <c r="QWA45" s="76"/>
      <c r="QWB45" s="76"/>
      <c r="QWC45" s="76"/>
      <c r="QWD45" s="76"/>
      <c r="QWE45" s="76"/>
      <c r="QWF45" s="76"/>
      <c r="QWG45" s="76"/>
      <c r="QWH45" s="76"/>
      <c r="QWI45" s="76"/>
      <c r="QWJ45" s="76"/>
      <c r="QWK45" s="76"/>
      <c r="QWL45" s="76"/>
      <c r="QWM45" s="76"/>
      <c r="QWN45" s="76"/>
      <c r="QWO45" s="76"/>
      <c r="QWP45" s="76"/>
      <c r="QWQ45" s="76"/>
      <c r="QWR45" s="76"/>
      <c r="QWS45" s="76"/>
      <c r="QWT45" s="76"/>
      <c r="QWU45" s="76"/>
      <c r="QWV45" s="76"/>
      <c r="QWW45" s="76"/>
      <c r="QWX45" s="76"/>
      <c r="QWY45" s="76"/>
      <c r="QWZ45" s="76"/>
      <c r="QXA45" s="76"/>
      <c r="QXB45" s="76"/>
      <c r="QXC45" s="76"/>
      <c r="QXD45" s="76"/>
      <c r="QXE45" s="76"/>
      <c r="QXF45" s="76"/>
      <c r="QXG45" s="76"/>
      <c r="QXH45" s="76"/>
      <c r="QXI45" s="76"/>
      <c r="QXJ45" s="76"/>
      <c r="QXK45" s="76"/>
      <c r="QXL45" s="76"/>
      <c r="QXM45" s="76"/>
      <c r="QXN45" s="76"/>
      <c r="QXO45" s="76"/>
      <c r="QXP45" s="76"/>
      <c r="QXQ45" s="76"/>
      <c r="QXR45" s="76"/>
      <c r="QXS45" s="76"/>
      <c r="QXT45" s="76"/>
      <c r="QXU45" s="76"/>
      <c r="QXV45" s="76"/>
      <c r="QXW45" s="76"/>
      <c r="QXX45" s="76"/>
      <c r="QXY45" s="76"/>
      <c r="QXZ45" s="76"/>
      <c r="QYA45" s="76"/>
      <c r="QYB45" s="76"/>
      <c r="QYC45" s="76"/>
      <c r="QYD45" s="76"/>
      <c r="QYE45" s="76"/>
      <c r="QYF45" s="76"/>
      <c r="QYG45" s="76"/>
      <c r="QYH45" s="76"/>
      <c r="QYI45" s="76"/>
      <c r="QYJ45" s="76"/>
      <c r="QYK45" s="76"/>
      <c r="QYL45" s="76"/>
      <c r="QYM45" s="76"/>
      <c r="QYN45" s="76"/>
      <c r="QYO45" s="76"/>
      <c r="QYP45" s="76"/>
      <c r="QYQ45" s="76"/>
      <c r="QYR45" s="76"/>
      <c r="QYS45" s="76"/>
      <c r="QYT45" s="76"/>
      <c r="QYU45" s="76"/>
      <c r="QYV45" s="76"/>
      <c r="QYW45" s="76"/>
      <c r="QYX45" s="76"/>
      <c r="QYY45" s="76"/>
      <c r="QYZ45" s="76"/>
      <c r="QZA45" s="76"/>
      <c r="QZB45" s="76"/>
      <c r="QZC45" s="76"/>
      <c r="QZD45" s="76"/>
      <c r="QZE45" s="76"/>
      <c r="QZF45" s="76"/>
      <c r="QZG45" s="76"/>
      <c r="QZH45" s="76"/>
      <c r="QZI45" s="76"/>
      <c r="QZJ45" s="76"/>
      <c r="QZK45" s="76"/>
      <c r="QZL45" s="76"/>
      <c r="QZM45" s="76"/>
      <c r="QZN45" s="76"/>
      <c r="QZO45" s="76"/>
      <c r="QZP45" s="76"/>
      <c r="QZQ45" s="76"/>
      <c r="QZR45" s="76"/>
      <c r="QZS45" s="76"/>
      <c r="QZT45" s="76"/>
      <c r="QZU45" s="76"/>
      <c r="QZV45" s="76"/>
      <c r="QZW45" s="76"/>
      <c r="QZX45" s="76"/>
      <c r="QZY45" s="76"/>
      <c r="QZZ45" s="76"/>
      <c r="RAA45" s="76"/>
      <c r="RAB45" s="76"/>
      <c r="RAC45" s="76"/>
      <c r="RAD45" s="76"/>
      <c r="RAE45" s="76"/>
      <c r="RAF45" s="76"/>
      <c r="RAG45" s="76"/>
      <c r="RAH45" s="76"/>
      <c r="RAI45" s="76"/>
      <c r="RAJ45" s="76"/>
      <c r="RAK45" s="76"/>
      <c r="RAL45" s="76"/>
      <c r="RAM45" s="76"/>
      <c r="RAN45" s="76"/>
      <c r="RAO45" s="76"/>
      <c r="RAP45" s="76"/>
      <c r="RAQ45" s="76"/>
      <c r="RAR45" s="76"/>
      <c r="RAS45" s="76"/>
      <c r="RAT45" s="76"/>
      <c r="RAU45" s="76"/>
      <c r="RAV45" s="76"/>
      <c r="RAW45" s="76"/>
      <c r="RAX45" s="76"/>
      <c r="RAY45" s="76"/>
      <c r="RAZ45" s="76"/>
      <c r="RBA45" s="76"/>
      <c r="RBB45" s="76"/>
      <c r="RBC45" s="76"/>
      <c r="RBD45" s="76"/>
      <c r="RBE45" s="76"/>
      <c r="RBF45" s="76"/>
      <c r="RBG45" s="76"/>
      <c r="RBH45" s="76"/>
      <c r="RBI45" s="76"/>
      <c r="RBJ45" s="76"/>
      <c r="RBK45" s="76"/>
      <c r="RBL45" s="76"/>
      <c r="RBM45" s="76"/>
      <c r="RBN45" s="76"/>
      <c r="RBO45" s="76"/>
      <c r="RBP45" s="76"/>
      <c r="RBQ45" s="76"/>
      <c r="RBR45" s="76"/>
      <c r="RBS45" s="76"/>
      <c r="RBT45" s="76"/>
      <c r="RBU45" s="76"/>
      <c r="RBV45" s="76"/>
      <c r="RBW45" s="76"/>
      <c r="RBX45" s="76"/>
      <c r="RBY45" s="76"/>
      <c r="RBZ45" s="76"/>
      <c r="RCA45" s="76"/>
      <c r="RCB45" s="76"/>
      <c r="RCC45" s="76"/>
      <c r="RCD45" s="76"/>
      <c r="RCE45" s="76"/>
      <c r="RCF45" s="76"/>
      <c r="RCG45" s="76"/>
      <c r="RCH45" s="76"/>
      <c r="RCI45" s="76"/>
      <c r="RCJ45" s="76"/>
      <c r="RCK45" s="76"/>
      <c r="RCL45" s="76"/>
      <c r="RCM45" s="76"/>
      <c r="RCN45" s="76"/>
      <c r="RCO45" s="76"/>
      <c r="RCP45" s="76"/>
      <c r="RCQ45" s="76"/>
      <c r="RCR45" s="76"/>
      <c r="RCS45" s="76"/>
      <c r="RCT45" s="76"/>
      <c r="RCU45" s="76"/>
      <c r="RCV45" s="76"/>
      <c r="RCW45" s="76"/>
      <c r="RCX45" s="76"/>
      <c r="RCY45" s="76"/>
      <c r="RCZ45" s="76"/>
      <c r="RDA45" s="76"/>
      <c r="RDB45" s="76"/>
      <c r="RDC45" s="76"/>
      <c r="RDD45" s="76"/>
      <c r="RDE45" s="76"/>
      <c r="RDF45" s="76"/>
      <c r="RDG45" s="76"/>
      <c r="RDH45" s="76"/>
      <c r="RDI45" s="76"/>
      <c r="RDJ45" s="76"/>
      <c r="RDK45" s="76"/>
      <c r="RDL45" s="76"/>
      <c r="RDM45" s="76"/>
      <c r="RDN45" s="76"/>
      <c r="RDO45" s="76"/>
      <c r="RDP45" s="76"/>
      <c r="RDQ45" s="76"/>
      <c r="RDR45" s="76"/>
      <c r="RDS45" s="76"/>
      <c r="RDT45" s="76"/>
      <c r="RDU45" s="76"/>
      <c r="RDV45" s="76"/>
      <c r="RDW45" s="76"/>
      <c r="RDX45" s="76"/>
      <c r="RDY45" s="76"/>
      <c r="RDZ45" s="76"/>
      <c r="REA45" s="76"/>
      <c r="REB45" s="76"/>
      <c r="REC45" s="76"/>
      <c r="RED45" s="76"/>
      <c r="REE45" s="76"/>
      <c r="REF45" s="76"/>
      <c r="REG45" s="76"/>
      <c r="REH45" s="76"/>
      <c r="REI45" s="76"/>
      <c r="REJ45" s="76"/>
      <c r="REK45" s="76"/>
      <c r="REL45" s="76"/>
      <c r="REM45" s="76"/>
      <c r="REN45" s="76"/>
      <c r="REO45" s="76"/>
      <c r="REP45" s="76"/>
      <c r="REQ45" s="76"/>
      <c r="RER45" s="76"/>
      <c r="RES45" s="76"/>
      <c r="RET45" s="76"/>
      <c r="REU45" s="76"/>
      <c r="REV45" s="76"/>
      <c r="REW45" s="76"/>
      <c r="REX45" s="76"/>
      <c r="REY45" s="76"/>
      <c r="REZ45" s="76"/>
      <c r="RFA45" s="76"/>
      <c r="RFB45" s="76"/>
      <c r="RFC45" s="76"/>
      <c r="RFD45" s="76"/>
      <c r="RFE45" s="76"/>
      <c r="RFF45" s="76"/>
      <c r="RFG45" s="76"/>
      <c r="RFH45" s="76"/>
      <c r="RFI45" s="76"/>
      <c r="RFJ45" s="76"/>
      <c r="RFK45" s="76"/>
      <c r="RFL45" s="76"/>
      <c r="RFM45" s="76"/>
      <c r="RFN45" s="76"/>
      <c r="RFO45" s="76"/>
      <c r="RFP45" s="76"/>
      <c r="RFQ45" s="76"/>
      <c r="RFR45" s="76"/>
      <c r="RFS45" s="76"/>
      <c r="RFT45" s="76"/>
      <c r="RFU45" s="76"/>
      <c r="RFV45" s="76"/>
      <c r="RFW45" s="76"/>
      <c r="RFX45" s="76"/>
      <c r="RFY45" s="76"/>
      <c r="RFZ45" s="76"/>
      <c r="RGA45" s="76"/>
      <c r="RGB45" s="76"/>
      <c r="RGC45" s="76"/>
      <c r="RGD45" s="76"/>
      <c r="RGE45" s="76"/>
      <c r="RGF45" s="76"/>
      <c r="RGG45" s="76"/>
      <c r="RGH45" s="76"/>
      <c r="RGI45" s="76"/>
      <c r="RGJ45" s="76"/>
      <c r="RGK45" s="76"/>
      <c r="RGL45" s="76"/>
      <c r="RGM45" s="76"/>
      <c r="RGN45" s="76"/>
      <c r="RGO45" s="76"/>
      <c r="RGP45" s="76"/>
      <c r="RGQ45" s="76"/>
      <c r="RGR45" s="76"/>
      <c r="RGS45" s="76"/>
      <c r="RGT45" s="76"/>
      <c r="RGU45" s="76"/>
      <c r="RGV45" s="76"/>
      <c r="RGW45" s="76"/>
      <c r="RGX45" s="76"/>
      <c r="RGY45" s="76"/>
      <c r="RGZ45" s="76"/>
      <c r="RHA45" s="76"/>
      <c r="RHB45" s="76"/>
      <c r="RHC45" s="76"/>
      <c r="RHD45" s="76"/>
      <c r="RHE45" s="76"/>
      <c r="RHF45" s="76"/>
      <c r="RHG45" s="76"/>
      <c r="RHH45" s="76"/>
      <c r="RHI45" s="76"/>
      <c r="RHJ45" s="76"/>
      <c r="RHK45" s="76"/>
      <c r="RHL45" s="76"/>
      <c r="RHM45" s="76"/>
      <c r="RHN45" s="76"/>
      <c r="RHO45" s="76"/>
      <c r="RHP45" s="76"/>
      <c r="RHQ45" s="76"/>
      <c r="RHR45" s="76"/>
      <c r="RHS45" s="76"/>
      <c r="RHT45" s="76"/>
      <c r="RHU45" s="76"/>
      <c r="RHV45" s="76"/>
      <c r="RHW45" s="76"/>
      <c r="RHX45" s="76"/>
      <c r="RHY45" s="76"/>
      <c r="RHZ45" s="76"/>
      <c r="RIA45" s="76"/>
      <c r="RIB45" s="76"/>
      <c r="RIC45" s="76"/>
      <c r="RID45" s="76"/>
      <c r="RIE45" s="76"/>
      <c r="RIF45" s="76"/>
      <c r="RIG45" s="76"/>
      <c r="RIH45" s="76"/>
      <c r="RII45" s="76"/>
      <c r="RIJ45" s="76"/>
      <c r="RIK45" s="76"/>
      <c r="RIL45" s="76"/>
      <c r="RIM45" s="76"/>
      <c r="RIN45" s="76"/>
      <c r="RIO45" s="76"/>
      <c r="RIP45" s="76"/>
      <c r="RIQ45" s="76"/>
      <c r="RIR45" s="76"/>
      <c r="RIS45" s="76"/>
      <c r="RIT45" s="76"/>
      <c r="RIU45" s="76"/>
      <c r="RIV45" s="76"/>
      <c r="RIW45" s="76"/>
      <c r="RIX45" s="76"/>
      <c r="RIY45" s="76"/>
      <c r="RIZ45" s="76"/>
      <c r="RJA45" s="76"/>
      <c r="RJB45" s="76"/>
      <c r="RJC45" s="76"/>
      <c r="RJD45" s="76"/>
      <c r="RJE45" s="76"/>
      <c r="RJF45" s="76"/>
      <c r="RJG45" s="76"/>
      <c r="RJH45" s="76"/>
      <c r="RJI45" s="76"/>
      <c r="RJJ45" s="76"/>
      <c r="RJK45" s="76"/>
      <c r="RJL45" s="76"/>
      <c r="RJM45" s="76"/>
      <c r="RJN45" s="76"/>
      <c r="RJO45" s="76"/>
      <c r="RJP45" s="76"/>
      <c r="RJQ45" s="76"/>
      <c r="RJR45" s="76"/>
      <c r="RJS45" s="76"/>
      <c r="RJT45" s="76"/>
      <c r="RJU45" s="76"/>
      <c r="RJV45" s="76"/>
      <c r="RJW45" s="76"/>
      <c r="RJX45" s="76"/>
      <c r="RJY45" s="76"/>
      <c r="RJZ45" s="76"/>
      <c r="RKA45" s="76"/>
      <c r="RKB45" s="76"/>
      <c r="RKC45" s="76"/>
      <c r="RKD45" s="76"/>
      <c r="RKE45" s="76"/>
      <c r="RKF45" s="76"/>
      <c r="RKG45" s="76"/>
      <c r="RKH45" s="76"/>
      <c r="RKI45" s="76"/>
      <c r="RKJ45" s="76"/>
      <c r="RKK45" s="76"/>
      <c r="RKL45" s="76"/>
      <c r="RKM45" s="76"/>
      <c r="RKN45" s="76"/>
      <c r="RKO45" s="76"/>
      <c r="RKP45" s="76"/>
      <c r="RKQ45" s="76"/>
      <c r="RKR45" s="76"/>
      <c r="RKS45" s="76"/>
      <c r="RKT45" s="76"/>
      <c r="RKU45" s="76"/>
      <c r="RKV45" s="76"/>
      <c r="RKW45" s="76"/>
      <c r="RKX45" s="76"/>
      <c r="RKY45" s="76"/>
      <c r="RKZ45" s="76"/>
      <c r="RLA45" s="76"/>
      <c r="RLB45" s="76"/>
      <c r="RLC45" s="76"/>
      <c r="RLD45" s="76"/>
      <c r="RLE45" s="76"/>
      <c r="RLF45" s="76"/>
      <c r="RLG45" s="76"/>
      <c r="RLH45" s="76"/>
      <c r="RLI45" s="76"/>
      <c r="RLJ45" s="76"/>
      <c r="RLK45" s="76"/>
      <c r="RLL45" s="76"/>
      <c r="RLM45" s="76"/>
      <c r="RLN45" s="76"/>
      <c r="RLO45" s="76"/>
      <c r="RLP45" s="76"/>
      <c r="RLQ45" s="76"/>
      <c r="RLR45" s="76"/>
      <c r="RLS45" s="76"/>
      <c r="RLT45" s="76"/>
      <c r="RLU45" s="76"/>
      <c r="RLV45" s="76"/>
      <c r="RLW45" s="76"/>
      <c r="RLX45" s="76"/>
      <c r="RLY45" s="76"/>
      <c r="RLZ45" s="76"/>
      <c r="RMA45" s="76"/>
      <c r="RMB45" s="76"/>
      <c r="RMC45" s="76"/>
      <c r="RMD45" s="76"/>
      <c r="RME45" s="76"/>
      <c r="RMF45" s="76"/>
      <c r="RMG45" s="76"/>
      <c r="RMH45" s="76"/>
      <c r="RMI45" s="76"/>
      <c r="RMJ45" s="76"/>
      <c r="RMK45" s="76"/>
      <c r="RML45" s="76"/>
      <c r="RMM45" s="76"/>
      <c r="RMN45" s="76"/>
      <c r="RMO45" s="76"/>
      <c r="RMP45" s="76"/>
      <c r="RMQ45" s="76"/>
      <c r="RMR45" s="76"/>
      <c r="RMS45" s="76"/>
      <c r="RMT45" s="76"/>
      <c r="RMU45" s="76"/>
      <c r="RMV45" s="76"/>
      <c r="RMW45" s="76"/>
      <c r="RMX45" s="76"/>
      <c r="RMY45" s="76"/>
      <c r="RMZ45" s="76"/>
      <c r="RNA45" s="76"/>
      <c r="RNB45" s="76"/>
      <c r="RNC45" s="76"/>
      <c r="RND45" s="76"/>
      <c r="RNE45" s="76"/>
      <c r="RNF45" s="76"/>
      <c r="RNG45" s="76"/>
      <c r="RNH45" s="76"/>
      <c r="RNI45" s="76"/>
      <c r="RNJ45" s="76"/>
      <c r="RNK45" s="76"/>
      <c r="RNL45" s="76"/>
      <c r="RNM45" s="76"/>
      <c r="RNN45" s="76"/>
      <c r="RNO45" s="76"/>
      <c r="RNP45" s="76"/>
      <c r="RNQ45" s="76"/>
      <c r="RNR45" s="76"/>
      <c r="RNS45" s="76"/>
      <c r="RNT45" s="76"/>
      <c r="RNU45" s="76"/>
      <c r="RNV45" s="76"/>
      <c r="RNW45" s="76"/>
      <c r="RNX45" s="76"/>
      <c r="RNY45" s="76"/>
      <c r="RNZ45" s="76"/>
      <c r="ROA45" s="76"/>
      <c r="ROB45" s="76"/>
      <c r="ROC45" s="76"/>
      <c r="ROD45" s="76"/>
      <c r="ROE45" s="76"/>
      <c r="ROF45" s="76"/>
      <c r="ROG45" s="76"/>
      <c r="ROH45" s="76"/>
      <c r="ROI45" s="76"/>
      <c r="ROJ45" s="76"/>
      <c r="ROK45" s="76"/>
      <c r="ROL45" s="76"/>
      <c r="ROM45" s="76"/>
      <c r="RON45" s="76"/>
      <c r="ROO45" s="76"/>
      <c r="ROP45" s="76"/>
      <c r="ROQ45" s="76"/>
      <c r="ROR45" s="76"/>
      <c r="ROS45" s="76"/>
      <c r="ROT45" s="76"/>
      <c r="ROU45" s="76"/>
      <c r="ROV45" s="76"/>
      <c r="ROW45" s="76"/>
      <c r="ROX45" s="76"/>
      <c r="ROY45" s="76"/>
      <c r="ROZ45" s="76"/>
      <c r="RPA45" s="76"/>
      <c r="RPB45" s="76"/>
      <c r="RPC45" s="76"/>
      <c r="RPD45" s="76"/>
      <c r="RPE45" s="76"/>
      <c r="RPF45" s="76"/>
      <c r="RPG45" s="76"/>
      <c r="RPH45" s="76"/>
      <c r="RPI45" s="76"/>
      <c r="RPJ45" s="76"/>
      <c r="RPK45" s="76"/>
      <c r="RPL45" s="76"/>
      <c r="RPM45" s="76"/>
      <c r="RPN45" s="76"/>
      <c r="RPO45" s="76"/>
      <c r="RPP45" s="76"/>
      <c r="RPQ45" s="76"/>
      <c r="RPR45" s="76"/>
      <c r="RPS45" s="76"/>
      <c r="RPT45" s="76"/>
      <c r="RPU45" s="76"/>
      <c r="RPV45" s="76"/>
      <c r="RPW45" s="76"/>
      <c r="RPX45" s="76"/>
      <c r="RPY45" s="76"/>
      <c r="RPZ45" s="76"/>
      <c r="RQA45" s="76"/>
      <c r="RQB45" s="76"/>
      <c r="RQC45" s="76"/>
      <c r="RQD45" s="76"/>
      <c r="RQE45" s="76"/>
      <c r="RQF45" s="76"/>
      <c r="RQG45" s="76"/>
      <c r="RQH45" s="76"/>
      <c r="RQI45" s="76"/>
      <c r="RQJ45" s="76"/>
      <c r="RQK45" s="76"/>
      <c r="RQL45" s="76"/>
      <c r="RQM45" s="76"/>
      <c r="RQN45" s="76"/>
      <c r="RQO45" s="76"/>
      <c r="RQP45" s="76"/>
      <c r="RQQ45" s="76"/>
      <c r="RQR45" s="76"/>
      <c r="RQS45" s="76"/>
      <c r="RQT45" s="76"/>
      <c r="RQU45" s="76"/>
      <c r="RQV45" s="76"/>
      <c r="RQW45" s="76"/>
      <c r="RQX45" s="76"/>
      <c r="RQY45" s="76"/>
      <c r="RQZ45" s="76"/>
      <c r="RRA45" s="76"/>
      <c r="RRB45" s="76"/>
      <c r="RRC45" s="76"/>
      <c r="RRD45" s="76"/>
      <c r="RRE45" s="76"/>
      <c r="RRF45" s="76"/>
      <c r="RRG45" s="76"/>
      <c r="RRH45" s="76"/>
      <c r="RRI45" s="76"/>
      <c r="RRJ45" s="76"/>
      <c r="RRK45" s="76"/>
      <c r="RRL45" s="76"/>
      <c r="RRM45" s="76"/>
      <c r="RRN45" s="76"/>
      <c r="RRO45" s="76"/>
      <c r="RRP45" s="76"/>
      <c r="RRQ45" s="76"/>
      <c r="RRR45" s="76"/>
      <c r="RRS45" s="76"/>
      <c r="RRT45" s="76"/>
      <c r="RRU45" s="76"/>
      <c r="RRV45" s="76"/>
      <c r="RRW45" s="76"/>
      <c r="RRX45" s="76"/>
      <c r="RRY45" s="76"/>
      <c r="RRZ45" s="76"/>
      <c r="RSA45" s="76"/>
      <c r="RSB45" s="76"/>
      <c r="RSC45" s="76"/>
      <c r="RSD45" s="76"/>
      <c r="RSE45" s="76"/>
      <c r="RSF45" s="76"/>
      <c r="RSG45" s="76"/>
      <c r="RSH45" s="76"/>
      <c r="RSI45" s="76"/>
      <c r="RSJ45" s="76"/>
      <c r="RSK45" s="76"/>
      <c r="RSL45" s="76"/>
      <c r="RSM45" s="76"/>
      <c r="RSN45" s="76"/>
      <c r="RSO45" s="76"/>
      <c r="RSP45" s="76"/>
      <c r="RSQ45" s="76"/>
      <c r="RSR45" s="76"/>
      <c r="RSS45" s="76"/>
      <c r="RST45" s="76"/>
      <c r="RSU45" s="76"/>
      <c r="RSV45" s="76"/>
      <c r="RSW45" s="76"/>
      <c r="RSX45" s="76"/>
      <c r="RSY45" s="76"/>
      <c r="RSZ45" s="76"/>
      <c r="RTA45" s="76"/>
      <c r="RTB45" s="76"/>
      <c r="RTC45" s="76"/>
      <c r="RTD45" s="76"/>
      <c r="RTE45" s="76"/>
      <c r="RTF45" s="76"/>
      <c r="RTG45" s="76"/>
      <c r="RTH45" s="76"/>
      <c r="RTI45" s="76"/>
      <c r="RTJ45" s="76"/>
      <c r="RTK45" s="76"/>
      <c r="RTL45" s="76"/>
      <c r="RTM45" s="76"/>
      <c r="RTN45" s="76"/>
      <c r="RTO45" s="76"/>
      <c r="RTP45" s="76"/>
      <c r="RTQ45" s="76"/>
      <c r="RTR45" s="76"/>
      <c r="RTS45" s="76"/>
      <c r="RTT45" s="76"/>
      <c r="RTU45" s="76"/>
      <c r="RTV45" s="76"/>
      <c r="RTW45" s="76"/>
      <c r="RTX45" s="76"/>
      <c r="RTY45" s="76"/>
      <c r="RTZ45" s="76"/>
      <c r="RUA45" s="76"/>
      <c r="RUB45" s="76"/>
      <c r="RUC45" s="76"/>
      <c r="RUD45" s="76"/>
      <c r="RUE45" s="76"/>
      <c r="RUF45" s="76"/>
      <c r="RUG45" s="76"/>
      <c r="RUH45" s="76"/>
      <c r="RUI45" s="76"/>
      <c r="RUJ45" s="76"/>
      <c r="RUK45" s="76"/>
      <c r="RUL45" s="76"/>
      <c r="RUM45" s="76"/>
      <c r="RUN45" s="76"/>
      <c r="RUO45" s="76"/>
      <c r="RUP45" s="76"/>
      <c r="RUQ45" s="76"/>
      <c r="RUR45" s="76"/>
      <c r="RUS45" s="76"/>
      <c r="RUT45" s="76"/>
      <c r="RUU45" s="76"/>
      <c r="RUV45" s="76"/>
      <c r="RUW45" s="76"/>
      <c r="RUX45" s="76"/>
      <c r="RUY45" s="76"/>
      <c r="RUZ45" s="76"/>
      <c r="RVA45" s="76"/>
      <c r="RVB45" s="76"/>
      <c r="RVC45" s="76"/>
      <c r="RVD45" s="76"/>
      <c r="RVE45" s="76"/>
      <c r="RVF45" s="76"/>
      <c r="RVG45" s="76"/>
      <c r="RVH45" s="76"/>
      <c r="RVI45" s="76"/>
      <c r="RVJ45" s="76"/>
      <c r="RVK45" s="76"/>
      <c r="RVL45" s="76"/>
      <c r="RVM45" s="76"/>
      <c r="RVN45" s="76"/>
      <c r="RVO45" s="76"/>
      <c r="RVP45" s="76"/>
      <c r="RVQ45" s="76"/>
      <c r="RVR45" s="76"/>
      <c r="RVS45" s="76"/>
      <c r="RVT45" s="76"/>
      <c r="RVU45" s="76"/>
      <c r="RVV45" s="76"/>
      <c r="RVW45" s="76"/>
      <c r="RVX45" s="76"/>
      <c r="RVY45" s="76"/>
      <c r="RVZ45" s="76"/>
      <c r="RWA45" s="76"/>
      <c r="RWB45" s="76"/>
      <c r="RWC45" s="76"/>
      <c r="RWD45" s="76"/>
      <c r="RWE45" s="76"/>
      <c r="RWF45" s="76"/>
      <c r="RWG45" s="76"/>
      <c r="RWH45" s="76"/>
      <c r="RWI45" s="76"/>
      <c r="RWJ45" s="76"/>
      <c r="RWK45" s="76"/>
      <c r="RWL45" s="76"/>
      <c r="RWM45" s="76"/>
      <c r="RWN45" s="76"/>
      <c r="RWO45" s="76"/>
      <c r="RWP45" s="76"/>
      <c r="RWQ45" s="76"/>
      <c r="RWR45" s="76"/>
      <c r="RWS45" s="76"/>
      <c r="RWT45" s="76"/>
      <c r="RWU45" s="76"/>
      <c r="RWV45" s="76"/>
      <c r="RWW45" s="76"/>
      <c r="RWX45" s="76"/>
      <c r="RWY45" s="76"/>
      <c r="RWZ45" s="76"/>
      <c r="RXA45" s="76"/>
      <c r="RXB45" s="76"/>
      <c r="RXC45" s="76"/>
      <c r="RXD45" s="76"/>
      <c r="RXE45" s="76"/>
      <c r="RXF45" s="76"/>
      <c r="RXG45" s="76"/>
      <c r="RXH45" s="76"/>
      <c r="RXI45" s="76"/>
      <c r="RXJ45" s="76"/>
      <c r="RXK45" s="76"/>
      <c r="RXL45" s="76"/>
      <c r="RXM45" s="76"/>
      <c r="RXN45" s="76"/>
      <c r="RXO45" s="76"/>
      <c r="RXP45" s="76"/>
      <c r="RXQ45" s="76"/>
      <c r="RXR45" s="76"/>
      <c r="RXS45" s="76"/>
      <c r="RXT45" s="76"/>
      <c r="RXU45" s="76"/>
      <c r="RXV45" s="76"/>
      <c r="RXW45" s="76"/>
      <c r="RXX45" s="76"/>
      <c r="RXY45" s="76"/>
      <c r="RXZ45" s="76"/>
      <c r="RYA45" s="76"/>
      <c r="RYB45" s="76"/>
      <c r="RYC45" s="76"/>
      <c r="RYD45" s="76"/>
      <c r="RYE45" s="76"/>
      <c r="RYF45" s="76"/>
      <c r="RYG45" s="76"/>
      <c r="RYH45" s="76"/>
      <c r="RYI45" s="76"/>
      <c r="RYJ45" s="76"/>
      <c r="RYK45" s="76"/>
      <c r="RYL45" s="76"/>
      <c r="RYM45" s="76"/>
      <c r="RYN45" s="76"/>
      <c r="RYO45" s="76"/>
      <c r="RYP45" s="76"/>
      <c r="RYQ45" s="76"/>
      <c r="RYR45" s="76"/>
      <c r="RYS45" s="76"/>
      <c r="RYT45" s="76"/>
      <c r="RYU45" s="76"/>
      <c r="RYV45" s="76"/>
      <c r="RYW45" s="76"/>
      <c r="RYX45" s="76"/>
      <c r="RYY45" s="76"/>
      <c r="RYZ45" s="76"/>
      <c r="RZA45" s="76"/>
      <c r="RZB45" s="76"/>
      <c r="RZC45" s="76"/>
      <c r="RZD45" s="76"/>
      <c r="RZE45" s="76"/>
      <c r="RZF45" s="76"/>
      <c r="RZG45" s="76"/>
      <c r="RZH45" s="76"/>
      <c r="RZI45" s="76"/>
      <c r="RZJ45" s="76"/>
      <c r="RZK45" s="76"/>
      <c r="RZL45" s="76"/>
      <c r="RZM45" s="76"/>
      <c r="RZN45" s="76"/>
      <c r="RZO45" s="76"/>
      <c r="RZP45" s="76"/>
      <c r="RZQ45" s="76"/>
      <c r="RZR45" s="76"/>
      <c r="RZS45" s="76"/>
      <c r="RZT45" s="76"/>
      <c r="RZU45" s="76"/>
      <c r="RZV45" s="76"/>
      <c r="RZW45" s="76"/>
      <c r="RZX45" s="76"/>
      <c r="RZY45" s="76"/>
      <c r="RZZ45" s="76"/>
      <c r="SAA45" s="76"/>
      <c r="SAB45" s="76"/>
      <c r="SAC45" s="76"/>
      <c r="SAD45" s="76"/>
      <c r="SAE45" s="76"/>
      <c r="SAF45" s="76"/>
      <c r="SAG45" s="76"/>
      <c r="SAH45" s="76"/>
      <c r="SAI45" s="76"/>
      <c r="SAJ45" s="76"/>
      <c r="SAK45" s="76"/>
      <c r="SAL45" s="76"/>
      <c r="SAM45" s="76"/>
      <c r="SAN45" s="76"/>
      <c r="SAO45" s="76"/>
      <c r="SAP45" s="76"/>
      <c r="SAQ45" s="76"/>
      <c r="SAR45" s="76"/>
      <c r="SAS45" s="76"/>
      <c r="SAT45" s="76"/>
      <c r="SAU45" s="76"/>
      <c r="SAV45" s="76"/>
      <c r="SAW45" s="76"/>
      <c r="SAX45" s="76"/>
      <c r="SAY45" s="76"/>
      <c r="SAZ45" s="76"/>
      <c r="SBA45" s="76"/>
      <c r="SBB45" s="76"/>
      <c r="SBC45" s="76"/>
      <c r="SBD45" s="76"/>
      <c r="SBE45" s="76"/>
      <c r="SBF45" s="76"/>
      <c r="SBG45" s="76"/>
      <c r="SBH45" s="76"/>
      <c r="SBI45" s="76"/>
      <c r="SBJ45" s="76"/>
      <c r="SBK45" s="76"/>
      <c r="SBL45" s="76"/>
      <c r="SBM45" s="76"/>
      <c r="SBN45" s="76"/>
      <c r="SBO45" s="76"/>
      <c r="SBP45" s="76"/>
      <c r="SBQ45" s="76"/>
      <c r="SBR45" s="76"/>
      <c r="SBS45" s="76"/>
      <c r="SBT45" s="76"/>
      <c r="SBU45" s="76"/>
      <c r="SBV45" s="76"/>
      <c r="SBW45" s="76"/>
      <c r="SBX45" s="76"/>
      <c r="SBY45" s="76"/>
      <c r="SBZ45" s="76"/>
      <c r="SCA45" s="76"/>
      <c r="SCB45" s="76"/>
      <c r="SCC45" s="76"/>
      <c r="SCD45" s="76"/>
      <c r="SCE45" s="76"/>
      <c r="SCF45" s="76"/>
      <c r="SCG45" s="76"/>
      <c r="SCH45" s="76"/>
      <c r="SCI45" s="76"/>
      <c r="SCJ45" s="76"/>
      <c r="SCK45" s="76"/>
      <c r="SCL45" s="76"/>
      <c r="SCM45" s="76"/>
      <c r="SCN45" s="76"/>
      <c r="SCO45" s="76"/>
      <c r="SCP45" s="76"/>
      <c r="SCQ45" s="76"/>
      <c r="SCR45" s="76"/>
      <c r="SCS45" s="76"/>
      <c r="SCT45" s="76"/>
      <c r="SCU45" s="76"/>
      <c r="SCV45" s="76"/>
      <c r="SCW45" s="76"/>
      <c r="SCX45" s="76"/>
      <c r="SCY45" s="76"/>
      <c r="SCZ45" s="76"/>
      <c r="SDA45" s="76"/>
      <c r="SDB45" s="76"/>
      <c r="SDC45" s="76"/>
      <c r="SDD45" s="76"/>
      <c r="SDE45" s="76"/>
      <c r="SDF45" s="76"/>
      <c r="SDG45" s="76"/>
      <c r="SDH45" s="76"/>
      <c r="SDI45" s="76"/>
      <c r="SDJ45" s="76"/>
      <c r="SDK45" s="76"/>
      <c r="SDL45" s="76"/>
      <c r="SDM45" s="76"/>
      <c r="SDN45" s="76"/>
      <c r="SDO45" s="76"/>
      <c r="SDP45" s="76"/>
      <c r="SDQ45" s="76"/>
      <c r="SDR45" s="76"/>
      <c r="SDS45" s="76"/>
      <c r="SDT45" s="76"/>
      <c r="SDU45" s="76"/>
      <c r="SDV45" s="76"/>
      <c r="SDW45" s="76"/>
      <c r="SDX45" s="76"/>
      <c r="SDY45" s="76"/>
      <c r="SDZ45" s="76"/>
      <c r="SEA45" s="76"/>
      <c r="SEB45" s="76"/>
      <c r="SEC45" s="76"/>
      <c r="SED45" s="76"/>
      <c r="SEE45" s="76"/>
      <c r="SEF45" s="76"/>
      <c r="SEG45" s="76"/>
      <c r="SEH45" s="76"/>
      <c r="SEI45" s="76"/>
      <c r="SEJ45" s="76"/>
      <c r="SEK45" s="76"/>
      <c r="SEL45" s="76"/>
      <c r="SEM45" s="76"/>
      <c r="SEN45" s="76"/>
      <c r="SEO45" s="76"/>
      <c r="SEP45" s="76"/>
      <c r="SEQ45" s="76"/>
      <c r="SER45" s="76"/>
      <c r="SES45" s="76"/>
      <c r="SET45" s="76"/>
      <c r="SEU45" s="76"/>
      <c r="SEV45" s="76"/>
      <c r="SEW45" s="76"/>
      <c r="SEX45" s="76"/>
      <c r="SEY45" s="76"/>
      <c r="SEZ45" s="76"/>
      <c r="SFA45" s="76"/>
      <c r="SFB45" s="76"/>
      <c r="SFC45" s="76"/>
      <c r="SFD45" s="76"/>
      <c r="SFE45" s="76"/>
      <c r="SFF45" s="76"/>
      <c r="SFG45" s="76"/>
      <c r="SFH45" s="76"/>
      <c r="SFI45" s="76"/>
      <c r="SFJ45" s="76"/>
      <c r="SFK45" s="76"/>
      <c r="SFL45" s="76"/>
      <c r="SFM45" s="76"/>
      <c r="SFN45" s="76"/>
      <c r="SFO45" s="76"/>
      <c r="SFP45" s="76"/>
      <c r="SFQ45" s="76"/>
      <c r="SFR45" s="76"/>
      <c r="SFS45" s="76"/>
      <c r="SFT45" s="76"/>
      <c r="SFU45" s="76"/>
      <c r="SFV45" s="76"/>
      <c r="SFW45" s="76"/>
      <c r="SFX45" s="76"/>
      <c r="SFY45" s="76"/>
      <c r="SFZ45" s="76"/>
      <c r="SGA45" s="76"/>
      <c r="SGB45" s="76"/>
      <c r="SGC45" s="76"/>
      <c r="SGD45" s="76"/>
      <c r="SGE45" s="76"/>
      <c r="SGF45" s="76"/>
      <c r="SGG45" s="76"/>
      <c r="SGH45" s="76"/>
      <c r="SGI45" s="76"/>
      <c r="SGJ45" s="76"/>
      <c r="SGK45" s="76"/>
      <c r="SGL45" s="76"/>
      <c r="SGM45" s="76"/>
      <c r="SGN45" s="76"/>
      <c r="SGO45" s="76"/>
      <c r="SGP45" s="76"/>
      <c r="SGQ45" s="76"/>
      <c r="SGR45" s="76"/>
      <c r="SGS45" s="76"/>
      <c r="SGT45" s="76"/>
      <c r="SGU45" s="76"/>
      <c r="SGV45" s="76"/>
      <c r="SGW45" s="76"/>
      <c r="SGX45" s="76"/>
      <c r="SGY45" s="76"/>
      <c r="SGZ45" s="76"/>
      <c r="SHA45" s="76"/>
      <c r="SHB45" s="76"/>
      <c r="SHC45" s="76"/>
      <c r="SHD45" s="76"/>
      <c r="SHE45" s="76"/>
      <c r="SHF45" s="76"/>
      <c r="SHG45" s="76"/>
      <c r="SHH45" s="76"/>
      <c r="SHI45" s="76"/>
      <c r="SHJ45" s="76"/>
      <c r="SHK45" s="76"/>
      <c r="SHL45" s="76"/>
      <c r="SHM45" s="76"/>
      <c r="SHN45" s="76"/>
      <c r="SHO45" s="76"/>
      <c r="SHP45" s="76"/>
      <c r="SHQ45" s="76"/>
      <c r="SHR45" s="76"/>
      <c r="SHS45" s="76"/>
      <c r="SHT45" s="76"/>
      <c r="SHU45" s="76"/>
      <c r="SHV45" s="76"/>
      <c r="SHW45" s="76"/>
      <c r="SHX45" s="76"/>
      <c r="SHY45" s="76"/>
      <c r="SHZ45" s="76"/>
      <c r="SIA45" s="76"/>
      <c r="SIB45" s="76"/>
      <c r="SIC45" s="76"/>
      <c r="SID45" s="76"/>
      <c r="SIE45" s="76"/>
      <c r="SIF45" s="76"/>
      <c r="SIG45" s="76"/>
      <c r="SIH45" s="76"/>
      <c r="SII45" s="76"/>
      <c r="SIJ45" s="76"/>
      <c r="SIK45" s="76"/>
      <c r="SIL45" s="76"/>
      <c r="SIM45" s="76"/>
      <c r="SIN45" s="76"/>
      <c r="SIO45" s="76"/>
      <c r="SIP45" s="76"/>
      <c r="SIQ45" s="76"/>
      <c r="SIR45" s="76"/>
      <c r="SIS45" s="76"/>
      <c r="SIT45" s="76"/>
      <c r="SIU45" s="76"/>
      <c r="SIV45" s="76"/>
      <c r="SIW45" s="76"/>
      <c r="SIX45" s="76"/>
      <c r="SIY45" s="76"/>
      <c r="SIZ45" s="76"/>
      <c r="SJA45" s="76"/>
      <c r="SJB45" s="76"/>
      <c r="SJC45" s="76"/>
      <c r="SJD45" s="76"/>
      <c r="SJE45" s="76"/>
      <c r="SJF45" s="76"/>
      <c r="SJG45" s="76"/>
      <c r="SJH45" s="76"/>
      <c r="SJI45" s="76"/>
      <c r="SJJ45" s="76"/>
      <c r="SJK45" s="76"/>
      <c r="SJL45" s="76"/>
      <c r="SJM45" s="76"/>
      <c r="SJN45" s="76"/>
      <c r="SJO45" s="76"/>
      <c r="SJP45" s="76"/>
      <c r="SJQ45" s="76"/>
      <c r="SJR45" s="76"/>
      <c r="SJS45" s="76"/>
      <c r="SJT45" s="76"/>
      <c r="SJU45" s="76"/>
      <c r="SJV45" s="76"/>
      <c r="SJW45" s="76"/>
      <c r="SJX45" s="76"/>
      <c r="SJY45" s="76"/>
      <c r="SJZ45" s="76"/>
      <c r="SKA45" s="76"/>
      <c r="SKB45" s="76"/>
      <c r="SKC45" s="76"/>
      <c r="SKD45" s="76"/>
      <c r="SKE45" s="76"/>
      <c r="SKF45" s="76"/>
      <c r="SKG45" s="76"/>
      <c r="SKH45" s="76"/>
      <c r="SKI45" s="76"/>
      <c r="SKJ45" s="76"/>
      <c r="SKK45" s="76"/>
      <c r="SKL45" s="76"/>
      <c r="SKM45" s="76"/>
      <c r="SKN45" s="76"/>
      <c r="SKO45" s="76"/>
      <c r="SKP45" s="76"/>
      <c r="SKQ45" s="76"/>
      <c r="SKR45" s="76"/>
      <c r="SKS45" s="76"/>
      <c r="SKT45" s="76"/>
      <c r="SKU45" s="76"/>
      <c r="SKV45" s="76"/>
      <c r="SKW45" s="76"/>
      <c r="SKX45" s="76"/>
      <c r="SKY45" s="76"/>
      <c r="SKZ45" s="76"/>
      <c r="SLA45" s="76"/>
      <c r="SLB45" s="76"/>
      <c r="SLC45" s="76"/>
      <c r="SLD45" s="76"/>
      <c r="SLE45" s="76"/>
      <c r="SLF45" s="76"/>
      <c r="SLG45" s="76"/>
      <c r="SLH45" s="76"/>
      <c r="SLI45" s="76"/>
      <c r="SLJ45" s="76"/>
      <c r="SLK45" s="76"/>
      <c r="SLL45" s="76"/>
      <c r="SLM45" s="76"/>
      <c r="SLN45" s="76"/>
      <c r="SLO45" s="76"/>
      <c r="SLP45" s="76"/>
      <c r="SLQ45" s="76"/>
      <c r="SLR45" s="76"/>
      <c r="SLS45" s="76"/>
      <c r="SLT45" s="76"/>
      <c r="SLU45" s="76"/>
      <c r="SLV45" s="76"/>
      <c r="SLW45" s="76"/>
      <c r="SLX45" s="76"/>
      <c r="SLY45" s="76"/>
      <c r="SLZ45" s="76"/>
      <c r="SMA45" s="76"/>
      <c r="SMB45" s="76"/>
      <c r="SMC45" s="76"/>
      <c r="SMD45" s="76"/>
      <c r="SME45" s="76"/>
      <c r="SMF45" s="76"/>
      <c r="SMG45" s="76"/>
      <c r="SMH45" s="76"/>
      <c r="SMI45" s="76"/>
      <c r="SMJ45" s="76"/>
      <c r="SMK45" s="76"/>
      <c r="SML45" s="76"/>
      <c r="SMM45" s="76"/>
      <c r="SMN45" s="76"/>
      <c r="SMO45" s="76"/>
      <c r="SMP45" s="76"/>
      <c r="SMQ45" s="76"/>
      <c r="SMR45" s="76"/>
      <c r="SMS45" s="76"/>
      <c r="SMT45" s="76"/>
      <c r="SMU45" s="76"/>
      <c r="SMV45" s="76"/>
      <c r="SMW45" s="76"/>
      <c r="SMX45" s="76"/>
      <c r="SMY45" s="76"/>
      <c r="SMZ45" s="76"/>
      <c r="SNA45" s="76"/>
      <c r="SNB45" s="76"/>
      <c r="SNC45" s="76"/>
      <c r="SND45" s="76"/>
      <c r="SNE45" s="76"/>
      <c r="SNF45" s="76"/>
      <c r="SNG45" s="76"/>
      <c r="SNH45" s="76"/>
      <c r="SNI45" s="76"/>
      <c r="SNJ45" s="76"/>
      <c r="SNK45" s="76"/>
      <c r="SNL45" s="76"/>
      <c r="SNM45" s="76"/>
      <c r="SNN45" s="76"/>
      <c r="SNO45" s="76"/>
      <c r="SNP45" s="76"/>
      <c r="SNQ45" s="76"/>
      <c r="SNR45" s="76"/>
      <c r="SNS45" s="76"/>
      <c r="SNT45" s="76"/>
      <c r="SNU45" s="76"/>
      <c r="SNV45" s="76"/>
      <c r="SNW45" s="76"/>
      <c r="SNX45" s="76"/>
      <c r="SNY45" s="76"/>
      <c r="SNZ45" s="76"/>
      <c r="SOA45" s="76"/>
      <c r="SOB45" s="76"/>
      <c r="SOC45" s="76"/>
      <c r="SOD45" s="76"/>
      <c r="SOE45" s="76"/>
      <c r="SOF45" s="76"/>
      <c r="SOG45" s="76"/>
      <c r="SOH45" s="76"/>
      <c r="SOI45" s="76"/>
      <c r="SOJ45" s="76"/>
      <c r="SOK45" s="76"/>
      <c r="SOL45" s="76"/>
      <c r="SOM45" s="76"/>
      <c r="SON45" s="76"/>
      <c r="SOO45" s="76"/>
      <c r="SOP45" s="76"/>
      <c r="SOQ45" s="76"/>
      <c r="SOR45" s="76"/>
      <c r="SOS45" s="76"/>
      <c r="SOT45" s="76"/>
      <c r="SOU45" s="76"/>
      <c r="SOV45" s="76"/>
      <c r="SOW45" s="76"/>
      <c r="SOX45" s="76"/>
      <c r="SOY45" s="76"/>
      <c r="SOZ45" s="76"/>
      <c r="SPA45" s="76"/>
      <c r="SPB45" s="76"/>
      <c r="SPC45" s="76"/>
      <c r="SPD45" s="76"/>
      <c r="SPE45" s="76"/>
      <c r="SPF45" s="76"/>
      <c r="SPG45" s="76"/>
      <c r="SPH45" s="76"/>
      <c r="SPI45" s="76"/>
      <c r="SPJ45" s="76"/>
      <c r="SPK45" s="76"/>
      <c r="SPL45" s="76"/>
      <c r="SPM45" s="76"/>
      <c r="SPN45" s="76"/>
      <c r="SPO45" s="76"/>
      <c r="SPP45" s="76"/>
      <c r="SPQ45" s="76"/>
      <c r="SPR45" s="76"/>
      <c r="SPS45" s="76"/>
      <c r="SPT45" s="76"/>
      <c r="SPU45" s="76"/>
      <c r="SPV45" s="76"/>
      <c r="SPW45" s="76"/>
      <c r="SPX45" s="76"/>
      <c r="SPY45" s="76"/>
      <c r="SPZ45" s="76"/>
      <c r="SQA45" s="76"/>
      <c r="SQB45" s="76"/>
      <c r="SQC45" s="76"/>
      <c r="SQD45" s="76"/>
      <c r="SQE45" s="76"/>
      <c r="SQF45" s="76"/>
      <c r="SQG45" s="76"/>
      <c r="SQH45" s="76"/>
      <c r="SQI45" s="76"/>
      <c r="SQJ45" s="76"/>
      <c r="SQK45" s="76"/>
      <c r="SQL45" s="76"/>
      <c r="SQM45" s="76"/>
      <c r="SQN45" s="76"/>
      <c r="SQO45" s="76"/>
      <c r="SQP45" s="76"/>
      <c r="SQQ45" s="76"/>
      <c r="SQR45" s="76"/>
      <c r="SQS45" s="76"/>
      <c r="SQT45" s="76"/>
      <c r="SQU45" s="76"/>
      <c r="SQV45" s="76"/>
      <c r="SQW45" s="76"/>
      <c r="SQX45" s="76"/>
      <c r="SQY45" s="76"/>
      <c r="SQZ45" s="76"/>
      <c r="SRA45" s="76"/>
      <c r="SRB45" s="76"/>
      <c r="SRC45" s="76"/>
      <c r="SRD45" s="76"/>
      <c r="SRE45" s="76"/>
      <c r="SRF45" s="76"/>
      <c r="SRG45" s="76"/>
      <c r="SRH45" s="76"/>
      <c r="SRI45" s="76"/>
      <c r="SRJ45" s="76"/>
      <c r="SRK45" s="76"/>
      <c r="SRL45" s="76"/>
      <c r="SRM45" s="76"/>
      <c r="SRN45" s="76"/>
      <c r="SRO45" s="76"/>
      <c r="SRP45" s="76"/>
      <c r="SRQ45" s="76"/>
      <c r="SRR45" s="76"/>
      <c r="SRS45" s="76"/>
      <c r="SRT45" s="76"/>
      <c r="SRU45" s="76"/>
      <c r="SRV45" s="76"/>
      <c r="SRW45" s="76"/>
      <c r="SRX45" s="76"/>
      <c r="SRY45" s="76"/>
      <c r="SRZ45" s="76"/>
      <c r="SSA45" s="76"/>
      <c r="SSB45" s="76"/>
      <c r="SSC45" s="76"/>
      <c r="SSD45" s="76"/>
      <c r="SSE45" s="76"/>
      <c r="SSF45" s="76"/>
      <c r="SSG45" s="76"/>
      <c r="SSH45" s="76"/>
      <c r="SSI45" s="76"/>
      <c r="SSJ45" s="76"/>
      <c r="SSK45" s="76"/>
      <c r="SSL45" s="76"/>
      <c r="SSM45" s="76"/>
      <c r="SSN45" s="76"/>
      <c r="SSO45" s="76"/>
      <c r="SSP45" s="76"/>
      <c r="SSQ45" s="76"/>
      <c r="SSR45" s="76"/>
      <c r="SSS45" s="76"/>
      <c r="SST45" s="76"/>
      <c r="SSU45" s="76"/>
      <c r="SSV45" s="76"/>
      <c r="SSW45" s="76"/>
      <c r="SSX45" s="76"/>
      <c r="SSY45" s="76"/>
      <c r="SSZ45" s="76"/>
      <c r="STA45" s="76"/>
      <c r="STB45" s="76"/>
      <c r="STC45" s="76"/>
      <c r="STD45" s="76"/>
      <c r="STE45" s="76"/>
      <c r="STF45" s="76"/>
      <c r="STG45" s="76"/>
      <c r="STH45" s="76"/>
      <c r="STI45" s="76"/>
      <c r="STJ45" s="76"/>
      <c r="STK45" s="76"/>
      <c r="STL45" s="76"/>
      <c r="STM45" s="76"/>
      <c r="STN45" s="76"/>
      <c r="STO45" s="76"/>
      <c r="STP45" s="76"/>
      <c r="STQ45" s="76"/>
      <c r="STR45" s="76"/>
      <c r="STS45" s="76"/>
      <c r="STT45" s="76"/>
      <c r="STU45" s="76"/>
      <c r="STV45" s="76"/>
      <c r="STW45" s="76"/>
      <c r="STX45" s="76"/>
      <c r="STY45" s="76"/>
      <c r="STZ45" s="76"/>
      <c r="SUA45" s="76"/>
      <c r="SUB45" s="76"/>
      <c r="SUC45" s="76"/>
      <c r="SUD45" s="76"/>
      <c r="SUE45" s="76"/>
      <c r="SUF45" s="76"/>
      <c r="SUG45" s="76"/>
      <c r="SUH45" s="76"/>
      <c r="SUI45" s="76"/>
      <c r="SUJ45" s="76"/>
      <c r="SUK45" s="76"/>
      <c r="SUL45" s="76"/>
      <c r="SUM45" s="76"/>
      <c r="SUN45" s="76"/>
      <c r="SUO45" s="76"/>
      <c r="SUP45" s="76"/>
      <c r="SUQ45" s="76"/>
      <c r="SUR45" s="76"/>
      <c r="SUS45" s="76"/>
      <c r="SUT45" s="76"/>
      <c r="SUU45" s="76"/>
      <c r="SUV45" s="76"/>
      <c r="SUW45" s="76"/>
      <c r="SUX45" s="76"/>
      <c r="SUY45" s="76"/>
      <c r="SUZ45" s="76"/>
      <c r="SVA45" s="76"/>
      <c r="SVB45" s="76"/>
      <c r="SVC45" s="76"/>
      <c r="SVD45" s="76"/>
      <c r="SVE45" s="76"/>
      <c r="SVF45" s="76"/>
      <c r="SVG45" s="76"/>
      <c r="SVH45" s="76"/>
      <c r="SVI45" s="76"/>
      <c r="SVJ45" s="76"/>
      <c r="SVK45" s="76"/>
      <c r="SVL45" s="76"/>
      <c r="SVM45" s="76"/>
      <c r="SVN45" s="76"/>
      <c r="SVO45" s="76"/>
      <c r="SVP45" s="76"/>
      <c r="SVQ45" s="76"/>
      <c r="SVR45" s="76"/>
      <c r="SVS45" s="76"/>
      <c r="SVT45" s="76"/>
      <c r="SVU45" s="76"/>
      <c r="SVV45" s="76"/>
      <c r="SVW45" s="76"/>
      <c r="SVX45" s="76"/>
      <c r="SVY45" s="76"/>
      <c r="SVZ45" s="76"/>
      <c r="SWA45" s="76"/>
      <c r="SWB45" s="76"/>
      <c r="SWC45" s="76"/>
      <c r="SWD45" s="76"/>
      <c r="SWE45" s="76"/>
      <c r="SWF45" s="76"/>
      <c r="SWG45" s="76"/>
      <c r="SWH45" s="76"/>
      <c r="SWI45" s="76"/>
      <c r="SWJ45" s="76"/>
      <c r="SWK45" s="76"/>
      <c r="SWL45" s="76"/>
      <c r="SWM45" s="76"/>
      <c r="SWN45" s="76"/>
      <c r="SWO45" s="76"/>
      <c r="SWP45" s="76"/>
      <c r="SWQ45" s="76"/>
      <c r="SWR45" s="76"/>
      <c r="SWS45" s="76"/>
      <c r="SWT45" s="76"/>
      <c r="SWU45" s="76"/>
      <c r="SWV45" s="76"/>
      <c r="SWW45" s="76"/>
      <c r="SWX45" s="76"/>
      <c r="SWY45" s="76"/>
      <c r="SWZ45" s="76"/>
      <c r="SXA45" s="76"/>
      <c r="SXB45" s="76"/>
      <c r="SXC45" s="76"/>
      <c r="SXD45" s="76"/>
      <c r="SXE45" s="76"/>
      <c r="SXF45" s="76"/>
      <c r="SXG45" s="76"/>
      <c r="SXH45" s="76"/>
      <c r="SXI45" s="76"/>
      <c r="SXJ45" s="76"/>
      <c r="SXK45" s="76"/>
      <c r="SXL45" s="76"/>
      <c r="SXM45" s="76"/>
      <c r="SXN45" s="76"/>
      <c r="SXO45" s="76"/>
      <c r="SXP45" s="76"/>
      <c r="SXQ45" s="76"/>
      <c r="SXR45" s="76"/>
      <c r="SXS45" s="76"/>
      <c r="SXT45" s="76"/>
      <c r="SXU45" s="76"/>
      <c r="SXV45" s="76"/>
      <c r="SXW45" s="76"/>
      <c r="SXX45" s="76"/>
      <c r="SXY45" s="76"/>
      <c r="SXZ45" s="76"/>
      <c r="SYA45" s="76"/>
      <c r="SYB45" s="76"/>
      <c r="SYC45" s="76"/>
      <c r="SYD45" s="76"/>
      <c r="SYE45" s="76"/>
      <c r="SYF45" s="76"/>
      <c r="SYG45" s="76"/>
      <c r="SYH45" s="76"/>
      <c r="SYI45" s="76"/>
      <c r="SYJ45" s="76"/>
      <c r="SYK45" s="76"/>
      <c r="SYL45" s="76"/>
      <c r="SYM45" s="76"/>
      <c r="SYN45" s="76"/>
      <c r="SYO45" s="76"/>
      <c r="SYP45" s="76"/>
      <c r="SYQ45" s="76"/>
      <c r="SYR45" s="76"/>
      <c r="SYS45" s="76"/>
      <c r="SYT45" s="76"/>
      <c r="SYU45" s="76"/>
      <c r="SYV45" s="76"/>
      <c r="SYW45" s="76"/>
      <c r="SYX45" s="76"/>
      <c r="SYY45" s="76"/>
      <c r="SYZ45" s="76"/>
      <c r="SZA45" s="76"/>
      <c r="SZB45" s="76"/>
      <c r="SZC45" s="76"/>
      <c r="SZD45" s="76"/>
      <c r="SZE45" s="76"/>
      <c r="SZF45" s="76"/>
      <c r="SZG45" s="76"/>
      <c r="SZH45" s="76"/>
      <c r="SZI45" s="76"/>
      <c r="SZJ45" s="76"/>
      <c r="SZK45" s="76"/>
      <c r="SZL45" s="76"/>
      <c r="SZM45" s="76"/>
      <c r="SZN45" s="76"/>
      <c r="SZO45" s="76"/>
      <c r="SZP45" s="76"/>
      <c r="SZQ45" s="76"/>
      <c r="SZR45" s="76"/>
      <c r="SZS45" s="76"/>
      <c r="SZT45" s="76"/>
      <c r="SZU45" s="76"/>
      <c r="SZV45" s="76"/>
      <c r="SZW45" s="76"/>
      <c r="SZX45" s="76"/>
      <c r="SZY45" s="76"/>
      <c r="SZZ45" s="76"/>
      <c r="TAA45" s="76"/>
      <c r="TAB45" s="76"/>
      <c r="TAC45" s="76"/>
      <c r="TAD45" s="76"/>
      <c r="TAE45" s="76"/>
      <c r="TAF45" s="76"/>
      <c r="TAG45" s="76"/>
      <c r="TAH45" s="76"/>
      <c r="TAI45" s="76"/>
      <c r="TAJ45" s="76"/>
      <c r="TAK45" s="76"/>
      <c r="TAL45" s="76"/>
      <c r="TAM45" s="76"/>
      <c r="TAN45" s="76"/>
      <c r="TAO45" s="76"/>
      <c r="TAP45" s="76"/>
      <c r="TAQ45" s="76"/>
      <c r="TAR45" s="76"/>
      <c r="TAS45" s="76"/>
      <c r="TAT45" s="76"/>
      <c r="TAU45" s="76"/>
      <c r="TAV45" s="76"/>
      <c r="TAW45" s="76"/>
      <c r="TAX45" s="76"/>
      <c r="TAY45" s="76"/>
      <c r="TAZ45" s="76"/>
      <c r="TBA45" s="76"/>
      <c r="TBB45" s="76"/>
      <c r="TBC45" s="76"/>
      <c r="TBD45" s="76"/>
      <c r="TBE45" s="76"/>
      <c r="TBF45" s="76"/>
      <c r="TBG45" s="76"/>
      <c r="TBH45" s="76"/>
      <c r="TBI45" s="76"/>
      <c r="TBJ45" s="76"/>
      <c r="TBK45" s="76"/>
      <c r="TBL45" s="76"/>
      <c r="TBM45" s="76"/>
      <c r="TBN45" s="76"/>
      <c r="TBO45" s="76"/>
      <c r="TBP45" s="76"/>
      <c r="TBQ45" s="76"/>
      <c r="TBR45" s="76"/>
      <c r="TBS45" s="76"/>
      <c r="TBT45" s="76"/>
      <c r="TBU45" s="76"/>
      <c r="TBV45" s="76"/>
      <c r="TBW45" s="76"/>
      <c r="TBX45" s="76"/>
      <c r="TBY45" s="76"/>
      <c r="TBZ45" s="76"/>
      <c r="TCA45" s="76"/>
      <c r="TCB45" s="76"/>
      <c r="TCC45" s="76"/>
      <c r="TCD45" s="76"/>
      <c r="TCE45" s="76"/>
      <c r="TCF45" s="76"/>
      <c r="TCG45" s="76"/>
      <c r="TCH45" s="76"/>
      <c r="TCI45" s="76"/>
      <c r="TCJ45" s="76"/>
      <c r="TCK45" s="76"/>
      <c r="TCL45" s="76"/>
      <c r="TCM45" s="76"/>
      <c r="TCN45" s="76"/>
      <c r="TCO45" s="76"/>
      <c r="TCP45" s="76"/>
      <c r="TCQ45" s="76"/>
      <c r="TCR45" s="76"/>
      <c r="TCS45" s="76"/>
      <c r="TCT45" s="76"/>
      <c r="TCU45" s="76"/>
      <c r="TCV45" s="76"/>
      <c r="TCW45" s="76"/>
      <c r="TCX45" s="76"/>
      <c r="TCY45" s="76"/>
      <c r="TCZ45" s="76"/>
      <c r="TDA45" s="76"/>
      <c r="TDB45" s="76"/>
      <c r="TDC45" s="76"/>
      <c r="TDD45" s="76"/>
      <c r="TDE45" s="76"/>
      <c r="TDF45" s="76"/>
      <c r="TDG45" s="76"/>
      <c r="TDH45" s="76"/>
      <c r="TDI45" s="76"/>
      <c r="TDJ45" s="76"/>
      <c r="TDK45" s="76"/>
      <c r="TDL45" s="76"/>
      <c r="TDM45" s="76"/>
      <c r="TDN45" s="76"/>
      <c r="TDO45" s="76"/>
      <c r="TDP45" s="76"/>
      <c r="TDQ45" s="76"/>
      <c r="TDR45" s="76"/>
      <c r="TDS45" s="76"/>
      <c r="TDT45" s="76"/>
      <c r="TDU45" s="76"/>
      <c r="TDV45" s="76"/>
      <c r="TDW45" s="76"/>
      <c r="TDX45" s="76"/>
      <c r="TDY45" s="76"/>
      <c r="TDZ45" s="76"/>
      <c r="TEA45" s="76"/>
      <c r="TEB45" s="76"/>
      <c r="TEC45" s="76"/>
      <c r="TED45" s="76"/>
      <c r="TEE45" s="76"/>
      <c r="TEF45" s="76"/>
      <c r="TEG45" s="76"/>
      <c r="TEH45" s="76"/>
      <c r="TEI45" s="76"/>
      <c r="TEJ45" s="76"/>
      <c r="TEK45" s="76"/>
      <c r="TEL45" s="76"/>
      <c r="TEM45" s="76"/>
      <c r="TEN45" s="76"/>
      <c r="TEO45" s="76"/>
      <c r="TEP45" s="76"/>
      <c r="TEQ45" s="76"/>
      <c r="TER45" s="76"/>
      <c r="TES45" s="76"/>
      <c r="TET45" s="76"/>
      <c r="TEU45" s="76"/>
      <c r="TEV45" s="76"/>
      <c r="TEW45" s="76"/>
      <c r="TEX45" s="76"/>
      <c r="TEY45" s="76"/>
      <c r="TEZ45" s="76"/>
      <c r="TFA45" s="76"/>
      <c r="TFB45" s="76"/>
      <c r="TFC45" s="76"/>
      <c r="TFD45" s="76"/>
      <c r="TFE45" s="76"/>
      <c r="TFF45" s="76"/>
      <c r="TFG45" s="76"/>
      <c r="TFH45" s="76"/>
      <c r="TFI45" s="76"/>
      <c r="TFJ45" s="76"/>
      <c r="TFK45" s="76"/>
      <c r="TFL45" s="76"/>
      <c r="TFM45" s="76"/>
      <c r="TFN45" s="76"/>
      <c r="TFO45" s="76"/>
      <c r="TFP45" s="76"/>
      <c r="TFQ45" s="76"/>
      <c r="TFR45" s="76"/>
      <c r="TFS45" s="76"/>
      <c r="TFT45" s="76"/>
      <c r="TFU45" s="76"/>
      <c r="TFV45" s="76"/>
      <c r="TFW45" s="76"/>
      <c r="TFX45" s="76"/>
      <c r="TFY45" s="76"/>
      <c r="TFZ45" s="76"/>
      <c r="TGA45" s="76"/>
      <c r="TGB45" s="76"/>
      <c r="TGC45" s="76"/>
      <c r="TGD45" s="76"/>
      <c r="TGE45" s="76"/>
      <c r="TGF45" s="76"/>
      <c r="TGG45" s="76"/>
      <c r="TGH45" s="76"/>
      <c r="TGI45" s="76"/>
      <c r="TGJ45" s="76"/>
      <c r="TGK45" s="76"/>
      <c r="TGL45" s="76"/>
      <c r="TGM45" s="76"/>
      <c r="TGN45" s="76"/>
      <c r="TGO45" s="76"/>
      <c r="TGP45" s="76"/>
      <c r="TGQ45" s="76"/>
      <c r="TGR45" s="76"/>
      <c r="TGS45" s="76"/>
      <c r="TGT45" s="76"/>
      <c r="TGU45" s="76"/>
      <c r="TGV45" s="76"/>
      <c r="TGW45" s="76"/>
      <c r="TGX45" s="76"/>
      <c r="TGY45" s="76"/>
      <c r="TGZ45" s="76"/>
      <c r="THA45" s="76"/>
      <c r="THB45" s="76"/>
      <c r="THC45" s="76"/>
      <c r="THD45" s="76"/>
      <c r="THE45" s="76"/>
      <c r="THF45" s="76"/>
      <c r="THG45" s="76"/>
      <c r="THH45" s="76"/>
      <c r="THI45" s="76"/>
      <c r="THJ45" s="76"/>
      <c r="THK45" s="76"/>
      <c r="THL45" s="76"/>
      <c r="THM45" s="76"/>
      <c r="THN45" s="76"/>
      <c r="THO45" s="76"/>
      <c r="THP45" s="76"/>
      <c r="THQ45" s="76"/>
      <c r="THR45" s="76"/>
      <c r="THS45" s="76"/>
      <c r="THT45" s="76"/>
      <c r="THU45" s="76"/>
      <c r="THV45" s="76"/>
      <c r="THW45" s="76"/>
      <c r="THX45" s="76"/>
      <c r="THY45" s="76"/>
      <c r="THZ45" s="76"/>
      <c r="TIA45" s="76"/>
      <c r="TIB45" s="76"/>
      <c r="TIC45" s="76"/>
      <c r="TID45" s="76"/>
      <c r="TIE45" s="76"/>
      <c r="TIF45" s="76"/>
      <c r="TIG45" s="76"/>
      <c r="TIH45" s="76"/>
      <c r="TII45" s="76"/>
      <c r="TIJ45" s="76"/>
      <c r="TIK45" s="76"/>
      <c r="TIL45" s="76"/>
      <c r="TIM45" s="76"/>
      <c r="TIN45" s="76"/>
      <c r="TIO45" s="76"/>
      <c r="TIP45" s="76"/>
      <c r="TIQ45" s="76"/>
      <c r="TIR45" s="76"/>
      <c r="TIS45" s="76"/>
      <c r="TIT45" s="76"/>
      <c r="TIU45" s="76"/>
      <c r="TIV45" s="76"/>
      <c r="TIW45" s="76"/>
      <c r="TIX45" s="76"/>
      <c r="TIY45" s="76"/>
      <c r="TIZ45" s="76"/>
      <c r="TJA45" s="76"/>
      <c r="TJB45" s="76"/>
      <c r="TJC45" s="76"/>
      <c r="TJD45" s="76"/>
      <c r="TJE45" s="76"/>
      <c r="TJF45" s="76"/>
      <c r="TJG45" s="76"/>
      <c r="TJH45" s="76"/>
      <c r="TJI45" s="76"/>
      <c r="TJJ45" s="76"/>
      <c r="TJK45" s="76"/>
      <c r="TJL45" s="76"/>
      <c r="TJM45" s="76"/>
      <c r="TJN45" s="76"/>
      <c r="TJO45" s="76"/>
      <c r="TJP45" s="76"/>
      <c r="TJQ45" s="76"/>
      <c r="TJR45" s="76"/>
      <c r="TJS45" s="76"/>
      <c r="TJT45" s="76"/>
      <c r="TJU45" s="76"/>
      <c r="TJV45" s="76"/>
      <c r="TJW45" s="76"/>
      <c r="TJX45" s="76"/>
      <c r="TJY45" s="76"/>
      <c r="TJZ45" s="76"/>
      <c r="TKA45" s="76"/>
      <c r="TKB45" s="76"/>
      <c r="TKC45" s="76"/>
      <c r="TKD45" s="76"/>
      <c r="TKE45" s="76"/>
      <c r="TKF45" s="76"/>
      <c r="TKG45" s="76"/>
      <c r="TKH45" s="76"/>
      <c r="TKI45" s="76"/>
      <c r="TKJ45" s="76"/>
      <c r="TKK45" s="76"/>
      <c r="TKL45" s="76"/>
      <c r="TKM45" s="76"/>
      <c r="TKN45" s="76"/>
      <c r="TKO45" s="76"/>
      <c r="TKP45" s="76"/>
      <c r="TKQ45" s="76"/>
      <c r="TKR45" s="76"/>
      <c r="TKS45" s="76"/>
      <c r="TKT45" s="76"/>
      <c r="TKU45" s="76"/>
      <c r="TKV45" s="76"/>
      <c r="TKW45" s="76"/>
      <c r="TKX45" s="76"/>
      <c r="TKY45" s="76"/>
      <c r="TKZ45" s="76"/>
      <c r="TLA45" s="76"/>
      <c r="TLB45" s="76"/>
      <c r="TLC45" s="76"/>
      <c r="TLD45" s="76"/>
      <c r="TLE45" s="76"/>
      <c r="TLF45" s="76"/>
      <c r="TLG45" s="76"/>
      <c r="TLH45" s="76"/>
      <c r="TLI45" s="76"/>
      <c r="TLJ45" s="76"/>
      <c r="TLK45" s="76"/>
      <c r="TLL45" s="76"/>
      <c r="TLM45" s="76"/>
      <c r="TLN45" s="76"/>
      <c r="TLO45" s="76"/>
      <c r="TLP45" s="76"/>
      <c r="TLQ45" s="76"/>
      <c r="TLR45" s="76"/>
      <c r="TLS45" s="76"/>
      <c r="TLT45" s="76"/>
      <c r="TLU45" s="76"/>
      <c r="TLV45" s="76"/>
      <c r="TLW45" s="76"/>
      <c r="TLX45" s="76"/>
      <c r="TLY45" s="76"/>
      <c r="TLZ45" s="76"/>
      <c r="TMA45" s="76"/>
      <c r="TMB45" s="76"/>
      <c r="TMC45" s="76"/>
      <c r="TMD45" s="76"/>
      <c r="TME45" s="76"/>
      <c r="TMF45" s="76"/>
      <c r="TMG45" s="76"/>
      <c r="TMH45" s="76"/>
      <c r="TMI45" s="76"/>
      <c r="TMJ45" s="76"/>
      <c r="TMK45" s="76"/>
      <c r="TML45" s="76"/>
      <c r="TMM45" s="76"/>
      <c r="TMN45" s="76"/>
      <c r="TMO45" s="76"/>
      <c r="TMP45" s="76"/>
      <c r="TMQ45" s="76"/>
      <c r="TMR45" s="76"/>
      <c r="TMS45" s="76"/>
      <c r="TMT45" s="76"/>
      <c r="TMU45" s="76"/>
      <c r="TMV45" s="76"/>
      <c r="TMW45" s="76"/>
      <c r="TMX45" s="76"/>
      <c r="TMY45" s="76"/>
      <c r="TMZ45" s="76"/>
      <c r="TNA45" s="76"/>
      <c r="TNB45" s="76"/>
      <c r="TNC45" s="76"/>
      <c r="TND45" s="76"/>
      <c r="TNE45" s="76"/>
      <c r="TNF45" s="76"/>
      <c r="TNG45" s="76"/>
      <c r="TNH45" s="76"/>
      <c r="TNI45" s="76"/>
      <c r="TNJ45" s="76"/>
      <c r="TNK45" s="76"/>
      <c r="TNL45" s="76"/>
      <c r="TNM45" s="76"/>
      <c r="TNN45" s="76"/>
      <c r="TNO45" s="76"/>
      <c r="TNP45" s="76"/>
      <c r="TNQ45" s="76"/>
      <c r="TNR45" s="76"/>
      <c r="TNS45" s="76"/>
      <c r="TNT45" s="76"/>
      <c r="TNU45" s="76"/>
      <c r="TNV45" s="76"/>
      <c r="TNW45" s="76"/>
      <c r="TNX45" s="76"/>
      <c r="TNY45" s="76"/>
      <c r="TNZ45" s="76"/>
      <c r="TOA45" s="76"/>
      <c r="TOB45" s="76"/>
      <c r="TOC45" s="76"/>
      <c r="TOD45" s="76"/>
      <c r="TOE45" s="76"/>
      <c r="TOF45" s="76"/>
      <c r="TOG45" s="76"/>
      <c r="TOH45" s="76"/>
      <c r="TOI45" s="76"/>
      <c r="TOJ45" s="76"/>
      <c r="TOK45" s="76"/>
      <c r="TOL45" s="76"/>
      <c r="TOM45" s="76"/>
      <c r="TON45" s="76"/>
      <c r="TOO45" s="76"/>
      <c r="TOP45" s="76"/>
      <c r="TOQ45" s="76"/>
      <c r="TOR45" s="76"/>
      <c r="TOS45" s="76"/>
      <c r="TOT45" s="76"/>
      <c r="TOU45" s="76"/>
      <c r="TOV45" s="76"/>
      <c r="TOW45" s="76"/>
      <c r="TOX45" s="76"/>
      <c r="TOY45" s="76"/>
      <c r="TOZ45" s="76"/>
      <c r="TPA45" s="76"/>
      <c r="TPB45" s="76"/>
      <c r="TPC45" s="76"/>
      <c r="TPD45" s="76"/>
      <c r="TPE45" s="76"/>
      <c r="TPF45" s="76"/>
      <c r="TPG45" s="76"/>
      <c r="TPH45" s="76"/>
      <c r="TPI45" s="76"/>
      <c r="TPJ45" s="76"/>
      <c r="TPK45" s="76"/>
      <c r="TPL45" s="76"/>
      <c r="TPM45" s="76"/>
      <c r="TPN45" s="76"/>
      <c r="TPO45" s="76"/>
      <c r="TPP45" s="76"/>
      <c r="TPQ45" s="76"/>
      <c r="TPR45" s="76"/>
      <c r="TPS45" s="76"/>
      <c r="TPT45" s="76"/>
      <c r="TPU45" s="76"/>
      <c r="TPV45" s="76"/>
      <c r="TPW45" s="76"/>
      <c r="TPX45" s="76"/>
      <c r="TPY45" s="76"/>
      <c r="TPZ45" s="76"/>
      <c r="TQA45" s="76"/>
      <c r="TQB45" s="76"/>
      <c r="TQC45" s="76"/>
      <c r="TQD45" s="76"/>
      <c r="TQE45" s="76"/>
      <c r="TQF45" s="76"/>
      <c r="TQG45" s="76"/>
      <c r="TQH45" s="76"/>
      <c r="TQI45" s="76"/>
      <c r="TQJ45" s="76"/>
      <c r="TQK45" s="76"/>
      <c r="TQL45" s="76"/>
      <c r="TQM45" s="76"/>
      <c r="TQN45" s="76"/>
      <c r="TQO45" s="76"/>
      <c r="TQP45" s="76"/>
      <c r="TQQ45" s="76"/>
      <c r="TQR45" s="76"/>
      <c r="TQS45" s="76"/>
      <c r="TQT45" s="76"/>
      <c r="TQU45" s="76"/>
      <c r="TQV45" s="76"/>
      <c r="TQW45" s="76"/>
      <c r="TQX45" s="76"/>
      <c r="TQY45" s="76"/>
      <c r="TQZ45" s="76"/>
      <c r="TRA45" s="76"/>
      <c r="TRB45" s="76"/>
      <c r="TRC45" s="76"/>
      <c r="TRD45" s="76"/>
      <c r="TRE45" s="76"/>
      <c r="TRF45" s="76"/>
      <c r="TRG45" s="76"/>
      <c r="TRH45" s="76"/>
      <c r="TRI45" s="76"/>
      <c r="TRJ45" s="76"/>
      <c r="TRK45" s="76"/>
      <c r="TRL45" s="76"/>
      <c r="TRM45" s="76"/>
      <c r="TRN45" s="76"/>
      <c r="TRO45" s="76"/>
      <c r="TRP45" s="76"/>
      <c r="TRQ45" s="76"/>
      <c r="TRR45" s="76"/>
      <c r="TRS45" s="76"/>
      <c r="TRT45" s="76"/>
      <c r="TRU45" s="76"/>
      <c r="TRV45" s="76"/>
      <c r="TRW45" s="76"/>
      <c r="TRX45" s="76"/>
      <c r="TRY45" s="76"/>
      <c r="TRZ45" s="76"/>
      <c r="TSA45" s="76"/>
      <c r="TSB45" s="76"/>
      <c r="TSC45" s="76"/>
      <c r="TSD45" s="76"/>
      <c r="TSE45" s="76"/>
      <c r="TSF45" s="76"/>
      <c r="TSG45" s="76"/>
      <c r="TSH45" s="76"/>
      <c r="TSI45" s="76"/>
      <c r="TSJ45" s="76"/>
      <c r="TSK45" s="76"/>
      <c r="TSL45" s="76"/>
      <c r="TSM45" s="76"/>
      <c r="TSN45" s="76"/>
      <c r="TSO45" s="76"/>
      <c r="TSP45" s="76"/>
      <c r="TSQ45" s="76"/>
      <c r="TSR45" s="76"/>
      <c r="TSS45" s="76"/>
      <c r="TST45" s="76"/>
      <c r="TSU45" s="76"/>
      <c r="TSV45" s="76"/>
      <c r="TSW45" s="76"/>
      <c r="TSX45" s="76"/>
      <c r="TSY45" s="76"/>
      <c r="TSZ45" s="76"/>
      <c r="TTA45" s="76"/>
      <c r="TTB45" s="76"/>
      <c r="TTC45" s="76"/>
      <c r="TTD45" s="76"/>
      <c r="TTE45" s="76"/>
      <c r="TTF45" s="76"/>
      <c r="TTG45" s="76"/>
      <c r="TTH45" s="76"/>
      <c r="TTI45" s="76"/>
      <c r="TTJ45" s="76"/>
      <c r="TTK45" s="76"/>
      <c r="TTL45" s="76"/>
      <c r="TTM45" s="76"/>
      <c r="TTN45" s="76"/>
      <c r="TTO45" s="76"/>
      <c r="TTP45" s="76"/>
      <c r="TTQ45" s="76"/>
      <c r="TTR45" s="76"/>
      <c r="TTS45" s="76"/>
      <c r="TTT45" s="76"/>
      <c r="TTU45" s="76"/>
      <c r="TTV45" s="76"/>
      <c r="TTW45" s="76"/>
      <c r="TTX45" s="76"/>
      <c r="TTY45" s="76"/>
      <c r="TTZ45" s="76"/>
      <c r="TUA45" s="76"/>
      <c r="TUB45" s="76"/>
      <c r="TUC45" s="76"/>
      <c r="TUD45" s="76"/>
      <c r="TUE45" s="76"/>
      <c r="TUF45" s="76"/>
      <c r="TUG45" s="76"/>
      <c r="TUH45" s="76"/>
      <c r="TUI45" s="76"/>
      <c r="TUJ45" s="76"/>
      <c r="TUK45" s="76"/>
      <c r="TUL45" s="76"/>
      <c r="TUM45" s="76"/>
      <c r="TUN45" s="76"/>
      <c r="TUO45" s="76"/>
      <c r="TUP45" s="76"/>
      <c r="TUQ45" s="76"/>
      <c r="TUR45" s="76"/>
      <c r="TUS45" s="76"/>
      <c r="TUT45" s="76"/>
      <c r="TUU45" s="76"/>
      <c r="TUV45" s="76"/>
      <c r="TUW45" s="76"/>
      <c r="TUX45" s="76"/>
      <c r="TUY45" s="76"/>
      <c r="TUZ45" s="76"/>
      <c r="TVA45" s="76"/>
      <c r="TVB45" s="76"/>
      <c r="TVC45" s="76"/>
      <c r="TVD45" s="76"/>
      <c r="TVE45" s="76"/>
      <c r="TVF45" s="76"/>
      <c r="TVG45" s="76"/>
      <c r="TVH45" s="76"/>
      <c r="TVI45" s="76"/>
      <c r="TVJ45" s="76"/>
      <c r="TVK45" s="76"/>
      <c r="TVL45" s="76"/>
      <c r="TVM45" s="76"/>
      <c r="TVN45" s="76"/>
      <c r="TVO45" s="76"/>
      <c r="TVP45" s="76"/>
      <c r="TVQ45" s="76"/>
      <c r="TVR45" s="76"/>
      <c r="TVS45" s="76"/>
      <c r="TVT45" s="76"/>
      <c r="TVU45" s="76"/>
      <c r="TVV45" s="76"/>
      <c r="TVW45" s="76"/>
      <c r="TVX45" s="76"/>
      <c r="TVY45" s="76"/>
      <c r="TVZ45" s="76"/>
      <c r="TWA45" s="76"/>
      <c r="TWB45" s="76"/>
      <c r="TWC45" s="76"/>
      <c r="TWD45" s="76"/>
      <c r="TWE45" s="76"/>
      <c r="TWF45" s="76"/>
      <c r="TWG45" s="76"/>
      <c r="TWH45" s="76"/>
      <c r="TWI45" s="76"/>
      <c r="TWJ45" s="76"/>
      <c r="TWK45" s="76"/>
      <c r="TWL45" s="76"/>
      <c r="TWM45" s="76"/>
      <c r="TWN45" s="76"/>
      <c r="TWO45" s="76"/>
      <c r="TWP45" s="76"/>
      <c r="TWQ45" s="76"/>
      <c r="TWR45" s="76"/>
      <c r="TWS45" s="76"/>
      <c r="TWT45" s="76"/>
      <c r="TWU45" s="76"/>
      <c r="TWV45" s="76"/>
      <c r="TWW45" s="76"/>
      <c r="TWX45" s="76"/>
      <c r="TWY45" s="76"/>
      <c r="TWZ45" s="76"/>
      <c r="TXA45" s="76"/>
      <c r="TXB45" s="76"/>
      <c r="TXC45" s="76"/>
      <c r="TXD45" s="76"/>
      <c r="TXE45" s="76"/>
      <c r="TXF45" s="76"/>
      <c r="TXG45" s="76"/>
      <c r="TXH45" s="76"/>
      <c r="TXI45" s="76"/>
      <c r="TXJ45" s="76"/>
      <c r="TXK45" s="76"/>
      <c r="TXL45" s="76"/>
      <c r="TXM45" s="76"/>
      <c r="TXN45" s="76"/>
      <c r="TXO45" s="76"/>
      <c r="TXP45" s="76"/>
      <c r="TXQ45" s="76"/>
      <c r="TXR45" s="76"/>
      <c r="TXS45" s="76"/>
      <c r="TXT45" s="76"/>
      <c r="TXU45" s="76"/>
      <c r="TXV45" s="76"/>
      <c r="TXW45" s="76"/>
      <c r="TXX45" s="76"/>
      <c r="TXY45" s="76"/>
      <c r="TXZ45" s="76"/>
      <c r="TYA45" s="76"/>
      <c r="TYB45" s="76"/>
      <c r="TYC45" s="76"/>
      <c r="TYD45" s="76"/>
      <c r="TYE45" s="76"/>
      <c r="TYF45" s="76"/>
      <c r="TYG45" s="76"/>
      <c r="TYH45" s="76"/>
      <c r="TYI45" s="76"/>
      <c r="TYJ45" s="76"/>
      <c r="TYK45" s="76"/>
      <c r="TYL45" s="76"/>
      <c r="TYM45" s="76"/>
      <c r="TYN45" s="76"/>
      <c r="TYO45" s="76"/>
      <c r="TYP45" s="76"/>
      <c r="TYQ45" s="76"/>
      <c r="TYR45" s="76"/>
      <c r="TYS45" s="76"/>
      <c r="TYT45" s="76"/>
      <c r="TYU45" s="76"/>
      <c r="TYV45" s="76"/>
      <c r="TYW45" s="76"/>
      <c r="TYX45" s="76"/>
      <c r="TYY45" s="76"/>
      <c r="TYZ45" s="76"/>
      <c r="TZA45" s="76"/>
      <c r="TZB45" s="76"/>
      <c r="TZC45" s="76"/>
      <c r="TZD45" s="76"/>
      <c r="TZE45" s="76"/>
      <c r="TZF45" s="76"/>
      <c r="TZG45" s="76"/>
      <c r="TZH45" s="76"/>
      <c r="TZI45" s="76"/>
      <c r="TZJ45" s="76"/>
      <c r="TZK45" s="76"/>
      <c r="TZL45" s="76"/>
      <c r="TZM45" s="76"/>
      <c r="TZN45" s="76"/>
      <c r="TZO45" s="76"/>
      <c r="TZP45" s="76"/>
      <c r="TZQ45" s="76"/>
      <c r="TZR45" s="76"/>
      <c r="TZS45" s="76"/>
      <c r="TZT45" s="76"/>
      <c r="TZU45" s="76"/>
      <c r="TZV45" s="76"/>
      <c r="TZW45" s="76"/>
      <c r="TZX45" s="76"/>
      <c r="TZY45" s="76"/>
      <c r="TZZ45" s="76"/>
      <c r="UAA45" s="76"/>
      <c r="UAB45" s="76"/>
      <c r="UAC45" s="76"/>
      <c r="UAD45" s="76"/>
      <c r="UAE45" s="76"/>
      <c r="UAF45" s="76"/>
      <c r="UAG45" s="76"/>
      <c r="UAH45" s="76"/>
      <c r="UAI45" s="76"/>
      <c r="UAJ45" s="76"/>
      <c r="UAK45" s="76"/>
      <c r="UAL45" s="76"/>
      <c r="UAM45" s="76"/>
      <c r="UAN45" s="76"/>
      <c r="UAO45" s="76"/>
      <c r="UAP45" s="76"/>
      <c r="UAQ45" s="76"/>
      <c r="UAR45" s="76"/>
      <c r="UAS45" s="76"/>
      <c r="UAT45" s="76"/>
      <c r="UAU45" s="76"/>
      <c r="UAV45" s="76"/>
      <c r="UAW45" s="76"/>
      <c r="UAX45" s="76"/>
      <c r="UAY45" s="76"/>
      <c r="UAZ45" s="76"/>
      <c r="UBA45" s="76"/>
      <c r="UBB45" s="76"/>
      <c r="UBC45" s="76"/>
      <c r="UBD45" s="76"/>
      <c r="UBE45" s="76"/>
      <c r="UBF45" s="76"/>
      <c r="UBG45" s="76"/>
      <c r="UBH45" s="76"/>
      <c r="UBI45" s="76"/>
      <c r="UBJ45" s="76"/>
      <c r="UBK45" s="76"/>
      <c r="UBL45" s="76"/>
      <c r="UBM45" s="76"/>
      <c r="UBN45" s="76"/>
      <c r="UBO45" s="76"/>
      <c r="UBP45" s="76"/>
      <c r="UBQ45" s="76"/>
      <c r="UBR45" s="76"/>
      <c r="UBS45" s="76"/>
      <c r="UBT45" s="76"/>
      <c r="UBU45" s="76"/>
      <c r="UBV45" s="76"/>
      <c r="UBW45" s="76"/>
      <c r="UBX45" s="76"/>
      <c r="UBY45" s="76"/>
      <c r="UBZ45" s="76"/>
      <c r="UCA45" s="76"/>
      <c r="UCB45" s="76"/>
      <c r="UCC45" s="76"/>
      <c r="UCD45" s="76"/>
      <c r="UCE45" s="76"/>
      <c r="UCF45" s="76"/>
      <c r="UCG45" s="76"/>
      <c r="UCH45" s="76"/>
      <c r="UCI45" s="76"/>
      <c r="UCJ45" s="76"/>
      <c r="UCK45" s="76"/>
      <c r="UCL45" s="76"/>
      <c r="UCM45" s="76"/>
      <c r="UCN45" s="76"/>
      <c r="UCO45" s="76"/>
      <c r="UCP45" s="76"/>
      <c r="UCQ45" s="76"/>
      <c r="UCR45" s="76"/>
      <c r="UCS45" s="76"/>
      <c r="UCT45" s="76"/>
      <c r="UCU45" s="76"/>
      <c r="UCV45" s="76"/>
      <c r="UCW45" s="76"/>
      <c r="UCX45" s="76"/>
      <c r="UCY45" s="76"/>
      <c r="UCZ45" s="76"/>
      <c r="UDA45" s="76"/>
      <c r="UDB45" s="76"/>
      <c r="UDC45" s="76"/>
      <c r="UDD45" s="76"/>
      <c r="UDE45" s="76"/>
      <c r="UDF45" s="76"/>
      <c r="UDG45" s="76"/>
      <c r="UDH45" s="76"/>
      <c r="UDI45" s="76"/>
      <c r="UDJ45" s="76"/>
      <c r="UDK45" s="76"/>
      <c r="UDL45" s="76"/>
      <c r="UDM45" s="76"/>
      <c r="UDN45" s="76"/>
      <c r="UDO45" s="76"/>
      <c r="UDP45" s="76"/>
      <c r="UDQ45" s="76"/>
      <c r="UDR45" s="76"/>
      <c r="UDS45" s="76"/>
      <c r="UDT45" s="76"/>
      <c r="UDU45" s="76"/>
      <c r="UDV45" s="76"/>
      <c r="UDW45" s="76"/>
      <c r="UDX45" s="76"/>
      <c r="UDY45" s="76"/>
      <c r="UDZ45" s="76"/>
      <c r="UEA45" s="76"/>
      <c r="UEB45" s="76"/>
      <c r="UEC45" s="76"/>
      <c r="UED45" s="76"/>
      <c r="UEE45" s="76"/>
      <c r="UEF45" s="76"/>
      <c r="UEG45" s="76"/>
      <c r="UEH45" s="76"/>
      <c r="UEI45" s="76"/>
      <c r="UEJ45" s="76"/>
      <c r="UEK45" s="76"/>
      <c r="UEL45" s="76"/>
      <c r="UEM45" s="76"/>
      <c r="UEN45" s="76"/>
      <c r="UEO45" s="76"/>
      <c r="UEP45" s="76"/>
      <c r="UEQ45" s="76"/>
      <c r="UER45" s="76"/>
      <c r="UES45" s="76"/>
      <c r="UET45" s="76"/>
      <c r="UEU45" s="76"/>
      <c r="UEV45" s="76"/>
      <c r="UEW45" s="76"/>
      <c r="UEX45" s="76"/>
      <c r="UEY45" s="76"/>
      <c r="UEZ45" s="76"/>
      <c r="UFA45" s="76"/>
      <c r="UFB45" s="76"/>
      <c r="UFC45" s="76"/>
      <c r="UFD45" s="76"/>
      <c r="UFE45" s="76"/>
      <c r="UFF45" s="76"/>
      <c r="UFG45" s="76"/>
      <c r="UFH45" s="76"/>
      <c r="UFI45" s="76"/>
      <c r="UFJ45" s="76"/>
      <c r="UFK45" s="76"/>
      <c r="UFL45" s="76"/>
      <c r="UFM45" s="76"/>
      <c r="UFN45" s="76"/>
      <c r="UFO45" s="76"/>
      <c r="UFP45" s="76"/>
      <c r="UFQ45" s="76"/>
      <c r="UFR45" s="76"/>
      <c r="UFS45" s="76"/>
      <c r="UFT45" s="76"/>
      <c r="UFU45" s="76"/>
      <c r="UFV45" s="76"/>
      <c r="UFW45" s="76"/>
      <c r="UFX45" s="76"/>
      <c r="UFY45" s="76"/>
      <c r="UFZ45" s="76"/>
      <c r="UGA45" s="76"/>
      <c r="UGB45" s="76"/>
      <c r="UGC45" s="76"/>
      <c r="UGD45" s="76"/>
      <c r="UGE45" s="76"/>
      <c r="UGF45" s="76"/>
      <c r="UGG45" s="76"/>
      <c r="UGH45" s="76"/>
      <c r="UGI45" s="76"/>
      <c r="UGJ45" s="76"/>
      <c r="UGK45" s="76"/>
      <c r="UGL45" s="76"/>
      <c r="UGM45" s="76"/>
      <c r="UGN45" s="76"/>
      <c r="UGO45" s="76"/>
      <c r="UGP45" s="76"/>
      <c r="UGQ45" s="76"/>
      <c r="UGR45" s="76"/>
      <c r="UGS45" s="76"/>
      <c r="UGT45" s="76"/>
      <c r="UGU45" s="76"/>
      <c r="UGV45" s="76"/>
      <c r="UGW45" s="76"/>
      <c r="UGX45" s="76"/>
      <c r="UGY45" s="76"/>
      <c r="UGZ45" s="76"/>
      <c r="UHA45" s="76"/>
      <c r="UHB45" s="76"/>
      <c r="UHC45" s="76"/>
      <c r="UHD45" s="76"/>
      <c r="UHE45" s="76"/>
      <c r="UHF45" s="76"/>
      <c r="UHG45" s="76"/>
      <c r="UHH45" s="76"/>
      <c r="UHI45" s="76"/>
      <c r="UHJ45" s="76"/>
      <c r="UHK45" s="76"/>
      <c r="UHL45" s="76"/>
      <c r="UHM45" s="76"/>
      <c r="UHN45" s="76"/>
      <c r="UHO45" s="76"/>
      <c r="UHP45" s="76"/>
      <c r="UHQ45" s="76"/>
      <c r="UHR45" s="76"/>
      <c r="UHS45" s="76"/>
      <c r="UHT45" s="76"/>
      <c r="UHU45" s="76"/>
      <c r="UHV45" s="76"/>
      <c r="UHW45" s="76"/>
      <c r="UHX45" s="76"/>
      <c r="UHY45" s="76"/>
      <c r="UHZ45" s="76"/>
      <c r="UIA45" s="76"/>
      <c r="UIB45" s="76"/>
      <c r="UIC45" s="76"/>
      <c r="UID45" s="76"/>
      <c r="UIE45" s="76"/>
      <c r="UIF45" s="76"/>
      <c r="UIG45" s="76"/>
      <c r="UIH45" s="76"/>
      <c r="UII45" s="76"/>
      <c r="UIJ45" s="76"/>
      <c r="UIK45" s="76"/>
      <c r="UIL45" s="76"/>
      <c r="UIM45" s="76"/>
      <c r="UIN45" s="76"/>
      <c r="UIO45" s="76"/>
      <c r="UIP45" s="76"/>
      <c r="UIQ45" s="76"/>
      <c r="UIR45" s="76"/>
      <c r="UIS45" s="76"/>
      <c r="UIT45" s="76"/>
      <c r="UIU45" s="76"/>
      <c r="UIV45" s="76"/>
      <c r="UIW45" s="76"/>
      <c r="UIX45" s="76"/>
      <c r="UIY45" s="76"/>
      <c r="UIZ45" s="76"/>
      <c r="UJA45" s="76"/>
      <c r="UJB45" s="76"/>
      <c r="UJC45" s="76"/>
      <c r="UJD45" s="76"/>
      <c r="UJE45" s="76"/>
      <c r="UJF45" s="76"/>
      <c r="UJG45" s="76"/>
      <c r="UJH45" s="76"/>
      <c r="UJI45" s="76"/>
      <c r="UJJ45" s="76"/>
      <c r="UJK45" s="76"/>
      <c r="UJL45" s="76"/>
      <c r="UJM45" s="76"/>
      <c r="UJN45" s="76"/>
      <c r="UJO45" s="76"/>
      <c r="UJP45" s="76"/>
      <c r="UJQ45" s="76"/>
      <c r="UJR45" s="76"/>
      <c r="UJS45" s="76"/>
      <c r="UJT45" s="76"/>
      <c r="UJU45" s="76"/>
      <c r="UJV45" s="76"/>
      <c r="UJW45" s="76"/>
      <c r="UJX45" s="76"/>
      <c r="UJY45" s="76"/>
      <c r="UJZ45" s="76"/>
      <c r="UKA45" s="76"/>
      <c r="UKB45" s="76"/>
      <c r="UKC45" s="76"/>
      <c r="UKD45" s="76"/>
      <c r="UKE45" s="76"/>
      <c r="UKF45" s="76"/>
      <c r="UKG45" s="76"/>
      <c r="UKH45" s="76"/>
      <c r="UKI45" s="76"/>
      <c r="UKJ45" s="76"/>
      <c r="UKK45" s="76"/>
      <c r="UKL45" s="76"/>
      <c r="UKM45" s="76"/>
      <c r="UKN45" s="76"/>
      <c r="UKO45" s="76"/>
      <c r="UKP45" s="76"/>
      <c r="UKQ45" s="76"/>
      <c r="UKR45" s="76"/>
      <c r="UKS45" s="76"/>
      <c r="UKT45" s="76"/>
      <c r="UKU45" s="76"/>
      <c r="UKV45" s="76"/>
      <c r="UKW45" s="76"/>
      <c r="UKX45" s="76"/>
      <c r="UKY45" s="76"/>
      <c r="UKZ45" s="76"/>
      <c r="ULA45" s="76"/>
      <c r="ULB45" s="76"/>
      <c r="ULC45" s="76"/>
      <c r="ULD45" s="76"/>
      <c r="ULE45" s="76"/>
      <c r="ULF45" s="76"/>
      <c r="ULG45" s="76"/>
      <c r="ULH45" s="76"/>
      <c r="ULI45" s="76"/>
      <c r="ULJ45" s="76"/>
      <c r="ULK45" s="76"/>
      <c r="ULL45" s="76"/>
      <c r="ULM45" s="76"/>
      <c r="ULN45" s="76"/>
      <c r="ULO45" s="76"/>
      <c r="ULP45" s="76"/>
      <c r="ULQ45" s="76"/>
      <c r="ULR45" s="76"/>
      <c r="ULS45" s="76"/>
      <c r="ULT45" s="76"/>
      <c r="ULU45" s="76"/>
      <c r="ULV45" s="76"/>
      <c r="ULW45" s="76"/>
      <c r="ULX45" s="76"/>
      <c r="ULY45" s="76"/>
      <c r="ULZ45" s="76"/>
      <c r="UMA45" s="76"/>
      <c r="UMB45" s="76"/>
      <c r="UMC45" s="76"/>
      <c r="UMD45" s="76"/>
      <c r="UME45" s="76"/>
      <c r="UMF45" s="76"/>
      <c r="UMG45" s="76"/>
      <c r="UMH45" s="76"/>
      <c r="UMI45" s="76"/>
      <c r="UMJ45" s="76"/>
      <c r="UMK45" s="76"/>
      <c r="UML45" s="76"/>
      <c r="UMM45" s="76"/>
      <c r="UMN45" s="76"/>
      <c r="UMO45" s="76"/>
      <c r="UMP45" s="76"/>
      <c r="UMQ45" s="76"/>
      <c r="UMR45" s="76"/>
      <c r="UMS45" s="76"/>
      <c r="UMT45" s="76"/>
      <c r="UMU45" s="76"/>
      <c r="UMV45" s="76"/>
      <c r="UMW45" s="76"/>
      <c r="UMX45" s="76"/>
      <c r="UMY45" s="76"/>
      <c r="UMZ45" s="76"/>
      <c r="UNA45" s="76"/>
      <c r="UNB45" s="76"/>
      <c r="UNC45" s="76"/>
      <c r="UND45" s="76"/>
      <c r="UNE45" s="76"/>
      <c r="UNF45" s="76"/>
      <c r="UNG45" s="76"/>
      <c r="UNH45" s="76"/>
      <c r="UNI45" s="76"/>
      <c r="UNJ45" s="76"/>
      <c r="UNK45" s="76"/>
      <c r="UNL45" s="76"/>
      <c r="UNM45" s="76"/>
      <c r="UNN45" s="76"/>
      <c r="UNO45" s="76"/>
      <c r="UNP45" s="76"/>
      <c r="UNQ45" s="76"/>
      <c r="UNR45" s="76"/>
      <c r="UNS45" s="76"/>
      <c r="UNT45" s="76"/>
      <c r="UNU45" s="76"/>
      <c r="UNV45" s="76"/>
      <c r="UNW45" s="76"/>
      <c r="UNX45" s="76"/>
      <c r="UNY45" s="76"/>
      <c r="UNZ45" s="76"/>
      <c r="UOA45" s="76"/>
      <c r="UOB45" s="76"/>
      <c r="UOC45" s="76"/>
      <c r="UOD45" s="76"/>
      <c r="UOE45" s="76"/>
      <c r="UOF45" s="76"/>
      <c r="UOG45" s="76"/>
      <c r="UOH45" s="76"/>
      <c r="UOI45" s="76"/>
      <c r="UOJ45" s="76"/>
      <c r="UOK45" s="76"/>
      <c r="UOL45" s="76"/>
      <c r="UOM45" s="76"/>
      <c r="UON45" s="76"/>
      <c r="UOO45" s="76"/>
      <c r="UOP45" s="76"/>
      <c r="UOQ45" s="76"/>
      <c r="UOR45" s="76"/>
      <c r="UOS45" s="76"/>
      <c r="UOT45" s="76"/>
      <c r="UOU45" s="76"/>
      <c r="UOV45" s="76"/>
      <c r="UOW45" s="76"/>
      <c r="UOX45" s="76"/>
      <c r="UOY45" s="76"/>
      <c r="UOZ45" s="76"/>
      <c r="UPA45" s="76"/>
      <c r="UPB45" s="76"/>
      <c r="UPC45" s="76"/>
      <c r="UPD45" s="76"/>
      <c r="UPE45" s="76"/>
      <c r="UPF45" s="76"/>
      <c r="UPG45" s="76"/>
      <c r="UPH45" s="76"/>
      <c r="UPI45" s="76"/>
      <c r="UPJ45" s="76"/>
      <c r="UPK45" s="76"/>
      <c r="UPL45" s="76"/>
      <c r="UPM45" s="76"/>
      <c r="UPN45" s="76"/>
      <c r="UPO45" s="76"/>
      <c r="UPP45" s="76"/>
      <c r="UPQ45" s="76"/>
      <c r="UPR45" s="76"/>
      <c r="UPS45" s="76"/>
      <c r="UPT45" s="76"/>
      <c r="UPU45" s="76"/>
      <c r="UPV45" s="76"/>
      <c r="UPW45" s="76"/>
      <c r="UPX45" s="76"/>
      <c r="UPY45" s="76"/>
      <c r="UPZ45" s="76"/>
      <c r="UQA45" s="76"/>
      <c r="UQB45" s="76"/>
      <c r="UQC45" s="76"/>
      <c r="UQD45" s="76"/>
      <c r="UQE45" s="76"/>
      <c r="UQF45" s="76"/>
      <c r="UQG45" s="76"/>
      <c r="UQH45" s="76"/>
      <c r="UQI45" s="76"/>
      <c r="UQJ45" s="76"/>
      <c r="UQK45" s="76"/>
      <c r="UQL45" s="76"/>
      <c r="UQM45" s="76"/>
      <c r="UQN45" s="76"/>
      <c r="UQO45" s="76"/>
      <c r="UQP45" s="76"/>
      <c r="UQQ45" s="76"/>
      <c r="UQR45" s="76"/>
      <c r="UQS45" s="76"/>
      <c r="UQT45" s="76"/>
      <c r="UQU45" s="76"/>
      <c r="UQV45" s="76"/>
      <c r="UQW45" s="76"/>
      <c r="UQX45" s="76"/>
      <c r="UQY45" s="76"/>
      <c r="UQZ45" s="76"/>
      <c r="URA45" s="76"/>
      <c r="URB45" s="76"/>
      <c r="URC45" s="76"/>
      <c r="URD45" s="76"/>
      <c r="URE45" s="76"/>
      <c r="URF45" s="76"/>
      <c r="URG45" s="76"/>
      <c r="URH45" s="76"/>
      <c r="URI45" s="76"/>
      <c r="URJ45" s="76"/>
      <c r="URK45" s="76"/>
      <c r="URL45" s="76"/>
      <c r="URM45" s="76"/>
      <c r="URN45" s="76"/>
      <c r="URO45" s="76"/>
      <c r="URP45" s="76"/>
      <c r="URQ45" s="76"/>
      <c r="URR45" s="76"/>
      <c r="URS45" s="76"/>
      <c r="URT45" s="76"/>
      <c r="URU45" s="76"/>
      <c r="URV45" s="76"/>
      <c r="URW45" s="76"/>
      <c r="URX45" s="76"/>
      <c r="URY45" s="76"/>
      <c r="URZ45" s="76"/>
      <c r="USA45" s="76"/>
      <c r="USB45" s="76"/>
      <c r="USC45" s="76"/>
      <c r="USD45" s="76"/>
      <c r="USE45" s="76"/>
      <c r="USF45" s="76"/>
      <c r="USG45" s="76"/>
      <c r="USH45" s="76"/>
      <c r="USI45" s="76"/>
      <c r="USJ45" s="76"/>
      <c r="USK45" s="76"/>
      <c r="USL45" s="76"/>
      <c r="USM45" s="76"/>
      <c r="USN45" s="76"/>
      <c r="USO45" s="76"/>
      <c r="USP45" s="76"/>
      <c r="USQ45" s="76"/>
      <c r="USR45" s="76"/>
      <c r="USS45" s="76"/>
      <c r="UST45" s="76"/>
      <c r="USU45" s="76"/>
      <c r="USV45" s="76"/>
      <c r="USW45" s="76"/>
      <c r="USX45" s="76"/>
      <c r="USY45" s="76"/>
      <c r="USZ45" s="76"/>
      <c r="UTA45" s="76"/>
      <c r="UTB45" s="76"/>
      <c r="UTC45" s="76"/>
      <c r="UTD45" s="76"/>
      <c r="UTE45" s="76"/>
      <c r="UTF45" s="76"/>
      <c r="UTG45" s="76"/>
      <c r="UTH45" s="76"/>
      <c r="UTI45" s="76"/>
      <c r="UTJ45" s="76"/>
      <c r="UTK45" s="76"/>
      <c r="UTL45" s="76"/>
      <c r="UTM45" s="76"/>
      <c r="UTN45" s="76"/>
      <c r="UTO45" s="76"/>
      <c r="UTP45" s="76"/>
      <c r="UTQ45" s="76"/>
      <c r="UTR45" s="76"/>
      <c r="UTS45" s="76"/>
      <c r="UTT45" s="76"/>
      <c r="UTU45" s="76"/>
      <c r="UTV45" s="76"/>
      <c r="UTW45" s="76"/>
      <c r="UTX45" s="76"/>
      <c r="UTY45" s="76"/>
      <c r="UTZ45" s="76"/>
      <c r="UUA45" s="76"/>
      <c r="UUB45" s="76"/>
      <c r="UUC45" s="76"/>
      <c r="UUD45" s="76"/>
      <c r="UUE45" s="76"/>
      <c r="UUF45" s="76"/>
      <c r="UUG45" s="76"/>
      <c r="UUH45" s="76"/>
      <c r="UUI45" s="76"/>
      <c r="UUJ45" s="76"/>
      <c r="UUK45" s="76"/>
      <c r="UUL45" s="76"/>
      <c r="UUM45" s="76"/>
      <c r="UUN45" s="76"/>
      <c r="UUO45" s="76"/>
      <c r="UUP45" s="76"/>
      <c r="UUQ45" s="76"/>
      <c r="UUR45" s="76"/>
      <c r="UUS45" s="76"/>
      <c r="UUT45" s="76"/>
      <c r="UUU45" s="76"/>
      <c r="UUV45" s="76"/>
      <c r="UUW45" s="76"/>
      <c r="UUX45" s="76"/>
      <c r="UUY45" s="76"/>
      <c r="UUZ45" s="76"/>
      <c r="UVA45" s="76"/>
      <c r="UVB45" s="76"/>
      <c r="UVC45" s="76"/>
      <c r="UVD45" s="76"/>
      <c r="UVE45" s="76"/>
      <c r="UVF45" s="76"/>
      <c r="UVG45" s="76"/>
      <c r="UVH45" s="76"/>
      <c r="UVI45" s="76"/>
      <c r="UVJ45" s="76"/>
      <c r="UVK45" s="76"/>
      <c r="UVL45" s="76"/>
      <c r="UVM45" s="76"/>
      <c r="UVN45" s="76"/>
      <c r="UVO45" s="76"/>
      <c r="UVP45" s="76"/>
      <c r="UVQ45" s="76"/>
      <c r="UVR45" s="76"/>
      <c r="UVS45" s="76"/>
      <c r="UVT45" s="76"/>
      <c r="UVU45" s="76"/>
      <c r="UVV45" s="76"/>
      <c r="UVW45" s="76"/>
      <c r="UVX45" s="76"/>
      <c r="UVY45" s="76"/>
      <c r="UVZ45" s="76"/>
      <c r="UWA45" s="76"/>
      <c r="UWB45" s="76"/>
      <c r="UWC45" s="76"/>
      <c r="UWD45" s="76"/>
      <c r="UWE45" s="76"/>
      <c r="UWF45" s="76"/>
      <c r="UWG45" s="76"/>
      <c r="UWH45" s="76"/>
      <c r="UWI45" s="76"/>
      <c r="UWJ45" s="76"/>
      <c r="UWK45" s="76"/>
      <c r="UWL45" s="76"/>
      <c r="UWM45" s="76"/>
      <c r="UWN45" s="76"/>
      <c r="UWO45" s="76"/>
      <c r="UWP45" s="76"/>
      <c r="UWQ45" s="76"/>
      <c r="UWR45" s="76"/>
      <c r="UWS45" s="76"/>
      <c r="UWT45" s="76"/>
      <c r="UWU45" s="76"/>
      <c r="UWV45" s="76"/>
      <c r="UWW45" s="76"/>
      <c r="UWX45" s="76"/>
      <c r="UWY45" s="76"/>
      <c r="UWZ45" s="76"/>
      <c r="UXA45" s="76"/>
      <c r="UXB45" s="76"/>
      <c r="UXC45" s="76"/>
      <c r="UXD45" s="76"/>
      <c r="UXE45" s="76"/>
      <c r="UXF45" s="76"/>
      <c r="UXG45" s="76"/>
      <c r="UXH45" s="76"/>
      <c r="UXI45" s="76"/>
      <c r="UXJ45" s="76"/>
      <c r="UXK45" s="76"/>
      <c r="UXL45" s="76"/>
      <c r="UXM45" s="76"/>
      <c r="UXN45" s="76"/>
      <c r="UXO45" s="76"/>
      <c r="UXP45" s="76"/>
      <c r="UXQ45" s="76"/>
      <c r="UXR45" s="76"/>
      <c r="UXS45" s="76"/>
      <c r="UXT45" s="76"/>
      <c r="UXU45" s="76"/>
      <c r="UXV45" s="76"/>
      <c r="UXW45" s="76"/>
      <c r="UXX45" s="76"/>
      <c r="UXY45" s="76"/>
      <c r="UXZ45" s="76"/>
      <c r="UYA45" s="76"/>
      <c r="UYB45" s="76"/>
      <c r="UYC45" s="76"/>
      <c r="UYD45" s="76"/>
      <c r="UYE45" s="76"/>
      <c r="UYF45" s="76"/>
      <c r="UYG45" s="76"/>
      <c r="UYH45" s="76"/>
      <c r="UYI45" s="76"/>
      <c r="UYJ45" s="76"/>
      <c r="UYK45" s="76"/>
      <c r="UYL45" s="76"/>
      <c r="UYM45" s="76"/>
      <c r="UYN45" s="76"/>
      <c r="UYO45" s="76"/>
      <c r="UYP45" s="76"/>
      <c r="UYQ45" s="76"/>
      <c r="UYR45" s="76"/>
      <c r="UYS45" s="76"/>
      <c r="UYT45" s="76"/>
      <c r="UYU45" s="76"/>
      <c r="UYV45" s="76"/>
      <c r="UYW45" s="76"/>
      <c r="UYX45" s="76"/>
      <c r="UYY45" s="76"/>
      <c r="UYZ45" s="76"/>
      <c r="UZA45" s="76"/>
      <c r="UZB45" s="76"/>
      <c r="UZC45" s="76"/>
      <c r="UZD45" s="76"/>
      <c r="UZE45" s="76"/>
      <c r="UZF45" s="76"/>
      <c r="UZG45" s="76"/>
      <c r="UZH45" s="76"/>
      <c r="UZI45" s="76"/>
      <c r="UZJ45" s="76"/>
      <c r="UZK45" s="76"/>
      <c r="UZL45" s="76"/>
      <c r="UZM45" s="76"/>
      <c r="UZN45" s="76"/>
      <c r="UZO45" s="76"/>
      <c r="UZP45" s="76"/>
      <c r="UZQ45" s="76"/>
      <c r="UZR45" s="76"/>
      <c r="UZS45" s="76"/>
      <c r="UZT45" s="76"/>
      <c r="UZU45" s="76"/>
      <c r="UZV45" s="76"/>
      <c r="UZW45" s="76"/>
      <c r="UZX45" s="76"/>
      <c r="UZY45" s="76"/>
      <c r="UZZ45" s="76"/>
      <c r="VAA45" s="76"/>
      <c r="VAB45" s="76"/>
      <c r="VAC45" s="76"/>
      <c r="VAD45" s="76"/>
      <c r="VAE45" s="76"/>
      <c r="VAF45" s="76"/>
      <c r="VAG45" s="76"/>
      <c r="VAH45" s="76"/>
      <c r="VAI45" s="76"/>
      <c r="VAJ45" s="76"/>
      <c r="VAK45" s="76"/>
      <c r="VAL45" s="76"/>
      <c r="VAM45" s="76"/>
      <c r="VAN45" s="76"/>
      <c r="VAO45" s="76"/>
      <c r="VAP45" s="76"/>
      <c r="VAQ45" s="76"/>
      <c r="VAR45" s="76"/>
      <c r="VAS45" s="76"/>
      <c r="VAT45" s="76"/>
      <c r="VAU45" s="76"/>
      <c r="VAV45" s="76"/>
      <c r="VAW45" s="76"/>
      <c r="VAX45" s="76"/>
      <c r="VAY45" s="76"/>
      <c r="VAZ45" s="76"/>
      <c r="VBA45" s="76"/>
      <c r="VBB45" s="76"/>
      <c r="VBC45" s="76"/>
      <c r="VBD45" s="76"/>
      <c r="VBE45" s="76"/>
      <c r="VBF45" s="76"/>
      <c r="VBG45" s="76"/>
      <c r="VBH45" s="76"/>
      <c r="VBI45" s="76"/>
      <c r="VBJ45" s="76"/>
      <c r="VBK45" s="76"/>
      <c r="VBL45" s="76"/>
      <c r="VBM45" s="76"/>
      <c r="VBN45" s="76"/>
      <c r="VBO45" s="76"/>
      <c r="VBP45" s="76"/>
      <c r="VBQ45" s="76"/>
      <c r="VBR45" s="76"/>
      <c r="VBS45" s="76"/>
      <c r="VBT45" s="76"/>
      <c r="VBU45" s="76"/>
      <c r="VBV45" s="76"/>
      <c r="VBW45" s="76"/>
      <c r="VBX45" s="76"/>
      <c r="VBY45" s="76"/>
      <c r="VBZ45" s="76"/>
      <c r="VCA45" s="76"/>
      <c r="VCB45" s="76"/>
      <c r="VCC45" s="76"/>
      <c r="VCD45" s="76"/>
      <c r="VCE45" s="76"/>
      <c r="VCF45" s="76"/>
      <c r="VCG45" s="76"/>
      <c r="VCH45" s="76"/>
      <c r="VCI45" s="76"/>
      <c r="VCJ45" s="76"/>
      <c r="VCK45" s="76"/>
      <c r="VCL45" s="76"/>
      <c r="VCM45" s="76"/>
      <c r="VCN45" s="76"/>
      <c r="VCO45" s="76"/>
      <c r="VCP45" s="76"/>
      <c r="VCQ45" s="76"/>
      <c r="VCR45" s="76"/>
      <c r="VCS45" s="76"/>
      <c r="VCT45" s="76"/>
      <c r="VCU45" s="76"/>
      <c r="VCV45" s="76"/>
      <c r="VCW45" s="76"/>
      <c r="VCX45" s="76"/>
      <c r="VCY45" s="76"/>
      <c r="VCZ45" s="76"/>
      <c r="VDA45" s="76"/>
      <c r="VDB45" s="76"/>
      <c r="VDC45" s="76"/>
      <c r="VDD45" s="76"/>
      <c r="VDE45" s="76"/>
      <c r="VDF45" s="76"/>
      <c r="VDG45" s="76"/>
      <c r="VDH45" s="76"/>
      <c r="VDI45" s="76"/>
      <c r="VDJ45" s="76"/>
      <c r="VDK45" s="76"/>
      <c r="VDL45" s="76"/>
      <c r="VDM45" s="76"/>
      <c r="VDN45" s="76"/>
      <c r="VDO45" s="76"/>
      <c r="VDP45" s="76"/>
      <c r="VDQ45" s="76"/>
      <c r="VDR45" s="76"/>
      <c r="VDS45" s="76"/>
      <c r="VDT45" s="76"/>
      <c r="VDU45" s="76"/>
      <c r="VDV45" s="76"/>
      <c r="VDW45" s="76"/>
      <c r="VDX45" s="76"/>
      <c r="VDY45" s="76"/>
      <c r="VDZ45" s="76"/>
      <c r="VEA45" s="76"/>
      <c r="VEB45" s="76"/>
      <c r="VEC45" s="76"/>
      <c r="VED45" s="76"/>
      <c r="VEE45" s="76"/>
      <c r="VEF45" s="76"/>
      <c r="VEG45" s="76"/>
      <c r="VEH45" s="76"/>
      <c r="VEI45" s="76"/>
      <c r="VEJ45" s="76"/>
      <c r="VEK45" s="76"/>
      <c r="VEL45" s="76"/>
      <c r="VEM45" s="76"/>
      <c r="VEN45" s="76"/>
      <c r="VEO45" s="76"/>
      <c r="VEP45" s="76"/>
      <c r="VEQ45" s="76"/>
      <c r="VER45" s="76"/>
      <c r="VES45" s="76"/>
      <c r="VET45" s="76"/>
      <c r="VEU45" s="76"/>
      <c r="VEV45" s="76"/>
      <c r="VEW45" s="76"/>
      <c r="VEX45" s="76"/>
      <c r="VEY45" s="76"/>
      <c r="VEZ45" s="76"/>
      <c r="VFA45" s="76"/>
      <c r="VFB45" s="76"/>
      <c r="VFC45" s="76"/>
      <c r="VFD45" s="76"/>
      <c r="VFE45" s="76"/>
      <c r="VFF45" s="76"/>
      <c r="VFG45" s="76"/>
      <c r="VFH45" s="76"/>
      <c r="VFI45" s="76"/>
      <c r="VFJ45" s="76"/>
      <c r="VFK45" s="76"/>
      <c r="VFL45" s="76"/>
      <c r="VFM45" s="76"/>
      <c r="VFN45" s="76"/>
      <c r="VFO45" s="76"/>
      <c r="VFP45" s="76"/>
      <c r="VFQ45" s="76"/>
      <c r="VFR45" s="76"/>
      <c r="VFS45" s="76"/>
      <c r="VFT45" s="76"/>
      <c r="VFU45" s="76"/>
      <c r="VFV45" s="76"/>
      <c r="VFW45" s="76"/>
      <c r="VFX45" s="76"/>
      <c r="VFY45" s="76"/>
      <c r="VFZ45" s="76"/>
      <c r="VGA45" s="76"/>
      <c r="VGB45" s="76"/>
      <c r="VGC45" s="76"/>
      <c r="VGD45" s="76"/>
      <c r="VGE45" s="76"/>
      <c r="VGF45" s="76"/>
      <c r="VGG45" s="76"/>
      <c r="VGH45" s="76"/>
      <c r="VGI45" s="76"/>
      <c r="VGJ45" s="76"/>
      <c r="VGK45" s="76"/>
      <c r="VGL45" s="76"/>
      <c r="VGM45" s="76"/>
      <c r="VGN45" s="76"/>
      <c r="VGO45" s="76"/>
      <c r="VGP45" s="76"/>
      <c r="VGQ45" s="76"/>
      <c r="VGR45" s="76"/>
      <c r="VGS45" s="76"/>
      <c r="VGT45" s="76"/>
      <c r="VGU45" s="76"/>
      <c r="VGV45" s="76"/>
      <c r="VGW45" s="76"/>
      <c r="VGX45" s="76"/>
      <c r="VGY45" s="76"/>
      <c r="VGZ45" s="76"/>
      <c r="VHA45" s="76"/>
      <c r="VHB45" s="76"/>
      <c r="VHC45" s="76"/>
      <c r="VHD45" s="76"/>
      <c r="VHE45" s="76"/>
      <c r="VHF45" s="76"/>
      <c r="VHG45" s="76"/>
      <c r="VHH45" s="76"/>
      <c r="VHI45" s="76"/>
      <c r="VHJ45" s="76"/>
      <c r="VHK45" s="76"/>
      <c r="VHL45" s="76"/>
      <c r="VHM45" s="76"/>
      <c r="VHN45" s="76"/>
      <c r="VHO45" s="76"/>
      <c r="VHP45" s="76"/>
      <c r="VHQ45" s="76"/>
      <c r="VHR45" s="76"/>
      <c r="VHS45" s="76"/>
      <c r="VHT45" s="76"/>
      <c r="VHU45" s="76"/>
      <c r="VHV45" s="76"/>
      <c r="VHW45" s="76"/>
      <c r="VHX45" s="76"/>
      <c r="VHY45" s="76"/>
      <c r="VHZ45" s="76"/>
      <c r="VIA45" s="76"/>
      <c r="VIB45" s="76"/>
      <c r="VIC45" s="76"/>
      <c r="VID45" s="76"/>
      <c r="VIE45" s="76"/>
      <c r="VIF45" s="76"/>
      <c r="VIG45" s="76"/>
      <c r="VIH45" s="76"/>
      <c r="VII45" s="76"/>
      <c r="VIJ45" s="76"/>
      <c r="VIK45" s="76"/>
      <c r="VIL45" s="76"/>
      <c r="VIM45" s="76"/>
      <c r="VIN45" s="76"/>
      <c r="VIO45" s="76"/>
      <c r="VIP45" s="76"/>
      <c r="VIQ45" s="76"/>
      <c r="VIR45" s="76"/>
      <c r="VIS45" s="76"/>
      <c r="VIT45" s="76"/>
      <c r="VIU45" s="76"/>
      <c r="VIV45" s="76"/>
      <c r="VIW45" s="76"/>
      <c r="VIX45" s="76"/>
      <c r="VIY45" s="76"/>
      <c r="VIZ45" s="76"/>
      <c r="VJA45" s="76"/>
      <c r="VJB45" s="76"/>
      <c r="VJC45" s="76"/>
      <c r="VJD45" s="76"/>
      <c r="VJE45" s="76"/>
      <c r="VJF45" s="76"/>
      <c r="VJG45" s="76"/>
      <c r="VJH45" s="76"/>
      <c r="VJI45" s="76"/>
      <c r="VJJ45" s="76"/>
      <c r="VJK45" s="76"/>
      <c r="VJL45" s="76"/>
      <c r="VJM45" s="76"/>
      <c r="VJN45" s="76"/>
      <c r="VJO45" s="76"/>
      <c r="VJP45" s="76"/>
      <c r="VJQ45" s="76"/>
      <c r="VJR45" s="76"/>
      <c r="VJS45" s="76"/>
      <c r="VJT45" s="76"/>
      <c r="VJU45" s="76"/>
      <c r="VJV45" s="76"/>
      <c r="VJW45" s="76"/>
      <c r="VJX45" s="76"/>
      <c r="VJY45" s="76"/>
      <c r="VJZ45" s="76"/>
      <c r="VKA45" s="76"/>
      <c r="VKB45" s="76"/>
      <c r="VKC45" s="76"/>
      <c r="VKD45" s="76"/>
      <c r="VKE45" s="76"/>
      <c r="VKF45" s="76"/>
      <c r="VKG45" s="76"/>
      <c r="VKH45" s="76"/>
      <c r="VKI45" s="76"/>
      <c r="VKJ45" s="76"/>
      <c r="VKK45" s="76"/>
      <c r="VKL45" s="76"/>
      <c r="VKM45" s="76"/>
      <c r="VKN45" s="76"/>
      <c r="VKO45" s="76"/>
      <c r="VKP45" s="76"/>
      <c r="VKQ45" s="76"/>
      <c r="VKR45" s="76"/>
      <c r="VKS45" s="76"/>
      <c r="VKT45" s="76"/>
      <c r="VKU45" s="76"/>
      <c r="VKV45" s="76"/>
      <c r="VKW45" s="76"/>
      <c r="VKX45" s="76"/>
      <c r="VKY45" s="76"/>
      <c r="VKZ45" s="76"/>
      <c r="VLA45" s="76"/>
      <c r="VLB45" s="76"/>
      <c r="VLC45" s="76"/>
      <c r="VLD45" s="76"/>
      <c r="VLE45" s="76"/>
      <c r="VLF45" s="76"/>
      <c r="VLG45" s="76"/>
      <c r="VLH45" s="76"/>
      <c r="VLI45" s="76"/>
      <c r="VLJ45" s="76"/>
      <c r="VLK45" s="76"/>
      <c r="VLL45" s="76"/>
      <c r="VLM45" s="76"/>
      <c r="VLN45" s="76"/>
      <c r="VLO45" s="76"/>
      <c r="VLP45" s="76"/>
      <c r="VLQ45" s="76"/>
      <c r="VLR45" s="76"/>
      <c r="VLS45" s="76"/>
      <c r="VLT45" s="76"/>
      <c r="VLU45" s="76"/>
      <c r="VLV45" s="76"/>
      <c r="VLW45" s="76"/>
      <c r="VLX45" s="76"/>
      <c r="VLY45" s="76"/>
      <c r="VLZ45" s="76"/>
      <c r="VMA45" s="76"/>
      <c r="VMB45" s="76"/>
      <c r="VMC45" s="76"/>
      <c r="VMD45" s="76"/>
      <c r="VME45" s="76"/>
      <c r="VMF45" s="76"/>
      <c r="VMG45" s="76"/>
      <c r="VMH45" s="76"/>
      <c r="VMI45" s="76"/>
      <c r="VMJ45" s="76"/>
      <c r="VMK45" s="76"/>
      <c r="VML45" s="76"/>
      <c r="VMM45" s="76"/>
      <c r="VMN45" s="76"/>
      <c r="VMO45" s="76"/>
      <c r="VMP45" s="76"/>
      <c r="VMQ45" s="76"/>
      <c r="VMR45" s="76"/>
      <c r="VMS45" s="76"/>
      <c r="VMT45" s="76"/>
      <c r="VMU45" s="76"/>
      <c r="VMV45" s="76"/>
      <c r="VMW45" s="76"/>
      <c r="VMX45" s="76"/>
      <c r="VMY45" s="76"/>
      <c r="VMZ45" s="76"/>
      <c r="VNA45" s="76"/>
      <c r="VNB45" s="76"/>
      <c r="VNC45" s="76"/>
      <c r="VND45" s="76"/>
      <c r="VNE45" s="76"/>
      <c r="VNF45" s="76"/>
      <c r="VNG45" s="76"/>
      <c r="VNH45" s="76"/>
      <c r="VNI45" s="76"/>
      <c r="VNJ45" s="76"/>
      <c r="VNK45" s="76"/>
      <c r="VNL45" s="76"/>
      <c r="VNM45" s="76"/>
      <c r="VNN45" s="76"/>
      <c r="VNO45" s="76"/>
      <c r="VNP45" s="76"/>
      <c r="VNQ45" s="76"/>
      <c r="VNR45" s="76"/>
      <c r="VNS45" s="76"/>
      <c r="VNT45" s="76"/>
      <c r="VNU45" s="76"/>
      <c r="VNV45" s="76"/>
      <c r="VNW45" s="76"/>
      <c r="VNX45" s="76"/>
      <c r="VNY45" s="76"/>
      <c r="VNZ45" s="76"/>
      <c r="VOA45" s="76"/>
      <c r="VOB45" s="76"/>
      <c r="VOC45" s="76"/>
      <c r="VOD45" s="76"/>
      <c r="VOE45" s="76"/>
      <c r="VOF45" s="76"/>
      <c r="VOG45" s="76"/>
      <c r="VOH45" s="76"/>
      <c r="VOI45" s="76"/>
      <c r="VOJ45" s="76"/>
      <c r="VOK45" s="76"/>
      <c r="VOL45" s="76"/>
      <c r="VOM45" s="76"/>
      <c r="VON45" s="76"/>
      <c r="VOO45" s="76"/>
      <c r="VOP45" s="76"/>
      <c r="VOQ45" s="76"/>
      <c r="VOR45" s="76"/>
      <c r="VOS45" s="76"/>
      <c r="VOT45" s="76"/>
      <c r="VOU45" s="76"/>
      <c r="VOV45" s="76"/>
      <c r="VOW45" s="76"/>
      <c r="VOX45" s="76"/>
      <c r="VOY45" s="76"/>
      <c r="VOZ45" s="76"/>
      <c r="VPA45" s="76"/>
      <c r="VPB45" s="76"/>
      <c r="VPC45" s="76"/>
      <c r="VPD45" s="76"/>
      <c r="VPE45" s="76"/>
      <c r="VPF45" s="76"/>
      <c r="VPG45" s="76"/>
      <c r="VPH45" s="76"/>
      <c r="VPI45" s="76"/>
      <c r="VPJ45" s="76"/>
      <c r="VPK45" s="76"/>
      <c r="VPL45" s="76"/>
      <c r="VPM45" s="76"/>
      <c r="VPN45" s="76"/>
      <c r="VPO45" s="76"/>
      <c r="VPP45" s="76"/>
      <c r="VPQ45" s="76"/>
      <c r="VPR45" s="76"/>
      <c r="VPS45" s="76"/>
      <c r="VPT45" s="76"/>
      <c r="VPU45" s="76"/>
      <c r="VPV45" s="76"/>
      <c r="VPW45" s="76"/>
      <c r="VPX45" s="76"/>
      <c r="VPY45" s="76"/>
      <c r="VPZ45" s="76"/>
      <c r="VQA45" s="76"/>
      <c r="VQB45" s="76"/>
      <c r="VQC45" s="76"/>
      <c r="VQD45" s="76"/>
      <c r="VQE45" s="76"/>
      <c r="VQF45" s="76"/>
      <c r="VQG45" s="76"/>
      <c r="VQH45" s="76"/>
      <c r="VQI45" s="76"/>
      <c r="VQJ45" s="76"/>
      <c r="VQK45" s="76"/>
      <c r="VQL45" s="76"/>
      <c r="VQM45" s="76"/>
      <c r="VQN45" s="76"/>
      <c r="VQO45" s="76"/>
      <c r="VQP45" s="76"/>
      <c r="VQQ45" s="76"/>
      <c r="VQR45" s="76"/>
      <c r="VQS45" s="76"/>
      <c r="VQT45" s="76"/>
      <c r="VQU45" s="76"/>
      <c r="VQV45" s="76"/>
      <c r="VQW45" s="76"/>
      <c r="VQX45" s="76"/>
      <c r="VQY45" s="76"/>
      <c r="VQZ45" s="76"/>
      <c r="VRA45" s="76"/>
      <c r="VRB45" s="76"/>
      <c r="VRC45" s="76"/>
      <c r="VRD45" s="76"/>
      <c r="VRE45" s="76"/>
      <c r="VRF45" s="76"/>
      <c r="VRG45" s="76"/>
      <c r="VRH45" s="76"/>
      <c r="VRI45" s="76"/>
      <c r="VRJ45" s="76"/>
      <c r="VRK45" s="76"/>
      <c r="VRL45" s="76"/>
      <c r="VRM45" s="76"/>
      <c r="VRN45" s="76"/>
      <c r="VRO45" s="76"/>
      <c r="VRP45" s="76"/>
      <c r="VRQ45" s="76"/>
      <c r="VRR45" s="76"/>
      <c r="VRS45" s="76"/>
      <c r="VRT45" s="76"/>
      <c r="VRU45" s="76"/>
      <c r="VRV45" s="76"/>
      <c r="VRW45" s="76"/>
      <c r="VRX45" s="76"/>
      <c r="VRY45" s="76"/>
      <c r="VRZ45" s="76"/>
      <c r="VSA45" s="76"/>
      <c r="VSB45" s="76"/>
      <c r="VSC45" s="76"/>
      <c r="VSD45" s="76"/>
      <c r="VSE45" s="76"/>
      <c r="VSF45" s="76"/>
      <c r="VSG45" s="76"/>
      <c r="VSH45" s="76"/>
      <c r="VSI45" s="76"/>
      <c r="VSJ45" s="76"/>
      <c r="VSK45" s="76"/>
      <c r="VSL45" s="76"/>
      <c r="VSM45" s="76"/>
      <c r="VSN45" s="76"/>
      <c r="VSO45" s="76"/>
      <c r="VSP45" s="76"/>
      <c r="VSQ45" s="76"/>
      <c r="VSR45" s="76"/>
      <c r="VSS45" s="76"/>
      <c r="VST45" s="76"/>
      <c r="VSU45" s="76"/>
      <c r="VSV45" s="76"/>
      <c r="VSW45" s="76"/>
      <c r="VSX45" s="76"/>
      <c r="VSY45" s="76"/>
      <c r="VSZ45" s="76"/>
      <c r="VTA45" s="76"/>
      <c r="VTB45" s="76"/>
      <c r="VTC45" s="76"/>
      <c r="VTD45" s="76"/>
      <c r="VTE45" s="76"/>
      <c r="VTF45" s="76"/>
      <c r="VTG45" s="76"/>
      <c r="VTH45" s="76"/>
      <c r="VTI45" s="76"/>
      <c r="VTJ45" s="76"/>
      <c r="VTK45" s="76"/>
      <c r="VTL45" s="76"/>
      <c r="VTM45" s="76"/>
      <c r="VTN45" s="76"/>
      <c r="VTO45" s="76"/>
      <c r="VTP45" s="76"/>
      <c r="VTQ45" s="76"/>
      <c r="VTR45" s="76"/>
      <c r="VTS45" s="76"/>
      <c r="VTT45" s="76"/>
      <c r="VTU45" s="76"/>
      <c r="VTV45" s="76"/>
      <c r="VTW45" s="76"/>
      <c r="VTX45" s="76"/>
      <c r="VTY45" s="76"/>
      <c r="VTZ45" s="76"/>
      <c r="VUA45" s="76"/>
      <c r="VUB45" s="76"/>
      <c r="VUC45" s="76"/>
      <c r="VUD45" s="76"/>
      <c r="VUE45" s="76"/>
      <c r="VUF45" s="76"/>
      <c r="VUG45" s="76"/>
      <c r="VUH45" s="76"/>
      <c r="VUI45" s="76"/>
      <c r="VUJ45" s="76"/>
      <c r="VUK45" s="76"/>
      <c r="VUL45" s="76"/>
      <c r="VUM45" s="76"/>
      <c r="VUN45" s="76"/>
      <c r="VUO45" s="76"/>
      <c r="VUP45" s="76"/>
      <c r="VUQ45" s="76"/>
      <c r="VUR45" s="76"/>
      <c r="VUS45" s="76"/>
      <c r="VUT45" s="76"/>
      <c r="VUU45" s="76"/>
      <c r="VUV45" s="76"/>
      <c r="VUW45" s="76"/>
      <c r="VUX45" s="76"/>
      <c r="VUY45" s="76"/>
      <c r="VUZ45" s="76"/>
      <c r="VVA45" s="76"/>
      <c r="VVB45" s="76"/>
      <c r="VVC45" s="76"/>
      <c r="VVD45" s="76"/>
      <c r="VVE45" s="76"/>
      <c r="VVF45" s="76"/>
      <c r="VVG45" s="76"/>
      <c r="VVH45" s="76"/>
      <c r="VVI45" s="76"/>
      <c r="VVJ45" s="76"/>
      <c r="VVK45" s="76"/>
      <c r="VVL45" s="76"/>
      <c r="VVM45" s="76"/>
      <c r="VVN45" s="76"/>
      <c r="VVO45" s="76"/>
      <c r="VVP45" s="76"/>
      <c r="VVQ45" s="76"/>
      <c r="VVR45" s="76"/>
      <c r="VVS45" s="76"/>
      <c r="VVT45" s="76"/>
      <c r="VVU45" s="76"/>
      <c r="VVV45" s="76"/>
      <c r="VVW45" s="76"/>
      <c r="VVX45" s="76"/>
      <c r="VVY45" s="76"/>
      <c r="VVZ45" s="76"/>
      <c r="VWA45" s="76"/>
      <c r="VWB45" s="76"/>
      <c r="VWC45" s="76"/>
      <c r="VWD45" s="76"/>
      <c r="VWE45" s="76"/>
      <c r="VWF45" s="76"/>
      <c r="VWG45" s="76"/>
      <c r="VWH45" s="76"/>
      <c r="VWI45" s="76"/>
      <c r="VWJ45" s="76"/>
      <c r="VWK45" s="76"/>
      <c r="VWL45" s="76"/>
      <c r="VWM45" s="76"/>
      <c r="VWN45" s="76"/>
      <c r="VWO45" s="76"/>
      <c r="VWP45" s="76"/>
      <c r="VWQ45" s="76"/>
      <c r="VWR45" s="76"/>
      <c r="VWS45" s="76"/>
      <c r="VWT45" s="76"/>
      <c r="VWU45" s="76"/>
      <c r="VWV45" s="76"/>
      <c r="VWW45" s="76"/>
      <c r="VWX45" s="76"/>
      <c r="VWY45" s="76"/>
      <c r="VWZ45" s="76"/>
      <c r="VXA45" s="76"/>
      <c r="VXB45" s="76"/>
      <c r="VXC45" s="76"/>
      <c r="VXD45" s="76"/>
      <c r="VXE45" s="76"/>
      <c r="VXF45" s="76"/>
      <c r="VXG45" s="76"/>
      <c r="VXH45" s="76"/>
      <c r="VXI45" s="76"/>
      <c r="VXJ45" s="76"/>
      <c r="VXK45" s="76"/>
      <c r="VXL45" s="76"/>
      <c r="VXM45" s="76"/>
      <c r="VXN45" s="76"/>
      <c r="VXO45" s="76"/>
      <c r="VXP45" s="76"/>
      <c r="VXQ45" s="76"/>
      <c r="VXR45" s="76"/>
      <c r="VXS45" s="76"/>
      <c r="VXT45" s="76"/>
      <c r="VXU45" s="76"/>
      <c r="VXV45" s="76"/>
      <c r="VXW45" s="76"/>
      <c r="VXX45" s="76"/>
      <c r="VXY45" s="76"/>
      <c r="VXZ45" s="76"/>
      <c r="VYA45" s="76"/>
      <c r="VYB45" s="76"/>
      <c r="VYC45" s="76"/>
      <c r="VYD45" s="76"/>
      <c r="VYE45" s="76"/>
      <c r="VYF45" s="76"/>
      <c r="VYG45" s="76"/>
      <c r="VYH45" s="76"/>
      <c r="VYI45" s="76"/>
      <c r="VYJ45" s="76"/>
      <c r="VYK45" s="76"/>
      <c r="VYL45" s="76"/>
      <c r="VYM45" s="76"/>
      <c r="VYN45" s="76"/>
      <c r="VYO45" s="76"/>
      <c r="VYP45" s="76"/>
      <c r="VYQ45" s="76"/>
      <c r="VYR45" s="76"/>
      <c r="VYS45" s="76"/>
      <c r="VYT45" s="76"/>
      <c r="VYU45" s="76"/>
      <c r="VYV45" s="76"/>
      <c r="VYW45" s="76"/>
      <c r="VYX45" s="76"/>
      <c r="VYY45" s="76"/>
      <c r="VYZ45" s="76"/>
      <c r="VZA45" s="76"/>
      <c r="VZB45" s="76"/>
      <c r="VZC45" s="76"/>
      <c r="VZD45" s="76"/>
      <c r="VZE45" s="76"/>
      <c r="VZF45" s="76"/>
      <c r="VZG45" s="76"/>
      <c r="VZH45" s="76"/>
      <c r="VZI45" s="76"/>
      <c r="VZJ45" s="76"/>
      <c r="VZK45" s="76"/>
      <c r="VZL45" s="76"/>
      <c r="VZM45" s="76"/>
      <c r="VZN45" s="76"/>
      <c r="VZO45" s="76"/>
      <c r="VZP45" s="76"/>
      <c r="VZQ45" s="76"/>
      <c r="VZR45" s="76"/>
      <c r="VZS45" s="76"/>
      <c r="VZT45" s="76"/>
      <c r="VZU45" s="76"/>
      <c r="VZV45" s="76"/>
      <c r="VZW45" s="76"/>
      <c r="VZX45" s="76"/>
      <c r="VZY45" s="76"/>
      <c r="VZZ45" s="76"/>
      <c r="WAA45" s="76"/>
      <c r="WAB45" s="76"/>
      <c r="WAC45" s="76"/>
      <c r="WAD45" s="76"/>
      <c r="WAE45" s="76"/>
      <c r="WAF45" s="76"/>
      <c r="WAG45" s="76"/>
      <c r="WAH45" s="76"/>
      <c r="WAI45" s="76"/>
      <c r="WAJ45" s="76"/>
      <c r="WAK45" s="76"/>
      <c r="WAL45" s="76"/>
      <c r="WAM45" s="76"/>
      <c r="WAN45" s="76"/>
      <c r="WAO45" s="76"/>
      <c r="WAP45" s="76"/>
      <c r="WAQ45" s="76"/>
      <c r="WAR45" s="76"/>
      <c r="WAS45" s="76"/>
      <c r="WAT45" s="76"/>
      <c r="WAU45" s="76"/>
      <c r="WAV45" s="76"/>
      <c r="WAW45" s="76"/>
      <c r="WAX45" s="76"/>
      <c r="WAY45" s="76"/>
      <c r="WAZ45" s="76"/>
      <c r="WBA45" s="76"/>
      <c r="WBB45" s="76"/>
      <c r="WBC45" s="76"/>
      <c r="WBD45" s="76"/>
      <c r="WBE45" s="76"/>
      <c r="WBF45" s="76"/>
      <c r="WBG45" s="76"/>
      <c r="WBH45" s="76"/>
      <c r="WBI45" s="76"/>
      <c r="WBJ45" s="76"/>
      <c r="WBK45" s="76"/>
      <c r="WBL45" s="76"/>
      <c r="WBM45" s="76"/>
      <c r="WBN45" s="76"/>
      <c r="WBO45" s="76"/>
      <c r="WBP45" s="76"/>
      <c r="WBQ45" s="76"/>
      <c r="WBR45" s="76"/>
      <c r="WBS45" s="76"/>
      <c r="WBT45" s="76"/>
      <c r="WBU45" s="76"/>
      <c r="WBV45" s="76"/>
      <c r="WBW45" s="76"/>
      <c r="WBX45" s="76"/>
      <c r="WBY45" s="76"/>
      <c r="WBZ45" s="76"/>
      <c r="WCA45" s="76"/>
      <c r="WCB45" s="76"/>
      <c r="WCC45" s="76"/>
      <c r="WCD45" s="76"/>
      <c r="WCE45" s="76"/>
      <c r="WCF45" s="76"/>
      <c r="WCG45" s="76"/>
      <c r="WCH45" s="76"/>
      <c r="WCI45" s="76"/>
      <c r="WCJ45" s="76"/>
      <c r="WCK45" s="76"/>
      <c r="WCL45" s="76"/>
      <c r="WCM45" s="76"/>
      <c r="WCN45" s="76"/>
      <c r="WCO45" s="76"/>
      <c r="WCP45" s="76"/>
      <c r="WCQ45" s="76"/>
      <c r="WCR45" s="76"/>
      <c r="WCS45" s="76"/>
      <c r="WCT45" s="76"/>
      <c r="WCU45" s="76"/>
      <c r="WCV45" s="76"/>
      <c r="WCW45" s="76"/>
      <c r="WCX45" s="76"/>
      <c r="WCY45" s="76"/>
      <c r="WCZ45" s="76"/>
      <c r="WDA45" s="76"/>
      <c r="WDB45" s="76"/>
      <c r="WDC45" s="76"/>
      <c r="WDD45" s="76"/>
      <c r="WDE45" s="76"/>
      <c r="WDF45" s="76"/>
      <c r="WDG45" s="76"/>
      <c r="WDH45" s="76"/>
      <c r="WDI45" s="76"/>
      <c r="WDJ45" s="76"/>
      <c r="WDK45" s="76"/>
      <c r="WDL45" s="76"/>
      <c r="WDM45" s="76"/>
      <c r="WDN45" s="76"/>
      <c r="WDO45" s="76"/>
      <c r="WDP45" s="76"/>
      <c r="WDQ45" s="76"/>
      <c r="WDR45" s="76"/>
      <c r="WDS45" s="76"/>
      <c r="WDT45" s="76"/>
      <c r="WDU45" s="76"/>
      <c r="WDV45" s="76"/>
      <c r="WDW45" s="76"/>
      <c r="WDX45" s="76"/>
      <c r="WDY45" s="76"/>
      <c r="WDZ45" s="76"/>
      <c r="WEA45" s="76"/>
      <c r="WEB45" s="76"/>
      <c r="WEC45" s="76"/>
      <c r="WED45" s="76"/>
      <c r="WEE45" s="76"/>
      <c r="WEF45" s="76"/>
      <c r="WEG45" s="76"/>
      <c r="WEH45" s="76"/>
      <c r="WEI45" s="76"/>
      <c r="WEJ45" s="76"/>
      <c r="WEK45" s="76"/>
      <c r="WEL45" s="76"/>
      <c r="WEM45" s="76"/>
      <c r="WEN45" s="76"/>
      <c r="WEO45" s="76"/>
      <c r="WEP45" s="76"/>
      <c r="WEQ45" s="76"/>
      <c r="WER45" s="76"/>
      <c r="WES45" s="76"/>
      <c r="WET45" s="76"/>
      <c r="WEU45" s="76"/>
      <c r="WEV45" s="76"/>
      <c r="WEW45" s="76"/>
      <c r="WEX45" s="76"/>
      <c r="WEY45" s="76"/>
      <c r="WEZ45" s="76"/>
      <c r="WFA45" s="76"/>
      <c r="WFB45" s="76"/>
      <c r="WFC45" s="76"/>
      <c r="WFD45" s="76"/>
      <c r="WFE45" s="76"/>
      <c r="WFF45" s="76"/>
      <c r="WFG45" s="76"/>
      <c r="WFH45" s="76"/>
      <c r="WFI45" s="76"/>
      <c r="WFJ45" s="76"/>
      <c r="WFK45" s="76"/>
      <c r="WFL45" s="76"/>
      <c r="WFM45" s="76"/>
      <c r="WFN45" s="76"/>
      <c r="WFO45" s="76"/>
      <c r="WFP45" s="76"/>
      <c r="WFQ45" s="76"/>
      <c r="WFR45" s="76"/>
      <c r="WFS45" s="76"/>
      <c r="WFT45" s="76"/>
      <c r="WFU45" s="76"/>
      <c r="WFV45" s="76"/>
      <c r="WFW45" s="76"/>
      <c r="WFX45" s="76"/>
      <c r="WFY45" s="76"/>
      <c r="WFZ45" s="76"/>
      <c r="WGA45" s="76"/>
      <c r="WGB45" s="76"/>
      <c r="WGC45" s="76"/>
      <c r="WGD45" s="76"/>
      <c r="WGE45" s="76"/>
      <c r="WGF45" s="76"/>
      <c r="WGG45" s="76"/>
      <c r="WGH45" s="76"/>
      <c r="WGI45" s="76"/>
      <c r="WGJ45" s="76"/>
      <c r="WGK45" s="76"/>
      <c r="WGL45" s="76"/>
      <c r="WGM45" s="76"/>
      <c r="WGN45" s="76"/>
      <c r="WGO45" s="76"/>
      <c r="WGP45" s="76"/>
      <c r="WGQ45" s="76"/>
      <c r="WGR45" s="76"/>
      <c r="WGS45" s="76"/>
      <c r="WGT45" s="76"/>
      <c r="WGU45" s="76"/>
      <c r="WGV45" s="76"/>
      <c r="WGW45" s="76"/>
      <c r="WGX45" s="76"/>
      <c r="WGY45" s="76"/>
      <c r="WGZ45" s="76"/>
      <c r="WHA45" s="76"/>
      <c r="WHB45" s="76"/>
      <c r="WHC45" s="76"/>
      <c r="WHD45" s="76"/>
      <c r="WHE45" s="76"/>
      <c r="WHF45" s="76"/>
      <c r="WHG45" s="76"/>
      <c r="WHH45" s="76"/>
      <c r="WHI45" s="76"/>
      <c r="WHJ45" s="76"/>
      <c r="WHK45" s="76"/>
      <c r="WHL45" s="76"/>
      <c r="WHM45" s="76"/>
      <c r="WHN45" s="76"/>
      <c r="WHO45" s="76"/>
      <c r="WHP45" s="76"/>
      <c r="WHQ45" s="76"/>
      <c r="WHR45" s="76"/>
      <c r="WHS45" s="76"/>
      <c r="WHT45" s="76"/>
      <c r="WHU45" s="76"/>
      <c r="WHV45" s="76"/>
      <c r="WHW45" s="76"/>
      <c r="WHX45" s="76"/>
      <c r="WHY45" s="76"/>
      <c r="WHZ45" s="76"/>
      <c r="WIA45" s="76"/>
      <c r="WIB45" s="76"/>
      <c r="WIC45" s="76"/>
      <c r="WID45" s="76"/>
      <c r="WIE45" s="76"/>
      <c r="WIF45" s="76"/>
      <c r="WIG45" s="76"/>
      <c r="WIH45" s="76"/>
      <c r="WII45" s="76"/>
      <c r="WIJ45" s="76"/>
      <c r="WIK45" s="76"/>
      <c r="WIL45" s="76"/>
      <c r="WIM45" s="76"/>
      <c r="WIN45" s="76"/>
      <c r="WIO45" s="76"/>
      <c r="WIP45" s="76"/>
      <c r="WIQ45" s="76"/>
      <c r="WIR45" s="76"/>
      <c r="WIS45" s="76"/>
      <c r="WIT45" s="76"/>
      <c r="WIU45" s="76"/>
      <c r="WIV45" s="76"/>
      <c r="WIW45" s="76"/>
      <c r="WIX45" s="76"/>
      <c r="WIY45" s="76"/>
      <c r="WIZ45" s="76"/>
      <c r="WJA45" s="76"/>
      <c r="WJB45" s="76"/>
      <c r="WJC45" s="76"/>
      <c r="WJD45" s="76"/>
      <c r="WJE45" s="76"/>
      <c r="WJF45" s="76"/>
      <c r="WJG45" s="76"/>
      <c r="WJH45" s="76"/>
      <c r="WJI45" s="76"/>
      <c r="WJJ45" s="76"/>
      <c r="WJK45" s="76"/>
      <c r="WJL45" s="76"/>
      <c r="WJM45" s="76"/>
      <c r="WJN45" s="76"/>
      <c r="WJO45" s="76"/>
      <c r="WJP45" s="76"/>
      <c r="WJQ45" s="76"/>
      <c r="WJR45" s="76"/>
      <c r="WJS45" s="76"/>
      <c r="WJT45" s="76"/>
      <c r="WJU45" s="76"/>
      <c r="WJV45" s="76"/>
      <c r="WJW45" s="76"/>
      <c r="WJX45" s="76"/>
      <c r="WJY45" s="76"/>
      <c r="WJZ45" s="76"/>
      <c r="WKA45" s="76"/>
      <c r="WKB45" s="76"/>
      <c r="WKC45" s="76"/>
      <c r="WKD45" s="76"/>
      <c r="WKE45" s="76"/>
      <c r="WKF45" s="76"/>
      <c r="WKG45" s="76"/>
      <c r="WKH45" s="76"/>
      <c r="WKI45" s="76"/>
      <c r="WKJ45" s="76"/>
      <c r="WKK45" s="76"/>
      <c r="WKL45" s="76"/>
      <c r="WKM45" s="76"/>
      <c r="WKN45" s="76"/>
      <c r="WKO45" s="76"/>
      <c r="WKP45" s="76"/>
      <c r="WKQ45" s="76"/>
      <c r="WKR45" s="76"/>
      <c r="WKS45" s="76"/>
      <c r="WKT45" s="76"/>
      <c r="WKU45" s="76"/>
      <c r="WKV45" s="76"/>
      <c r="WKW45" s="76"/>
      <c r="WKX45" s="76"/>
      <c r="WKY45" s="76"/>
      <c r="WKZ45" s="76"/>
      <c r="WLA45" s="76"/>
      <c r="WLB45" s="76"/>
      <c r="WLC45" s="76"/>
      <c r="WLD45" s="76"/>
      <c r="WLE45" s="76"/>
      <c r="WLF45" s="76"/>
      <c r="WLG45" s="76"/>
      <c r="WLH45" s="76"/>
      <c r="WLI45" s="76"/>
      <c r="WLJ45" s="76"/>
      <c r="WLK45" s="76"/>
      <c r="WLL45" s="76"/>
      <c r="WLM45" s="76"/>
      <c r="WLN45" s="76"/>
      <c r="WLO45" s="76"/>
      <c r="WLP45" s="76"/>
      <c r="WLQ45" s="76"/>
      <c r="WLR45" s="76"/>
      <c r="WLS45" s="76"/>
      <c r="WLT45" s="76"/>
      <c r="WLU45" s="76"/>
      <c r="WLV45" s="76"/>
      <c r="WLW45" s="76"/>
      <c r="WLX45" s="76"/>
      <c r="WLY45" s="76"/>
      <c r="WLZ45" s="76"/>
      <c r="WMA45" s="76"/>
      <c r="WMB45" s="76"/>
      <c r="WMC45" s="76"/>
      <c r="WMD45" s="76"/>
      <c r="WME45" s="76"/>
      <c r="WMF45" s="76"/>
      <c r="WMG45" s="76"/>
      <c r="WMH45" s="76"/>
      <c r="WMI45" s="76"/>
      <c r="WMJ45" s="76"/>
      <c r="WMK45" s="76"/>
      <c r="WML45" s="76"/>
      <c r="WMM45" s="76"/>
      <c r="WMN45" s="76"/>
      <c r="WMO45" s="76"/>
      <c r="WMP45" s="76"/>
      <c r="WMQ45" s="76"/>
      <c r="WMR45" s="76"/>
      <c r="WMS45" s="76"/>
      <c r="WMT45" s="76"/>
      <c r="WMU45" s="76"/>
      <c r="WMV45" s="76"/>
      <c r="WMW45" s="76"/>
      <c r="WMX45" s="76"/>
      <c r="WMY45" s="76"/>
      <c r="WMZ45" s="76"/>
      <c r="WNA45" s="76"/>
      <c r="WNB45" s="76"/>
      <c r="WNC45" s="76"/>
      <c r="WND45" s="76"/>
      <c r="WNE45" s="76"/>
      <c r="WNF45" s="76"/>
      <c r="WNG45" s="76"/>
      <c r="WNH45" s="76"/>
      <c r="WNI45" s="76"/>
      <c r="WNJ45" s="76"/>
      <c r="WNK45" s="76"/>
      <c r="WNL45" s="76"/>
      <c r="WNM45" s="76"/>
      <c r="WNN45" s="76"/>
      <c r="WNO45" s="76"/>
      <c r="WNP45" s="76"/>
      <c r="WNQ45" s="76"/>
      <c r="WNR45" s="76"/>
      <c r="WNS45" s="76"/>
      <c r="WNT45" s="76"/>
      <c r="WNU45" s="76"/>
      <c r="WNV45" s="76"/>
      <c r="WNW45" s="76"/>
      <c r="WNX45" s="76"/>
      <c r="WNY45" s="76"/>
      <c r="WNZ45" s="76"/>
      <c r="WOA45" s="76"/>
      <c r="WOB45" s="76"/>
      <c r="WOC45" s="76"/>
      <c r="WOD45" s="76"/>
      <c r="WOE45" s="76"/>
      <c r="WOF45" s="76"/>
      <c r="WOG45" s="76"/>
      <c r="WOH45" s="76"/>
      <c r="WOI45" s="76"/>
      <c r="WOJ45" s="76"/>
      <c r="WOK45" s="76"/>
      <c r="WOL45" s="76"/>
      <c r="WOM45" s="76"/>
      <c r="WON45" s="76"/>
      <c r="WOO45" s="76"/>
      <c r="WOP45" s="76"/>
      <c r="WOQ45" s="76"/>
      <c r="WOR45" s="76"/>
      <c r="WOS45" s="76"/>
      <c r="WOT45" s="76"/>
      <c r="WOU45" s="76"/>
      <c r="WOV45" s="76"/>
      <c r="WOW45" s="76"/>
      <c r="WOX45" s="76"/>
      <c r="WOY45" s="76"/>
      <c r="WOZ45" s="76"/>
      <c r="WPA45" s="76"/>
      <c r="WPB45" s="76"/>
      <c r="WPC45" s="76"/>
      <c r="WPD45" s="76"/>
      <c r="WPE45" s="76"/>
      <c r="WPF45" s="76"/>
      <c r="WPG45" s="76"/>
      <c r="WPH45" s="76"/>
      <c r="WPI45" s="76"/>
      <c r="WPJ45" s="76"/>
      <c r="WPK45" s="76"/>
      <c r="WPL45" s="76"/>
      <c r="WPM45" s="76"/>
      <c r="WPN45" s="76"/>
      <c r="WPO45" s="76"/>
      <c r="WPP45" s="76"/>
      <c r="WPQ45" s="76"/>
      <c r="WPR45" s="76"/>
      <c r="WPS45" s="76"/>
      <c r="WPT45" s="76"/>
      <c r="WPU45" s="76"/>
      <c r="WPV45" s="76"/>
      <c r="WPW45" s="76"/>
      <c r="WPX45" s="76"/>
      <c r="WPY45" s="76"/>
      <c r="WPZ45" s="76"/>
      <c r="WQA45" s="76"/>
      <c r="WQB45" s="76"/>
      <c r="WQC45" s="76"/>
      <c r="WQD45" s="76"/>
      <c r="WQE45" s="76"/>
      <c r="WQF45" s="76"/>
      <c r="WQG45" s="76"/>
      <c r="WQH45" s="76"/>
      <c r="WQI45" s="76"/>
      <c r="WQJ45" s="76"/>
      <c r="WQK45" s="76"/>
      <c r="WQL45" s="76"/>
      <c r="WQM45" s="76"/>
      <c r="WQN45" s="76"/>
      <c r="WQO45" s="76"/>
      <c r="WQP45" s="76"/>
      <c r="WQQ45" s="76"/>
      <c r="WQR45" s="76"/>
      <c r="WQS45" s="76"/>
      <c r="WQT45" s="76"/>
      <c r="WQU45" s="76"/>
      <c r="WQV45" s="76"/>
      <c r="WQW45" s="76"/>
      <c r="WQX45" s="76"/>
      <c r="WQY45" s="76"/>
      <c r="WQZ45" s="76"/>
      <c r="WRA45" s="76"/>
      <c r="WRB45" s="76"/>
      <c r="WRC45" s="76"/>
      <c r="WRD45" s="76"/>
      <c r="WRE45" s="76"/>
      <c r="WRF45" s="76"/>
      <c r="WRG45" s="76"/>
      <c r="WRH45" s="76"/>
      <c r="WRI45" s="76"/>
      <c r="WRJ45" s="76"/>
      <c r="WRK45" s="76"/>
      <c r="WRL45" s="76"/>
      <c r="WRM45" s="76"/>
      <c r="WRN45" s="76"/>
      <c r="WRO45" s="76"/>
      <c r="WRP45" s="76"/>
      <c r="WRQ45" s="76"/>
      <c r="WRR45" s="76"/>
      <c r="WRS45" s="76"/>
      <c r="WRT45" s="76"/>
      <c r="WRU45" s="76"/>
      <c r="WRV45" s="76"/>
      <c r="WRW45" s="76"/>
      <c r="WRX45" s="76"/>
      <c r="WRY45" s="76"/>
      <c r="WRZ45" s="76"/>
      <c r="WSA45" s="76"/>
      <c r="WSB45" s="76"/>
      <c r="WSC45" s="76"/>
      <c r="WSD45" s="76"/>
      <c r="WSE45" s="76"/>
      <c r="WSF45" s="76"/>
      <c r="WSG45" s="76"/>
      <c r="WSH45" s="76"/>
      <c r="WSI45" s="76"/>
      <c r="WSJ45" s="76"/>
      <c r="WSK45" s="76"/>
      <c r="WSL45" s="76"/>
      <c r="WSM45" s="76"/>
      <c r="WSN45" s="76"/>
      <c r="WSO45" s="76"/>
      <c r="WSP45" s="76"/>
      <c r="WSQ45" s="76"/>
      <c r="WSR45" s="76"/>
      <c r="WSS45" s="76"/>
      <c r="WST45" s="76"/>
      <c r="WSU45" s="76"/>
      <c r="WSV45" s="76"/>
      <c r="WSW45" s="76"/>
      <c r="WSX45" s="76"/>
      <c r="WSY45" s="76"/>
      <c r="WSZ45" s="76"/>
      <c r="WTA45" s="76"/>
      <c r="WTB45" s="76"/>
      <c r="WTC45" s="76"/>
      <c r="WTD45" s="76"/>
      <c r="WTE45" s="76"/>
      <c r="WTF45" s="76"/>
      <c r="WTG45" s="76"/>
      <c r="WTH45" s="76"/>
      <c r="WTI45" s="76"/>
      <c r="WTJ45" s="76"/>
      <c r="WTK45" s="76"/>
      <c r="WTL45" s="76"/>
      <c r="WTM45" s="76"/>
      <c r="WTN45" s="76"/>
      <c r="WTO45" s="76"/>
      <c r="WTP45" s="76"/>
      <c r="WTQ45" s="76"/>
      <c r="WTR45" s="76"/>
      <c r="WTS45" s="76"/>
      <c r="WTT45" s="76"/>
      <c r="WTU45" s="76"/>
      <c r="WTV45" s="76"/>
      <c r="WTW45" s="76"/>
      <c r="WTX45" s="76"/>
      <c r="WTY45" s="76"/>
      <c r="WTZ45" s="76"/>
      <c r="WUA45" s="76"/>
      <c r="WUB45" s="76"/>
      <c r="WUC45" s="76"/>
      <c r="WUD45" s="76"/>
      <c r="WUE45" s="76"/>
      <c r="WUF45" s="76"/>
      <c r="WUG45" s="76"/>
      <c r="WUH45" s="76"/>
      <c r="WUI45" s="76"/>
      <c r="WUJ45" s="76"/>
      <c r="WUK45" s="76"/>
      <c r="WUL45" s="76"/>
      <c r="WUM45" s="76"/>
      <c r="WUN45" s="76"/>
      <c r="WUO45" s="76"/>
      <c r="WUP45" s="76"/>
      <c r="WUQ45" s="76"/>
      <c r="WUR45" s="76"/>
      <c r="WUS45" s="76"/>
      <c r="WUT45" s="76"/>
      <c r="WUU45" s="76"/>
      <c r="WUV45" s="76"/>
      <c r="WUW45" s="76"/>
      <c r="WUX45" s="76"/>
      <c r="WUY45" s="76"/>
      <c r="WUZ45" s="76"/>
      <c r="WVA45" s="76"/>
      <c r="WVB45" s="76"/>
      <c r="WVC45" s="76"/>
      <c r="WVD45" s="76"/>
      <c r="WVE45" s="76"/>
      <c r="WVF45" s="76"/>
      <c r="WVG45" s="76"/>
      <c r="WVH45" s="76"/>
      <c r="WVI45" s="76"/>
      <c r="WVJ45" s="76"/>
      <c r="WVK45" s="76"/>
      <c r="WVL45" s="76"/>
      <c r="WVM45" s="76"/>
      <c r="WVN45" s="76"/>
      <c r="WVO45" s="76"/>
      <c r="WVP45" s="76"/>
      <c r="WVQ45" s="76"/>
      <c r="WVR45" s="76"/>
      <c r="WVS45" s="76"/>
      <c r="WVT45" s="76"/>
      <c r="WVU45" s="76"/>
      <c r="WVV45" s="76"/>
      <c r="WVW45" s="76"/>
      <c r="WVX45" s="76"/>
      <c r="WVY45" s="76"/>
      <c r="WVZ45" s="76"/>
      <c r="WWA45" s="76"/>
      <c r="WWB45" s="76"/>
      <c r="WWC45" s="76"/>
      <c r="WWD45" s="76"/>
      <c r="WWE45" s="76"/>
      <c r="WWF45" s="76"/>
      <c r="WWG45" s="76"/>
      <c r="WWH45" s="76"/>
      <c r="WWI45" s="76"/>
      <c r="WWJ45" s="76"/>
      <c r="WWK45" s="76"/>
      <c r="WWL45" s="76"/>
      <c r="WWM45" s="76"/>
      <c r="WWN45" s="76"/>
      <c r="WWO45" s="76"/>
      <c r="WWP45" s="76"/>
      <c r="WWQ45" s="76"/>
      <c r="WWR45" s="76"/>
      <c r="WWS45" s="76"/>
      <c r="WWT45" s="76"/>
      <c r="WWU45" s="76"/>
      <c r="WWV45" s="76"/>
      <c r="WWW45" s="76"/>
      <c r="WWX45" s="76"/>
      <c r="WWY45" s="76"/>
      <c r="WWZ45" s="76"/>
      <c r="WXA45" s="76"/>
    </row>
    <row r="46" spans="1:16173" s="77" customFormat="1" ht="34" customHeight="1" x14ac:dyDescent="0.55000000000000004">
      <c r="A46" s="76"/>
      <c r="B46" s="76"/>
      <c r="C46" s="8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  <c r="BV46" s="76"/>
      <c r="BW46" s="76"/>
      <c r="BX46" s="76"/>
      <c r="BY46" s="76"/>
      <c r="BZ46" s="76"/>
      <c r="CA46" s="76"/>
      <c r="CB46" s="76"/>
      <c r="CC46" s="76"/>
      <c r="CD46" s="76"/>
      <c r="CE46" s="76"/>
      <c r="CF46" s="76"/>
      <c r="CG46" s="76"/>
      <c r="CH46" s="76"/>
      <c r="CI46" s="76"/>
      <c r="CJ46" s="76"/>
      <c r="CK46" s="76"/>
      <c r="CL46" s="76"/>
      <c r="CM46" s="76"/>
      <c r="CN46" s="76"/>
      <c r="CO46" s="76"/>
      <c r="CP46" s="76"/>
      <c r="CQ46" s="76"/>
      <c r="CR46" s="76"/>
      <c r="CS46" s="76"/>
      <c r="CT46" s="76"/>
      <c r="CU46" s="76"/>
      <c r="CV46" s="76"/>
      <c r="CW46" s="76"/>
      <c r="CX46" s="76"/>
      <c r="CY46" s="76"/>
      <c r="CZ46" s="76"/>
      <c r="DA46" s="76"/>
      <c r="DB46" s="76"/>
      <c r="DC46" s="76"/>
      <c r="DD46" s="76"/>
      <c r="DE46" s="76"/>
      <c r="DF46" s="76"/>
      <c r="DG46" s="76"/>
      <c r="DH46" s="76"/>
      <c r="DI46" s="76"/>
      <c r="DJ46" s="76"/>
      <c r="DK46" s="76"/>
      <c r="DL46" s="76"/>
      <c r="DM46" s="76"/>
      <c r="DN46" s="76"/>
      <c r="DO46" s="76"/>
      <c r="DP46" s="76"/>
      <c r="DQ46" s="76"/>
      <c r="DR46" s="76"/>
      <c r="DS46" s="76"/>
      <c r="DT46" s="76"/>
      <c r="DU46" s="76"/>
      <c r="DV46" s="76"/>
      <c r="DW46" s="76"/>
      <c r="DX46" s="76"/>
      <c r="DY46" s="76"/>
      <c r="DZ46" s="76"/>
      <c r="EA46" s="76"/>
      <c r="EB46" s="76"/>
      <c r="EC46" s="76"/>
      <c r="ED46" s="76"/>
      <c r="EE46" s="76"/>
      <c r="EF46" s="76"/>
      <c r="EG46" s="76"/>
      <c r="EH46" s="76"/>
      <c r="EI46" s="76"/>
      <c r="EJ46" s="76"/>
      <c r="EK46" s="76"/>
      <c r="EL46" s="76"/>
      <c r="EM46" s="76"/>
      <c r="EN46" s="76"/>
      <c r="EO46" s="76"/>
      <c r="EP46" s="76"/>
      <c r="EQ46" s="76"/>
      <c r="ER46" s="76"/>
      <c r="ES46" s="76"/>
      <c r="ET46" s="76"/>
      <c r="EU46" s="76"/>
      <c r="EV46" s="76"/>
      <c r="EW46" s="76"/>
      <c r="EX46" s="76"/>
      <c r="EY46" s="76"/>
      <c r="EZ46" s="76"/>
      <c r="FA46" s="76"/>
      <c r="FB46" s="76"/>
      <c r="FC46" s="76"/>
      <c r="FD46" s="76"/>
      <c r="FE46" s="76"/>
      <c r="FF46" s="76"/>
      <c r="FG46" s="76"/>
      <c r="FH46" s="76"/>
      <c r="FI46" s="76"/>
      <c r="FJ46" s="76"/>
      <c r="FK46" s="76"/>
      <c r="FL46" s="76"/>
      <c r="FM46" s="76"/>
      <c r="FN46" s="76"/>
      <c r="FO46" s="76"/>
      <c r="FP46" s="76"/>
      <c r="FQ46" s="76"/>
      <c r="FR46" s="76"/>
      <c r="FS46" s="76"/>
      <c r="FT46" s="76"/>
      <c r="FU46" s="76"/>
      <c r="FV46" s="76"/>
      <c r="FW46" s="76"/>
      <c r="FX46" s="76"/>
      <c r="FY46" s="76"/>
      <c r="FZ46" s="76"/>
      <c r="GA46" s="76"/>
      <c r="GB46" s="76"/>
      <c r="GC46" s="76"/>
      <c r="GD46" s="76"/>
      <c r="GE46" s="76"/>
      <c r="GF46" s="76"/>
      <c r="GG46" s="76"/>
      <c r="GH46" s="76"/>
      <c r="GI46" s="76"/>
      <c r="GJ46" s="76"/>
      <c r="GK46" s="76"/>
      <c r="GL46" s="76"/>
      <c r="GM46" s="76"/>
      <c r="GN46" s="76"/>
      <c r="GO46" s="76"/>
      <c r="GP46" s="76"/>
      <c r="GQ46" s="76"/>
      <c r="GR46" s="76"/>
      <c r="GS46" s="76"/>
      <c r="GT46" s="76"/>
      <c r="GU46" s="76"/>
      <c r="GV46" s="76"/>
      <c r="GW46" s="76"/>
      <c r="GX46" s="76"/>
      <c r="GY46" s="76"/>
      <c r="GZ46" s="76"/>
      <c r="HA46" s="76"/>
      <c r="HB46" s="76"/>
      <c r="HC46" s="76"/>
      <c r="HD46" s="76"/>
      <c r="HE46" s="76"/>
      <c r="HF46" s="76"/>
      <c r="HG46" s="76"/>
      <c r="HH46" s="76"/>
      <c r="HI46" s="76"/>
      <c r="HJ46" s="76"/>
      <c r="HK46" s="76"/>
      <c r="HL46" s="76"/>
      <c r="HM46" s="76"/>
      <c r="HN46" s="76"/>
      <c r="HO46" s="76"/>
      <c r="HP46" s="76"/>
      <c r="HQ46" s="76"/>
      <c r="HR46" s="76"/>
      <c r="HS46" s="76"/>
      <c r="HT46" s="76"/>
      <c r="HU46" s="76"/>
      <c r="HV46" s="76"/>
      <c r="HW46" s="76"/>
      <c r="HX46" s="76"/>
      <c r="HY46" s="76"/>
      <c r="HZ46" s="76"/>
      <c r="IA46" s="76"/>
      <c r="IB46" s="76"/>
      <c r="IC46" s="76"/>
      <c r="ID46" s="76"/>
      <c r="IE46" s="76"/>
      <c r="IF46" s="76"/>
      <c r="IG46" s="76"/>
      <c r="IH46" s="76"/>
      <c r="II46" s="76"/>
      <c r="IJ46" s="76"/>
      <c r="IK46" s="76"/>
      <c r="IL46" s="76"/>
      <c r="IM46" s="76"/>
      <c r="IN46" s="76"/>
      <c r="IO46" s="76"/>
      <c r="IP46" s="76"/>
      <c r="IQ46" s="76"/>
      <c r="IR46" s="76"/>
      <c r="IS46" s="76"/>
      <c r="IT46" s="76"/>
      <c r="IU46" s="76"/>
      <c r="IV46" s="76"/>
      <c r="IW46" s="76"/>
      <c r="IX46" s="76"/>
      <c r="IY46" s="76"/>
      <c r="IZ46" s="76"/>
      <c r="JA46" s="76"/>
      <c r="JB46" s="76"/>
      <c r="JC46" s="76"/>
      <c r="JD46" s="76"/>
      <c r="JE46" s="76"/>
      <c r="JF46" s="76"/>
      <c r="JG46" s="76"/>
      <c r="JH46" s="76"/>
      <c r="JI46" s="76"/>
      <c r="JJ46" s="76"/>
      <c r="JK46" s="76"/>
      <c r="JL46" s="76"/>
      <c r="JM46" s="76"/>
      <c r="JN46" s="76"/>
      <c r="JO46" s="76"/>
      <c r="JP46" s="76"/>
      <c r="JQ46" s="76"/>
      <c r="JR46" s="76"/>
      <c r="JS46" s="76"/>
      <c r="JT46" s="76"/>
      <c r="JU46" s="76"/>
      <c r="JV46" s="76"/>
      <c r="JW46" s="76"/>
      <c r="JX46" s="76"/>
      <c r="JY46" s="76"/>
      <c r="JZ46" s="76"/>
      <c r="KA46" s="76"/>
      <c r="KB46" s="76"/>
      <c r="KC46" s="76"/>
      <c r="KD46" s="76"/>
      <c r="KE46" s="76"/>
      <c r="KF46" s="76"/>
      <c r="KG46" s="76"/>
      <c r="KH46" s="76"/>
      <c r="KI46" s="76"/>
      <c r="KJ46" s="76"/>
      <c r="KK46" s="76"/>
      <c r="KL46" s="76"/>
      <c r="KM46" s="76"/>
      <c r="KN46" s="76"/>
      <c r="KO46" s="76"/>
      <c r="KP46" s="76"/>
      <c r="KQ46" s="76"/>
      <c r="KR46" s="76"/>
      <c r="KS46" s="76"/>
      <c r="KT46" s="76"/>
      <c r="KU46" s="76"/>
      <c r="KV46" s="76"/>
      <c r="KW46" s="76"/>
      <c r="KX46" s="76"/>
      <c r="KY46" s="76"/>
      <c r="KZ46" s="76"/>
      <c r="LA46" s="76"/>
      <c r="LB46" s="76"/>
      <c r="LC46" s="76"/>
      <c r="LD46" s="76"/>
      <c r="LE46" s="76"/>
      <c r="LF46" s="76"/>
      <c r="LG46" s="76"/>
      <c r="LH46" s="76"/>
      <c r="LI46" s="76"/>
      <c r="LJ46" s="76"/>
      <c r="LK46" s="76"/>
      <c r="LL46" s="76"/>
      <c r="LM46" s="76"/>
      <c r="LN46" s="76"/>
      <c r="LO46" s="76"/>
      <c r="LP46" s="76"/>
      <c r="LQ46" s="76"/>
      <c r="LR46" s="76"/>
      <c r="LS46" s="76"/>
      <c r="LT46" s="76"/>
      <c r="LU46" s="76"/>
      <c r="LV46" s="76"/>
      <c r="LW46" s="76"/>
      <c r="LX46" s="76"/>
      <c r="LY46" s="76"/>
      <c r="LZ46" s="76"/>
      <c r="MA46" s="76"/>
      <c r="MB46" s="76"/>
      <c r="MC46" s="76"/>
      <c r="MD46" s="76"/>
      <c r="ME46" s="76"/>
      <c r="MF46" s="76"/>
      <c r="MG46" s="76"/>
      <c r="MH46" s="76"/>
      <c r="MI46" s="76"/>
      <c r="MJ46" s="76"/>
      <c r="MK46" s="76"/>
      <c r="ML46" s="76"/>
      <c r="MM46" s="76"/>
      <c r="MN46" s="76"/>
      <c r="MO46" s="76"/>
      <c r="MP46" s="76"/>
      <c r="MQ46" s="76"/>
      <c r="MR46" s="76"/>
      <c r="MS46" s="76"/>
      <c r="MT46" s="76"/>
      <c r="MU46" s="76"/>
      <c r="MV46" s="76"/>
      <c r="MW46" s="76"/>
      <c r="MX46" s="76"/>
      <c r="MY46" s="76"/>
      <c r="MZ46" s="76"/>
      <c r="NA46" s="76"/>
      <c r="NB46" s="76"/>
      <c r="NC46" s="76"/>
      <c r="ND46" s="76"/>
      <c r="NE46" s="76"/>
      <c r="NF46" s="76"/>
      <c r="NG46" s="76"/>
      <c r="NH46" s="76"/>
      <c r="NI46" s="76"/>
      <c r="NJ46" s="76"/>
      <c r="NK46" s="76"/>
      <c r="NL46" s="76"/>
      <c r="NM46" s="76"/>
      <c r="NN46" s="76"/>
      <c r="NO46" s="76"/>
      <c r="NP46" s="76"/>
      <c r="NQ46" s="76"/>
      <c r="NR46" s="76"/>
      <c r="NS46" s="76"/>
      <c r="NT46" s="76"/>
      <c r="NU46" s="76"/>
      <c r="NV46" s="76"/>
      <c r="NW46" s="76"/>
      <c r="NX46" s="76"/>
      <c r="NY46" s="76"/>
      <c r="NZ46" s="76"/>
      <c r="OA46" s="76"/>
      <c r="OB46" s="76"/>
      <c r="OC46" s="76"/>
      <c r="OD46" s="76"/>
      <c r="OE46" s="76"/>
      <c r="OF46" s="76"/>
      <c r="OG46" s="76"/>
      <c r="OH46" s="76"/>
      <c r="OI46" s="76"/>
      <c r="OJ46" s="76"/>
      <c r="OK46" s="76"/>
      <c r="OL46" s="76"/>
      <c r="OM46" s="76"/>
      <c r="ON46" s="76"/>
      <c r="OO46" s="76"/>
      <c r="OP46" s="76"/>
      <c r="OQ46" s="76"/>
      <c r="OR46" s="76"/>
      <c r="OS46" s="76"/>
      <c r="OT46" s="76"/>
      <c r="OU46" s="76"/>
      <c r="OV46" s="76"/>
      <c r="OW46" s="76"/>
      <c r="OX46" s="76"/>
      <c r="OY46" s="76"/>
      <c r="OZ46" s="76"/>
      <c r="PA46" s="76"/>
      <c r="PB46" s="76"/>
      <c r="PC46" s="76"/>
      <c r="PD46" s="76"/>
      <c r="PE46" s="76"/>
      <c r="PF46" s="76"/>
      <c r="PG46" s="76"/>
      <c r="PH46" s="76"/>
      <c r="PI46" s="76"/>
      <c r="PJ46" s="76"/>
      <c r="PK46" s="76"/>
      <c r="PL46" s="76"/>
      <c r="PM46" s="76"/>
      <c r="PN46" s="76"/>
      <c r="PO46" s="76"/>
      <c r="PP46" s="76"/>
      <c r="PQ46" s="76"/>
      <c r="PR46" s="76"/>
      <c r="PS46" s="76"/>
      <c r="PT46" s="76"/>
      <c r="PU46" s="76"/>
      <c r="PV46" s="76"/>
      <c r="PW46" s="76"/>
      <c r="PX46" s="76"/>
      <c r="PY46" s="76"/>
      <c r="PZ46" s="76"/>
      <c r="QA46" s="76"/>
      <c r="QB46" s="76"/>
      <c r="QC46" s="76"/>
      <c r="QD46" s="76"/>
      <c r="QE46" s="76"/>
      <c r="QF46" s="76"/>
      <c r="QG46" s="76"/>
      <c r="QH46" s="76"/>
      <c r="QI46" s="76"/>
      <c r="QJ46" s="76"/>
      <c r="QK46" s="76"/>
      <c r="QL46" s="76"/>
      <c r="QM46" s="76"/>
      <c r="QN46" s="76"/>
      <c r="QO46" s="76"/>
      <c r="QP46" s="76"/>
      <c r="QQ46" s="76"/>
      <c r="QR46" s="76"/>
      <c r="QS46" s="76"/>
      <c r="QT46" s="76"/>
      <c r="QU46" s="76"/>
      <c r="QV46" s="76"/>
      <c r="QW46" s="76"/>
      <c r="QX46" s="76"/>
      <c r="QY46" s="76"/>
      <c r="QZ46" s="76"/>
      <c r="RA46" s="76"/>
      <c r="RB46" s="76"/>
      <c r="RC46" s="76"/>
      <c r="RD46" s="76"/>
      <c r="RE46" s="76"/>
      <c r="RF46" s="76"/>
      <c r="RG46" s="76"/>
      <c r="RH46" s="76"/>
      <c r="RI46" s="76"/>
      <c r="RJ46" s="76"/>
      <c r="RK46" s="76"/>
      <c r="RL46" s="76"/>
      <c r="RM46" s="76"/>
      <c r="RN46" s="76"/>
      <c r="RO46" s="76"/>
      <c r="RP46" s="76"/>
      <c r="RQ46" s="76"/>
      <c r="RR46" s="76"/>
      <c r="RS46" s="76"/>
      <c r="RT46" s="76"/>
      <c r="RU46" s="76"/>
      <c r="RV46" s="76"/>
      <c r="RW46" s="76"/>
      <c r="RX46" s="76"/>
      <c r="RY46" s="76"/>
      <c r="RZ46" s="76"/>
      <c r="SA46" s="76"/>
      <c r="SB46" s="76"/>
      <c r="SC46" s="76"/>
      <c r="SD46" s="76"/>
      <c r="SE46" s="76"/>
      <c r="SF46" s="76"/>
      <c r="SG46" s="76"/>
      <c r="SH46" s="76"/>
      <c r="SI46" s="76"/>
      <c r="SJ46" s="76"/>
      <c r="SK46" s="76"/>
      <c r="SL46" s="76"/>
      <c r="SM46" s="76"/>
      <c r="SN46" s="76"/>
      <c r="SO46" s="76"/>
      <c r="SP46" s="76"/>
      <c r="SQ46" s="76"/>
      <c r="SR46" s="76"/>
      <c r="SS46" s="76"/>
      <c r="ST46" s="76"/>
      <c r="SU46" s="76"/>
      <c r="SV46" s="76"/>
      <c r="SW46" s="76"/>
      <c r="SX46" s="76"/>
      <c r="SY46" s="76"/>
      <c r="SZ46" s="76"/>
      <c r="TA46" s="76"/>
      <c r="TB46" s="76"/>
      <c r="TC46" s="76"/>
      <c r="TD46" s="76"/>
      <c r="TE46" s="76"/>
      <c r="TF46" s="76"/>
      <c r="TG46" s="76"/>
      <c r="TH46" s="76"/>
      <c r="TI46" s="76"/>
      <c r="TJ46" s="76"/>
      <c r="TK46" s="76"/>
      <c r="TL46" s="76"/>
      <c r="TM46" s="76"/>
      <c r="TN46" s="76"/>
      <c r="TO46" s="76"/>
      <c r="TP46" s="76"/>
      <c r="TQ46" s="76"/>
      <c r="TR46" s="76"/>
      <c r="TS46" s="76"/>
      <c r="TT46" s="76"/>
      <c r="TU46" s="76"/>
      <c r="TV46" s="76"/>
      <c r="TW46" s="76"/>
      <c r="TX46" s="76"/>
      <c r="TY46" s="76"/>
      <c r="TZ46" s="76"/>
      <c r="UA46" s="76"/>
      <c r="UB46" s="76"/>
      <c r="UC46" s="76"/>
      <c r="UD46" s="76"/>
      <c r="UE46" s="76"/>
      <c r="UF46" s="76"/>
      <c r="UG46" s="76"/>
      <c r="UH46" s="76"/>
      <c r="UI46" s="76"/>
      <c r="UJ46" s="76"/>
      <c r="UK46" s="76"/>
      <c r="UL46" s="76"/>
      <c r="UM46" s="76"/>
      <c r="UN46" s="76"/>
      <c r="UO46" s="76"/>
      <c r="UP46" s="76"/>
      <c r="UQ46" s="76"/>
      <c r="UR46" s="76"/>
      <c r="US46" s="76"/>
      <c r="UT46" s="76"/>
      <c r="UU46" s="76"/>
      <c r="UV46" s="76"/>
      <c r="UW46" s="76"/>
      <c r="UX46" s="76"/>
      <c r="UY46" s="76"/>
      <c r="UZ46" s="76"/>
      <c r="VA46" s="76"/>
      <c r="VB46" s="76"/>
      <c r="VC46" s="76"/>
      <c r="VD46" s="76"/>
      <c r="VE46" s="76"/>
      <c r="VF46" s="76"/>
      <c r="VG46" s="76"/>
      <c r="VH46" s="76"/>
      <c r="VI46" s="76"/>
      <c r="VJ46" s="76"/>
      <c r="VK46" s="76"/>
      <c r="VL46" s="76"/>
      <c r="VM46" s="76"/>
      <c r="VN46" s="76"/>
      <c r="VO46" s="76"/>
      <c r="VP46" s="76"/>
      <c r="VQ46" s="76"/>
      <c r="VR46" s="76"/>
      <c r="VS46" s="76"/>
      <c r="VT46" s="76"/>
      <c r="VU46" s="76"/>
      <c r="VV46" s="76"/>
      <c r="VW46" s="76"/>
      <c r="VX46" s="76"/>
      <c r="VY46" s="76"/>
      <c r="VZ46" s="76"/>
      <c r="WA46" s="76"/>
      <c r="WB46" s="76"/>
      <c r="WC46" s="76"/>
      <c r="WD46" s="76"/>
      <c r="WE46" s="76"/>
      <c r="WF46" s="76"/>
      <c r="WG46" s="76"/>
      <c r="WH46" s="76"/>
      <c r="WI46" s="76"/>
      <c r="WJ46" s="76"/>
      <c r="WK46" s="76"/>
      <c r="WL46" s="76"/>
      <c r="WM46" s="76"/>
      <c r="WN46" s="76"/>
      <c r="WO46" s="76"/>
      <c r="WP46" s="76"/>
      <c r="WQ46" s="76"/>
      <c r="WR46" s="76"/>
      <c r="WS46" s="76"/>
      <c r="WT46" s="76"/>
      <c r="WU46" s="76"/>
      <c r="WV46" s="76"/>
      <c r="WW46" s="76"/>
      <c r="WX46" s="76"/>
      <c r="WY46" s="76"/>
      <c r="WZ46" s="76"/>
      <c r="XA46" s="76"/>
      <c r="XB46" s="76"/>
      <c r="XC46" s="76"/>
      <c r="XD46" s="76"/>
      <c r="XE46" s="76"/>
      <c r="XF46" s="76"/>
      <c r="XG46" s="76"/>
      <c r="XH46" s="76"/>
      <c r="XI46" s="76"/>
      <c r="XJ46" s="76"/>
      <c r="XK46" s="76"/>
      <c r="XL46" s="76"/>
      <c r="XM46" s="76"/>
      <c r="XN46" s="76"/>
      <c r="XO46" s="76"/>
      <c r="XP46" s="76"/>
      <c r="XQ46" s="76"/>
      <c r="XR46" s="76"/>
      <c r="XS46" s="76"/>
      <c r="XT46" s="76"/>
      <c r="XU46" s="76"/>
      <c r="XV46" s="76"/>
      <c r="XW46" s="76"/>
      <c r="XX46" s="76"/>
      <c r="XY46" s="76"/>
      <c r="XZ46" s="76"/>
      <c r="YA46" s="76"/>
      <c r="YB46" s="76"/>
      <c r="YC46" s="76"/>
      <c r="YD46" s="76"/>
      <c r="YE46" s="76"/>
      <c r="YF46" s="76"/>
      <c r="YG46" s="76"/>
      <c r="YH46" s="76"/>
      <c r="YI46" s="76"/>
      <c r="YJ46" s="76"/>
      <c r="YK46" s="76"/>
      <c r="YL46" s="76"/>
      <c r="YM46" s="76"/>
      <c r="YN46" s="76"/>
      <c r="YO46" s="76"/>
      <c r="YP46" s="76"/>
      <c r="YQ46" s="76"/>
      <c r="YR46" s="76"/>
      <c r="YS46" s="76"/>
      <c r="YT46" s="76"/>
      <c r="YU46" s="76"/>
      <c r="YV46" s="76"/>
      <c r="YW46" s="76"/>
      <c r="YX46" s="76"/>
      <c r="YY46" s="76"/>
      <c r="YZ46" s="76"/>
      <c r="ZA46" s="76"/>
      <c r="ZB46" s="76"/>
      <c r="ZC46" s="76"/>
      <c r="ZD46" s="76"/>
      <c r="ZE46" s="76"/>
      <c r="ZF46" s="76"/>
      <c r="ZG46" s="76"/>
      <c r="ZH46" s="76"/>
      <c r="ZI46" s="76"/>
      <c r="ZJ46" s="76"/>
      <c r="ZK46" s="76"/>
      <c r="ZL46" s="76"/>
      <c r="ZM46" s="76"/>
      <c r="ZN46" s="76"/>
      <c r="ZO46" s="76"/>
      <c r="ZP46" s="76"/>
      <c r="ZQ46" s="76"/>
      <c r="ZR46" s="76"/>
      <c r="ZS46" s="76"/>
      <c r="ZT46" s="76"/>
      <c r="ZU46" s="76"/>
      <c r="ZV46" s="76"/>
      <c r="ZW46" s="76"/>
      <c r="ZX46" s="76"/>
      <c r="ZY46" s="76"/>
      <c r="ZZ46" s="76"/>
      <c r="AAA46" s="76"/>
      <c r="AAB46" s="76"/>
      <c r="AAC46" s="76"/>
      <c r="AAD46" s="76"/>
      <c r="AAE46" s="76"/>
      <c r="AAF46" s="76"/>
      <c r="AAG46" s="76"/>
      <c r="AAH46" s="76"/>
      <c r="AAI46" s="76"/>
      <c r="AAJ46" s="76"/>
      <c r="AAK46" s="76"/>
      <c r="AAL46" s="76"/>
      <c r="AAM46" s="76"/>
      <c r="AAN46" s="76"/>
      <c r="AAO46" s="76"/>
      <c r="AAP46" s="76"/>
      <c r="AAQ46" s="76"/>
      <c r="AAR46" s="76"/>
      <c r="AAS46" s="76"/>
      <c r="AAT46" s="76"/>
      <c r="AAU46" s="76"/>
      <c r="AAV46" s="76"/>
      <c r="AAW46" s="76"/>
      <c r="AAX46" s="76"/>
      <c r="AAY46" s="76"/>
      <c r="AAZ46" s="76"/>
      <c r="ABA46" s="76"/>
      <c r="ABB46" s="76"/>
      <c r="ABC46" s="76"/>
      <c r="ABD46" s="76"/>
      <c r="ABE46" s="76"/>
      <c r="ABF46" s="76"/>
      <c r="ABG46" s="76"/>
      <c r="ABH46" s="76"/>
      <c r="ABI46" s="76"/>
      <c r="ABJ46" s="76"/>
      <c r="ABK46" s="76"/>
      <c r="ABL46" s="76"/>
      <c r="ABM46" s="76"/>
      <c r="ABN46" s="76"/>
      <c r="ABO46" s="76"/>
      <c r="ABP46" s="76"/>
      <c r="ABQ46" s="76"/>
      <c r="ABR46" s="76"/>
      <c r="ABS46" s="76"/>
      <c r="ABT46" s="76"/>
      <c r="ABU46" s="76"/>
      <c r="ABV46" s="76"/>
      <c r="ABW46" s="76"/>
      <c r="ABX46" s="76"/>
      <c r="ABY46" s="76"/>
      <c r="ABZ46" s="76"/>
      <c r="ACA46" s="76"/>
      <c r="ACB46" s="76"/>
      <c r="ACC46" s="76"/>
      <c r="ACD46" s="76"/>
      <c r="ACE46" s="76"/>
      <c r="ACF46" s="76"/>
      <c r="ACG46" s="76"/>
      <c r="ACH46" s="76"/>
      <c r="ACI46" s="76"/>
      <c r="ACJ46" s="76"/>
      <c r="ACK46" s="76"/>
      <c r="ACL46" s="76"/>
      <c r="ACM46" s="76"/>
      <c r="ACN46" s="76"/>
      <c r="ACO46" s="76"/>
      <c r="ACP46" s="76"/>
      <c r="ACQ46" s="76"/>
      <c r="ACR46" s="76"/>
      <c r="ACS46" s="76"/>
      <c r="ACT46" s="76"/>
      <c r="ACU46" s="76"/>
      <c r="ACV46" s="76"/>
      <c r="ACW46" s="76"/>
      <c r="ACX46" s="76"/>
      <c r="ACY46" s="76"/>
      <c r="ACZ46" s="76"/>
      <c r="ADA46" s="76"/>
      <c r="ADB46" s="76"/>
      <c r="ADC46" s="76"/>
      <c r="ADD46" s="76"/>
      <c r="ADE46" s="76"/>
      <c r="ADF46" s="76"/>
      <c r="ADG46" s="76"/>
      <c r="ADH46" s="76"/>
      <c r="ADI46" s="76"/>
      <c r="ADJ46" s="76"/>
      <c r="ADK46" s="76"/>
      <c r="ADL46" s="76"/>
      <c r="ADM46" s="76"/>
      <c r="ADN46" s="76"/>
      <c r="ADO46" s="76"/>
      <c r="ADP46" s="76"/>
      <c r="ADQ46" s="76"/>
      <c r="ADR46" s="76"/>
      <c r="ADS46" s="76"/>
      <c r="ADT46" s="76"/>
      <c r="ADU46" s="76"/>
      <c r="ADV46" s="76"/>
      <c r="ADW46" s="76"/>
      <c r="ADX46" s="76"/>
      <c r="ADY46" s="76"/>
      <c r="ADZ46" s="76"/>
      <c r="AEA46" s="76"/>
      <c r="AEB46" s="76"/>
      <c r="AEC46" s="76"/>
      <c r="AED46" s="76"/>
      <c r="AEE46" s="76"/>
      <c r="AEF46" s="76"/>
      <c r="AEG46" s="76"/>
      <c r="AEH46" s="76"/>
      <c r="AEI46" s="76"/>
      <c r="AEJ46" s="76"/>
      <c r="AEK46" s="76"/>
      <c r="AEL46" s="76"/>
      <c r="AEM46" s="76"/>
      <c r="AEN46" s="76"/>
      <c r="AEO46" s="76"/>
      <c r="AEP46" s="76"/>
      <c r="AEQ46" s="76"/>
      <c r="AER46" s="76"/>
      <c r="AES46" s="76"/>
      <c r="AET46" s="76"/>
      <c r="AEU46" s="76"/>
      <c r="AEV46" s="76"/>
      <c r="AEW46" s="76"/>
      <c r="AEX46" s="76"/>
      <c r="AEY46" s="76"/>
      <c r="AEZ46" s="76"/>
      <c r="AFA46" s="76"/>
      <c r="AFB46" s="76"/>
      <c r="AFC46" s="76"/>
      <c r="AFD46" s="76"/>
      <c r="AFE46" s="76"/>
      <c r="AFF46" s="76"/>
      <c r="AFG46" s="76"/>
      <c r="AFH46" s="76"/>
      <c r="AFI46" s="76"/>
      <c r="AFJ46" s="76"/>
      <c r="AFK46" s="76"/>
      <c r="AFL46" s="76"/>
      <c r="AFM46" s="76"/>
      <c r="AFN46" s="76"/>
      <c r="AFO46" s="76"/>
      <c r="AFP46" s="76"/>
      <c r="AFQ46" s="76"/>
      <c r="AFR46" s="76"/>
      <c r="AFS46" s="76"/>
      <c r="AFT46" s="76"/>
      <c r="AFU46" s="76"/>
      <c r="AFV46" s="76"/>
      <c r="AFW46" s="76"/>
      <c r="AFX46" s="76"/>
      <c r="AFY46" s="76"/>
      <c r="AFZ46" s="76"/>
      <c r="AGA46" s="76"/>
      <c r="AGB46" s="76"/>
      <c r="AGC46" s="76"/>
      <c r="AGD46" s="76"/>
      <c r="AGE46" s="76"/>
      <c r="AGF46" s="76"/>
      <c r="AGG46" s="76"/>
      <c r="AGH46" s="76"/>
      <c r="AGI46" s="76"/>
      <c r="AGJ46" s="76"/>
      <c r="AGK46" s="76"/>
      <c r="AGL46" s="76"/>
      <c r="AGM46" s="76"/>
      <c r="AGN46" s="76"/>
      <c r="AGO46" s="76"/>
      <c r="AGP46" s="76"/>
      <c r="AGQ46" s="76"/>
      <c r="AGR46" s="76"/>
      <c r="AGS46" s="76"/>
      <c r="AGT46" s="76"/>
      <c r="AGU46" s="76"/>
      <c r="AGV46" s="76"/>
      <c r="AGW46" s="76"/>
      <c r="AGX46" s="76"/>
      <c r="AGY46" s="76"/>
      <c r="AGZ46" s="76"/>
      <c r="AHA46" s="76"/>
      <c r="AHB46" s="76"/>
      <c r="AHC46" s="76"/>
      <c r="AHD46" s="76"/>
      <c r="AHE46" s="76"/>
      <c r="AHF46" s="76"/>
      <c r="AHG46" s="76"/>
      <c r="AHH46" s="76"/>
      <c r="AHI46" s="76"/>
      <c r="AHJ46" s="76"/>
      <c r="AHK46" s="76"/>
      <c r="AHL46" s="76"/>
      <c r="AHM46" s="76"/>
      <c r="AHN46" s="76"/>
      <c r="AHO46" s="76"/>
      <c r="AHP46" s="76"/>
      <c r="AHQ46" s="76"/>
      <c r="AHR46" s="76"/>
      <c r="AHS46" s="76"/>
      <c r="AHT46" s="76"/>
      <c r="AHU46" s="76"/>
      <c r="AHV46" s="76"/>
      <c r="AHW46" s="76"/>
      <c r="AHX46" s="76"/>
      <c r="AHY46" s="76"/>
      <c r="AHZ46" s="76"/>
      <c r="AIA46" s="76"/>
      <c r="AIB46" s="76"/>
      <c r="AIC46" s="76"/>
      <c r="AID46" s="76"/>
      <c r="AIE46" s="76"/>
      <c r="AIF46" s="76"/>
      <c r="AIG46" s="76"/>
      <c r="AIH46" s="76"/>
      <c r="AII46" s="76"/>
      <c r="AIJ46" s="76"/>
      <c r="AIK46" s="76"/>
      <c r="AIL46" s="76"/>
      <c r="AIM46" s="76"/>
      <c r="AIN46" s="76"/>
      <c r="AIO46" s="76"/>
      <c r="AIP46" s="76"/>
      <c r="AIQ46" s="76"/>
      <c r="AIR46" s="76"/>
      <c r="AIS46" s="76"/>
      <c r="AIT46" s="76"/>
      <c r="AIU46" s="76"/>
      <c r="AIV46" s="76"/>
      <c r="AIW46" s="76"/>
      <c r="AIX46" s="76"/>
      <c r="AIY46" s="76"/>
      <c r="AIZ46" s="76"/>
      <c r="AJA46" s="76"/>
      <c r="AJB46" s="76"/>
      <c r="AJC46" s="76"/>
      <c r="AJD46" s="76"/>
      <c r="AJE46" s="76"/>
      <c r="AJF46" s="76"/>
      <c r="AJG46" s="76"/>
      <c r="AJH46" s="76"/>
      <c r="AJI46" s="76"/>
      <c r="AJJ46" s="76"/>
      <c r="AJK46" s="76"/>
      <c r="AJL46" s="76"/>
      <c r="AJM46" s="76"/>
      <c r="AJN46" s="76"/>
      <c r="AJO46" s="76"/>
      <c r="AJP46" s="76"/>
      <c r="AJQ46" s="76"/>
      <c r="AJR46" s="76"/>
      <c r="AJS46" s="76"/>
      <c r="AJT46" s="76"/>
      <c r="AJU46" s="76"/>
      <c r="AJV46" s="76"/>
      <c r="AJW46" s="76"/>
      <c r="AJX46" s="76"/>
      <c r="AJY46" s="76"/>
      <c r="AJZ46" s="76"/>
      <c r="AKA46" s="76"/>
      <c r="AKB46" s="76"/>
      <c r="AKC46" s="76"/>
      <c r="AKD46" s="76"/>
      <c r="AKE46" s="76"/>
      <c r="AKF46" s="76"/>
      <c r="AKG46" s="76"/>
      <c r="AKH46" s="76"/>
      <c r="AKI46" s="76"/>
      <c r="AKJ46" s="76"/>
      <c r="AKK46" s="76"/>
      <c r="AKL46" s="76"/>
      <c r="AKM46" s="76"/>
      <c r="AKN46" s="76"/>
      <c r="AKO46" s="76"/>
      <c r="AKP46" s="76"/>
      <c r="AKQ46" s="76"/>
      <c r="AKR46" s="76"/>
      <c r="AKS46" s="76"/>
      <c r="AKT46" s="76"/>
      <c r="AKU46" s="76"/>
      <c r="AKV46" s="76"/>
      <c r="AKW46" s="76"/>
      <c r="AKX46" s="76"/>
      <c r="AKY46" s="76"/>
      <c r="AKZ46" s="76"/>
      <c r="ALA46" s="76"/>
      <c r="ALB46" s="76"/>
      <c r="ALC46" s="76"/>
      <c r="ALD46" s="76"/>
      <c r="ALE46" s="76"/>
      <c r="ALF46" s="76"/>
      <c r="ALG46" s="76"/>
      <c r="ALH46" s="76"/>
      <c r="ALI46" s="76"/>
      <c r="ALJ46" s="76"/>
      <c r="ALK46" s="76"/>
      <c r="ALL46" s="76"/>
      <c r="ALM46" s="76"/>
      <c r="ALN46" s="76"/>
      <c r="ALO46" s="76"/>
      <c r="ALP46" s="76"/>
      <c r="ALQ46" s="76"/>
      <c r="ALR46" s="76"/>
      <c r="ALS46" s="76"/>
      <c r="ALT46" s="76"/>
      <c r="ALU46" s="76"/>
      <c r="ALV46" s="76"/>
      <c r="ALW46" s="76"/>
      <c r="ALX46" s="76"/>
      <c r="ALY46" s="76"/>
      <c r="ALZ46" s="76"/>
      <c r="AMA46" s="76"/>
      <c r="AMB46" s="76"/>
      <c r="AMC46" s="76"/>
      <c r="AMD46" s="76"/>
      <c r="AME46" s="76"/>
      <c r="AMF46" s="76"/>
      <c r="AMG46" s="76"/>
      <c r="AMH46" s="76"/>
      <c r="AMI46" s="76"/>
      <c r="AMJ46" s="76"/>
      <c r="AMK46" s="76"/>
      <c r="AML46" s="76"/>
      <c r="AMM46" s="76"/>
      <c r="AMN46" s="76"/>
      <c r="AMO46" s="76"/>
      <c r="AMP46" s="76"/>
      <c r="AMQ46" s="76"/>
      <c r="AMR46" s="76"/>
      <c r="AMS46" s="76"/>
      <c r="AMT46" s="76"/>
      <c r="AMU46" s="76"/>
      <c r="AMV46" s="76"/>
      <c r="AMW46" s="76"/>
      <c r="AMX46" s="76"/>
      <c r="AMY46" s="76"/>
      <c r="AMZ46" s="76"/>
      <c r="ANA46" s="76"/>
      <c r="ANB46" s="76"/>
      <c r="ANC46" s="76"/>
      <c r="AND46" s="76"/>
      <c r="ANE46" s="76"/>
      <c r="ANF46" s="76"/>
      <c r="ANG46" s="76"/>
      <c r="ANH46" s="76"/>
      <c r="ANI46" s="76"/>
      <c r="ANJ46" s="76"/>
      <c r="ANK46" s="76"/>
      <c r="ANL46" s="76"/>
      <c r="ANM46" s="76"/>
      <c r="ANN46" s="76"/>
      <c r="ANO46" s="76"/>
      <c r="ANP46" s="76"/>
      <c r="ANQ46" s="76"/>
      <c r="ANR46" s="76"/>
      <c r="ANS46" s="76"/>
      <c r="ANT46" s="76"/>
      <c r="ANU46" s="76"/>
      <c r="ANV46" s="76"/>
      <c r="ANW46" s="76"/>
      <c r="ANX46" s="76"/>
      <c r="ANY46" s="76"/>
      <c r="ANZ46" s="76"/>
      <c r="AOA46" s="76"/>
      <c r="AOB46" s="76"/>
      <c r="AOC46" s="76"/>
      <c r="AOD46" s="76"/>
      <c r="AOE46" s="76"/>
      <c r="AOF46" s="76"/>
      <c r="AOG46" s="76"/>
      <c r="AOH46" s="76"/>
      <c r="AOI46" s="76"/>
      <c r="AOJ46" s="76"/>
      <c r="AOK46" s="76"/>
      <c r="AOL46" s="76"/>
      <c r="AOM46" s="76"/>
      <c r="AON46" s="76"/>
      <c r="AOO46" s="76"/>
      <c r="AOP46" s="76"/>
      <c r="AOQ46" s="76"/>
      <c r="AOR46" s="76"/>
      <c r="AOS46" s="76"/>
      <c r="AOT46" s="76"/>
      <c r="AOU46" s="76"/>
      <c r="AOV46" s="76"/>
      <c r="AOW46" s="76"/>
      <c r="AOX46" s="76"/>
      <c r="AOY46" s="76"/>
      <c r="AOZ46" s="76"/>
      <c r="APA46" s="76"/>
      <c r="APB46" s="76"/>
      <c r="APC46" s="76"/>
      <c r="APD46" s="76"/>
      <c r="APE46" s="76"/>
      <c r="APF46" s="76"/>
      <c r="APG46" s="76"/>
      <c r="APH46" s="76"/>
      <c r="API46" s="76"/>
      <c r="APJ46" s="76"/>
      <c r="APK46" s="76"/>
      <c r="APL46" s="76"/>
      <c r="APM46" s="76"/>
      <c r="APN46" s="76"/>
      <c r="APO46" s="76"/>
      <c r="APP46" s="76"/>
      <c r="APQ46" s="76"/>
      <c r="APR46" s="76"/>
      <c r="APS46" s="76"/>
      <c r="APT46" s="76"/>
      <c r="APU46" s="76"/>
      <c r="APV46" s="76"/>
      <c r="APW46" s="76"/>
      <c r="APX46" s="76"/>
      <c r="APY46" s="76"/>
      <c r="APZ46" s="76"/>
      <c r="AQA46" s="76"/>
      <c r="AQB46" s="76"/>
      <c r="AQC46" s="76"/>
      <c r="AQD46" s="76"/>
      <c r="AQE46" s="76"/>
      <c r="AQF46" s="76"/>
      <c r="AQG46" s="76"/>
      <c r="AQH46" s="76"/>
      <c r="AQI46" s="76"/>
      <c r="AQJ46" s="76"/>
      <c r="AQK46" s="76"/>
      <c r="AQL46" s="76"/>
      <c r="AQM46" s="76"/>
      <c r="AQN46" s="76"/>
      <c r="AQO46" s="76"/>
      <c r="AQP46" s="76"/>
      <c r="AQQ46" s="76"/>
      <c r="AQR46" s="76"/>
      <c r="AQS46" s="76"/>
      <c r="AQT46" s="76"/>
      <c r="AQU46" s="76"/>
      <c r="AQV46" s="76"/>
      <c r="AQW46" s="76"/>
      <c r="AQX46" s="76"/>
      <c r="AQY46" s="76"/>
      <c r="AQZ46" s="76"/>
      <c r="ARA46" s="76"/>
      <c r="ARB46" s="76"/>
      <c r="ARC46" s="76"/>
      <c r="ARD46" s="76"/>
      <c r="ARE46" s="76"/>
      <c r="ARF46" s="76"/>
      <c r="ARG46" s="76"/>
      <c r="ARH46" s="76"/>
      <c r="ARI46" s="76"/>
      <c r="ARJ46" s="76"/>
      <c r="ARK46" s="76"/>
      <c r="ARL46" s="76"/>
      <c r="ARM46" s="76"/>
      <c r="ARN46" s="76"/>
      <c r="ARO46" s="76"/>
      <c r="ARP46" s="76"/>
      <c r="ARQ46" s="76"/>
      <c r="ARR46" s="76"/>
      <c r="ARS46" s="76"/>
      <c r="ART46" s="76"/>
      <c r="ARU46" s="76"/>
      <c r="ARV46" s="76"/>
      <c r="ARW46" s="76"/>
      <c r="ARX46" s="76"/>
      <c r="ARY46" s="76"/>
      <c r="ARZ46" s="76"/>
      <c r="ASA46" s="76"/>
      <c r="ASB46" s="76"/>
      <c r="ASC46" s="76"/>
      <c r="ASD46" s="76"/>
      <c r="ASE46" s="76"/>
      <c r="ASF46" s="76"/>
      <c r="ASG46" s="76"/>
      <c r="ASH46" s="76"/>
      <c r="ASI46" s="76"/>
      <c r="ASJ46" s="76"/>
      <c r="ASK46" s="76"/>
      <c r="ASL46" s="76"/>
      <c r="ASM46" s="76"/>
      <c r="ASN46" s="76"/>
      <c r="ASO46" s="76"/>
      <c r="ASP46" s="76"/>
      <c r="ASQ46" s="76"/>
      <c r="ASR46" s="76"/>
      <c r="ASS46" s="76"/>
      <c r="AST46" s="76"/>
      <c r="ASU46" s="76"/>
      <c r="ASV46" s="76"/>
      <c r="ASW46" s="76"/>
      <c r="ASX46" s="76"/>
      <c r="ASY46" s="76"/>
      <c r="ASZ46" s="76"/>
      <c r="ATA46" s="76"/>
      <c r="ATB46" s="76"/>
      <c r="ATC46" s="76"/>
      <c r="ATD46" s="76"/>
      <c r="ATE46" s="76"/>
      <c r="ATF46" s="76"/>
      <c r="ATG46" s="76"/>
      <c r="ATH46" s="76"/>
      <c r="ATI46" s="76"/>
      <c r="ATJ46" s="76"/>
      <c r="ATK46" s="76"/>
      <c r="ATL46" s="76"/>
      <c r="ATM46" s="76"/>
      <c r="ATN46" s="76"/>
      <c r="ATO46" s="76"/>
      <c r="ATP46" s="76"/>
      <c r="ATQ46" s="76"/>
      <c r="ATR46" s="76"/>
      <c r="ATS46" s="76"/>
      <c r="ATT46" s="76"/>
      <c r="ATU46" s="76"/>
      <c r="ATV46" s="76"/>
      <c r="ATW46" s="76"/>
      <c r="ATX46" s="76"/>
      <c r="ATY46" s="76"/>
      <c r="ATZ46" s="76"/>
      <c r="AUA46" s="76"/>
      <c r="AUB46" s="76"/>
      <c r="AUC46" s="76"/>
      <c r="AUD46" s="76"/>
      <c r="AUE46" s="76"/>
      <c r="AUF46" s="76"/>
      <c r="AUG46" s="76"/>
      <c r="AUH46" s="76"/>
      <c r="AUI46" s="76"/>
      <c r="AUJ46" s="76"/>
      <c r="AUK46" s="76"/>
      <c r="AUL46" s="76"/>
      <c r="AUM46" s="76"/>
      <c r="AUN46" s="76"/>
      <c r="AUO46" s="76"/>
      <c r="AUP46" s="76"/>
      <c r="AUQ46" s="76"/>
      <c r="AUR46" s="76"/>
      <c r="AUS46" s="76"/>
      <c r="AUT46" s="76"/>
      <c r="AUU46" s="76"/>
      <c r="AUV46" s="76"/>
      <c r="AUW46" s="76"/>
      <c r="AUX46" s="76"/>
      <c r="AUY46" s="76"/>
      <c r="AUZ46" s="76"/>
      <c r="AVA46" s="76"/>
      <c r="AVB46" s="76"/>
      <c r="AVC46" s="76"/>
      <c r="AVD46" s="76"/>
      <c r="AVE46" s="76"/>
      <c r="AVF46" s="76"/>
      <c r="AVG46" s="76"/>
      <c r="AVH46" s="76"/>
      <c r="AVI46" s="76"/>
      <c r="AVJ46" s="76"/>
      <c r="AVK46" s="76"/>
      <c r="AVL46" s="76"/>
      <c r="AVM46" s="76"/>
      <c r="AVN46" s="76"/>
      <c r="AVO46" s="76"/>
      <c r="AVP46" s="76"/>
      <c r="AVQ46" s="76"/>
      <c r="AVR46" s="76"/>
      <c r="AVS46" s="76"/>
      <c r="AVT46" s="76"/>
      <c r="AVU46" s="76"/>
      <c r="AVV46" s="76"/>
      <c r="AVW46" s="76"/>
      <c r="AVX46" s="76"/>
      <c r="AVY46" s="76"/>
      <c r="AVZ46" s="76"/>
      <c r="AWA46" s="76"/>
      <c r="AWB46" s="76"/>
      <c r="AWC46" s="76"/>
      <c r="AWD46" s="76"/>
      <c r="AWE46" s="76"/>
      <c r="AWF46" s="76"/>
      <c r="AWG46" s="76"/>
      <c r="AWH46" s="76"/>
      <c r="AWI46" s="76"/>
      <c r="AWJ46" s="76"/>
      <c r="AWK46" s="76"/>
      <c r="AWL46" s="76"/>
      <c r="AWM46" s="76"/>
      <c r="AWN46" s="76"/>
      <c r="AWO46" s="76"/>
      <c r="AWP46" s="76"/>
      <c r="AWQ46" s="76"/>
      <c r="AWR46" s="76"/>
      <c r="AWS46" s="76"/>
      <c r="AWT46" s="76"/>
      <c r="AWU46" s="76"/>
      <c r="AWV46" s="76"/>
      <c r="AWW46" s="76"/>
      <c r="AWX46" s="76"/>
      <c r="AWY46" s="76"/>
      <c r="AWZ46" s="76"/>
      <c r="AXA46" s="76"/>
      <c r="AXB46" s="76"/>
      <c r="AXC46" s="76"/>
      <c r="AXD46" s="76"/>
      <c r="AXE46" s="76"/>
      <c r="AXF46" s="76"/>
      <c r="AXG46" s="76"/>
      <c r="AXH46" s="76"/>
      <c r="AXI46" s="76"/>
      <c r="AXJ46" s="76"/>
      <c r="AXK46" s="76"/>
      <c r="AXL46" s="76"/>
      <c r="AXM46" s="76"/>
      <c r="AXN46" s="76"/>
      <c r="AXO46" s="76"/>
      <c r="AXP46" s="76"/>
      <c r="AXQ46" s="76"/>
      <c r="AXR46" s="76"/>
      <c r="AXS46" s="76"/>
      <c r="AXT46" s="76"/>
      <c r="AXU46" s="76"/>
      <c r="AXV46" s="76"/>
      <c r="AXW46" s="76"/>
      <c r="AXX46" s="76"/>
      <c r="AXY46" s="76"/>
      <c r="AXZ46" s="76"/>
      <c r="AYA46" s="76"/>
      <c r="AYB46" s="76"/>
      <c r="AYC46" s="76"/>
      <c r="AYD46" s="76"/>
      <c r="AYE46" s="76"/>
      <c r="AYF46" s="76"/>
      <c r="AYG46" s="76"/>
      <c r="AYH46" s="76"/>
      <c r="AYI46" s="76"/>
      <c r="AYJ46" s="76"/>
      <c r="AYK46" s="76"/>
      <c r="AYL46" s="76"/>
      <c r="AYM46" s="76"/>
      <c r="AYN46" s="76"/>
      <c r="AYO46" s="76"/>
      <c r="AYP46" s="76"/>
      <c r="AYQ46" s="76"/>
      <c r="AYR46" s="76"/>
      <c r="AYS46" s="76"/>
      <c r="AYT46" s="76"/>
      <c r="AYU46" s="76"/>
      <c r="AYV46" s="76"/>
      <c r="AYW46" s="76"/>
      <c r="AYX46" s="76"/>
      <c r="AYY46" s="76"/>
      <c r="AYZ46" s="76"/>
      <c r="AZA46" s="76"/>
      <c r="AZB46" s="76"/>
      <c r="AZC46" s="76"/>
      <c r="AZD46" s="76"/>
      <c r="AZE46" s="76"/>
      <c r="AZF46" s="76"/>
      <c r="AZG46" s="76"/>
      <c r="AZH46" s="76"/>
      <c r="AZI46" s="76"/>
      <c r="AZJ46" s="76"/>
      <c r="AZK46" s="76"/>
      <c r="AZL46" s="76"/>
      <c r="AZM46" s="76"/>
      <c r="AZN46" s="76"/>
      <c r="AZO46" s="76"/>
      <c r="AZP46" s="76"/>
      <c r="AZQ46" s="76"/>
      <c r="AZR46" s="76"/>
      <c r="AZS46" s="76"/>
      <c r="AZT46" s="76"/>
      <c r="AZU46" s="76"/>
      <c r="AZV46" s="76"/>
      <c r="AZW46" s="76"/>
      <c r="AZX46" s="76"/>
      <c r="AZY46" s="76"/>
      <c r="AZZ46" s="76"/>
      <c r="BAA46" s="76"/>
      <c r="BAB46" s="76"/>
      <c r="BAC46" s="76"/>
      <c r="BAD46" s="76"/>
      <c r="BAE46" s="76"/>
      <c r="BAF46" s="76"/>
      <c r="BAG46" s="76"/>
      <c r="BAH46" s="76"/>
      <c r="BAI46" s="76"/>
      <c r="BAJ46" s="76"/>
      <c r="BAK46" s="76"/>
      <c r="BAL46" s="76"/>
      <c r="BAM46" s="76"/>
      <c r="BAN46" s="76"/>
      <c r="BAO46" s="76"/>
      <c r="BAP46" s="76"/>
      <c r="BAQ46" s="76"/>
      <c r="BAR46" s="76"/>
      <c r="BAS46" s="76"/>
      <c r="BAT46" s="76"/>
      <c r="BAU46" s="76"/>
      <c r="BAV46" s="76"/>
      <c r="BAW46" s="76"/>
      <c r="BAX46" s="76"/>
      <c r="BAY46" s="76"/>
      <c r="BAZ46" s="76"/>
      <c r="BBA46" s="76"/>
      <c r="BBB46" s="76"/>
      <c r="BBC46" s="76"/>
      <c r="BBD46" s="76"/>
      <c r="BBE46" s="76"/>
      <c r="BBF46" s="76"/>
      <c r="BBG46" s="76"/>
      <c r="BBH46" s="76"/>
      <c r="BBI46" s="76"/>
      <c r="BBJ46" s="76"/>
      <c r="BBK46" s="76"/>
      <c r="BBL46" s="76"/>
      <c r="BBM46" s="76"/>
      <c r="BBN46" s="76"/>
      <c r="BBO46" s="76"/>
      <c r="BBP46" s="76"/>
      <c r="BBQ46" s="76"/>
      <c r="BBR46" s="76"/>
      <c r="BBS46" s="76"/>
      <c r="BBT46" s="76"/>
      <c r="BBU46" s="76"/>
      <c r="BBV46" s="76"/>
      <c r="BBW46" s="76"/>
      <c r="BBX46" s="76"/>
      <c r="BBY46" s="76"/>
      <c r="BBZ46" s="76"/>
      <c r="BCA46" s="76"/>
      <c r="BCB46" s="76"/>
      <c r="BCC46" s="76"/>
      <c r="BCD46" s="76"/>
      <c r="BCE46" s="76"/>
      <c r="BCF46" s="76"/>
      <c r="BCG46" s="76"/>
      <c r="BCH46" s="76"/>
      <c r="BCI46" s="76"/>
      <c r="BCJ46" s="76"/>
      <c r="BCK46" s="76"/>
      <c r="BCL46" s="76"/>
      <c r="BCM46" s="76"/>
      <c r="BCN46" s="76"/>
      <c r="BCO46" s="76"/>
      <c r="BCP46" s="76"/>
      <c r="BCQ46" s="76"/>
      <c r="BCR46" s="76"/>
      <c r="BCS46" s="76"/>
      <c r="BCT46" s="76"/>
      <c r="BCU46" s="76"/>
      <c r="BCV46" s="76"/>
      <c r="BCW46" s="76"/>
      <c r="BCX46" s="76"/>
      <c r="BCY46" s="76"/>
      <c r="BCZ46" s="76"/>
      <c r="BDA46" s="76"/>
      <c r="BDB46" s="76"/>
      <c r="BDC46" s="76"/>
      <c r="BDD46" s="76"/>
      <c r="BDE46" s="76"/>
      <c r="BDF46" s="76"/>
      <c r="BDG46" s="76"/>
      <c r="BDH46" s="76"/>
      <c r="BDI46" s="76"/>
      <c r="BDJ46" s="76"/>
      <c r="BDK46" s="76"/>
      <c r="BDL46" s="76"/>
      <c r="BDM46" s="76"/>
      <c r="BDN46" s="76"/>
      <c r="BDO46" s="76"/>
      <c r="BDP46" s="76"/>
      <c r="BDQ46" s="76"/>
      <c r="BDR46" s="76"/>
      <c r="BDS46" s="76"/>
      <c r="BDT46" s="76"/>
      <c r="BDU46" s="76"/>
      <c r="BDV46" s="76"/>
      <c r="BDW46" s="76"/>
      <c r="BDX46" s="76"/>
      <c r="BDY46" s="76"/>
      <c r="BDZ46" s="76"/>
      <c r="BEA46" s="76"/>
      <c r="BEB46" s="76"/>
      <c r="BEC46" s="76"/>
      <c r="BED46" s="76"/>
      <c r="BEE46" s="76"/>
      <c r="BEF46" s="76"/>
      <c r="BEG46" s="76"/>
      <c r="BEH46" s="76"/>
      <c r="BEI46" s="76"/>
      <c r="BEJ46" s="76"/>
      <c r="BEK46" s="76"/>
      <c r="BEL46" s="76"/>
      <c r="BEM46" s="76"/>
      <c r="BEN46" s="76"/>
      <c r="BEO46" s="76"/>
      <c r="BEP46" s="76"/>
      <c r="BEQ46" s="76"/>
      <c r="BER46" s="76"/>
      <c r="BES46" s="76"/>
      <c r="BET46" s="76"/>
      <c r="BEU46" s="76"/>
      <c r="BEV46" s="76"/>
      <c r="BEW46" s="76"/>
      <c r="BEX46" s="76"/>
      <c r="BEY46" s="76"/>
      <c r="BEZ46" s="76"/>
      <c r="BFA46" s="76"/>
      <c r="BFB46" s="76"/>
      <c r="BFC46" s="76"/>
      <c r="BFD46" s="76"/>
      <c r="BFE46" s="76"/>
      <c r="BFF46" s="76"/>
      <c r="BFG46" s="76"/>
      <c r="BFH46" s="76"/>
      <c r="BFI46" s="76"/>
      <c r="BFJ46" s="76"/>
      <c r="BFK46" s="76"/>
      <c r="BFL46" s="76"/>
      <c r="BFM46" s="76"/>
      <c r="BFN46" s="76"/>
      <c r="BFO46" s="76"/>
      <c r="BFP46" s="76"/>
      <c r="BFQ46" s="76"/>
      <c r="BFR46" s="76"/>
      <c r="BFS46" s="76"/>
      <c r="BFT46" s="76"/>
      <c r="BFU46" s="76"/>
      <c r="BFV46" s="76"/>
      <c r="BFW46" s="76"/>
      <c r="BFX46" s="76"/>
      <c r="BFY46" s="76"/>
      <c r="BFZ46" s="76"/>
      <c r="BGA46" s="76"/>
      <c r="BGB46" s="76"/>
      <c r="BGC46" s="76"/>
      <c r="BGD46" s="76"/>
      <c r="BGE46" s="76"/>
      <c r="BGF46" s="76"/>
      <c r="BGG46" s="76"/>
      <c r="BGH46" s="76"/>
      <c r="BGI46" s="76"/>
      <c r="BGJ46" s="76"/>
      <c r="BGK46" s="76"/>
      <c r="BGL46" s="76"/>
      <c r="BGM46" s="76"/>
      <c r="BGN46" s="76"/>
      <c r="BGO46" s="76"/>
      <c r="BGP46" s="76"/>
      <c r="BGQ46" s="76"/>
      <c r="BGR46" s="76"/>
      <c r="BGS46" s="76"/>
      <c r="BGT46" s="76"/>
      <c r="BGU46" s="76"/>
      <c r="BGV46" s="76"/>
      <c r="BGW46" s="76"/>
      <c r="BGX46" s="76"/>
      <c r="BGY46" s="76"/>
      <c r="BGZ46" s="76"/>
      <c r="BHA46" s="76"/>
      <c r="BHB46" s="76"/>
      <c r="BHC46" s="76"/>
      <c r="BHD46" s="76"/>
      <c r="BHE46" s="76"/>
      <c r="BHF46" s="76"/>
      <c r="BHG46" s="76"/>
      <c r="BHH46" s="76"/>
      <c r="BHI46" s="76"/>
      <c r="BHJ46" s="76"/>
      <c r="BHK46" s="76"/>
      <c r="BHL46" s="76"/>
      <c r="BHM46" s="76"/>
      <c r="BHN46" s="76"/>
      <c r="BHO46" s="76"/>
      <c r="BHP46" s="76"/>
      <c r="BHQ46" s="76"/>
      <c r="BHR46" s="76"/>
      <c r="BHS46" s="76"/>
      <c r="BHT46" s="76"/>
      <c r="BHU46" s="76"/>
      <c r="BHV46" s="76"/>
      <c r="BHW46" s="76"/>
      <c r="BHX46" s="76"/>
      <c r="BHY46" s="76"/>
      <c r="BHZ46" s="76"/>
      <c r="BIA46" s="76"/>
      <c r="BIB46" s="76"/>
      <c r="BIC46" s="76"/>
      <c r="BID46" s="76"/>
      <c r="BIE46" s="76"/>
      <c r="BIF46" s="76"/>
      <c r="BIG46" s="76"/>
      <c r="BIH46" s="76"/>
      <c r="BII46" s="76"/>
      <c r="BIJ46" s="76"/>
      <c r="BIK46" s="76"/>
      <c r="BIL46" s="76"/>
      <c r="BIM46" s="76"/>
      <c r="BIN46" s="76"/>
      <c r="BIO46" s="76"/>
      <c r="BIP46" s="76"/>
      <c r="BIQ46" s="76"/>
      <c r="BIR46" s="76"/>
      <c r="BIS46" s="76"/>
      <c r="BIT46" s="76"/>
      <c r="BIU46" s="76"/>
      <c r="BIV46" s="76"/>
      <c r="BIW46" s="76"/>
      <c r="BIX46" s="76"/>
      <c r="BIY46" s="76"/>
      <c r="BIZ46" s="76"/>
      <c r="BJA46" s="76"/>
      <c r="BJB46" s="76"/>
      <c r="BJC46" s="76"/>
      <c r="BJD46" s="76"/>
      <c r="BJE46" s="76"/>
      <c r="BJF46" s="76"/>
      <c r="BJG46" s="76"/>
      <c r="BJH46" s="76"/>
      <c r="BJI46" s="76"/>
      <c r="BJJ46" s="76"/>
      <c r="BJK46" s="76"/>
      <c r="BJL46" s="76"/>
      <c r="BJM46" s="76"/>
      <c r="BJN46" s="76"/>
      <c r="BJO46" s="76"/>
      <c r="BJP46" s="76"/>
      <c r="BJQ46" s="76"/>
      <c r="BJR46" s="76"/>
      <c r="BJS46" s="76"/>
      <c r="BJT46" s="76"/>
      <c r="BJU46" s="76"/>
      <c r="BJV46" s="76"/>
      <c r="BJW46" s="76"/>
      <c r="BJX46" s="76"/>
      <c r="BJY46" s="76"/>
      <c r="BJZ46" s="76"/>
      <c r="BKA46" s="76"/>
      <c r="BKB46" s="76"/>
      <c r="BKC46" s="76"/>
      <c r="BKD46" s="76"/>
      <c r="BKE46" s="76"/>
      <c r="BKF46" s="76"/>
      <c r="BKG46" s="76"/>
      <c r="BKH46" s="76"/>
      <c r="BKI46" s="76"/>
      <c r="BKJ46" s="76"/>
      <c r="BKK46" s="76"/>
      <c r="BKL46" s="76"/>
      <c r="BKM46" s="76"/>
      <c r="BKN46" s="76"/>
      <c r="BKO46" s="76"/>
      <c r="BKP46" s="76"/>
      <c r="BKQ46" s="76"/>
      <c r="BKR46" s="76"/>
      <c r="BKS46" s="76"/>
      <c r="BKT46" s="76"/>
      <c r="BKU46" s="76"/>
      <c r="BKV46" s="76"/>
      <c r="BKW46" s="76"/>
      <c r="BKX46" s="76"/>
      <c r="BKY46" s="76"/>
      <c r="BKZ46" s="76"/>
      <c r="BLA46" s="76"/>
      <c r="BLB46" s="76"/>
      <c r="BLC46" s="76"/>
      <c r="BLD46" s="76"/>
      <c r="BLE46" s="76"/>
      <c r="BLF46" s="76"/>
      <c r="BLG46" s="76"/>
      <c r="BLH46" s="76"/>
      <c r="BLI46" s="76"/>
      <c r="BLJ46" s="76"/>
      <c r="BLK46" s="76"/>
      <c r="BLL46" s="76"/>
      <c r="BLM46" s="76"/>
      <c r="BLN46" s="76"/>
      <c r="BLO46" s="76"/>
      <c r="BLP46" s="76"/>
      <c r="BLQ46" s="76"/>
      <c r="BLR46" s="76"/>
      <c r="BLS46" s="76"/>
      <c r="BLT46" s="76"/>
      <c r="BLU46" s="76"/>
      <c r="BLV46" s="76"/>
      <c r="BLW46" s="76"/>
      <c r="BLX46" s="76"/>
      <c r="BLY46" s="76"/>
      <c r="BLZ46" s="76"/>
      <c r="BMA46" s="76"/>
      <c r="BMB46" s="76"/>
      <c r="BMC46" s="76"/>
      <c r="BMD46" s="76"/>
      <c r="BME46" s="76"/>
      <c r="BMF46" s="76"/>
      <c r="BMG46" s="76"/>
      <c r="BMH46" s="76"/>
      <c r="BMI46" s="76"/>
      <c r="BMJ46" s="76"/>
      <c r="BMK46" s="76"/>
      <c r="BML46" s="76"/>
      <c r="BMM46" s="76"/>
      <c r="BMN46" s="76"/>
      <c r="BMO46" s="76"/>
      <c r="BMP46" s="76"/>
      <c r="BMQ46" s="76"/>
      <c r="BMR46" s="76"/>
      <c r="BMS46" s="76"/>
      <c r="BMT46" s="76"/>
      <c r="BMU46" s="76"/>
      <c r="BMV46" s="76"/>
      <c r="BMW46" s="76"/>
      <c r="BMX46" s="76"/>
      <c r="BMY46" s="76"/>
      <c r="BMZ46" s="76"/>
      <c r="BNA46" s="76"/>
      <c r="BNB46" s="76"/>
      <c r="BNC46" s="76"/>
      <c r="BND46" s="76"/>
      <c r="BNE46" s="76"/>
      <c r="BNF46" s="76"/>
      <c r="BNG46" s="76"/>
      <c r="BNH46" s="76"/>
      <c r="BNI46" s="76"/>
      <c r="BNJ46" s="76"/>
      <c r="BNK46" s="76"/>
      <c r="BNL46" s="76"/>
      <c r="BNM46" s="76"/>
      <c r="BNN46" s="76"/>
      <c r="BNO46" s="76"/>
      <c r="BNP46" s="76"/>
      <c r="BNQ46" s="76"/>
      <c r="BNR46" s="76"/>
      <c r="BNS46" s="76"/>
      <c r="BNT46" s="76"/>
      <c r="BNU46" s="76"/>
      <c r="BNV46" s="76"/>
      <c r="BNW46" s="76"/>
      <c r="BNX46" s="76"/>
      <c r="BNY46" s="76"/>
      <c r="BNZ46" s="76"/>
      <c r="BOA46" s="76"/>
      <c r="BOB46" s="76"/>
      <c r="BOC46" s="76"/>
      <c r="BOD46" s="76"/>
      <c r="BOE46" s="76"/>
      <c r="BOF46" s="76"/>
      <c r="BOG46" s="76"/>
      <c r="BOH46" s="76"/>
      <c r="BOI46" s="76"/>
      <c r="BOJ46" s="76"/>
      <c r="BOK46" s="76"/>
      <c r="BOL46" s="76"/>
      <c r="BOM46" s="76"/>
      <c r="BON46" s="76"/>
      <c r="BOO46" s="76"/>
      <c r="BOP46" s="76"/>
      <c r="BOQ46" s="76"/>
      <c r="BOR46" s="76"/>
      <c r="BOS46" s="76"/>
      <c r="BOT46" s="76"/>
      <c r="BOU46" s="76"/>
      <c r="BOV46" s="76"/>
      <c r="BOW46" s="76"/>
      <c r="BOX46" s="76"/>
      <c r="BOY46" s="76"/>
      <c r="BOZ46" s="76"/>
      <c r="BPA46" s="76"/>
      <c r="BPB46" s="76"/>
      <c r="BPC46" s="76"/>
      <c r="BPD46" s="76"/>
      <c r="BPE46" s="76"/>
      <c r="BPF46" s="76"/>
      <c r="BPG46" s="76"/>
      <c r="BPH46" s="76"/>
      <c r="BPI46" s="76"/>
      <c r="BPJ46" s="76"/>
      <c r="BPK46" s="76"/>
      <c r="BPL46" s="76"/>
      <c r="BPM46" s="76"/>
      <c r="BPN46" s="76"/>
      <c r="BPO46" s="76"/>
      <c r="BPP46" s="76"/>
      <c r="BPQ46" s="76"/>
      <c r="BPR46" s="76"/>
      <c r="BPS46" s="76"/>
      <c r="BPT46" s="76"/>
      <c r="BPU46" s="76"/>
      <c r="BPV46" s="76"/>
      <c r="BPW46" s="76"/>
      <c r="BPX46" s="76"/>
      <c r="BPY46" s="76"/>
      <c r="BPZ46" s="76"/>
      <c r="BQA46" s="76"/>
      <c r="BQB46" s="76"/>
      <c r="BQC46" s="76"/>
      <c r="BQD46" s="76"/>
      <c r="BQE46" s="76"/>
      <c r="BQF46" s="76"/>
      <c r="BQG46" s="76"/>
      <c r="BQH46" s="76"/>
      <c r="BQI46" s="76"/>
      <c r="BQJ46" s="76"/>
      <c r="BQK46" s="76"/>
      <c r="BQL46" s="76"/>
      <c r="BQM46" s="76"/>
      <c r="BQN46" s="76"/>
      <c r="BQO46" s="76"/>
      <c r="BQP46" s="76"/>
      <c r="BQQ46" s="76"/>
      <c r="BQR46" s="76"/>
      <c r="BQS46" s="76"/>
      <c r="BQT46" s="76"/>
      <c r="BQU46" s="76"/>
      <c r="BQV46" s="76"/>
      <c r="BQW46" s="76"/>
      <c r="BQX46" s="76"/>
      <c r="BQY46" s="76"/>
      <c r="BQZ46" s="76"/>
      <c r="BRA46" s="76"/>
      <c r="BRB46" s="76"/>
      <c r="BRC46" s="76"/>
      <c r="BRD46" s="76"/>
      <c r="BRE46" s="76"/>
      <c r="BRF46" s="76"/>
      <c r="BRG46" s="76"/>
      <c r="BRH46" s="76"/>
      <c r="BRI46" s="76"/>
      <c r="BRJ46" s="76"/>
      <c r="BRK46" s="76"/>
      <c r="BRL46" s="76"/>
      <c r="BRM46" s="76"/>
      <c r="BRN46" s="76"/>
      <c r="BRO46" s="76"/>
      <c r="BRP46" s="76"/>
      <c r="BRQ46" s="76"/>
      <c r="BRR46" s="76"/>
      <c r="BRS46" s="76"/>
      <c r="BRT46" s="76"/>
      <c r="BRU46" s="76"/>
      <c r="BRV46" s="76"/>
      <c r="BRW46" s="76"/>
      <c r="BRX46" s="76"/>
      <c r="BRY46" s="76"/>
      <c r="BRZ46" s="76"/>
      <c r="BSA46" s="76"/>
      <c r="BSB46" s="76"/>
      <c r="BSC46" s="76"/>
      <c r="BSD46" s="76"/>
      <c r="BSE46" s="76"/>
      <c r="BSF46" s="76"/>
      <c r="BSG46" s="76"/>
      <c r="BSH46" s="76"/>
      <c r="BSI46" s="76"/>
      <c r="BSJ46" s="76"/>
      <c r="BSK46" s="76"/>
      <c r="BSL46" s="76"/>
      <c r="BSM46" s="76"/>
      <c r="BSN46" s="76"/>
      <c r="BSO46" s="76"/>
      <c r="BSP46" s="76"/>
      <c r="BSQ46" s="76"/>
      <c r="BSR46" s="76"/>
      <c r="BSS46" s="76"/>
      <c r="BST46" s="76"/>
      <c r="BSU46" s="76"/>
      <c r="BSV46" s="76"/>
      <c r="BSW46" s="76"/>
      <c r="BSX46" s="76"/>
      <c r="BSY46" s="76"/>
      <c r="BSZ46" s="76"/>
      <c r="BTA46" s="76"/>
      <c r="BTB46" s="76"/>
      <c r="BTC46" s="76"/>
      <c r="BTD46" s="76"/>
      <c r="BTE46" s="76"/>
      <c r="BTF46" s="76"/>
      <c r="BTG46" s="76"/>
      <c r="BTH46" s="76"/>
      <c r="BTI46" s="76"/>
      <c r="BTJ46" s="76"/>
      <c r="BTK46" s="76"/>
      <c r="BTL46" s="76"/>
      <c r="BTM46" s="76"/>
      <c r="BTN46" s="76"/>
      <c r="BTO46" s="76"/>
      <c r="BTP46" s="76"/>
      <c r="BTQ46" s="76"/>
      <c r="BTR46" s="76"/>
      <c r="BTS46" s="76"/>
      <c r="BTT46" s="76"/>
      <c r="BTU46" s="76"/>
      <c r="BTV46" s="76"/>
      <c r="BTW46" s="76"/>
      <c r="BTX46" s="76"/>
      <c r="BTY46" s="76"/>
      <c r="BTZ46" s="76"/>
      <c r="BUA46" s="76"/>
      <c r="BUB46" s="76"/>
      <c r="BUC46" s="76"/>
      <c r="BUD46" s="76"/>
      <c r="BUE46" s="76"/>
      <c r="BUF46" s="76"/>
      <c r="BUG46" s="76"/>
      <c r="BUH46" s="76"/>
      <c r="BUI46" s="76"/>
      <c r="BUJ46" s="76"/>
      <c r="BUK46" s="76"/>
      <c r="BUL46" s="76"/>
      <c r="BUM46" s="76"/>
      <c r="BUN46" s="76"/>
      <c r="BUO46" s="76"/>
      <c r="BUP46" s="76"/>
      <c r="BUQ46" s="76"/>
      <c r="BUR46" s="76"/>
      <c r="BUS46" s="76"/>
      <c r="BUT46" s="76"/>
      <c r="BUU46" s="76"/>
      <c r="BUV46" s="76"/>
      <c r="BUW46" s="76"/>
      <c r="BUX46" s="76"/>
      <c r="BUY46" s="76"/>
      <c r="BUZ46" s="76"/>
      <c r="BVA46" s="76"/>
      <c r="BVB46" s="76"/>
      <c r="BVC46" s="76"/>
      <c r="BVD46" s="76"/>
      <c r="BVE46" s="76"/>
      <c r="BVF46" s="76"/>
      <c r="BVG46" s="76"/>
      <c r="BVH46" s="76"/>
      <c r="BVI46" s="76"/>
      <c r="BVJ46" s="76"/>
      <c r="BVK46" s="76"/>
      <c r="BVL46" s="76"/>
      <c r="BVM46" s="76"/>
      <c r="BVN46" s="76"/>
      <c r="BVO46" s="76"/>
      <c r="BVP46" s="76"/>
      <c r="BVQ46" s="76"/>
      <c r="BVR46" s="76"/>
      <c r="BVS46" s="76"/>
      <c r="BVT46" s="76"/>
      <c r="BVU46" s="76"/>
      <c r="BVV46" s="76"/>
      <c r="BVW46" s="76"/>
      <c r="BVX46" s="76"/>
      <c r="BVY46" s="76"/>
      <c r="BVZ46" s="76"/>
      <c r="BWA46" s="76"/>
      <c r="BWB46" s="76"/>
      <c r="BWC46" s="76"/>
      <c r="BWD46" s="76"/>
      <c r="BWE46" s="76"/>
      <c r="BWF46" s="76"/>
      <c r="BWG46" s="76"/>
      <c r="BWH46" s="76"/>
      <c r="BWI46" s="76"/>
      <c r="BWJ46" s="76"/>
      <c r="BWK46" s="76"/>
      <c r="BWL46" s="76"/>
      <c r="BWM46" s="76"/>
      <c r="BWN46" s="76"/>
      <c r="BWO46" s="76"/>
      <c r="BWP46" s="76"/>
      <c r="BWQ46" s="76"/>
      <c r="BWR46" s="76"/>
      <c r="BWS46" s="76"/>
      <c r="BWT46" s="76"/>
      <c r="BWU46" s="76"/>
      <c r="BWV46" s="76"/>
      <c r="BWW46" s="76"/>
      <c r="BWX46" s="76"/>
      <c r="BWY46" s="76"/>
      <c r="BWZ46" s="76"/>
      <c r="BXA46" s="76"/>
      <c r="BXB46" s="76"/>
      <c r="BXC46" s="76"/>
      <c r="BXD46" s="76"/>
      <c r="BXE46" s="76"/>
      <c r="BXF46" s="76"/>
      <c r="BXG46" s="76"/>
      <c r="BXH46" s="76"/>
      <c r="BXI46" s="76"/>
      <c r="BXJ46" s="76"/>
      <c r="BXK46" s="76"/>
      <c r="BXL46" s="76"/>
      <c r="BXM46" s="76"/>
      <c r="BXN46" s="76"/>
      <c r="BXO46" s="76"/>
      <c r="BXP46" s="76"/>
      <c r="BXQ46" s="76"/>
      <c r="BXR46" s="76"/>
      <c r="BXS46" s="76"/>
      <c r="BXT46" s="76"/>
      <c r="BXU46" s="76"/>
      <c r="BXV46" s="76"/>
      <c r="BXW46" s="76"/>
      <c r="BXX46" s="76"/>
      <c r="BXY46" s="76"/>
      <c r="BXZ46" s="76"/>
      <c r="BYA46" s="76"/>
      <c r="BYB46" s="76"/>
      <c r="BYC46" s="76"/>
      <c r="BYD46" s="76"/>
      <c r="BYE46" s="76"/>
      <c r="BYF46" s="76"/>
      <c r="BYG46" s="76"/>
      <c r="BYH46" s="76"/>
      <c r="BYI46" s="76"/>
      <c r="BYJ46" s="76"/>
      <c r="BYK46" s="76"/>
      <c r="BYL46" s="76"/>
      <c r="BYM46" s="76"/>
      <c r="BYN46" s="76"/>
      <c r="BYO46" s="76"/>
      <c r="BYP46" s="76"/>
      <c r="BYQ46" s="76"/>
      <c r="BYR46" s="76"/>
      <c r="BYS46" s="76"/>
      <c r="BYT46" s="76"/>
      <c r="BYU46" s="76"/>
      <c r="BYV46" s="76"/>
      <c r="BYW46" s="76"/>
      <c r="BYX46" s="76"/>
      <c r="BYY46" s="76"/>
      <c r="BYZ46" s="76"/>
      <c r="BZA46" s="76"/>
      <c r="BZB46" s="76"/>
      <c r="BZC46" s="76"/>
      <c r="BZD46" s="76"/>
      <c r="BZE46" s="76"/>
      <c r="BZF46" s="76"/>
      <c r="BZG46" s="76"/>
      <c r="BZH46" s="76"/>
      <c r="BZI46" s="76"/>
      <c r="BZJ46" s="76"/>
      <c r="BZK46" s="76"/>
      <c r="BZL46" s="76"/>
      <c r="BZM46" s="76"/>
      <c r="BZN46" s="76"/>
      <c r="BZO46" s="76"/>
      <c r="BZP46" s="76"/>
      <c r="BZQ46" s="76"/>
      <c r="BZR46" s="76"/>
      <c r="BZS46" s="76"/>
      <c r="BZT46" s="76"/>
      <c r="BZU46" s="76"/>
      <c r="BZV46" s="76"/>
      <c r="BZW46" s="76"/>
      <c r="BZX46" s="76"/>
      <c r="BZY46" s="76"/>
      <c r="BZZ46" s="76"/>
      <c r="CAA46" s="76"/>
      <c r="CAB46" s="76"/>
      <c r="CAC46" s="76"/>
      <c r="CAD46" s="76"/>
      <c r="CAE46" s="76"/>
      <c r="CAF46" s="76"/>
      <c r="CAG46" s="76"/>
      <c r="CAH46" s="76"/>
      <c r="CAI46" s="76"/>
      <c r="CAJ46" s="76"/>
      <c r="CAK46" s="76"/>
      <c r="CAL46" s="76"/>
      <c r="CAM46" s="76"/>
      <c r="CAN46" s="76"/>
      <c r="CAO46" s="76"/>
      <c r="CAP46" s="76"/>
      <c r="CAQ46" s="76"/>
      <c r="CAR46" s="76"/>
      <c r="CAS46" s="76"/>
      <c r="CAT46" s="76"/>
      <c r="CAU46" s="76"/>
      <c r="CAV46" s="76"/>
      <c r="CAW46" s="76"/>
      <c r="CAX46" s="76"/>
      <c r="CAY46" s="76"/>
      <c r="CAZ46" s="76"/>
      <c r="CBA46" s="76"/>
      <c r="CBB46" s="76"/>
      <c r="CBC46" s="76"/>
      <c r="CBD46" s="76"/>
      <c r="CBE46" s="76"/>
      <c r="CBF46" s="76"/>
      <c r="CBG46" s="76"/>
      <c r="CBH46" s="76"/>
      <c r="CBI46" s="76"/>
      <c r="CBJ46" s="76"/>
      <c r="CBK46" s="76"/>
      <c r="CBL46" s="76"/>
      <c r="CBM46" s="76"/>
      <c r="CBN46" s="76"/>
      <c r="CBO46" s="76"/>
      <c r="CBP46" s="76"/>
      <c r="CBQ46" s="76"/>
      <c r="CBR46" s="76"/>
      <c r="CBS46" s="76"/>
      <c r="CBT46" s="76"/>
      <c r="CBU46" s="76"/>
      <c r="CBV46" s="76"/>
      <c r="CBW46" s="76"/>
      <c r="CBX46" s="76"/>
      <c r="CBY46" s="76"/>
      <c r="CBZ46" s="76"/>
      <c r="CCA46" s="76"/>
      <c r="CCB46" s="76"/>
      <c r="CCC46" s="76"/>
      <c r="CCD46" s="76"/>
      <c r="CCE46" s="76"/>
      <c r="CCF46" s="76"/>
      <c r="CCG46" s="76"/>
      <c r="CCH46" s="76"/>
      <c r="CCI46" s="76"/>
      <c r="CCJ46" s="76"/>
      <c r="CCK46" s="76"/>
      <c r="CCL46" s="76"/>
      <c r="CCM46" s="76"/>
      <c r="CCN46" s="76"/>
      <c r="CCO46" s="76"/>
      <c r="CCP46" s="76"/>
      <c r="CCQ46" s="76"/>
      <c r="CCR46" s="76"/>
      <c r="CCS46" s="76"/>
      <c r="CCT46" s="76"/>
      <c r="CCU46" s="76"/>
      <c r="CCV46" s="76"/>
      <c r="CCW46" s="76"/>
      <c r="CCX46" s="76"/>
      <c r="CCY46" s="76"/>
      <c r="CCZ46" s="76"/>
      <c r="CDA46" s="76"/>
      <c r="CDB46" s="76"/>
      <c r="CDC46" s="76"/>
      <c r="CDD46" s="76"/>
      <c r="CDE46" s="76"/>
      <c r="CDF46" s="76"/>
      <c r="CDG46" s="76"/>
      <c r="CDH46" s="76"/>
      <c r="CDI46" s="76"/>
      <c r="CDJ46" s="76"/>
      <c r="CDK46" s="76"/>
      <c r="CDL46" s="76"/>
      <c r="CDM46" s="76"/>
      <c r="CDN46" s="76"/>
      <c r="CDO46" s="76"/>
      <c r="CDP46" s="76"/>
      <c r="CDQ46" s="76"/>
      <c r="CDR46" s="76"/>
      <c r="CDS46" s="76"/>
      <c r="CDT46" s="76"/>
      <c r="CDU46" s="76"/>
      <c r="CDV46" s="76"/>
      <c r="CDW46" s="76"/>
      <c r="CDX46" s="76"/>
      <c r="CDY46" s="76"/>
      <c r="CDZ46" s="76"/>
      <c r="CEA46" s="76"/>
      <c r="CEB46" s="76"/>
      <c r="CEC46" s="76"/>
      <c r="CED46" s="76"/>
      <c r="CEE46" s="76"/>
      <c r="CEF46" s="76"/>
      <c r="CEG46" s="76"/>
      <c r="CEH46" s="76"/>
      <c r="CEI46" s="76"/>
      <c r="CEJ46" s="76"/>
      <c r="CEK46" s="76"/>
      <c r="CEL46" s="76"/>
      <c r="CEM46" s="76"/>
      <c r="CEN46" s="76"/>
      <c r="CEO46" s="76"/>
      <c r="CEP46" s="76"/>
      <c r="CEQ46" s="76"/>
      <c r="CER46" s="76"/>
      <c r="CES46" s="76"/>
      <c r="CET46" s="76"/>
      <c r="CEU46" s="76"/>
      <c r="CEV46" s="76"/>
      <c r="CEW46" s="76"/>
      <c r="CEX46" s="76"/>
      <c r="CEY46" s="76"/>
      <c r="CEZ46" s="76"/>
      <c r="CFA46" s="76"/>
      <c r="CFB46" s="76"/>
      <c r="CFC46" s="76"/>
      <c r="CFD46" s="76"/>
      <c r="CFE46" s="76"/>
      <c r="CFF46" s="76"/>
      <c r="CFG46" s="76"/>
      <c r="CFH46" s="76"/>
      <c r="CFI46" s="76"/>
      <c r="CFJ46" s="76"/>
      <c r="CFK46" s="76"/>
      <c r="CFL46" s="76"/>
      <c r="CFM46" s="76"/>
      <c r="CFN46" s="76"/>
      <c r="CFO46" s="76"/>
      <c r="CFP46" s="76"/>
      <c r="CFQ46" s="76"/>
      <c r="CFR46" s="76"/>
      <c r="CFS46" s="76"/>
      <c r="CFT46" s="76"/>
      <c r="CFU46" s="76"/>
      <c r="CFV46" s="76"/>
      <c r="CFW46" s="76"/>
      <c r="CFX46" s="76"/>
      <c r="CFY46" s="76"/>
      <c r="CFZ46" s="76"/>
      <c r="CGA46" s="76"/>
      <c r="CGB46" s="76"/>
      <c r="CGC46" s="76"/>
      <c r="CGD46" s="76"/>
      <c r="CGE46" s="76"/>
      <c r="CGF46" s="76"/>
      <c r="CGG46" s="76"/>
      <c r="CGH46" s="76"/>
      <c r="CGI46" s="76"/>
      <c r="CGJ46" s="76"/>
      <c r="CGK46" s="76"/>
      <c r="CGL46" s="76"/>
      <c r="CGM46" s="76"/>
      <c r="CGN46" s="76"/>
      <c r="CGO46" s="76"/>
      <c r="CGP46" s="76"/>
      <c r="CGQ46" s="76"/>
      <c r="CGR46" s="76"/>
      <c r="CGS46" s="76"/>
      <c r="CGT46" s="76"/>
      <c r="CGU46" s="76"/>
      <c r="CGV46" s="76"/>
      <c r="CGW46" s="76"/>
      <c r="CGX46" s="76"/>
      <c r="CGY46" s="76"/>
      <c r="CGZ46" s="76"/>
      <c r="CHA46" s="76"/>
      <c r="CHB46" s="76"/>
      <c r="CHC46" s="76"/>
      <c r="CHD46" s="76"/>
      <c r="CHE46" s="76"/>
      <c r="CHF46" s="76"/>
      <c r="CHG46" s="76"/>
      <c r="CHH46" s="76"/>
      <c r="CHI46" s="76"/>
      <c r="CHJ46" s="76"/>
      <c r="CHK46" s="76"/>
      <c r="CHL46" s="76"/>
      <c r="CHM46" s="76"/>
      <c r="CHN46" s="76"/>
      <c r="CHO46" s="76"/>
      <c r="CHP46" s="76"/>
      <c r="CHQ46" s="76"/>
      <c r="CHR46" s="76"/>
      <c r="CHS46" s="76"/>
      <c r="CHT46" s="76"/>
      <c r="CHU46" s="76"/>
      <c r="CHV46" s="76"/>
      <c r="CHW46" s="76"/>
      <c r="CHX46" s="76"/>
      <c r="CHY46" s="76"/>
      <c r="CHZ46" s="76"/>
      <c r="CIA46" s="76"/>
      <c r="CIB46" s="76"/>
      <c r="CIC46" s="76"/>
      <c r="CID46" s="76"/>
      <c r="CIE46" s="76"/>
      <c r="CIF46" s="76"/>
      <c r="CIG46" s="76"/>
      <c r="CIH46" s="76"/>
      <c r="CII46" s="76"/>
      <c r="CIJ46" s="76"/>
      <c r="CIK46" s="76"/>
      <c r="CIL46" s="76"/>
      <c r="CIM46" s="76"/>
      <c r="CIN46" s="76"/>
      <c r="CIO46" s="76"/>
      <c r="CIP46" s="76"/>
      <c r="CIQ46" s="76"/>
      <c r="CIR46" s="76"/>
      <c r="CIS46" s="76"/>
      <c r="CIT46" s="76"/>
      <c r="CIU46" s="76"/>
      <c r="CIV46" s="76"/>
      <c r="CIW46" s="76"/>
      <c r="CIX46" s="76"/>
      <c r="CIY46" s="76"/>
      <c r="CIZ46" s="76"/>
      <c r="CJA46" s="76"/>
      <c r="CJB46" s="76"/>
      <c r="CJC46" s="76"/>
      <c r="CJD46" s="76"/>
      <c r="CJE46" s="76"/>
      <c r="CJF46" s="76"/>
      <c r="CJG46" s="76"/>
      <c r="CJH46" s="76"/>
      <c r="CJI46" s="76"/>
      <c r="CJJ46" s="76"/>
      <c r="CJK46" s="76"/>
      <c r="CJL46" s="76"/>
      <c r="CJM46" s="76"/>
      <c r="CJN46" s="76"/>
      <c r="CJO46" s="76"/>
      <c r="CJP46" s="76"/>
      <c r="CJQ46" s="76"/>
      <c r="CJR46" s="76"/>
      <c r="CJS46" s="76"/>
      <c r="CJT46" s="76"/>
      <c r="CJU46" s="76"/>
      <c r="CJV46" s="76"/>
      <c r="CJW46" s="76"/>
      <c r="CJX46" s="76"/>
      <c r="CJY46" s="76"/>
      <c r="CJZ46" s="76"/>
      <c r="CKA46" s="76"/>
      <c r="CKB46" s="76"/>
      <c r="CKC46" s="76"/>
      <c r="CKD46" s="76"/>
      <c r="CKE46" s="76"/>
      <c r="CKF46" s="76"/>
      <c r="CKG46" s="76"/>
      <c r="CKH46" s="76"/>
      <c r="CKI46" s="76"/>
      <c r="CKJ46" s="76"/>
      <c r="CKK46" s="76"/>
      <c r="CKL46" s="76"/>
      <c r="CKM46" s="76"/>
      <c r="CKN46" s="76"/>
      <c r="CKO46" s="76"/>
      <c r="CKP46" s="76"/>
      <c r="CKQ46" s="76"/>
      <c r="CKR46" s="76"/>
      <c r="CKS46" s="76"/>
      <c r="CKT46" s="76"/>
      <c r="CKU46" s="76"/>
      <c r="CKV46" s="76"/>
      <c r="CKW46" s="76"/>
      <c r="CKX46" s="76"/>
      <c r="CKY46" s="76"/>
      <c r="CKZ46" s="76"/>
      <c r="CLA46" s="76"/>
      <c r="CLB46" s="76"/>
      <c r="CLC46" s="76"/>
      <c r="CLD46" s="76"/>
      <c r="CLE46" s="76"/>
      <c r="CLF46" s="76"/>
      <c r="CLG46" s="76"/>
      <c r="CLH46" s="76"/>
      <c r="CLI46" s="76"/>
      <c r="CLJ46" s="76"/>
      <c r="CLK46" s="76"/>
      <c r="CLL46" s="76"/>
      <c r="CLM46" s="76"/>
      <c r="CLN46" s="76"/>
      <c r="CLO46" s="76"/>
      <c r="CLP46" s="76"/>
      <c r="CLQ46" s="76"/>
      <c r="CLR46" s="76"/>
      <c r="CLS46" s="76"/>
      <c r="CLT46" s="76"/>
      <c r="CLU46" s="76"/>
      <c r="CLV46" s="76"/>
      <c r="CLW46" s="76"/>
      <c r="CLX46" s="76"/>
      <c r="CLY46" s="76"/>
      <c r="CLZ46" s="76"/>
      <c r="CMA46" s="76"/>
      <c r="CMB46" s="76"/>
      <c r="CMC46" s="76"/>
      <c r="CMD46" s="76"/>
      <c r="CME46" s="76"/>
      <c r="CMF46" s="76"/>
      <c r="CMG46" s="76"/>
      <c r="CMH46" s="76"/>
      <c r="CMI46" s="76"/>
      <c r="CMJ46" s="76"/>
      <c r="CMK46" s="76"/>
      <c r="CML46" s="76"/>
      <c r="CMM46" s="76"/>
      <c r="CMN46" s="76"/>
      <c r="CMO46" s="76"/>
      <c r="CMP46" s="76"/>
      <c r="CMQ46" s="76"/>
      <c r="CMR46" s="76"/>
      <c r="CMS46" s="76"/>
      <c r="CMT46" s="76"/>
      <c r="CMU46" s="76"/>
      <c r="CMV46" s="76"/>
      <c r="CMW46" s="76"/>
      <c r="CMX46" s="76"/>
      <c r="CMY46" s="76"/>
      <c r="CMZ46" s="76"/>
      <c r="CNA46" s="76"/>
      <c r="CNB46" s="76"/>
      <c r="CNC46" s="76"/>
      <c r="CND46" s="76"/>
      <c r="CNE46" s="76"/>
      <c r="CNF46" s="76"/>
      <c r="CNG46" s="76"/>
      <c r="CNH46" s="76"/>
      <c r="CNI46" s="76"/>
      <c r="CNJ46" s="76"/>
      <c r="CNK46" s="76"/>
      <c r="CNL46" s="76"/>
      <c r="CNM46" s="76"/>
      <c r="CNN46" s="76"/>
      <c r="CNO46" s="76"/>
      <c r="CNP46" s="76"/>
      <c r="CNQ46" s="76"/>
      <c r="CNR46" s="76"/>
      <c r="CNS46" s="76"/>
      <c r="CNT46" s="76"/>
      <c r="CNU46" s="76"/>
      <c r="CNV46" s="76"/>
      <c r="CNW46" s="76"/>
      <c r="CNX46" s="76"/>
      <c r="CNY46" s="76"/>
      <c r="CNZ46" s="76"/>
      <c r="COA46" s="76"/>
      <c r="COB46" s="76"/>
      <c r="COC46" s="76"/>
      <c r="COD46" s="76"/>
      <c r="COE46" s="76"/>
      <c r="COF46" s="76"/>
      <c r="COG46" s="76"/>
      <c r="COH46" s="76"/>
      <c r="COI46" s="76"/>
      <c r="COJ46" s="76"/>
      <c r="COK46" s="76"/>
      <c r="COL46" s="76"/>
      <c r="COM46" s="76"/>
      <c r="CON46" s="76"/>
      <c r="COO46" s="76"/>
      <c r="COP46" s="76"/>
      <c r="COQ46" s="76"/>
      <c r="COR46" s="76"/>
      <c r="COS46" s="76"/>
      <c r="COT46" s="76"/>
      <c r="COU46" s="76"/>
      <c r="COV46" s="76"/>
      <c r="COW46" s="76"/>
      <c r="COX46" s="76"/>
      <c r="COY46" s="76"/>
      <c r="COZ46" s="76"/>
      <c r="CPA46" s="76"/>
      <c r="CPB46" s="76"/>
      <c r="CPC46" s="76"/>
      <c r="CPD46" s="76"/>
      <c r="CPE46" s="76"/>
      <c r="CPF46" s="76"/>
      <c r="CPG46" s="76"/>
      <c r="CPH46" s="76"/>
      <c r="CPI46" s="76"/>
      <c r="CPJ46" s="76"/>
      <c r="CPK46" s="76"/>
      <c r="CPL46" s="76"/>
      <c r="CPM46" s="76"/>
      <c r="CPN46" s="76"/>
      <c r="CPO46" s="76"/>
      <c r="CPP46" s="76"/>
      <c r="CPQ46" s="76"/>
      <c r="CPR46" s="76"/>
      <c r="CPS46" s="76"/>
      <c r="CPT46" s="76"/>
      <c r="CPU46" s="76"/>
      <c r="CPV46" s="76"/>
      <c r="CPW46" s="76"/>
      <c r="CPX46" s="76"/>
      <c r="CPY46" s="76"/>
      <c r="CPZ46" s="76"/>
      <c r="CQA46" s="76"/>
      <c r="CQB46" s="76"/>
      <c r="CQC46" s="76"/>
      <c r="CQD46" s="76"/>
      <c r="CQE46" s="76"/>
      <c r="CQF46" s="76"/>
      <c r="CQG46" s="76"/>
      <c r="CQH46" s="76"/>
      <c r="CQI46" s="76"/>
      <c r="CQJ46" s="76"/>
      <c r="CQK46" s="76"/>
      <c r="CQL46" s="76"/>
      <c r="CQM46" s="76"/>
      <c r="CQN46" s="76"/>
      <c r="CQO46" s="76"/>
      <c r="CQP46" s="76"/>
      <c r="CQQ46" s="76"/>
      <c r="CQR46" s="76"/>
      <c r="CQS46" s="76"/>
      <c r="CQT46" s="76"/>
      <c r="CQU46" s="76"/>
      <c r="CQV46" s="76"/>
      <c r="CQW46" s="76"/>
      <c r="CQX46" s="76"/>
      <c r="CQY46" s="76"/>
      <c r="CQZ46" s="76"/>
      <c r="CRA46" s="76"/>
      <c r="CRB46" s="76"/>
      <c r="CRC46" s="76"/>
      <c r="CRD46" s="76"/>
      <c r="CRE46" s="76"/>
      <c r="CRF46" s="76"/>
      <c r="CRG46" s="76"/>
      <c r="CRH46" s="76"/>
      <c r="CRI46" s="76"/>
      <c r="CRJ46" s="76"/>
      <c r="CRK46" s="76"/>
      <c r="CRL46" s="76"/>
      <c r="CRM46" s="76"/>
      <c r="CRN46" s="76"/>
      <c r="CRO46" s="76"/>
      <c r="CRP46" s="76"/>
      <c r="CRQ46" s="76"/>
      <c r="CRR46" s="76"/>
      <c r="CRS46" s="76"/>
      <c r="CRT46" s="76"/>
      <c r="CRU46" s="76"/>
      <c r="CRV46" s="76"/>
      <c r="CRW46" s="76"/>
      <c r="CRX46" s="76"/>
      <c r="CRY46" s="76"/>
      <c r="CRZ46" s="76"/>
      <c r="CSA46" s="76"/>
      <c r="CSB46" s="76"/>
      <c r="CSC46" s="76"/>
      <c r="CSD46" s="76"/>
      <c r="CSE46" s="76"/>
      <c r="CSF46" s="76"/>
      <c r="CSG46" s="76"/>
      <c r="CSH46" s="76"/>
      <c r="CSI46" s="76"/>
      <c r="CSJ46" s="76"/>
      <c r="CSK46" s="76"/>
      <c r="CSL46" s="76"/>
      <c r="CSM46" s="76"/>
      <c r="CSN46" s="76"/>
      <c r="CSO46" s="76"/>
      <c r="CSP46" s="76"/>
      <c r="CSQ46" s="76"/>
      <c r="CSR46" s="76"/>
      <c r="CSS46" s="76"/>
      <c r="CST46" s="76"/>
      <c r="CSU46" s="76"/>
      <c r="CSV46" s="76"/>
      <c r="CSW46" s="76"/>
      <c r="CSX46" s="76"/>
      <c r="CSY46" s="76"/>
      <c r="CSZ46" s="76"/>
      <c r="CTA46" s="76"/>
      <c r="CTB46" s="76"/>
      <c r="CTC46" s="76"/>
      <c r="CTD46" s="76"/>
      <c r="CTE46" s="76"/>
      <c r="CTF46" s="76"/>
      <c r="CTG46" s="76"/>
      <c r="CTH46" s="76"/>
      <c r="CTI46" s="76"/>
      <c r="CTJ46" s="76"/>
      <c r="CTK46" s="76"/>
      <c r="CTL46" s="76"/>
      <c r="CTM46" s="76"/>
      <c r="CTN46" s="76"/>
      <c r="CTO46" s="76"/>
      <c r="CTP46" s="76"/>
      <c r="CTQ46" s="76"/>
      <c r="CTR46" s="76"/>
      <c r="CTS46" s="76"/>
      <c r="CTT46" s="76"/>
      <c r="CTU46" s="76"/>
      <c r="CTV46" s="76"/>
      <c r="CTW46" s="76"/>
      <c r="CTX46" s="76"/>
      <c r="CTY46" s="76"/>
      <c r="CTZ46" s="76"/>
      <c r="CUA46" s="76"/>
      <c r="CUB46" s="76"/>
      <c r="CUC46" s="76"/>
      <c r="CUD46" s="76"/>
      <c r="CUE46" s="76"/>
      <c r="CUF46" s="76"/>
      <c r="CUG46" s="76"/>
      <c r="CUH46" s="76"/>
      <c r="CUI46" s="76"/>
      <c r="CUJ46" s="76"/>
      <c r="CUK46" s="76"/>
      <c r="CUL46" s="76"/>
      <c r="CUM46" s="76"/>
      <c r="CUN46" s="76"/>
      <c r="CUO46" s="76"/>
      <c r="CUP46" s="76"/>
      <c r="CUQ46" s="76"/>
      <c r="CUR46" s="76"/>
      <c r="CUS46" s="76"/>
      <c r="CUT46" s="76"/>
      <c r="CUU46" s="76"/>
      <c r="CUV46" s="76"/>
      <c r="CUW46" s="76"/>
      <c r="CUX46" s="76"/>
      <c r="CUY46" s="76"/>
      <c r="CUZ46" s="76"/>
      <c r="CVA46" s="76"/>
      <c r="CVB46" s="76"/>
      <c r="CVC46" s="76"/>
      <c r="CVD46" s="76"/>
      <c r="CVE46" s="76"/>
      <c r="CVF46" s="76"/>
      <c r="CVG46" s="76"/>
      <c r="CVH46" s="76"/>
      <c r="CVI46" s="76"/>
      <c r="CVJ46" s="76"/>
      <c r="CVK46" s="76"/>
      <c r="CVL46" s="76"/>
      <c r="CVM46" s="76"/>
      <c r="CVN46" s="76"/>
      <c r="CVO46" s="76"/>
      <c r="CVP46" s="76"/>
      <c r="CVQ46" s="76"/>
      <c r="CVR46" s="76"/>
      <c r="CVS46" s="76"/>
      <c r="CVT46" s="76"/>
      <c r="CVU46" s="76"/>
      <c r="CVV46" s="76"/>
      <c r="CVW46" s="76"/>
      <c r="CVX46" s="76"/>
      <c r="CVY46" s="76"/>
      <c r="CVZ46" s="76"/>
      <c r="CWA46" s="76"/>
      <c r="CWB46" s="76"/>
      <c r="CWC46" s="76"/>
      <c r="CWD46" s="76"/>
      <c r="CWE46" s="76"/>
      <c r="CWF46" s="76"/>
      <c r="CWG46" s="76"/>
      <c r="CWH46" s="76"/>
      <c r="CWI46" s="76"/>
      <c r="CWJ46" s="76"/>
      <c r="CWK46" s="76"/>
      <c r="CWL46" s="76"/>
      <c r="CWM46" s="76"/>
      <c r="CWN46" s="76"/>
      <c r="CWO46" s="76"/>
      <c r="CWP46" s="76"/>
      <c r="CWQ46" s="76"/>
      <c r="CWR46" s="76"/>
      <c r="CWS46" s="76"/>
      <c r="CWT46" s="76"/>
      <c r="CWU46" s="76"/>
      <c r="CWV46" s="76"/>
      <c r="CWW46" s="76"/>
      <c r="CWX46" s="76"/>
      <c r="CWY46" s="76"/>
      <c r="CWZ46" s="76"/>
      <c r="CXA46" s="76"/>
      <c r="CXB46" s="76"/>
      <c r="CXC46" s="76"/>
      <c r="CXD46" s="76"/>
      <c r="CXE46" s="76"/>
      <c r="CXF46" s="76"/>
      <c r="CXG46" s="76"/>
      <c r="CXH46" s="76"/>
      <c r="CXI46" s="76"/>
      <c r="CXJ46" s="76"/>
      <c r="CXK46" s="76"/>
      <c r="CXL46" s="76"/>
      <c r="CXM46" s="76"/>
      <c r="CXN46" s="76"/>
      <c r="CXO46" s="76"/>
      <c r="CXP46" s="76"/>
      <c r="CXQ46" s="76"/>
      <c r="CXR46" s="76"/>
      <c r="CXS46" s="76"/>
      <c r="CXT46" s="76"/>
      <c r="CXU46" s="76"/>
      <c r="CXV46" s="76"/>
      <c r="CXW46" s="76"/>
      <c r="CXX46" s="76"/>
      <c r="CXY46" s="76"/>
      <c r="CXZ46" s="76"/>
      <c r="CYA46" s="76"/>
      <c r="CYB46" s="76"/>
      <c r="CYC46" s="76"/>
      <c r="CYD46" s="76"/>
      <c r="CYE46" s="76"/>
      <c r="CYF46" s="76"/>
      <c r="CYG46" s="76"/>
      <c r="CYH46" s="76"/>
      <c r="CYI46" s="76"/>
      <c r="CYJ46" s="76"/>
      <c r="CYK46" s="76"/>
      <c r="CYL46" s="76"/>
      <c r="CYM46" s="76"/>
      <c r="CYN46" s="76"/>
      <c r="CYO46" s="76"/>
      <c r="CYP46" s="76"/>
      <c r="CYQ46" s="76"/>
      <c r="CYR46" s="76"/>
      <c r="CYS46" s="76"/>
      <c r="CYT46" s="76"/>
      <c r="CYU46" s="76"/>
      <c r="CYV46" s="76"/>
      <c r="CYW46" s="76"/>
      <c r="CYX46" s="76"/>
      <c r="CYY46" s="76"/>
      <c r="CYZ46" s="76"/>
      <c r="CZA46" s="76"/>
      <c r="CZB46" s="76"/>
      <c r="CZC46" s="76"/>
      <c r="CZD46" s="76"/>
      <c r="CZE46" s="76"/>
      <c r="CZF46" s="76"/>
      <c r="CZG46" s="76"/>
      <c r="CZH46" s="76"/>
      <c r="CZI46" s="76"/>
      <c r="CZJ46" s="76"/>
      <c r="CZK46" s="76"/>
      <c r="CZL46" s="76"/>
      <c r="CZM46" s="76"/>
      <c r="CZN46" s="76"/>
      <c r="CZO46" s="76"/>
      <c r="CZP46" s="76"/>
      <c r="CZQ46" s="76"/>
      <c r="CZR46" s="76"/>
      <c r="CZS46" s="76"/>
      <c r="CZT46" s="76"/>
      <c r="CZU46" s="76"/>
      <c r="CZV46" s="76"/>
      <c r="CZW46" s="76"/>
      <c r="CZX46" s="76"/>
      <c r="CZY46" s="76"/>
      <c r="CZZ46" s="76"/>
      <c r="DAA46" s="76"/>
      <c r="DAB46" s="76"/>
      <c r="DAC46" s="76"/>
      <c r="DAD46" s="76"/>
      <c r="DAE46" s="76"/>
      <c r="DAF46" s="76"/>
      <c r="DAG46" s="76"/>
      <c r="DAH46" s="76"/>
      <c r="DAI46" s="76"/>
      <c r="DAJ46" s="76"/>
      <c r="DAK46" s="76"/>
      <c r="DAL46" s="76"/>
      <c r="DAM46" s="76"/>
      <c r="DAN46" s="76"/>
      <c r="DAO46" s="76"/>
      <c r="DAP46" s="76"/>
      <c r="DAQ46" s="76"/>
      <c r="DAR46" s="76"/>
      <c r="DAS46" s="76"/>
      <c r="DAT46" s="76"/>
      <c r="DAU46" s="76"/>
      <c r="DAV46" s="76"/>
      <c r="DAW46" s="76"/>
      <c r="DAX46" s="76"/>
      <c r="DAY46" s="76"/>
      <c r="DAZ46" s="76"/>
      <c r="DBA46" s="76"/>
      <c r="DBB46" s="76"/>
      <c r="DBC46" s="76"/>
      <c r="DBD46" s="76"/>
      <c r="DBE46" s="76"/>
      <c r="DBF46" s="76"/>
      <c r="DBG46" s="76"/>
      <c r="DBH46" s="76"/>
      <c r="DBI46" s="76"/>
      <c r="DBJ46" s="76"/>
      <c r="DBK46" s="76"/>
      <c r="DBL46" s="76"/>
      <c r="DBM46" s="76"/>
      <c r="DBN46" s="76"/>
      <c r="DBO46" s="76"/>
      <c r="DBP46" s="76"/>
      <c r="DBQ46" s="76"/>
      <c r="DBR46" s="76"/>
      <c r="DBS46" s="76"/>
      <c r="DBT46" s="76"/>
      <c r="DBU46" s="76"/>
      <c r="DBV46" s="76"/>
      <c r="DBW46" s="76"/>
      <c r="DBX46" s="76"/>
      <c r="DBY46" s="76"/>
      <c r="DBZ46" s="76"/>
      <c r="DCA46" s="76"/>
      <c r="DCB46" s="76"/>
      <c r="DCC46" s="76"/>
      <c r="DCD46" s="76"/>
      <c r="DCE46" s="76"/>
      <c r="DCF46" s="76"/>
      <c r="DCG46" s="76"/>
      <c r="DCH46" s="76"/>
      <c r="DCI46" s="76"/>
      <c r="DCJ46" s="76"/>
      <c r="DCK46" s="76"/>
      <c r="DCL46" s="76"/>
      <c r="DCM46" s="76"/>
      <c r="DCN46" s="76"/>
      <c r="DCO46" s="76"/>
      <c r="DCP46" s="76"/>
      <c r="DCQ46" s="76"/>
      <c r="DCR46" s="76"/>
      <c r="DCS46" s="76"/>
      <c r="DCT46" s="76"/>
      <c r="DCU46" s="76"/>
      <c r="DCV46" s="76"/>
      <c r="DCW46" s="76"/>
      <c r="DCX46" s="76"/>
      <c r="DCY46" s="76"/>
      <c r="DCZ46" s="76"/>
      <c r="DDA46" s="76"/>
      <c r="DDB46" s="76"/>
      <c r="DDC46" s="76"/>
      <c r="DDD46" s="76"/>
      <c r="DDE46" s="76"/>
      <c r="DDF46" s="76"/>
      <c r="DDG46" s="76"/>
      <c r="DDH46" s="76"/>
      <c r="DDI46" s="76"/>
      <c r="DDJ46" s="76"/>
      <c r="DDK46" s="76"/>
      <c r="DDL46" s="76"/>
      <c r="DDM46" s="76"/>
      <c r="DDN46" s="76"/>
      <c r="DDO46" s="76"/>
      <c r="DDP46" s="76"/>
      <c r="DDQ46" s="76"/>
      <c r="DDR46" s="76"/>
      <c r="DDS46" s="76"/>
      <c r="DDT46" s="76"/>
      <c r="DDU46" s="76"/>
      <c r="DDV46" s="76"/>
      <c r="DDW46" s="76"/>
      <c r="DDX46" s="76"/>
      <c r="DDY46" s="76"/>
      <c r="DDZ46" s="76"/>
      <c r="DEA46" s="76"/>
      <c r="DEB46" s="76"/>
      <c r="DEC46" s="76"/>
      <c r="DED46" s="76"/>
      <c r="DEE46" s="76"/>
      <c r="DEF46" s="76"/>
      <c r="DEG46" s="76"/>
      <c r="DEH46" s="76"/>
      <c r="DEI46" s="76"/>
      <c r="DEJ46" s="76"/>
      <c r="DEK46" s="76"/>
      <c r="DEL46" s="76"/>
      <c r="DEM46" s="76"/>
      <c r="DEN46" s="76"/>
      <c r="DEO46" s="76"/>
      <c r="DEP46" s="76"/>
      <c r="DEQ46" s="76"/>
      <c r="DER46" s="76"/>
      <c r="DES46" s="76"/>
      <c r="DET46" s="76"/>
      <c r="DEU46" s="76"/>
      <c r="DEV46" s="76"/>
      <c r="DEW46" s="76"/>
      <c r="DEX46" s="76"/>
      <c r="DEY46" s="76"/>
      <c r="DEZ46" s="76"/>
      <c r="DFA46" s="76"/>
      <c r="DFB46" s="76"/>
      <c r="DFC46" s="76"/>
      <c r="DFD46" s="76"/>
      <c r="DFE46" s="76"/>
      <c r="DFF46" s="76"/>
      <c r="DFG46" s="76"/>
      <c r="DFH46" s="76"/>
      <c r="DFI46" s="76"/>
      <c r="DFJ46" s="76"/>
      <c r="DFK46" s="76"/>
      <c r="DFL46" s="76"/>
      <c r="DFM46" s="76"/>
      <c r="DFN46" s="76"/>
      <c r="DFO46" s="76"/>
      <c r="DFP46" s="76"/>
      <c r="DFQ46" s="76"/>
      <c r="DFR46" s="76"/>
      <c r="DFS46" s="76"/>
      <c r="DFT46" s="76"/>
      <c r="DFU46" s="76"/>
      <c r="DFV46" s="76"/>
      <c r="DFW46" s="76"/>
      <c r="DFX46" s="76"/>
      <c r="DFY46" s="76"/>
      <c r="DFZ46" s="76"/>
      <c r="DGA46" s="76"/>
      <c r="DGB46" s="76"/>
      <c r="DGC46" s="76"/>
      <c r="DGD46" s="76"/>
      <c r="DGE46" s="76"/>
      <c r="DGF46" s="76"/>
      <c r="DGG46" s="76"/>
      <c r="DGH46" s="76"/>
      <c r="DGI46" s="76"/>
      <c r="DGJ46" s="76"/>
      <c r="DGK46" s="76"/>
      <c r="DGL46" s="76"/>
      <c r="DGM46" s="76"/>
      <c r="DGN46" s="76"/>
      <c r="DGO46" s="76"/>
      <c r="DGP46" s="76"/>
      <c r="DGQ46" s="76"/>
      <c r="DGR46" s="76"/>
      <c r="DGS46" s="76"/>
      <c r="DGT46" s="76"/>
      <c r="DGU46" s="76"/>
      <c r="DGV46" s="76"/>
      <c r="DGW46" s="76"/>
      <c r="DGX46" s="76"/>
      <c r="DGY46" s="76"/>
      <c r="DGZ46" s="76"/>
      <c r="DHA46" s="76"/>
      <c r="DHB46" s="76"/>
      <c r="DHC46" s="76"/>
      <c r="DHD46" s="76"/>
      <c r="DHE46" s="76"/>
      <c r="DHF46" s="76"/>
      <c r="DHG46" s="76"/>
      <c r="DHH46" s="76"/>
      <c r="DHI46" s="76"/>
      <c r="DHJ46" s="76"/>
      <c r="DHK46" s="76"/>
      <c r="DHL46" s="76"/>
      <c r="DHM46" s="76"/>
      <c r="DHN46" s="76"/>
      <c r="DHO46" s="76"/>
      <c r="DHP46" s="76"/>
      <c r="DHQ46" s="76"/>
      <c r="DHR46" s="76"/>
      <c r="DHS46" s="76"/>
      <c r="DHT46" s="76"/>
      <c r="DHU46" s="76"/>
      <c r="DHV46" s="76"/>
      <c r="DHW46" s="76"/>
      <c r="DHX46" s="76"/>
      <c r="DHY46" s="76"/>
      <c r="DHZ46" s="76"/>
      <c r="DIA46" s="76"/>
      <c r="DIB46" s="76"/>
      <c r="DIC46" s="76"/>
      <c r="DID46" s="76"/>
      <c r="DIE46" s="76"/>
      <c r="DIF46" s="76"/>
      <c r="DIG46" s="76"/>
      <c r="DIH46" s="76"/>
      <c r="DII46" s="76"/>
      <c r="DIJ46" s="76"/>
      <c r="DIK46" s="76"/>
      <c r="DIL46" s="76"/>
      <c r="DIM46" s="76"/>
      <c r="DIN46" s="76"/>
      <c r="DIO46" s="76"/>
      <c r="DIP46" s="76"/>
      <c r="DIQ46" s="76"/>
      <c r="DIR46" s="76"/>
      <c r="DIS46" s="76"/>
      <c r="DIT46" s="76"/>
      <c r="DIU46" s="76"/>
      <c r="DIV46" s="76"/>
      <c r="DIW46" s="76"/>
      <c r="DIX46" s="76"/>
      <c r="DIY46" s="76"/>
      <c r="DIZ46" s="76"/>
      <c r="DJA46" s="76"/>
      <c r="DJB46" s="76"/>
      <c r="DJC46" s="76"/>
      <c r="DJD46" s="76"/>
      <c r="DJE46" s="76"/>
      <c r="DJF46" s="76"/>
      <c r="DJG46" s="76"/>
      <c r="DJH46" s="76"/>
      <c r="DJI46" s="76"/>
      <c r="DJJ46" s="76"/>
      <c r="DJK46" s="76"/>
      <c r="DJL46" s="76"/>
      <c r="DJM46" s="76"/>
      <c r="DJN46" s="76"/>
      <c r="DJO46" s="76"/>
      <c r="DJP46" s="76"/>
      <c r="DJQ46" s="76"/>
      <c r="DJR46" s="76"/>
      <c r="DJS46" s="76"/>
      <c r="DJT46" s="76"/>
      <c r="DJU46" s="76"/>
      <c r="DJV46" s="76"/>
      <c r="DJW46" s="76"/>
      <c r="DJX46" s="76"/>
      <c r="DJY46" s="76"/>
      <c r="DJZ46" s="76"/>
      <c r="DKA46" s="76"/>
      <c r="DKB46" s="76"/>
      <c r="DKC46" s="76"/>
      <c r="DKD46" s="76"/>
      <c r="DKE46" s="76"/>
      <c r="DKF46" s="76"/>
      <c r="DKG46" s="76"/>
      <c r="DKH46" s="76"/>
      <c r="DKI46" s="76"/>
      <c r="DKJ46" s="76"/>
      <c r="DKK46" s="76"/>
      <c r="DKL46" s="76"/>
      <c r="DKM46" s="76"/>
      <c r="DKN46" s="76"/>
      <c r="DKO46" s="76"/>
      <c r="DKP46" s="76"/>
      <c r="DKQ46" s="76"/>
      <c r="DKR46" s="76"/>
      <c r="DKS46" s="76"/>
      <c r="DKT46" s="76"/>
      <c r="DKU46" s="76"/>
      <c r="DKV46" s="76"/>
      <c r="DKW46" s="76"/>
      <c r="DKX46" s="76"/>
      <c r="DKY46" s="76"/>
      <c r="DKZ46" s="76"/>
      <c r="DLA46" s="76"/>
      <c r="DLB46" s="76"/>
      <c r="DLC46" s="76"/>
      <c r="DLD46" s="76"/>
      <c r="DLE46" s="76"/>
      <c r="DLF46" s="76"/>
      <c r="DLG46" s="76"/>
      <c r="DLH46" s="76"/>
      <c r="DLI46" s="76"/>
      <c r="DLJ46" s="76"/>
      <c r="DLK46" s="76"/>
      <c r="DLL46" s="76"/>
      <c r="DLM46" s="76"/>
      <c r="DLN46" s="76"/>
      <c r="DLO46" s="76"/>
      <c r="DLP46" s="76"/>
      <c r="DLQ46" s="76"/>
      <c r="DLR46" s="76"/>
      <c r="DLS46" s="76"/>
      <c r="DLT46" s="76"/>
      <c r="DLU46" s="76"/>
      <c r="DLV46" s="76"/>
      <c r="DLW46" s="76"/>
      <c r="DLX46" s="76"/>
      <c r="DLY46" s="76"/>
      <c r="DLZ46" s="76"/>
      <c r="DMA46" s="76"/>
      <c r="DMB46" s="76"/>
      <c r="DMC46" s="76"/>
      <c r="DMD46" s="76"/>
      <c r="DME46" s="76"/>
      <c r="DMF46" s="76"/>
      <c r="DMG46" s="76"/>
      <c r="DMH46" s="76"/>
      <c r="DMI46" s="76"/>
      <c r="DMJ46" s="76"/>
      <c r="DMK46" s="76"/>
      <c r="DML46" s="76"/>
      <c r="DMM46" s="76"/>
      <c r="DMN46" s="76"/>
      <c r="DMO46" s="76"/>
      <c r="DMP46" s="76"/>
      <c r="DMQ46" s="76"/>
      <c r="DMR46" s="76"/>
      <c r="DMS46" s="76"/>
      <c r="DMT46" s="76"/>
      <c r="DMU46" s="76"/>
      <c r="DMV46" s="76"/>
      <c r="DMW46" s="76"/>
      <c r="DMX46" s="76"/>
      <c r="DMY46" s="76"/>
      <c r="DMZ46" s="76"/>
      <c r="DNA46" s="76"/>
      <c r="DNB46" s="76"/>
      <c r="DNC46" s="76"/>
      <c r="DND46" s="76"/>
      <c r="DNE46" s="76"/>
      <c r="DNF46" s="76"/>
      <c r="DNG46" s="76"/>
      <c r="DNH46" s="76"/>
      <c r="DNI46" s="76"/>
      <c r="DNJ46" s="76"/>
      <c r="DNK46" s="76"/>
      <c r="DNL46" s="76"/>
      <c r="DNM46" s="76"/>
      <c r="DNN46" s="76"/>
      <c r="DNO46" s="76"/>
      <c r="DNP46" s="76"/>
      <c r="DNQ46" s="76"/>
      <c r="DNR46" s="76"/>
      <c r="DNS46" s="76"/>
      <c r="DNT46" s="76"/>
      <c r="DNU46" s="76"/>
      <c r="DNV46" s="76"/>
      <c r="DNW46" s="76"/>
      <c r="DNX46" s="76"/>
      <c r="DNY46" s="76"/>
      <c r="DNZ46" s="76"/>
      <c r="DOA46" s="76"/>
      <c r="DOB46" s="76"/>
      <c r="DOC46" s="76"/>
      <c r="DOD46" s="76"/>
      <c r="DOE46" s="76"/>
      <c r="DOF46" s="76"/>
      <c r="DOG46" s="76"/>
      <c r="DOH46" s="76"/>
      <c r="DOI46" s="76"/>
      <c r="DOJ46" s="76"/>
      <c r="DOK46" s="76"/>
      <c r="DOL46" s="76"/>
      <c r="DOM46" s="76"/>
      <c r="DON46" s="76"/>
      <c r="DOO46" s="76"/>
      <c r="DOP46" s="76"/>
      <c r="DOQ46" s="76"/>
      <c r="DOR46" s="76"/>
      <c r="DOS46" s="76"/>
      <c r="DOT46" s="76"/>
      <c r="DOU46" s="76"/>
      <c r="DOV46" s="76"/>
      <c r="DOW46" s="76"/>
      <c r="DOX46" s="76"/>
      <c r="DOY46" s="76"/>
      <c r="DOZ46" s="76"/>
      <c r="DPA46" s="76"/>
      <c r="DPB46" s="76"/>
      <c r="DPC46" s="76"/>
      <c r="DPD46" s="76"/>
      <c r="DPE46" s="76"/>
      <c r="DPF46" s="76"/>
      <c r="DPG46" s="76"/>
      <c r="DPH46" s="76"/>
      <c r="DPI46" s="76"/>
      <c r="DPJ46" s="76"/>
      <c r="DPK46" s="76"/>
      <c r="DPL46" s="76"/>
      <c r="DPM46" s="76"/>
      <c r="DPN46" s="76"/>
      <c r="DPO46" s="76"/>
      <c r="DPP46" s="76"/>
      <c r="DPQ46" s="76"/>
      <c r="DPR46" s="76"/>
      <c r="DPS46" s="76"/>
      <c r="DPT46" s="76"/>
      <c r="DPU46" s="76"/>
      <c r="DPV46" s="76"/>
      <c r="DPW46" s="76"/>
      <c r="DPX46" s="76"/>
      <c r="DPY46" s="76"/>
      <c r="DPZ46" s="76"/>
      <c r="DQA46" s="76"/>
      <c r="DQB46" s="76"/>
      <c r="DQC46" s="76"/>
      <c r="DQD46" s="76"/>
      <c r="DQE46" s="76"/>
      <c r="DQF46" s="76"/>
      <c r="DQG46" s="76"/>
      <c r="DQH46" s="76"/>
      <c r="DQI46" s="76"/>
      <c r="DQJ46" s="76"/>
      <c r="DQK46" s="76"/>
      <c r="DQL46" s="76"/>
      <c r="DQM46" s="76"/>
      <c r="DQN46" s="76"/>
      <c r="DQO46" s="76"/>
      <c r="DQP46" s="76"/>
      <c r="DQQ46" s="76"/>
      <c r="DQR46" s="76"/>
      <c r="DQS46" s="76"/>
      <c r="DQT46" s="76"/>
      <c r="DQU46" s="76"/>
      <c r="DQV46" s="76"/>
      <c r="DQW46" s="76"/>
      <c r="DQX46" s="76"/>
      <c r="DQY46" s="76"/>
      <c r="DQZ46" s="76"/>
      <c r="DRA46" s="76"/>
      <c r="DRB46" s="76"/>
      <c r="DRC46" s="76"/>
      <c r="DRD46" s="76"/>
      <c r="DRE46" s="76"/>
      <c r="DRF46" s="76"/>
      <c r="DRG46" s="76"/>
      <c r="DRH46" s="76"/>
      <c r="DRI46" s="76"/>
      <c r="DRJ46" s="76"/>
      <c r="DRK46" s="76"/>
      <c r="DRL46" s="76"/>
      <c r="DRM46" s="76"/>
      <c r="DRN46" s="76"/>
      <c r="DRO46" s="76"/>
      <c r="DRP46" s="76"/>
      <c r="DRQ46" s="76"/>
      <c r="DRR46" s="76"/>
      <c r="DRS46" s="76"/>
      <c r="DRT46" s="76"/>
      <c r="DRU46" s="76"/>
      <c r="DRV46" s="76"/>
      <c r="DRW46" s="76"/>
      <c r="DRX46" s="76"/>
      <c r="DRY46" s="76"/>
      <c r="DRZ46" s="76"/>
      <c r="DSA46" s="76"/>
      <c r="DSB46" s="76"/>
      <c r="DSC46" s="76"/>
      <c r="DSD46" s="76"/>
      <c r="DSE46" s="76"/>
      <c r="DSF46" s="76"/>
      <c r="DSG46" s="76"/>
      <c r="DSH46" s="76"/>
      <c r="DSI46" s="76"/>
      <c r="DSJ46" s="76"/>
      <c r="DSK46" s="76"/>
      <c r="DSL46" s="76"/>
      <c r="DSM46" s="76"/>
      <c r="DSN46" s="76"/>
      <c r="DSO46" s="76"/>
      <c r="DSP46" s="76"/>
      <c r="DSQ46" s="76"/>
      <c r="DSR46" s="76"/>
      <c r="DSS46" s="76"/>
      <c r="DST46" s="76"/>
      <c r="DSU46" s="76"/>
      <c r="DSV46" s="76"/>
      <c r="DSW46" s="76"/>
      <c r="DSX46" s="76"/>
      <c r="DSY46" s="76"/>
      <c r="DSZ46" s="76"/>
      <c r="DTA46" s="76"/>
      <c r="DTB46" s="76"/>
      <c r="DTC46" s="76"/>
      <c r="DTD46" s="76"/>
      <c r="DTE46" s="76"/>
      <c r="DTF46" s="76"/>
      <c r="DTG46" s="76"/>
      <c r="DTH46" s="76"/>
      <c r="DTI46" s="76"/>
      <c r="DTJ46" s="76"/>
      <c r="DTK46" s="76"/>
      <c r="DTL46" s="76"/>
      <c r="DTM46" s="76"/>
      <c r="DTN46" s="76"/>
      <c r="DTO46" s="76"/>
      <c r="DTP46" s="76"/>
      <c r="DTQ46" s="76"/>
      <c r="DTR46" s="76"/>
      <c r="DTS46" s="76"/>
      <c r="DTT46" s="76"/>
      <c r="DTU46" s="76"/>
      <c r="DTV46" s="76"/>
      <c r="DTW46" s="76"/>
      <c r="DTX46" s="76"/>
      <c r="DTY46" s="76"/>
      <c r="DTZ46" s="76"/>
      <c r="DUA46" s="76"/>
      <c r="DUB46" s="76"/>
      <c r="DUC46" s="76"/>
      <c r="DUD46" s="76"/>
      <c r="DUE46" s="76"/>
      <c r="DUF46" s="76"/>
      <c r="DUG46" s="76"/>
      <c r="DUH46" s="76"/>
      <c r="DUI46" s="76"/>
      <c r="DUJ46" s="76"/>
      <c r="DUK46" s="76"/>
      <c r="DUL46" s="76"/>
      <c r="DUM46" s="76"/>
      <c r="DUN46" s="76"/>
      <c r="DUO46" s="76"/>
      <c r="DUP46" s="76"/>
      <c r="DUQ46" s="76"/>
      <c r="DUR46" s="76"/>
      <c r="DUS46" s="76"/>
      <c r="DUT46" s="76"/>
      <c r="DUU46" s="76"/>
      <c r="DUV46" s="76"/>
      <c r="DUW46" s="76"/>
      <c r="DUX46" s="76"/>
      <c r="DUY46" s="76"/>
      <c r="DUZ46" s="76"/>
      <c r="DVA46" s="76"/>
      <c r="DVB46" s="76"/>
      <c r="DVC46" s="76"/>
      <c r="DVD46" s="76"/>
      <c r="DVE46" s="76"/>
      <c r="DVF46" s="76"/>
      <c r="DVG46" s="76"/>
      <c r="DVH46" s="76"/>
      <c r="DVI46" s="76"/>
      <c r="DVJ46" s="76"/>
      <c r="DVK46" s="76"/>
      <c r="DVL46" s="76"/>
      <c r="DVM46" s="76"/>
      <c r="DVN46" s="76"/>
      <c r="DVO46" s="76"/>
      <c r="DVP46" s="76"/>
      <c r="DVQ46" s="76"/>
      <c r="DVR46" s="76"/>
      <c r="DVS46" s="76"/>
      <c r="DVT46" s="76"/>
      <c r="DVU46" s="76"/>
      <c r="DVV46" s="76"/>
      <c r="DVW46" s="76"/>
      <c r="DVX46" s="76"/>
      <c r="DVY46" s="76"/>
      <c r="DVZ46" s="76"/>
      <c r="DWA46" s="76"/>
      <c r="DWB46" s="76"/>
      <c r="DWC46" s="76"/>
      <c r="DWD46" s="76"/>
      <c r="DWE46" s="76"/>
      <c r="DWF46" s="76"/>
      <c r="DWG46" s="76"/>
      <c r="DWH46" s="76"/>
      <c r="DWI46" s="76"/>
      <c r="DWJ46" s="76"/>
      <c r="DWK46" s="76"/>
      <c r="DWL46" s="76"/>
      <c r="DWM46" s="76"/>
      <c r="DWN46" s="76"/>
      <c r="DWO46" s="76"/>
      <c r="DWP46" s="76"/>
      <c r="DWQ46" s="76"/>
      <c r="DWR46" s="76"/>
      <c r="DWS46" s="76"/>
      <c r="DWT46" s="76"/>
      <c r="DWU46" s="76"/>
      <c r="DWV46" s="76"/>
      <c r="DWW46" s="76"/>
      <c r="DWX46" s="76"/>
      <c r="DWY46" s="76"/>
      <c r="DWZ46" s="76"/>
      <c r="DXA46" s="76"/>
      <c r="DXB46" s="76"/>
      <c r="DXC46" s="76"/>
      <c r="DXD46" s="76"/>
      <c r="DXE46" s="76"/>
      <c r="DXF46" s="76"/>
      <c r="DXG46" s="76"/>
      <c r="DXH46" s="76"/>
      <c r="DXI46" s="76"/>
      <c r="DXJ46" s="76"/>
      <c r="DXK46" s="76"/>
      <c r="DXL46" s="76"/>
      <c r="DXM46" s="76"/>
      <c r="DXN46" s="76"/>
      <c r="DXO46" s="76"/>
      <c r="DXP46" s="76"/>
      <c r="DXQ46" s="76"/>
      <c r="DXR46" s="76"/>
      <c r="DXS46" s="76"/>
      <c r="DXT46" s="76"/>
      <c r="DXU46" s="76"/>
      <c r="DXV46" s="76"/>
      <c r="DXW46" s="76"/>
      <c r="DXX46" s="76"/>
      <c r="DXY46" s="76"/>
      <c r="DXZ46" s="76"/>
      <c r="DYA46" s="76"/>
      <c r="DYB46" s="76"/>
      <c r="DYC46" s="76"/>
      <c r="DYD46" s="76"/>
      <c r="DYE46" s="76"/>
      <c r="DYF46" s="76"/>
      <c r="DYG46" s="76"/>
      <c r="DYH46" s="76"/>
      <c r="DYI46" s="76"/>
      <c r="DYJ46" s="76"/>
      <c r="DYK46" s="76"/>
      <c r="DYL46" s="76"/>
      <c r="DYM46" s="76"/>
      <c r="DYN46" s="76"/>
      <c r="DYO46" s="76"/>
      <c r="DYP46" s="76"/>
      <c r="DYQ46" s="76"/>
      <c r="DYR46" s="76"/>
      <c r="DYS46" s="76"/>
      <c r="DYT46" s="76"/>
      <c r="DYU46" s="76"/>
      <c r="DYV46" s="76"/>
      <c r="DYW46" s="76"/>
      <c r="DYX46" s="76"/>
      <c r="DYY46" s="76"/>
      <c r="DYZ46" s="76"/>
      <c r="DZA46" s="76"/>
      <c r="DZB46" s="76"/>
      <c r="DZC46" s="76"/>
      <c r="DZD46" s="76"/>
      <c r="DZE46" s="76"/>
      <c r="DZF46" s="76"/>
      <c r="DZG46" s="76"/>
      <c r="DZH46" s="76"/>
      <c r="DZI46" s="76"/>
      <c r="DZJ46" s="76"/>
      <c r="DZK46" s="76"/>
      <c r="DZL46" s="76"/>
      <c r="DZM46" s="76"/>
      <c r="DZN46" s="76"/>
      <c r="DZO46" s="76"/>
      <c r="DZP46" s="76"/>
      <c r="DZQ46" s="76"/>
      <c r="DZR46" s="76"/>
      <c r="DZS46" s="76"/>
      <c r="DZT46" s="76"/>
      <c r="DZU46" s="76"/>
      <c r="DZV46" s="76"/>
      <c r="DZW46" s="76"/>
      <c r="DZX46" s="76"/>
      <c r="DZY46" s="76"/>
      <c r="DZZ46" s="76"/>
      <c r="EAA46" s="76"/>
      <c r="EAB46" s="76"/>
      <c r="EAC46" s="76"/>
      <c r="EAD46" s="76"/>
      <c r="EAE46" s="76"/>
      <c r="EAF46" s="76"/>
      <c r="EAG46" s="76"/>
      <c r="EAH46" s="76"/>
      <c r="EAI46" s="76"/>
      <c r="EAJ46" s="76"/>
      <c r="EAK46" s="76"/>
      <c r="EAL46" s="76"/>
      <c r="EAM46" s="76"/>
      <c r="EAN46" s="76"/>
      <c r="EAO46" s="76"/>
      <c r="EAP46" s="76"/>
      <c r="EAQ46" s="76"/>
      <c r="EAR46" s="76"/>
      <c r="EAS46" s="76"/>
      <c r="EAT46" s="76"/>
      <c r="EAU46" s="76"/>
      <c r="EAV46" s="76"/>
      <c r="EAW46" s="76"/>
      <c r="EAX46" s="76"/>
      <c r="EAY46" s="76"/>
      <c r="EAZ46" s="76"/>
      <c r="EBA46" s="76"/>
      <c r="EBB46" s="76"/>
      <c r="EBC46" s="76"/>
      <c r="EBD46" s="76"/>
      <c r="EBE46" s="76"/>
      <c r="EBF46" s="76"/>
      <c r="EBG46" s="76"/>
      <c r="EBH46" s="76"/>
      <c r="EBI46" s="76"/>
      <c r="EBJ46" s="76"/>
      <c r="EBK46" s="76"/>
      <c r="EBL46" s="76"/>
      <c r="EBM46" s="76"/>
      <c r="EBN46" s="76"/>
      <c r="EBO46" s="76"/>
      <c r="EBP46" s="76"/>
      <c r="EBQ46" s="76"/>
      <c r="EBR46" s="76"/>
      <c r="EBS46" s="76"/>
      <c r="EBT46" s="76"/>
      <c r="EBU46" s="76"/>
      <c r="EBV46" s="76"/>
      <c r="EBW46" s="76"/>
      <c r="EBX46" s="76"/>
      <c r="EBY46" s="76"/>
      <c r="EBZ46" s="76"/>
      <c r="ECA46" s="76"/>
      <c r="ECB46" s="76"/>
      <c r="ECC46" s="76"/>
      <c r="ECD46" s="76"/>
      <c r="ECE46" s="76"/>
      <c r="ECF46" s="76"/>
      <c r="ECG46" s="76"/>
      <c r="ECH46" s="76"/>
      <c r="ECI46" s="76"/>
      <c r="ECJ46" s="76"/>
      <c r="ECK46" s="76"/>
      <c r="ECL46" s="76"/>
      <c r="ECM46" s="76"/>
      <c r="ECN46" s="76"/>
      <c r="ECO46" s="76"/>
      <c r="ECP46" s="76"/>
      <c r="ECQ46" s="76"/>
      <c r="ECR46" s="76"/>
      <c r="ECS46" s="76"/>
      <c r="ECT46" s="76"/>
      <c r="ECU46" s="76"/>
      <c r="ECV46" s="76"/>
      <c r="ECW46" s="76"/>
      <c r="ECX46" s="76"/>
      <c r="ECY46" s="76"/>
      <c r="ECZ46" s="76"/>
      <c r="EDA46" s="76"/>
      <c r="EDB46" s="76"/>
      <c r="EDC46" s="76"/>
      <c r="EDD46" s="76"/>
      <c r="EDE46" s="76"/>
      <c r="EDF46" s="76"/>
      <c r="EDG46" s="76"/>
      <c r="EDH46" s="76"/>
      <c r="EDI46" s="76"/>
      <c r="EDJ46" s="76"/>
      <c r="EDK46" s="76"/>
      <c r="EDL46" s="76"/>
      <c r="EDM46" s="76"/>
      <c r="EDN46" s="76"/>
      <c r="EDO46" s="76"/>
      <c r="EDP46" s="76"/>
      <c r="EDQ46" s="76"/>
      <c r="EDR46" s="76"/>
      <c r="EDS46" s="76"/>
      <c r="EDT46" s="76"/>
      <c r="EDU46" s="76"/>
      <c r="EDV46" s="76"/>
      <c r="EDW46" s="76"/>
      <c r="EDX46" s="76"/>
      <c r="EDY46" s="76"/>
      <c r="EDZ46" s="76"/>
      <c r="EEA46" s="76"/>
      <c r="EEB46" s="76"/>
      <c r="EEC46" s="76"/>
      <c r="EED46" s="76"/>
      <c r="EEE46" s="76"/>
      <c r="EEF46" s="76"/>
      <c r="EEG46" s="76"/>
      <c r="EEH46" s="76"/>
      <c r="EEI46" s="76"/>
      <c r="EEJ46" s="76"/>
      <c r="EEK46" s="76"/>
      <c r="EEL46" s="76"/>
      <c r="EEM46" s="76"/>
      <c r="EEN46" s="76"/>
      <c r="EEO46" s="76"/>
      <c r="EEP46" s="76"/>
      <c r="EEQ46" s="76"/>
      <c r="EER46" s="76"/>
      <c r="EES46" s="76"/>
      <c r="EET46" s="76"/>
      <c r="EEU46" s="76"/>
      <c r="EEV46" s="76"/>
      <c r="EEW46" s="76"/>
      <c r="EEX46" s="76"/>
      <c r="EEY46" s="76"/>
      <c r="EEZ46" s="76"/>
      <c r="EFA46" s="76"/>
      <c r="EFB46" s="76"/>
      <c r="EFC46" s="76"/>
      <c r="EFD46" s="76"/>
      <c r="EFE46" s="76"/>
      <c r="EFF46" s="76"/>
      <c r="EFG46" s="76"/>
      <c r="EFH46" s="76"/>
      <c r="EFI46" s="76"/>
      <c r="EFJ46" s="76"/>
      <c r="EFK46" s="76"/>
      <c r="EFL46" s="76"/>
      <c r="EFM46" s="76"/>
      <c r="EFN46" s="76"/>
      <c r="EFO46" s="76"/>
      <c r="EFP46" s="76"/>
      <c r="EFQ46" s="76"/>
      <c r="EFR46" s="76"/>
      <c r="EFS46" s="76"/>
      <c r="EFT46" s="76"/>
      <c r="EFU46" s="76"/>
      <c r="EFV46" s="76"/>
      <c r="EFW46" s="76"/>
      <c r="EFX46" s="76"/>
      <c r="EFY46" s="76"/>
      <c r="EFZ46" s="76"/>
      <c r="EGA46" s="76"/>
      <c r="EGB46" s="76"/>
      <c r="EGC46" s="76"/>
      <c r="EGD46" s="76"/>
      <c r="EGE46" s="76"/>
      <c r="EGF46" s="76"/>
      <c r="EGG46" s="76"/>
      <c r="EGH46" s="76"/>
      <c r="EGI46" s="76"/>
      <c r="EGJ46" s="76"/>
      <c r="EGK46" s="76"/>
      <c r="EGL46" s="76"/>
      <c r="EGM46" s="76"/>
      <c r="EGN46" s="76"/>
      <c r="EGO46" s="76"/>
      <c r="EGP46" s="76"/>
      <c r="EGQ46" s="76"/>
      <c r="EGR46" s="76"/>
      <c r="EGS46" s="76"/>
      <c r="EGT46" s="76"/>
      <c r="EGU46" s="76"/>
      <c r="EGV46" s="76"/>
      <c r="EGW46" s="76"/>
      <c r="EGX46" s="76"/>
      <c r="EGY46" s="76"/>
      <c r="EGZ46" s="76"/>
      <c r="EHA46" s="76"/>
      <c r="EHB46" s="76"/>
      <c r="EHC46" s="76"/>
      <c r="EHD46" s="76"/>
      <c r="EHE46" s="76"/>
      <c r="EHF46" s="76"/>
      <c r="EHG46" s="76"/>
      <c r="EHH46" s="76"/>
      <c r="EHI46" s="76"/>
      <c r="EHJ46" s="76"/>
      <c r="EHK46" s="76"/>
      <c r="EHL46" s="76"/>
      <c r="EHM46" s="76"/>
      <c r="EHN46" s="76"/>
      <c r="EHO46" s="76"/>
      <c r="EHP46" s="76"/>
      <c r="EHQ46" s="76"/>
      <c r="EHR46" s="76"/>
      <c r="EHS46" s="76"/>
      <c r="EHT46" s="76"/>
      <c r="EHU46" s="76"/>
      <c r="EHV46" s="76"/>
      <c r="EHW46" s="76"/>
      <c r="EHX46" s="76"/>
      <c r="EHY46" s="76"/>
      <c r="EHZ46" s="76"/>
      <c r="EIA46" s="76"/>
      <c r="EIB46" s="76"/>
      <c r="EIC46" s="76"/>
      <c r="EID46" s="76"/>
      <c r="EIE46" s="76"/>
      <c r="EIF46" s="76"/>
      <c r="EIG46" s="76"/>
      <c r="EIH46" s="76"/>
      <c r="EII46" s="76"/>
      <c r="EIJ46" s="76"/>
      <c r="EIK46" s="76"/>
      <c r="EIL46" s="76"/>
      <c r="EIM46" s="76"/>
      <c r="EIN46" s="76"/>
      <c r="EIO46" s="76"/>
      <c r="EIP46" s="76"/>
      <c r="EIQ46" s="76"/>
      <c r="EIR46" s="76"/>
      <c r="EIS46" s="76"/>
      <c r="EIT46" s="76"/>
      <c r="EIU46" s="76"/>
      <c r="EIV46" s="76"/>
      <c r="EIW46" s="76"/>
      <c r="EIX46" s="76"/>
      <c r="EIY46" s="76"/>
      <c r="EIZ46" s="76"/>
      <c r="EJA46" s="76"/>
      <c r="EJB46" s="76"/>
      <c r="EJC46" s="76"/>
      <c r="EJD46" s="76"/>
      <c r="EJE46" s="76"/>
      <c r="EJF46" s="76"/>
      <c r="EJG46" s="76"/>
      <c r="EJH46" s="76"/>
      <c r="EJI46" s="76"/>
      <c r="EJJ46" s="76"/>
      <c r="EJK46" s="76"/>
      <c r="EJL46" s="76"/>
      <c r="EJM46" s="76"/>
      <c r="EJN46" s="76"/>
      <c r="EJO46" s="76"/>
      <c r="EJP46" s="76"/>
      <c r="EJQ46" s="76"/>
      <c r="EJR46" s="76"/>
      <c r="EJS46" s="76"/>
      <c r="EJT46" s="76"/>
      <c r="EJU46" s="76"/>
      <c r="EJV46" s="76"/>
      <c r="EJW46" s="76"/>
      <c r="EJX46" s="76"/>
      <c r="EJY46" s="76"/>
      <c r="EJZ46" s="76"/>
      <c r="EKA46" s="76"/>
      <c r="EKB46" s="76"/>
      <c r="EKC46" s="76"/>
      <c r="EKD46" s="76"/>
      <c r="EKE46" s="76"/>
      <c r="EKF46" s="76"/>
      <c r="EKG46" s="76"/>
      <c r="EKH46" s="76"/>
      <c r="EKI46" s="76"/>
      <c r="EKJ46" s="76"/>
      <c r="EKK46" s="76"/>
      <c r="EKL46" s="76"/>
      <c r="EKM46" s="76"/>
      <c r="EKN46" s="76"/>
      <c r="EKO46" s="76"/>
      <c r="EKP46" s="76"/>
      <c r="EKQ46" s="76"/>
      <c r="EKR46" s="76"/>
      <c r="EKS46" s="76"/>
      <c r="EKT46" s="76"/>
      <c r="EKU46" s="76"/>
      <c r="EKV46" s="76"/>
      <c r="EKW46" s="76"/>
      <c r="EKX46" s="76"/>
      <c r="EKY46" s="76"/>
      <c r="EKZ46" s="76"/>
      <c r="ELA46" s="76"/>
      <c r="ELB46" s="76"/>
      <c r="ELC46" s="76"/>
      <c r="ELD46" s="76"/>
      <c r="ELE46" s="76"/>
      <c r="ELF46" s="76"/>
      <c r="ELG46" s="76"/>
      <c r="ELH46" s="76"/>
      <c r="ELI46" s="76"/>
      <c r="ELJ46" s="76"/>
      <c r="ELK46" s="76"/>
      <c r="ELL46" s="76"/>
      <c r="ELM46" s="76"/>
      <c r="ELN46" s="76"/>
      <c r="ELO46" s="76"/>
      <c r="ELP46" s="76"/>
      <c r="ELQ46" s="76"/>
      <c r="ELR46" s="76"/>
      <c r="ELS46" s="76"/>
      <c r="ELT46" s="76"/>
      <c r="ELU46" s="76"/>
      <c r="ELV46" s="76"/>
      <c r="ELW46" s="76"/>
      <c r="ELX46" s="76"/>
      <c r="ELY46" s="76"/>
      <c r="ELZ46" s="76"/>
      <c r="EMA46" s="76"/>
      <c r="EMB46" s="76"/>
      <c r="EMC46" s="76"/>
      <c r="EMD46" s="76"/>
      <c r="EME46" s="76"/>
      <c r="EMF46" s="76"/>
      <c r="EMG46" s="76"/>
      <c r="EMH46" s="76"/>
      <c r="EMI46" s="76"/>
      <c r="EMJ46" s="76"/>
      <c r="EMK46" s="76"/>
      <c r="EML46" s="76"/>
      <c r="EMM46" s="76"/>
      <c r="EMN46" s="76"/>
      <c r="EMO46" s="76"/>
      <c r="EMP46" s="76"/>
      <c r="EMQ46" s="76"/>
      <c r="EMR46" s="76"/>
      <c r="EMS46" s="76"/>
      <c r="EMT46" s="76"/>
      <c r="EMU46" s="76"/>
      <c r="EMV46" s="76"/>
      <c r="EMW46" s="76"/>
      <c r="EMX46" s="76"/>
      <c r="EMY46" s="76"/>
      <c r="EMZ46" s="76"/>
      <c r="ENA46" s="76"/>
      <c r="ENB46" s="76"/>
      <c r="ENC46" s="76"/>
      <c r="END46" s="76"/>
      <c r="ENE46" s="76"/>
      <c r="ENF46" s="76"/>
      <c r="ENG46" s="76"/>
      <c r="ENH46" s="76"/>
      <c r="ENI46" s="76"/>
      <c r="ENJ46" s="76"/>
      <c r="ENK46" s="76"/>
      <c r="ENL46" s="76"/>
      <c r="ENM46" s="76"/>
      <c r="ENN46" s="76"/>
      <c r="ENO46" s="76"/>
      <c r="ENP46" s="76"/>
      <c r="ENQ46" s="76"/>
      <c r="ENR46" s="76"/>
      <c r="ENS46" s="76"/>
      <c r="ENT46" s="76"/>
      <c r="ENU46" s="76"/>
      <c r="ENV46" s="76"/>
      <c r="ENW46" s="76"/>
      <c r="ENX46" s="76"/>
      <c r="ENY46" s="76"/>
      <c r="ENZ46" s="76"/>
      <c r="EOA46" s="76"/>
      <c r="EOB46" s="76"/>
      <c r="EOC46" s="76"/>
      <c r="EOD46" s="76"/>
      <c r="EOE46" s="76"/>
      <c r="EOF46" s="76"/>
      <c r="EOG46" s="76"/>
      <c r="EOH46" s="76"/>
      <c r="EOI46" s="76"/>
      <c r="EOJ46" s="76"/>
      <c r="EOK46" s="76"/>
      <c r="EOL46" s="76"/>
      <c r="EOM46" s="76"/>
      <c r="EON46" s="76"/>
      <c r="EOO46" s="76"/>
      <c r="EOP46" s="76"/>
      <c r="EOQ46" s="76"/>
      <c r="EOR46" s="76"/>
      <c r="EOS46" s="76"/>
      <c r="EOT46" s="76"/>
      <c r="EOU46" s="76"/>
      <c r="EOV46" s="76"/>
      <c r="EOW46" s="76"/>
      <c r="EOX46" s="76"/>
      <c r="EOY46" s="76"/>
      <c r="EOZ46" s="76"/>
      <c r="EPA46" s="76"/>
      <c r="EPB46" s="76"/>
      <c r="EPC46" s="76"/>
      <c r="EPD46" s="76"/>
      <c r="EPE46" s="76"/>
      <c r="EPF46" s="76"/>
      <c r="EPG46" s="76"/>
      <c r="EPH46" s="76"/>
      <c r="EPI46" s="76"/>
      <c r="EPJ46" s="76"/>
      <c r="EPK46" s="76"/>
      <c r="EPL46" s="76"/>
      <c r="EPM46" s="76"/>
      <c r="EPN46" s="76"/>
      <c r="EPO46" s="76"/>
      <c r="EPP46" s="76"/>
      <c r="EPQ46" s="76"/>
      <c r="EPR46" s="76"/>
      <c r="EPS46" s="76"/>
      <c r="EPT46" s="76"/>
      <c r="EPU46" s="76"/>
      <c r="EPV46" s="76"/>
      <c r="EPW46" s="76"/>
      <c r="EPX46" s="76"/>
      <c r="EPY46" s="76"/>
      <c r="EPZ46" s="76"/>
      <c r="EQA46" s="76"/>
      <c r="EQB46" s="76"/>
      <c r="EQC46" s="76"/>
      <c r="EQD46" s="76"/>
      <c r="EQE46" s="76"/>
      <c r="EQF46" s="76"/>
      <c r="EQG46" s="76"/>
      <c r="EQH46" s="76"/>
      <c r="EQI46" s="76"/>
      <c r="EQJ46" s="76"/>
      <c r="EQK46" s="76"/>
      <c r="EQL46" s="76"/>
      <c r="EQM46" s="76"/>
      <c r="EQN46" s="76"/>
      <c r="EQO46" s="76"/>
      <c r="EQP46" s="76"/>
      <c r="EQQ46" s="76"/>
      <c r="EQR46" s="76"/>
      <c r="EQS46" s="76"/>
      <c r="EQT46" s="76"/>
      <c r="EQU46" s="76"/>
      <c r="EQV46" s="76"/>
      <c r="EQW46" s="76"/>
      <c r="EQX46" s="76"/>
      <c r="EQY46" s="76"/>
      <c r="EQZ46" s="76"/>
      <c r="ERA46" s="76"/>
      <c r="ERB46" s="76"/>
      <c r="ERC46" s="76"/>
      <c r="ERD46" s="76"/>
      <c r="ERE46" s="76"/>
      <c r="ERF46" s="76"/>
      <c r="ERG46" s="76"/>
      <c r="ERH46" s="76"/>
      <c r="ERI46" s="76"/>
      <c r="ERJ46" s="76"/>
      <c r="ERK46" s="76"/>
      <c r="ERL46" s="76"/>
      <c r="ERM46" s="76"/>
      <c r="ERN46" s="76"/>
      <c r="ERO46" s="76"/>
      <c r="ERP46" s="76"/>
      <c r="ERQ46" s="76"/>
      <c r="ERR46" s="76"/>
      <c r="ERS46" s="76"/>
      <c r="ERT46" s="76"/>
      <c r="ERU46" s="76"/>
      <c r="ERV46" s="76"/>
      <c r="ERW46" s="76"/>
      <c r="ERX46" s="76"/>
      <c r="ERY46" s="76"/>
      <c r="ERZ46" s="76"/>
      <c r="ESA46" s="76"/>
      <c r="ESB46" s="76"/>
      <c r="ESC46" s="76"/>
      <c r="ESD46" s="76"/>
      <c r="ESE46" s="76"/>
      <c r="ESF46" s="76"/>
      <c r="ESG46" s="76"/>
      <c r="ESH46" s="76"/>
      <c r="ESI46" s="76"/>
      <c r="ESJ46" s="76"/>
      <c r="ESK46" s="76"/>
      <c r="ESL46" s="76"/>
      <c r="ESM46" s="76"/>
      <c r="ESN46" s="76"/>
      <c r="ESO46" s="76"/>
      <c r="ESP46" s="76"/>
      <c r="ESQ46" s="76"/>
      <c r="ESR46" s="76"/>
      <c r="ESS46" s="76"/>
      <c r="EST46" s="76"/>
      <c r="ESU46" s="76"/>
      <c r="ESV46" s="76"/>
      <c r="ESW46" s="76"/>
      <c r="ESX46" s="76"/>
      <c r="ESY46" s="76"/>
      <c r="ESZ46" s="76"/>
      <c r="ETA46" s="76"/>
      <c r="ETB46" s="76"/>
      <c r="ETC46" s="76"/>
      <c r="ETD46" s="76"/>
      <c r="ETE46" s="76"/>
      <c r="ETF46" s="76"/>
      <c r="ETG46" s="76"/>
      <c r="ETH46" s="76"/>
      <c r="ETI46" s="76"/>
      <c r="ETJ46" s="76"/>
      <c r="ETK46" s="76"/>
      <c r="ETL46" s="76"/>
      <c r="ETM46" s="76"/>
      <c r="ETN46" s="76"/>
      <c r="ETO46" s="76"/>
      <c r="ETP46" s="76"/>
      <c r="ETQ46" s="76"/>
      <c r="ETR46" s="76"/>
      <c r="ETS46" s="76"/>
      <c r="ETT46" s="76"/>
      <c r="ETU46" s="76"/>
      <c r="ETV46" s="76"/>
      <c r="ETW46" s="76"/>
      <c r="ETX46" s="76"/>
      <c r="ETY46" s="76"/>
      <c r="ETZ46" s="76"/>
      <c r="EUA46" s="76"/>
      <c r="EUB46" s="76"/>
      <c r="EUC46" s="76"/>
      <c r="EUD46" s="76"/>
      <c r="EUE46" s="76"/>
      <c r="EUF46" s="76"/>
      <c r="EUG46" s="76"/>
      <c r="EUH46" s="76"/>
      <c r="EUI46" s="76"/>
      <c r="EUJ46" s="76"/>
      <c r="EUK46" s="76"/>
      <c r="EUL46" s="76"/>
      <c r="EUM46" s="76"/>
      <c r="EUN46" s="76"/>
      <c r="EUO46" s="76"/>
      <c r="EUP46" s="76"/>
      <c r="EUQ46" s="76"/>
      <c r="EUR46" s="76"/>
      <c r="EUS46" s="76"/>
      <c r="EUT46" s="76"/>
      <c r="EUU46" s="76"/>
      <c r="EUV46" s="76"/>
      <c r="EUW46" s="76"/>
      <c r="EUX46" s="76"/>
      <c r="EUY46" s="76"/>
      <c r="EUZ46" s="76"/>
      <c r="EVA46" s="76"/>
      <c r="EVB46" s="76"/>
      <c r="EVC46" s="76"/>
      <c r="EVD46" s="76"/>
      <c r="EVE46" s="76"/>
      <c r="EVF46" s="76"/>
      <c r="EVG46" s="76"/>
      <c r="EVH46" s="76"/>
      <c r="EVI46" s="76"/>
      <c r="EVJ46" s="76"/>
      <c r="EVK46" s="76"/>
      <c r="EVL46" s="76"/>
      <c r="EVM46" s="76"/>
      <c r="EVN46" s="76"/>
      <c r="EVO46" s="76"/>
      <c r="EVP46" s="76"/>
      <c r="EVQ46" s="76"/>
      <c r="EVR46" s="76"/>
      <c r="EVS46" s="76"/>
      <c r="EVT46" s="76"/>
      <c r="EVU46" s="76"/>
      <c r="EVV46" s="76"/>
      <c r="EVW46" s="76"/>
      <c r="EVX46" s="76"/>
      <c r="EVY46" s="76"/>
      <c r="EVZ46" s="76"/>
      <c r="EWA46" s="76"/>
      <c r="EWB46" s="76"/>
      <c r="EWC46" s="76"/>
      <c r="EWD46" s="76"/>
      <c r="EWE46" s="76"/>
      <c r="EWF46" s="76"/>
      <c r="EWG46" s="76"/>
      <c r="EWH46" s="76"/>
      <c r="EWI46" s="76"/>
      <c r="EWJ46" s="76"/>
      <c r="EWK46" s="76"/>
      <c r="EWL46" s="76"/>
      <c r="EWM46" s="76"/>
      <c r="EWN46" s="76"/>
      <c r="EWO46" s="76"/>
      <c r="EWP46" s="76"/>
      <c r="EWQ46" s="76"/>
      <c r="EWR46" s="76"/>
      <c r="EWS46" s="76"/>
      <c r="EWT46" s="76"/>
      <c r="EWU46" s="76"/>
      <c r="EWV46" s="76"/>
      <c r="EWW46" s="76"/>
      <c r="EWX46" s="76"/>
      <c r="EWY46" s="76"/>
      <c r="EWZ46" s="76"/>
      <c r="EXA46" s="76"/>
      <c r="EXB46" s="76"/>
      <c r="EXC46" s="76"/>
      <c r="EXD46" s="76"/>
      <c r="EXE46" s="76"/>
      <c r="EXF46" s="76"/>
      <c r="EXG46" s="76"/>
      <c r="EXH46" s="76"/>
      <c r="EXI46" s="76"/>
      <c r="EXJ46" s="76"/>
      <c r="EXK46" s="76"/>
      <c r="EXL46" s="76"/>
      <c r="EXM46" s="76"/>
      <c r="EXN46" s="76"/>
      <c r="EXO46" s="76"/>
      <c r="EXP46" s="76"/>
      <c r="EXQ46" s="76"/>
      <c r="EXR46" s="76"/>
      <c r="EXS46" s="76"/>
      <c r="EXT46" s="76"/>
      <c r="EXU46" s="76"/>
      <c r="EXV46" s="76"/>
      <c r="EXW46" s="76"/>
      <c r="EXX46" s="76"/>
      <c r="EXY46" s="76"/>
      <c r="EXZ46" s="76"/>
      <c r="EYA46" s="76"/>
      <c r="EYB46" s="76"/>
      <c r="EYC46" s="76"/>
      <c r="EYD46" s="76"/>
      <c r="EYE46" s="76"/>
      <c r="EYF46" s="76"/>
      <c r="EYG46" s="76"/>
      <c r="EYH46" s="76"/>
      <c r="EYI46" s="76"/>
      <c r="EYJ46" s="76"/>
      <c r="EYK46" s="76"/>
      <c r="EYL46" s="76"/>
      <c r="EYM46" s="76"/>
      <c r="EYN46" s="76"/>
      <c r="EYO46" s="76"/>
      <c r="EYP46" s="76"/>
      <c r="EYQ46" s="76"/>
      <c r="EYR46" s="76"/>
      <c r="EYS46" s="76"/>
      <c r="EYT46" s="76"/>
      <c r="EYU46" s="76"/>
      <c r="EYV46" s="76"/>
      <c r="EYW46" s="76"/>
      <c r="EYX46" s="76"/>
      <c r="EYY46" s="76"/>
      <c r="EYZ46" s="76"/>
      <c r="EZA46" s="76"/>
      <c r="EZB46" s="76"/>
      <c r="EZC46" s="76"/>
      <c r="EZD46" s="76"/>
      <c r="EZE46" s="76"/>
      <c r="EZF46" s="76"/>
      <c r="EZG46" s="76"/>
      <c r="EZH46" s="76"/>
      <c r="EZI46" s="76"/>
      <c r="EZJ46" s="76"/>
      <c r="EZK46" s="76"/>
      <c r="EZL46" s="76"/>
      <c r="EZM46" s="76"/>
      <c r="EZN46" s="76"/>
      <c r="EZO46" s="76"/>
      <c r="EZP46" s="76"/>
      <c r="EZQ46" s="76"/>
      <c r="EZR46" s="76"/>
      <c r="EZS46" s="76"/>
      <c r="EZT46" s="76"/>
      <c r="EZU46" s="76"/>
      <c r="EZV46" s="76"/>
      <c r="EZW46" s="76"/>
      <c r="EZX46" s="76"/>
      <c r="EZY46" s="76"/>
      <c r="EZZ46" s="76"/>
      <c r="FAA46" s="76"/>
      <c r="FAB46" s="76"/>
      <c r="FAC46" s="76"/>
      <c r="FAD46" s="76"/>
      <c r="FAE46" s="76"/>
      <c r="FAF46" s="76"/>
      <c r="FAG46" s="76"/>
      <c r="FAH46" s="76"/>
      <c r="FAI46" s="76"/>
      <c r="FAJ46" s="76"/>
      <c r="FAK46" s="76"/>
      <c r="FAL46" s="76"/>
      <c r="FAM46" s="76"/>
      <c r="FAN46" s="76"/>
      <c r="FAO46" s="76"/>
      <c r="FAP46" s="76"/>
      <c r="FAQ46" s="76"/>
      <c r="FAR46" s="76"/>
      <c r="FAS46" s="76"/>
      <c r="FAT46" s="76"/>
      <c r="FAU46" s="76"/>
      <c r="FAV46" s="76"/>
      <c r="FAW46" s="76"/>
      <c r="FAX46" s="76"/>
      <c r="FAY46" s="76"/>
      <c r="FAZ46" s="76"/>
      <c r="FBA46" s="76"/>
      <c r="FBB46" s="76"/>
      <c r="FBC46" s="76"/>
      <c r="FBD46" s="76"/>
      <c r="FBE46" s="76"/>
      <c r="FBF46" s="76"/>
      <c r="FBG46" s="76"/>
      <c r="FBH46" s="76"/>
      <c r="FBI46" s="76"/>
      <c r="FBJ46" s="76"/>
      <c r="FBK46" s="76"/>
      <c r="FBL46" s="76"/>
      <c r="FBM46" s="76"/>
      <c r="FBN46" s="76"/>
      <c r="FBO46" s="76"/>
      <c r="FBP46" s="76"/>
      <c r="FBQ46" s="76"/>
      <c r="FBR46" s="76"/>
      <c r="FBS46" s="76"/>
      <c r="FBT46" s="76"/>
      <c r="FBU46" s="76"/>
      <c r="FBV46" s="76"/>
      <c r="FBW46" s="76"/>
      <c r="FBX46" s="76"/>
      <c r="FBY46" s="76"/>
      <c r="FBZ46" s="76"/>
      <c r="FCA46" s="76"/>
      <c r="FCB46" s="76"/>
      <c r="FCC46" s="76"/>
      <c r="FCD46" s="76"/>
      <c r="FCE46" s="76"/>
      <c r="FCF46" s="76"/>
      <c r="FCG46" s="76"/>
      <c r="FCH46" s="76"/>
      <c r="FCI46" s="76"/>
      <c r="FCJ46" s="76"/>
      <c r="FCK46" s="76"/>
      <c r="FCL46" s="76"/>
      <c r="FCM46" s="76"/>
      <c r="FCN46" s="76"/>
      <c r="FCO46" s="76"/>
      <c r="FCP46" s="76"/>
      <c r="FCQ46" s="76"/>
      <c r="FCR46" s="76"/>
      <c r="FCS46" s="76"/>
      <c r="FCT46" s="76"/>
      <c r="FCU46" s="76"/>
      <c r="FCV46" s="76"/>
      <c r="FCW46" s="76"/>
      <c r="FCX46" s="76"/>
      <c r="FCY46" s="76"/>
      <c r="FCZ46" s="76"/>
      <c r="FDA46" s="76"/>
      <c r="FDB46" s="76"/>
      <c r="FDC46" s="76"/>
      <c r="FDD46" s="76"/>
      <c r="FDE46" s="76"/>
      <c r="FDF46" s="76"/>
      <c r="FDG46" s="76"/>
      <c r="FDH46" s="76"/>
      <c r="FDI46" s="76"/>
      <c r="FDJ46" s="76"/>
      <c r="FDK46" s="76"/>
      <c r="FDL46" s="76"/>
      <c r="FDM46" s="76"/>
      <c r="FDN46" s="76"/>
      <c r="FDO46" s="76"/>
      <c r="FDP46" s="76"/>
      <c r="FDQ46" s="76"/>
      <c r="FDR46" s="76"/>
      <c r="FDS46" s="76"/>
      <c r="FDT46" s="76"/>
      <c r="FDU46" s="76"/>
      <c r="FDV46" s="76"/>
      <c r="FDW46" s="76"/>
      <c r="FDX46" s="76"/>
      <c r="FDY46" s="76"/>
      <c r="FDZ46" s="76"/>
      <c r="FEA46" s="76"/>
      <c r="FEB46" s="76"/>
      <c r="FEC46" s="76"/>
      <c r="FED46" s="76"/>
      <c r="FEE46" s="76"/>
      <c r="FEF46" s="76"/>
      <c r="FEG46" s="76"/>
      <c r="FEH46" s="76"/>
      <c r="FEI46" s="76"/>
      <c r="FEJ46" s="76"/>
      <c r="FEK46" s="76"/>
      <c r="FEL46" s="76"/>
      <c r="FEM46" s="76"/>
      <c r="FEN46" s="76"/>
      <c r="FEO46" s="76"/>
      <c r="FEP46" s="76"/>
      <c r="FEQ46" s="76"/>
      <c r="FER46" s="76"/>
      <c r="FES46" s="76"/>
      <c r="FET46" s="76"/>
      <c r="FEU46" s="76"/>
      <c r="FEV46" s="76"/>
      <c r="FEW46" s="76"/>
      <c r="FEX46" s="76"/>
      <c r="FEY46" s="76"/>
      <c r="FEZ46" s="76"/>
      <c r="FFA46" s="76"/>
      <c r="FFB46" s="76"/>
      <c r="FFC46" s="76"/>
      <c r="FFD46" s="76"/>
      <c r="FFE46" s="76"/>
      <c r="FFF46" s="76"/>
      <c r="FFG46" s="76"/>
      <c r="FFH46" s="76"/>
      <c r="FFI46" s="76"/>
      <c r="FFJ46" s="76"/>
      <c r="FFK46" s="76"/>
      <c r="FFL46" s="76"/>
      <c r="FFM46" s="76"/>
      <c r="FFN46" s="76"/>
      <c r="FFO46" s="76"/>
      <c r="FFP46" s="76"/>
      <c r="FFQ46" s="76"/>
      <c r="FFR46" s="76"/>
      <c r="FFS46" s="76"/>
      <c r="FFT46" s="76"/>
      <c r="FFU46" s="76"/>
      <c r="FFV46" s="76"/>
      <c r="FFW46" s="76"/>
      <c r="FFX46" s="76"/>
      <c r="FFY46" s="76"/>
      <c r="FFZ46" s="76"/>
      <c r="FGA46" s="76"/>
      <c r="FGB46" s="76"/>
      <c r="FGC46" s="76"/>
      <c r="FGD46" s="76"/>
      <c r="FGE46" s="76"/>
      <c r="FGF46" s="76"/>
      <c r="FGG46" s="76"/>
      <c r="FGH46" s="76"/>
      <c r="FGI46" s="76"/>
      <c r="FGJ46" s="76"/>
      <c r="FGK46" s="76"/>
      <c r="FGL46" s="76"/>
      <c r="FGM46" s="76"/>
      <c r="FGN46" s="76"/>
      <c r="FGO46" s="76"/>
      <c r="FGP46" s="76"/>
      <c r="FGQ46" s="76"/>
      <c r="FGR46" s="76"/>
      <c r="FGS46" s="76"/>
      <c r="FGT46" s="76"/>
      <c r="FGU46" s="76"/>
      <c r="FGV46" s="76"/>
      <c r="FGW46" s="76"/>
      <c r="FGX46" s="76"/>
      <c r="FGY46" s="76"/>
      <c r="FGZ46" s="76"/>
      <c r="FHA46" s="76"/>
      <c r="FHB46" s="76"/>
      <c r="FHC46" s="76"/>
      <c r="FHD46" s="76"/>
      <c r="FHE46" s="76"/>
      <c r="FHF46" s="76"/>
      <c r="FHG46" s="76"/>
      <c r="FHH46" s="76"/>
      <c r="FHI46" s="76"/>
      <c r="FHJ46" s="76"/>
      <c r="FHK46" s="76"/>
      <c r="FHL46" s="76"/>
      <c r="FHM46" s="76"/>
      <c r="FHN46" s="76"/>
      <c r="FHO46" s="76"/>
      <c r="FHP46" s="76"/>
      <c r="FHQ46" s="76"/>
      <c r="FHR46" s="76"/>
      <c r="FHS46" s="76"/>
      <c r="FHT46" s="76"/>
      <c r="FHU46" s="76"/>
      <c r="FHV46" s="76"/>
      <c r="FHW46" s="76"/>
      <c r="FHX46" s="76"/>
      <c r="FHY46" s="76"/>
      <c r="FHZ46" s="76"/>
      <c r="FIA46" s="76"/>
      <c r="FIB46" s="76"/>
      <c r="FIC46" s="76"/>
      <c r="FID46" s="76"/>
      <c r="FIE46" s="76"/>
      <c r="FIF46" s="76"/>
      <c r="FIG46" s="76"/>
      <c r="FIH46" s="76"/>
      <c r="FII46" s="76"/>
      <c r="FIJ46" s="76"/>
      <c r="FIK46" s="76"/>
      <c r="FIL46" s="76"/>
      <c r="FIM46" s="76"/>
      <c r="FIN46" s="76"/>
      <c r="FIO46" s="76"/>
      <c r="FIP46" s="76"/>
      <c r="FIQ46" s="76"/>
      <c r="FIR46" s="76"/>
      <c r="FIS46" s="76"/>
      <c r="FIT46" s="76"/>
      <c r="FIU46" s="76"/>
      <c r="FIV46" s="76"/>
      <c r="FIW46" s="76"/>
      <c r="FIX46" s="76"/>
      <c r="FIY46" s="76"/>
      <c r="FIZ46" s="76"/>
      <c r="FJA46" s="76"/>
      <c r="FJB46" s="76"/>
      <c r="FJC46" s="76"/>
      <c r="FJD46" s="76"/>
      <c r="FJE46" s="76"/>
      <c r="FJF46" s="76"/>
      <c r="FJG46" s="76"/>
      <c r="FJH46" s="76"/>
      <c r="FJI46" s="76"/>
      <c r="FJJ46" s="76"/>
      <c r="FJK46" s="76"/>
      <c r="FJL46" s="76"/>
      <c r="FJM46" s="76"/>
      <c r="FJN46" s="76"/>
      <c r="FJO46" s="76"/>
      <c r="FJP46" s="76"/>
      <c r="FJQ46" s="76"/>
      <c r="FJR46" s="76"/>
      <c r="FJS46" s="76"/>
      <c r="FJT46" s="76"/>
      <c r="FJU46" s="76"/>
      <c r="FJV46" s="76"/>
      <c r="FJW46" s="76"/>
      <c r="FJX46" s="76"/>
      <c r="FJY46" s="76"/>
      <c r="FJZ46" s="76"/>
      <c r="FKA46" s="76"/>
      <c r="FKB46" s="76"/>
      <c r="FKC46" s="76"/>
      <c r="FKD46" s="76"/>
      <c r="FKE46" s="76"/>
      <c r="FKF46" s="76"/>
      <c r="FKG46" s="76"/>
      <c r="FKH46" s="76"/>
      <c r="FKI46" s="76"/>
      <c r="FKJ46" s="76"/>
      <c r="FKK46" s="76"/>
      <c r="FKL46" s="76"/>
      <c r="FKM46" s="76"/>
      <c r="FKN46" s="76"/>
      <c r="FKO46" s="76"/>
      <c r="FKP46" s="76"/>
      <c r="FKQ46" s="76"/>
      <c r="FKR46" s="76"/>
      <c r="FKS46" s="76"/>
      <c r="FKT46" s="76"/>
      <c r="FKU46" s="76"/>
      <c r="FKV46" s="76"/>
      <c r="FKW46" s="76"/>
      <c r="FKX46" s="76"/>
      <c r="FKY46" s="76"/>
      <c r="FKZ46" s="76"/>
      <c r="FLA46" s="76"/>
      <c r="FLB46" s="76"/>
      <c r="FLC46" s="76"/>
      <c r="FLD46" s="76"/>
      <c r="FLE46" s="76"/>
      <c r="FLF46" s="76"/>
      <c r="FLG46" s="76"/>
      <c r="FLH46" s="76"/>
      <c r="FLI46" s="76"/>
      <c r="FLJ46" s="76"/>
      <c r="FLK46" s="76"/>
      <c r="FLL46" s="76"/>
      <c r="FLM46" s="76"/>
      <c r="FLN46" s="76"/>
      <c r="FLO46" s="76"/>
      <c r="FLP46" s="76"/>
      <c r="FLQ46" s="76"/>
      <c r="FLR46" s="76"/>
      <c r="FLS46" s="76"/>
      <c r="FLT46" s="76"/>
      <c r="FLU46" s="76"/>
      <c r="FLV46" s="76"/>
      <c r="FLW46" s="76"/>
      <c r="FLX46" s="76"/>
      <c r="FLY46" s="76"/>
      <c r="FLZ46" s="76"/>
      <c r="FMA46" s="76"/>
      <c r="FMB46" s="76"/>
      <c r="FMC46" s="76"/>
      <c r="FMD46" s="76"/>
      <c r="FME46" s="76"/>
      <c r="FMF46" s="76"/>
      <c r="FMG46" s="76"/>
      <c r="FMH46" s="76"/>
      <c r="FMI46" s="76"/>
      <c r="FMJ46" s="76"/>
      <c r="FMK46" s="76"/>
      <c r="FML46" s="76"/>
      <c r="FMM46" s="76"/>
      <c r="FMN46" s="76"/>
      <c r="FMO46" s="76"/>
      <c r="FMP46" s="76"/>
      <c r="FMQ46" s="76"/>
      <c r="FMR46" s="76"/>
      <c r="FMS46" s="76"/>
      <c r="FMT46" s="76"/>
      <c r="FMU46" s="76"/>
      <c r="FMV46" s="76"/>
      <c r="FMW46" s="76"/>
      <c r="FMX46" s="76"/>
      <c r="FMY46" s="76"/>
      <c r="FMZ46" s="76"/>
      <c r="FNA46" s="76"/>
      <c r="FNB46" s="76"/>
      <c r="FNC46" s="76"/>
      <c r="FND46" s="76"/>
      <c r="FNE46" s="76"/>
      <c r="FNF46" s="76"/>
      <c r="FNG46" s="76"/>
      <c r="FNH46" s="76"/>
      <c r="FNI46" s="76"/>
      <c r="FNJ46" s="76"/>
      <c r="FNK46" s="76"/>
      <c r="FNL46" s="76"/>
      <c r="FNM46" s="76"/>
      <c r="FNN46" s="76"/>
      <c r="FNO46" s="76"/>
      <c r="FNP46" s="76"/>
      <c r="FNQ46" s="76"/>
      <c r="FNR46" s="76"/>
      <c r="FNS46" s="76"/>
      <c r="FNT46" s="76"/>
      <c r="FNU46" s="76"/>
      <c r="FNV46" s="76"/>
      <c r="FNW46" s="76"/>
      <c r="FNX46" s="76"/>
      <c r="FNY46" s="76"/>
      <c r="FNZ46" s="76"/>
      <c r="FOA46" s="76"/>
      <c r="FOB46" s="76"/>
      <c r="FOC46" s="76"/>
      <c r="FOD46" s="76"/>
      <c r="FOE46" s="76"/>
      <c r="FOF46" s="76"/>
      <c r="FOG46" s="76"/>
      <c r="FOH46" s="76"/>
      <c r="FOI46" s="76"/>
      <c r="FOJ46" s="76"/>
      <c r="FOK46" s="76"/>
      <c r="FOL46" s="76"/>
      <c r="FOM46" s="76"/>
      <c r="FON46" s="76"/>
      <c r="FOO46" s="76"/>
      <c r="FOP46" s="76"/>
      <c r="FOQ46" s="76"/>
      <c r="FOR46" s="76"/>
      <c r="FOS46" s="76"/>
      <c r="FOT46" s="76"/>
      <c r="FOU46" s="76"/>
      <c r="FOV46" s="76"/>
      <c r="FOW46" s="76"/>
      <c r="FOX46" s="76"/>
      <c r="FOY46" s="76"/>
      <c r="FOZ46" s="76"/>
      <c r="FPA46" s="76"/>
      <c r="FPB46" s="76"/>
      <c r="FPC46" s="76"/>
      <c r="FPD46" s="76"/>
      <c r="FPE46" s="76"/>
      <c r="FPF46" s="76"/>
      <c r="FPG46" s="76"/>
      <c r="FPH46" s="76"/>
      <c r="FPI46" s="76"/>
      <c r="FPJ46" s="76"/>
      <c r="FPK46" s="76"/>
      <c r="FPL46" s="76"/>
      <c r="FPM46" s="76"/>
      <c r="FPN46" s="76"/>
      <c r="FPO46" s="76"/>
      <c r="FPP46" s="76"/>
      <c r="FPQ46" s="76"/>
      <c r="FPR46" s="76"/>
      <c r="FPS46" s="76"/>
      <c r="FPT46" s="76"/>
      <c r="FPU46" s="76"/>
      <c r="FPV46" s="76"/>
      <c r="FPW46" s="76"/>
      <c r="FPX46" s="76"/>
      <c r="FPY46" s="76"/>
      <c r="FPZ46" s="76"/>
      <c r="FQA46" s="76"/>
      <c r="FQB46" s="76"/>
      <c r="FQC46" s="76"/>
      <c r="FQD46" s="76"/>
      <c r="FQE46" s="76"/>
      <c r="FQF46" s="76"/>
      <c r="FQG46" s="76"/>
      <c r="FQH46" s="76"/>
      <c r="FQI46" s="76"/>
      <c r="FQJ46" s="76"/>
      <c r="FQK46" s="76"/>
      <c r="FQL46" s="76"/>
      <c r="FQM46" s="76"/>
      <c r="FQN46" s="76"/>
      <c r="FQO46" s="76"/>
      <c r="FQP46" s="76"/>
      <c r="FQQ46" s="76"/>
      <c r="FQR46" s="76"/>
      <c r="FQS46" s="76"/>
      <c r="FQT46" s="76"/>
      <c r="FQU46" s="76"/>
      <c r="FQV46" s="76"/>
      <c r="FQW46" s="76"/>
      <c r="FQX46" s="76"/>
      <c r="FQY46" s="76"/>
      <c r="FQZ46" s="76"/>
      <c r="FRA46" s="76"/>
      <c r="FRB46" s="76"/>
      <c r="FRC46" s="76"/>
      <c r="FRD46" s="76"/>
      <c r="FRE46" s="76"/>
      <c r="FRF46" s="76"/>
      <c r="FRG46" s="76"/>
      <c r="FRH46" s="76"/>
      <c r="FRI46" s="76"/>
      <c r="FRJ46" s="76"/>
      <c r="FRK46" s="76"/>
      <c r="FRL46" s="76"/>
      <c r="FRM46" s="76"/>
      <c r="FRN46" s="76"/>
      <c r="FRO46" s="76"/>
      <c r="FRP46" s="76"/>
      <c r="FRQ46" s="76"/>
      <c r="FRR46" s="76"/>
      <c r="FRS46" s="76"/>
      <c r="FRT46" s="76"/>
      <c r="FRU46" s="76"/>
      <c r="FRV46" s="76"/>
      <c r="FRW46" s="76"/>
      <c r="FRX46" s="76"/>
      <c r="FRY46" s="76"/>
      <c r="FRZ46" s="76"/>
      <c r="FSA46" s="76"/>
      <c r="FSB46" s="76"/>
      <c r="FSC46" s="76"/>
      <c r="FSD46" s="76"/>
      <c r="FSE46" s="76"/>
      <c r="FSF46" s="76"/>
      <c r="FSG46" s="76"/>
      <c r="FSH46" s="76"/>
      <c r="FSI46" s="76"/>
      <c r="FSJ46" s="76"/>
      <c r="FSK46" s="76"/>
      <c r="FSL46" s="76"/>
      <c r="FSM46" s="76"/>
      <c r="FSN46" s="76"/>
      <c r="FSO46" s="76"/>
      <c r="FSP46" s="76"/>
      <c r="FSQ46" s="76"/>
      <c r="FSR46" s="76"/>
      <c r="FSS46" s="76"/>
      <c r="FST46" s="76"/>
      <c r="FSU46" s="76"/>
      <c r="FSV46" s="76"/>
      <c r="FSW46" s="76"/>
      <c r="FSX46" s="76"/>
      <c r="FSY46" s="76"/>
      <c r="FSZ46" s="76"/>
      <c r="FTA46" s="76"/>
      <c r="FTB46" s="76"/>
      <c r="FTC46" s="76"/>
      <c r="FTD46" s="76"/>
      <c r="FTE46" s="76"/>
      <c r="FTF46" s="76"/>
      <c r="FTG46" s="76"/>
      <c r="FTH46" s="76"/>
      <c r="FTI46" s="76"/>
      <c r="FTJ46" s="76"/>
      <c r="FTK46" s="76"/>
      <c r="FTL46" s="76"/>
      <c r="FTM46" s="76"/>
      <c r="FTN46" s="76"/>
      <c r="FTO46" s="76"/>
      <c r="FTP46" s="76"/>
      <c r="FTQ46" s="76"/>
      <c r="FTR46" s="76"/>
      <c r="FTS46" s="76"/>
      <c r="FTT46" s="76"/>
      <c r="FTU46" s="76"/>
      <c r="FTV46" s="76"/>
      <c r="FTW46" s="76"/>
      <c r="FTX46" s="76"/>
      <c r="FTY46" s="76"/>
      <c r="FTZ46" s="76"/>
      <c r="FUA46" s="76"/>
      <c r="FUB46" s="76"/>
      <c r="FUC46" s="76"/>
      <c r="FUD46" s="76"/>
      <c r="FUE46" s="76"/>
      <c r="FUF46" s="76"/>
      <c r="FUG46" s="76"/>
      <c r="FUH46" s="76"/>
      <c r="FUI46" s="76"/>
      <c r="FUJ46" s="76"/>
      <c r="FUK46" s="76"/>
      <c r="FUL46" s="76"/>
      <c r="FUM46" s="76"/>
      <c r="FUN46" s="76"/>
      <c r="FUO46" s="76"/>
      <c r="FUP46" s="76"/>
      <c r="FUQ46" s="76"/>
      <c r="FUR46" s="76"/>
      <c r="FUS46" s="76"/>
      <c r="FUT46" s="76"/>
      <c r="FUU46" s="76"/>
      <c r="FUV46" s="76"/>
      <c r="FUW46" s="76"/>
      <c r="FUX46" s="76"/>
      <c r="FUY46" s="76"/>
      <c r="FUZ46" s="76"/>
      <c r="FVA46" s="76"/>
      <c r="FVB46" s="76"/>
      <c r="FVC46" s="76"/>
      <c r="FVD46" s="76"/>
      <c r="FVE46" s="76"/>
      <c r="FVF46" s="76"/>
      <c r="FVG46" s="76"/>
      <c r="FVH46" s="76"/>
      <c r="FVI46" s="76"/>
      <c r="FVJ46" s="76"/>
      <c r="FVK46" s="76"/>
      <c r="FVL46" s="76"/>
      <c r="FVM46" s="76"/>
      <c r="FVN46" s="76"/>
      <c r="FVO46" s="76"/>
      <c r="FVP46" s="76"/>
      <c r="FVQ46" s="76"/>
      <c r="FVR46" s="76"/>
      <c r="FVS46" s="76"/>
      <c r="FVT46" s="76"/>
      <c r="FVU46" s="76"/>
      <c r="FVV46" s="76"/>
      <c r="FVW46" s="76"/>
      <c r="FVX46" s="76"/>
      <c r="FVY46" s="76"/>
      <c r="FVZ46" s="76"/>
      <c r="FWA46" s="76"/>
      <c r="FWB46" s="76"/>
      <c r="FWC46" s="76"/>
      <c r="FWD46" s="76"/>
      <c r="FWE46" s="76"/>
      <c r="FWF46" s="76"/>
      <c r="FWG46" s="76"/>
      <c r="FWH46" s="76"/>
      <c r="FWI46" s="76"/>
      <c r="FWJ46" s="76"/>
      <c r="FWK46" s="76"/>
      <c r="FWL46" s="76"/>
      <c r="FWM46" s="76"/>
      <c r="FWN46" s="76"/>
      <c r="FWO46" s="76"/>
      <c r="FWP46" s="76"/>
      <c r="FWQ46" s="76"/>
      <c r="FWR46" s="76"/>
      <c r="FWS46" s="76"/>
      <c r="FWT46" s="76"/>
      <c r="FWU46" s="76"/>
      <c r="FWV46" s="76"/>
      <c r="FWW46" s="76"/>
      <c r="FWX46" s="76"/>
      <c r="FWY46" s="76"/>
      <c r="FWZ46" s="76"/>
      <c r="FXA46" s="76"/>
      <c r="FXB46" s="76"/>
      <c r="FXC46" s="76"/>
      <c r="FXD46" s="76"/>
      <c r="FXE46" s="76"/>
      <c r="FXF46" s="76"/>
      <c r="FXG46" s="76"/>
      <c r="FXH46" s="76"/>
      <c r="FXI46" s="76"/>
      <c r="FXJ46" s="76"/>
      <c r="FXK46" s="76"/>
      <c r="FXL46" s="76"/>
      <c r="FXM46" s="76"/>
      <c r="FXN46" s="76"/>
      <c r="FXO46" s="76"/>
      <c r="FXP46" s="76"/>
      <c r="FXQ46" s="76"/>
      <c r="FXR46" s="76"/>
      <c r="FXS46" s="76"/>
      <c r="FXT46" s="76"/>
      <c r="FXU46" s="76"/>
      <c r="FXV46" s="76"/>
      <c r="FXW46" s="76"/>
      <c r="FXX46" s="76"/>
      <c r="FXY46" s="76"/>
      <c r="FXZ46" s="76"/>
      <c r="FYA46" s="76"/>
      <c r="FYB46" s="76"/>
      <c r="FYC46" s="76"/>
      <c r="FYD46" s="76"/>
      <c r="FYE46" s="76"/>
      <c r="FYF46" s="76"/>
      <c r="FYG46" s="76"/>
      <c r="FYH46" s="76"/>
      <c r="FYI46" s="76"/>
      <c r="FYJ46" s="76"/>
      <c r="FYK46" s="76"/>
      <c r="FYL46" s="76"/>
      <c r="FYM46" s="76"/>
      <c r="FYN46" s="76"/>
      <c r="FYO46" s="76"/>
      <c r="FYP46" s="76"/>
      <c r="FYQ46" s="76"/>
      <c r="FYR46" s="76"/>
      <c r="FYS46" s="76"/>
      <c r="FYT46" s="76"/>
      <c r="FYU46" s="76"/>
      <c r="FYV46" s="76"/>
      <c r="FYW46" s="76"/>
      <c r="FYX46" s="76"/>
      <c r="FYY46" s="76"/>
      <c r="FYZ46" s="76"/>
      <c r="FZA46" s="76"/>
      <c r="FZB46" s="76"/>
      <c r="FZC46" s="76"/>
      <c r="FZD46" s="76"/>
      <c r="FZE46" s="76"/>
      <c r="FZF46" s="76"/>
      <c r="FZG46" s="76"/>
      <c r="FZH46" s="76"/>
      <c r="FZI46" s="76"/>
      <c r="FZJ46" s="76"/>
      <c r="FZK46" s="76"/>
      <c r="FZL46" s="76"/>
      <c r="FZM46" s="76"/>
      <c r="FZN46" s="76"/>
      <c r="FZO46" s="76"/>
      <c r="FZP46" s="76"/>
      <c r="FZQ46" s="76"/>
      <c r="FZR46" s="76"/>
      <c r="FZS46" s="76"/>
      <c r="FZT46" s="76"/>
      <c r="FZU46" s="76"/>
      <c r="FZV46" s="76"/>
      <c r="FZW46" s="76"/>
      <c r="FZX46" s="76"/>
      <c r="FZY46" s="76"/>
      <c r="FZZ46" s="76"/>
      <c r="GAA46" s="76"/>
      <c r="GAB46" s="76"/>
      <c r="GAC46" s="76"/>
      <c r="GAD46" s="76"/>
      <c r="GAE46" s="76"/>
      <c r="GAF46" s="76"/>
      <c r="GAG46" s="76"/>
      <c r="GAH46" s="76"/>
      <c r="GAI46" s="76"/>
      <c r="GAJ46" s="76"/>
      <c r="GAK46" s="76"/>
      <c r="GAL46" s="76"/>
      <c r="GAM46" s="76"/>
      <c r="GAN46" s="76"/>
      <c r="GAO46" s="76"/>
      <c r="GAP46" s="76"/>
      <c r="GAQ46" s="76"/>
      <c r="GAR46" s="76"/>
      <c r="GAS46" s="76"/>
      <c r="GAT46" s="76"/>
      <c r="GAU46" s="76"/>
      <c r="GAV46" s="76"/>
      <c r="GAW46" s="76"/>
      <c r="GAX46" s="76"/>
      <c r="GAY46" s="76"/>
      <c r="GAZ46" s="76"/>
      <c r="GBA46" s="76"/>
      <c r="GBB46" s="76"/>
      <c r="GBC46" s="76"/>
      <c r="GBD46" s="76"/>
      <c r="GBE46" s="76"/>
      <c r="GBF46" s="76"/>
      <c r="GBG46" s="76"/>
      <c r="GBH46" s="76"/>
      <c r="GBI46" s="76"/>
      <c r="GBJ46" s="76"/>
      <c r="GBK46" s="76"/>
      <c r="GBL46" s="76"/>
      <c r="GBM46" s="76"/>
      <c r="GBN46" s="76"/>
      <c r="GBO46" s="76"/>
      <c r="GBP46" s="76"/>
      <c r="GBQ46" s="76"/>
      <c r="GBR46" s="76"/>
      <c r="GBS46" s="76"/>
      <c r="GBT46" s="76"/>
      <c r="GBU46" s="76"/>
      <c r="GBV46" s="76"/>
      <c r="GBW46" s="76"/>
      <c r="GBX46" s="76"/>
      <c r="GBY46" s="76"/>
      <c r="GBZ46" s="76"/>
      <c r="GCA46" s="76"/>
      <c r="GCB46" s="76"/>
      <c r="GCC46" s="76"/>
      <c r="GCD46" s="76"/>
      <c r="GCE46" s="76"/>
      <c r="GCF46" s="76"/>
      <c r="GCG46" s="76"/>
      <c r="GCH46" s="76"/>
      <c r="GCI46" s="76"/>
      <c r="GCJ46" s="76"/>
      <c r="GCK46" s="76"/>
      <c r="GCL46" s="76"/>
      <c r="GCM46" s="76"/>
      <c r="GCN46" s="76"/>
      <c r="GCO46" s="76"/>
      <c r="GCP46" s="76"/>
      <c r="GCQ46" s="76"/>
      <c r="GCR46" s="76"/>
      <c r="GCS46" s="76"/>
      <c r="GCT46" s="76"/>
      <c r="GCU46" s="76"/>
      <c r="GCV46" s="76"/>
      <c r="GCW46" s="76"/>
      <c r="GCX46" s="76"/>
      <c r="GCY46" s="76"/>
      <c r="GCZ46" s="76"/>
      <c r="GDA46" s="76"/>
      <c r="GDB46" s="76"/>
      <c r="GDC46" s="76"/>
      <c r="GDD46" s="76"/>
      <c r="GDE46" s="76"/>
      <c r="GDF46" s="76"/>
      <c r="GDG46" s="76"/>
      <c r="GDH46" s="76"/>
      <c r="GDI46" s="76"/>
      <c r="GDJ46" s="76"/>
      <c r="GDK46" s="76"/>
      <c r="GDL46" s="76"/>
      <c r="GDM46" s="76"/>
      <c r="GDN46" s="76"/>
      <c r="GDO46" s="76"/>
      <c r="GDP46" s="76"/>
      <c r="GDQ46" s="76"/>
      <c r="GDR46" s="76"/>
      <c r="GDS46" s="76"/>
      <c r="GDT46" s="76"/>
      <c r="GDU46" s="76"/>
      <c r="GDV46" s="76"/>
      <c r="GDW46" s="76"/>
      <c r="GDX46" s="76"/>
      <c r="GDY46" s="76"/>
      <c r="GDZ46" s="76"/>
      <c r="GEA46" s="76"/>
      <c r="GEB46" s="76"/>
      <c r="GEC46" s="76"/>
      <c r="GED46" s="76"/>
      <c r="GEE46" s="76"/>
      <c r="GEF46" s="76"/>
      <c r="GEG46" s="76"/>
      <c r="GEH46" s="76"/>
      <c r="GEI46" s="76"/>
      <c r="GEJ46" s="76"/>
      <c r="GEK46" s="76"/>
      <c r="GEL46" s="76"/>
      <c r="GEM46" s="76"/>
      <c r="GEN46" s="76"/>
      <c r="GEO46" s="76"/>
      <c r="GEP46" s="76"/>
      <c r="GEQ46" s="76"/>
      <c r="GER46" s="76"/>
      <c r="GES46" s="76"/>
      <c r="GET46" s="76"/>
      <c r="GEU46" s="76"/>
      <c r="GEV46" s="76"/>
      <c r="GEW46" s="76"/>
      <c r="GEX46" s="76"/>
      <c r="GEY46" s="76"/>
      <c r="GEZ46" s="76"/>
      <c r="GFA46" s="76"/>
      <c r="GFB46" s="76"/>
      <c r="GFC46" s="76"/>
      <c r="GFD46" s="76"/>
      <c r="GFE46" s="76"/>
      <c r="GFF46" s="76"/>
      <c r="GFG46" s="76"/>
      <c r="GFH46" s="76"/>
      <c r="GFI46" s="76"/>
      <c r="GFJ46" s="76"/>
      <c r="GFK46" s="76"/>
      <c r="GFL46" s="76"/>
      <c r="GFM46" s="76"/>
      <c r="GFN46" s="76"/>
      <c r="GFO46" s="76"/>
      <c r="GFP46" s="76"/>
      <c r="GFQ46" s="76"/>
      <c r="GFR46" s="76"/>
      <c r="GFS46" s="76"/>
      <c r="GFT46" s="76"/>
      <c r="GFU46" s="76"/>
      <c r="GFV46" s="76"/>
      <c r="GFW46" s="76"/>
      <c r="GFX46" s="76"/>
      <c r="GFY46" s="76"/>
      <c r="GFZ46" s="76"/>
      <c r="GGA46" s="76"/>
      <c r="GGB46" s="76"/>
      <c r="GGC46" s="76"/>
      <c r="GGD46" s="76"/>
      <c r="GGE46" s="76"/>
      <c r="GGF46" s="76"/>
      <c r="GGG46" s="76"/>
      <c r="GGH46" s="76"/>
      <c r="GGI46" s="76"/>
      <c r="GGJ46" s="76"/>
      <c r="GGK46" s="76"/>
      <c r="GGL46" s="76"/>
      <c r="GGM46" s="76"/>
      <c r="GGN46" s="76"/>
      <c r="GGO46" s="76"/>
      <c r="GGP46" s="76"/>
      <c r="GGQ46" s="76"/>
      <c r="GGR46" s="76"/>
      <c r="GGS46" s="76"/>
      <c r="GGT46" s="76"/>
      <c r="GGU46" s="76"/>
      <c r="GGV46" s="76"/>
      <c r="GGW46" s="76"/>
      <c r="GGX46" s="76"/>
      <c r="GGY46" s="76"/>
      <c r="GGZ46" s="76"/>
      <c r="GHA46" s="76"/>
      <c r="GHB46" s="76"/>
      <c r="GHC46" s="76"/>
      <c r="GHD46" s="76"/>
      <c r="GHE46" s="76"/>
      <c r="GHF46" s="76"/>
      <c r="GHG46" s="76"/>
      <c r="GHH46" s="76"/>
      <c r="GHI46" s="76"/>
      <c r="GHJ46" s="76"/>
      <c r="GHK46" s="76"/>
      <c r="GHL46" s="76"/>
      <c r="GHM46" s="76"/>
      <c r="GHN46" s="76"/>
      <c r="GHO46" s="76"/>
      <c r="GHP46" s="76"/>
      <c r="GHQ46" s="76"/>
      <c r="GHR46" s="76"/>
      <c r="GHS46" s="76"/>
      <c r="GHT46" s="76"/>
      <c r="GHU46" s="76"/>
      <c r="GHV46" s="76"/>
      <c r="GHW46" s="76"/>
      <c r="GHX46" s="76"/>
      <c r="GHY46" s="76"/>
      <c r="GHZ46" s="76"/>
      <c r="GIA46" s="76"/>
      <c r="GIB46" s="76"/>
      <c r="GIC46" s="76"/>
      <c r="GID46" s="76"/>
      <c r="GIE46" s="76"/>
      <c r="GIF46" s="76"/>
      <c r="GIG46" s="76"/>
      <c r="GIH46" s="76"/>
      <c r="GII46" s="76"/>
      <c r="GIJ46" s="76"/>
      <c r="GIK46" s="76"/>
      <c r="GIL46" s="76"/>
      <c r="GIM46" s="76"/>
      <c r="GIN46" s="76"/>
      <c r="GIO46" s="76"/>
      <c r="GIP46" s="76"/>
      <c r="GIQ46" s="76"/>
      <c r="GIR46" s="76"/>
      <c r="GIS46" s="76"/>
      <c r="GIT46" s="76"/>
      <c r="GIU46" s="76"/>
      <c r="GIV46" s="76"/>
      <c r="GIW46" s="76"/>
      <c r="GIX46" s="76"/>
      <c r="GIY46" s="76"/>
      <c r="GIZ46" s="76"/>
      <c r="GJA46" s="76"/>
      <c r="GJB46" s="76"/>
      <c r="GJC46" s="76"/>
      <c r="GJD46" s="76"/>
      <c r="GJE46" s="76"/>
      <c r="GJF46" s="76"/>
      <c r="GJG46" s="76"/>
      <c r="GJH46" s="76"/>
      <c r="GJI46" s="76"/>
      <c r="GJJ46" s="76"/>
      <c r="GJK46" s="76"/>
      <c r="GJL46" s="76"/>
      <c r="GJM46" s="76"/>
      <c r="GJN46" s="76"/>
      <c r="GJO46" s="76"/>
      <c r="GJP46" s="76"/>
      <c r="GJQ46" s="76"/>
      <c r="GJR46" s="76"/>
      <c r="GJS46" s="76"/>
      <c r="GJT46" s="76"/>
      <c r="GJU46" s="76"/>
      <c r="GJV46" s="76"/>
      <c r="GJW46" s="76"/>
      <c r="GJX46" s="76"/>
      <c r="GJY46" s="76"/>
      <c r="GJZ46" s="76"/>
      <c r="GKA46" s="76"/>
      <c r="GKB46" s="76"/>
      <c r="GKC46" s="76"/>
      <c r="GKD46" s="76"/>
      <c r="GKE46" s="76"/>
      <c r="GKF46" s="76"/>
      <c r="GKG46" s="76"/>
      <c r="GKH46" s="76"/>
      <c r="GKI46" s="76"/>
      <c r="GKJ46" s="76"/>
      <c r="GKK46" s="76"/>
      <c r="GKL46" s="76"/>
      <c r="GKM46" s="76"/>
      <c r="GKN46" s="76"/>
      <c r="GKO46" s="76"/>
      <c r="GKP46" s="76"/>
      <c r="GKQ46" s="76"/>
      <c r="GKR46" s="76"/>
      <c r="GKS46" s="76"/>
      <c r="GKT46" s="76"/>
      <c r="GKU46" s="76"/>
      <c r="GKV46" s="76"/>
      <c r="GKW46" s="76"/>
      <c r="GKX46" s="76"/>
      <c r="GKY46" s="76"/>
      <c r="GKZ46" s="76"/>
      <c r="GLA46" s="76"/>
      <c r="GLB46" s="76"/>
      <c r="GLC46" s="76"/>
      <c r="GLD46" s="76"/>
      <c r="GLE46" s="76"/>
      <c r="GLF46" s="76"/>
      <c r="GLG46" s="76"/>
      <c r="GLH46" s="76"/>
      <c r="GLI46" s="76"/>
      <c r="GLJ46" s="76"/>
      <c r="GLK46" s="76"/>
      <c r="GLL46" s="76"/>
      <c r="GLM46" s="76"/>
      <c r="GLN46" s="76"/>
      <c r="GLO46" s="76"/>
      <c r="GLP46" s="76"/>
      <c r="GLQ46" s="76"/>
      <c r="GLR46" s="76"/>
      <c r="GLS46" s="76"/>
      <c r="GLT46" s="76"/>
      <c r="GLU46" s="76"/>
      <c r="GLV46" s="76"/>
      <c r="GLW46" s="76"/>
      <c r="GLX46" s="76"/>
      <c r="GLY46" s="76"/>
      <c r="GLZ46" s="76"/>
      <c r="GMA46" s="76"/>
      <c r="GMB46" s="76"/>
      <c r="GMC46" s="76"/>
      <c r="GMD46" s="76"/>
      <c r="GME46" s="76"/>
      <c r="GMF46" s="76"/>
      <c r="GMG46" s="76"/>
      <c r="GMH46" s="76"/>
      <c r="GMI46" s="76"/>
      <c r="GMJ46" s="76"/>
      <c r="GMK46" s="76"/>
      <c r="GML46" s="76"/>
      <c r="GMM46" s="76"/>
      <c r="GMN46" s="76"/>
      <c r="GMO46" s="76"/>
      <c r="GMP46" s="76"/>
      <c r="GMQ46" s="76"/>
      <c r="GMR46" s="76"/>
      <c r="GMS46" s="76"/>
      <c r="GMT46" s="76"/>
      <c r="GMU46" s="76"/>
      <c r="GMV46" s="76"/>
      <c r="GMW46" s="76"/>
      <c r="GMX46" s="76"/>
      <c r="GMY46" s="76"/>
      <c r="GMZ46" s="76"/>
      <c r="GNA46" s="76"/>
      <c r="GNB46" s="76"/>
      <c r="GNC46" s="76"/>
      <c r="GND46" s="76"/>
      <c r="GNE46" s="76"/>
      <c r="GNF46" s="76"/>
      <c r="GNG46" s="76"/>
      <c r="GNH46" s="76"/>
      <c r="GNI46" s="76"/>
      <c r="GNJ46" s="76"/>
      <c r="GNK46" s="76"/>
      <c r="GNL46" s="76"/>
      <c r="GNM46" s="76"/>
      <c r="GNN46" s="76"/>
      <c r="GNO46" s="76"/>
      <c r="GNP46" s="76"/>
      <c r="GNQ46" s="76"/>
      <c r="GNR46" s="76"/>
      <c r="GNS46" s="76"/>
      <c r="GNT46" s="76"/>
      <c r="GNU46" s="76"/>
      <c r="GNV46" s="76"/>
      <c r="GNW46" s="76"/>
      <c r="GNX46" s="76"/>
      <c r="GNY46" s="76"/>
      <c r="GNZ46" s="76"/>
      <c r="GOA46" s="76"/>
      <c r="GOB46" s="76"/>
      <c r="GOC46" s="76"/>
      <c r="GOD46" s="76"/>
      <c r="GOE46" s="76"/>
      <c r="GOF46" s="76"/>
      <c r="GOG46" s="76"/>
      <c r="GOH46" s="76"/>
      <c r="GOI46" s="76"/>
      <c r="GOJ46" s="76"/>
      <c r="GOK46" s="76"/>
      <c r="GOL46" s="76"/>
      <c r="GOM46" s="76"/>
      <c r="GON46" s="76"/>
      <c r="GOO46" s="76"/>
      <c r="GOP46" s="76"/>
      <c r="GOQ46" s="76"/>
      <c r="GOR46" s="76"/>
      <c r="GOS46" s="76"/>
      <c r="GOT46" s="76"/>
      <c r="GOU46" s="76"/>
      <c r="GOV46" s="76"/>
      <c r="GOW46" s="76"/>
      <c r="GOX46" s="76"/>
      <c r="GOY46" s="76"/>
      <c r="GOZ46" s="76"/>
      <c r="GPA46" s="76"/>
      <c r="GPB46" s="76"/>
      <c r="GPC46" s="76"/>
      <c r="GPD46" s="76"/>
      <c r="GPE46" s="76"/>
      <c r="GPF46" s="76"/>
      <c r="GPG46" s="76"/>
      <c r="GPH46" s="76"/>
      <c r="GPI46" s="76"/>
      <c r="GPJ46" s="76"/>
      <c r="GPK46" s="76"/>
      <c r="GPL46" s="76"/>
      <c r="GPM46" s="76"/>
      <c r="GPN46" s="76"/>
      <c r="GPO46" s="76"/>
      <c r="GPP46" s="76"/>
      <c r="GPQ46" s="76"/>
      <c r="GPR46" s="76"/>
      <c r="GPS46" s="76"/>
      <c r="GPT46" s="76"/>
      <c r="GPU46" s="76"/>
      <c r="GPV46" s="76"/>
      <c r="GPW46" s="76"/>
      <c r="GPX46" s="76"/>
      <c r="GPY46" s="76"/>
      <c r="GPZ46" s="76"/>
      <c r="GQA46" s="76"/>
      <c r="GQB46" s="76"/>
      <c r="GQC46" s="76"/>
      <c r="GQD46" s="76"/>
      <c r="GQE46" s="76"/>
      <c r="GQF46" s="76"/>
      <c r="GQG46" s="76"/>
      <c r="GQH46" s="76"/>
      <c r="GQI46" s="76"/>
      <c r="GQJ46" s="76"/>
      <c r="GQK46" s="76"/>
      <c r="GQL46" s="76"/>
      <c r="GQM46" s="76"/>
      <c r="GQN46" s="76"/>
      <c r="GQO46" s="76"/>
      <c r="GQP46" s="76"/>
      <c r="GQQ46" s="76"/>
      <c r="GQR46" s="76"/>
      <c r="GQS46" s="76"/>
      <c r="GQT46" s="76"/>
      <c r="GQU46" s="76"/>
      <c r="GQV46" s="76"/>
      <c r="GQW46" s="76"/>
      <c r="GQX46" s="76"/>
      <c r="GQY46" s="76"/>
      <c r="GQZ46" s="76"/>
      <c r="GRA46" s="76"/>
      <c r="GRB46" s="76"/>
      <c r="GRC46" s="76"/>
      <c r="GRD46" s="76"/>
      <c r="GRE46" s="76"/>
      <c r="GRF46" s="76"/>
      <c r="GRG46" s="76"/>
      <c r="GRH46" s="76"/>
      <c r="GRI46" s="76"/>
      <c r="GRJ46" s="76"/>
      <c r="GRK46" s="76"/>
      <c r="GRL46" s="76"/>
      <c r="GRM46" s="76"/>
      <c r="GRN46" s="76"/>
      <c r="GRO46" s="76"/>
      <c r="GRP46" s="76"/>
      <c r="GRQ46" s="76"/>
      <c r="GRR46" s="76"/>
      <c r="GRS46" s="76"/>
      <c r="GRT46" s="76"/>
      <c r="GRU46" s="76"/>
      <c r="GRV46" s="76"/>
      <c r="GRW46" s="76"/>
      <c r="GRX46" s="76"/>
      <c r="GRY46" s="76"/>
      <c r="GRZ46" s="76"/>
      <c r="GSA46" s="76"/>
      <c r="GSB46" s="76"/>
      <c r="GSC46" s="76"/>
      <c r="GSD46" s="76"/>
      <c r="GSE46" s="76"/>
      <c r="GSF46" s="76"/>
      <c r="GSG46" s="76"/>
      <c r="GSH46" s="76"/>
      <c r="GSI46" s="76"/>
      <c r="GSJ46" s="76"/>
      <c r="GSK46" s="76"/>
      <c r="GSL46" s="76"/>
      <c r="GSM46" s="76"/>
      <c r="GSN46" s="76"/>
      <c r="GSO46" s="76"/>
      <c r="GSP46" s="76"/>
      <c r="GSQ46" s="76"/>
      <c r="GSR46" s="76"/>
      <c r="GSS46" s="76"/>
      <c r="GST46" s="76"/>
      <c r="GSU46" s="76"/>
      <c r="GSV46" s="76"/>
      <c r="GSW46" s="76"/>
      <c r="GSX46" s="76"/>
      <c r="GSY46" s="76"/>
      <c r="GSZ46" s="76"/>
      <c r="GTA46" s="76"/>
      <c r="GTB46" s="76"/>
      <c r="GTC46" s="76"/>
      <c r="GTD46" s="76"/>
      <c r="GTE46" s="76"/>
      <c r="GTF46" s="76"/>
      <c r="GTG46" s="76"/>
      <c r="GTH46" s="76"/>
      <c r="GTI46" s="76"/>
      <c r="GTJ46" s="76"/>
      <c r="GTK46" s="76"/>
      <c r="GTL46" s="76"/>
      <c r="GTM46" s="76"/>
      <c r="GTN46" s="76"/>
      <c r="GTO46" s="76"/>
      <c r="GTP46" s="76"/>
      <c r="GTQ46" s="76"/>
      <c r="GTR46" s="76"/>
      <c r="GTS46" s="76"/>
      <c r="GTT46" s="76"/>
      <c r="GTU46" s="76"/>
      <c r="GTV46" s="76"/>
      <c r="GTW46" s="76"/>
      <c r="GTX46" s="76"/>
      <c r="GTY46" s="76"/>
      <c r="GTZ46" s="76"/>
      <c r="GUA46" s="76"/>
      <c r="GUB46" s="76"/>
      <c r="GUC46" s="76"/>
      <c r="GUD46" s="76"/>
      <c r="GUE46" s="76"/>
      <c r="GUF46" s="76"/>
      <c r="GUG46" s="76"/>
      <c r="GUH46" s="76"/>
      <c r="GUI46" s="76"/>
      <c r="GUJ46" s="76"/>
      <c r="GUK46" s="76"/>
      <c r="GUL46" s="76"/>
      <c r="GUM46" s="76"/>
      <c r="GUN46" s="76"/>
      <c r="GUO46" s="76"/>
      <c r="GUP46" s="76"/>
      <c r="GUQ46" s="76"/>
      <c r="GUR46" s="76"/>
      <c r="GUS46" s="76"/>
      <c r="GUT46" s="76"/>
      <c r="GUU46" s="76"/>
      <c r="GUV46" s="76"/>
      <c r="GUW46" s="76"/>
      <c r="GUX46" s="76"/>
      <c r="GUY46" s="76"/>
      <c r="GUZ46" s="76"/>
      <c r="GVA46" s="76"/>
      <c r="GVB46" s="76"/>
      <c r="GVC46" s="76"/>
      <c r="GVD46" s="76"/>
      <c r="GVE46" s="76"/>
      <c r="GVF46" s="76"/>
      <c r="GVG46" s="76"/>
      <c r="GVH46" s="76"/>
      <c r="GVI46" s="76"/>
      <c r="GVJ46" s="76"/>
      <c r="GVK46" s="76"/>
      <c r="GVL46" s="76"/>
      <c r="GVM46" s="76"/>
      <c r="GVN46" s="76"/>
      <c r="GVO46" s="76"/>
      <c r="GVP46" s="76"/>
      <c r="GVQ46" s="76"/>
      <c r="GVR46" s="76"/>
      <c r="GVS46" s="76"/>
      <c r="GVT46" s="76"/>
      <c r="GVU46" s="76"/>
      <c r="GVV46" s="76"/>
      <c r="GVW46" s="76"/>
      <c r="GVX46" s="76"/>
      <c r="GVY46" s="76"/>
      <c r="GVZ46" s="76"/>
      <c r="GWA46" s="76"/>
      <c r="GWB46" s="76"/>
      <c r="GWC46" s="76"/>
      <c r="GWD46" s="76"/>
      <c r="GWE46" s="76"/>
      <c r="GWF46" s="76"/>
      <c r="GWG46" s="76"/>
      <c r="GWH46" s="76"/>
      <c r="GWI46" s="76"/>
      <c r="GWJ46" s="76"/>
      <c r="GWK46" s="76"/>
      <c r="GWL46" s="76"/>
      <c r="GWM46" s="76"/>
      <c r="GWN46" s="76"/>
      <c r="GWO46" s="76"/>
      <c r="GWP46" s="76"/>
      <c r="GWQ46" s="76"/>
      <c r="GWR46" s="76"/>
      <c r="GWS46" s="76"/>
      <c r="GWT46" s="76"/>
      <c r="GWU46" s="76"/>
      <c r="GWV46" s="76"/>
      <c r="GWW46" s="76"/>
      <c r="GWX46" s="76"/>
      <c r="GWY46" s="76"/>
      <c r="GWZ46" s="76"/>
      <c r="GXA46" s="76"/>
      <c r="GXB46" s="76"/>
      <c r="GXC46" s="76"/>
      <c r="GXD46" s="76"/>
      <c r="GXE46" s="76"/>
      <c r="GXF46" s="76"/>
      <c r="GXG46" s="76"/>
      <c r="GXH46" s="76"/>
      <c r="GXI46" s="76"/>
      <c r="GXJ46" s="76"/>
      <c r="GXK46" s="76"/>
      <c r="GXL46" s="76"/>
      <c r="GXM46" s="76"/>
      <c r="GXN46" s="76"/>
      <c r="GXO46" s="76"/>
      <c r="GXP46" s="76"/>
      <c r="GXQ46" s="76"/>
      <c r="GXR46" s="76"/>
      <c r="GXS46" s="76"/>
      <c r="GXT46" s="76"/>
      <c r="GXU46" s="76"/>
      <c r="GXV46" s="76"/>
      <c r="GXW46" s="76"/>
      <c r="GXX46" s="76"/>
      <c r="GXY46" s="76"/>
      <c r="GXZ46" s="76"/>
      <c r="GYA46" s="76"/>
      <c r="GYB46" s="76"/>
      <c r="GYC46" s="76"/>
      <c r="GYD46" s="76"/>
      <c r="GYE46" s="76"/>
      <c r="GYF46" s="76"/>
      <c r="GYG46" s="76"/>
      <c r="GYH46" s="76"/>
      <c r="GYI46" s="76"/>
      <c r="GYJ46" s="76"/>
      <c r="GYK46" s="76"/>
      <c r="GYL46" s="76"/>
      <c r="GYM46" s="76"/>
      <c r="GYN46" s="76"/>
      <c r="GYO46" s="76"/>
      <c r="GYP46" s="76"/>
      <c r="GYQ46" s="76"/>
      <c r="GYR46" s="76"/>
      <c r="GYS46" s="76"/>
      <c r="GYT46" s="76"/>
      <c r="GYU46" s="76"/>
      <c r="GYV46" s="76"/>
      <c r="GYW46" s="76"/>
      <c r="GYX46" s="76"/>
      <c r="GYY46" s="76"/>
      <c r="GYZ46" s="76"/>
      <c r="GZA46" s="76"/>
      <c r="GZB46" s="76"/>
      <c r="GZC46" s="76"/>
      <c r="GZD46" s="76"/>
      <c r="GZE46" s="76"/>
      <c r="GZF46" s="76"/>
      <c r="GZG46" s="76"/>
      <c r="GZH46" s="76"/>
      <c r="GZI46" s="76"/>
      <c r="GZJ46" s="76"/>
      <c r="GZK46" s="76"/>
      <c r="GZL46" s="76"/>
      <c r="GZM46" s="76"/>
      <c r="GZN46" s="76"/>
      <c r="GZO46" s="76"/>
      <c r="GZP46" s="76"/>
      <c r="GZQ46" s="76"/>
      <c r="GZR46" s="76"/>
      <c r="GZS46" s="76"/>
      <c r="GZT46" s="76"/>
      <c r="GZU46" s="76"/>
      <c r="GZV46" s="76"/>
      <c r="GZW46" s="76"/>
      <c r="GZX46" s="76"/>
      <c r="GZY46" s="76"/>
      <c r="GZZ46" s="76"/>
      <c r="HAA46" s="76"/>
      <c r="HAB46" s="76"/>
      <c r="HAC46" s="76"/>
      <c r="HAD46" s="76"/>
      <c r="HAE46" s="76"/>
      <c r="HAF46" s="76"/>
      <c r="HAG46" s="76"/>
      <c r="HAH46" s="76"/>
      <c r="HAI46" s="76"/>
      <c r="HAJ46" s="76"/>
      <c r="HAK46" s="76"/>
      <c r="HAL46" s="76"/>
      <c r="HAM46" s="76"/>
      <c r="HAN46" s="76"/>
      <c r="HAO46" s="76"/>
      <c r="HAP46" s="76"/>
      <c r="HAQ46" s="76"/>
      <c r="HAR46" s="76"/>
      <c r="HAS46" s="76"/>
      <c r="HAT46" s="76"/>
      <c r="HAU46" s="76"/>
      <c r="HAV46" s="76"/>
      <c r="HAW46" s="76"/>
      <c r="HAX46" s="76"/>
      <c r="HAY46" s="76"/>
      <c r="HAZ46" s="76"/>
      <c r="HBA46" s="76"/>
      <c r="HBB46" s="76"/>
      <c r="HBC46" s="76"/>
      <c r="HBD46" s="76"/>
      <c r="HBE46" s="76"/>
      <c r="HBF46" s="76"/>
      <c r="HBG46" s="76"/>
      <c r="HBH46" s="76"/>
      <c r="HBI46" s="76"/>
      <c r="HBJ46" s="76"/>
      <c r="HBK46" s="76"/>
      <c r="HBL46" s="76"/>
      <c r="HBM46" s="76"/>
      <c r="HBN46" s="76"/>
      <c r="HBO46" s="76"/>
      <c r="HBP46" s="76"/>
      <c r="HBQ46" s="76"/>
      <c r="HBR46" s="76"/>
      <c r="HBS46" s="76"/>
      <c r="HBT46" s="76"/>
      <c r="HBU46" s="76"/>
      <c r="HBV46" s="76"/>
      <c r="HBW46" s="76"/>
      <c r="HBX46" s="76"/>
      <c r="HBY46" s="76"/>
      <c r="HBZ46" s="76"/>
      <c r="HCA46" s="76"/>
      <c r="HCB46" s="76"/>
      <c r="HCC46" s="76"/>
      <c r="HCD46" s="76"/>
      <c r="HCE46" s="76"/>
      <c r="HCF46" s="76"/>
      <c r="HCG46" s="76"/>
      <c r="HCH46" s="76"/>
      <c r="HCI46" s="76"/>
      <c r="HCJ46" s="76"/>
      <c r="HCK46" s="76"/>
      <c r="HCL46" s="76"/>
      <c r="HCM46" s="76"/>
      <c r="HCN46" s="76"/>
      <c r="HCO46" s="76"/>
      <c r="HCP46" s="76"/>
      <c r="HCQ46" s="76"/>
      <c r="HCR46" s="76"/>
      <c r="HCS46" s="76"/>
      <c r="HCT46" s="76"/>
      <c r="HCU46" s="76"/>
      <c r="HCV46" s="76"/>
      <c r="HCW46" s="76"/>
      <c r="HCX46" s="76"/>
      <c r="HCY46" s="76"/>
      <c r="HCZ46" s="76"/>
      <c r="HDA46" s="76"/>
      <c r="HDB46" s="76"/>
      <c r="HDC46" s="76"/>
      <c r="HDD46" s="76"/>
      <c r="HDE46" s="76"/>
      <c r="HDF46" s="76"/>
      <c r="HDG46" s="76"/>
      <c r="HDH46" s="76"/>
      <c r="HDI46" s="76"/>
      <c r="HDJ46" s="76"/>
      <c r="HDK46" s="76"/>
      <c r="HDL46" s="76"/>
      <c r="HDM46" s="76"/>
      <c r="HDN46" s="76"/>
      <c r="HDO46" s="76"/>
      <c r="HDP46" s="76"/>
      <c r="HDQ46" s="76"/>
      <c r="HDR46" s="76"/>
      <c r="HDS46" s="76"/>
      <c r="HDT46" s="76"/>
      <c r="HDU46" s="76"/>
      <c r="HDV46" s="76"/>
      <c r="HDW46" s="76"/>
      <c r="HDX46" s="76"/>
      <c r="HDY46" s="76"/>
      <c r="HDZ46" s="76"/>
      <c r="HEA46" s="76"/>
      <c r="HEB46" s="76"/>
      <c r="HEC46" s="76"/>
      <c r="HED46" s="76"/>
      <c r="HEE46" s="76"/>
      <c r="HEF46" s="76"/>
      <c r="HEG46" s="76"/>
      <c r="HEH46" s="76"/>
      <c r="HEI46" s="76"/>
      <c r="HEJ46" s="76"/>
      <c r="HEK46" s="76"/>
      <c r="HEL46" s="76"/>
      <c r="HEM46" s="76"/>
      <c r="HEN46" s="76"/>
      <c r="HEO46" s="76"/>
      <c r="HEP46" s="76"/>
      <c r="HEQ46" s="76"/>
      <c r="HER46" s="76"/>
      <c r="HES46" s="76"/>
      <c r="HET46" s="76"/>
      <c r="HEU46" s="76"/>
      <c r="HEV46" s="76"/>
      <c r="HEW46" s="76"/>
      <c r="HEX46" s="76"/>
      <c r="HEY46" s="76"/>
      <c r="HEZ46" s="76"/>
      <c r="HFA46" s="76"/>
      <c r="HFB46" s="76"/>
      <c r="HFC46" s="76"/>
      <c r="HFD46" s="76"/>
      <c r="HFE46" s="76"/>
      <c r="HFF46" s="76"/>
      <c r="HFG46" s="76"/>
      <c r="HFH46" s="76"/>
      <c r="HFI46" s="76"/>
      <c r="HFJ46" s="76"/>
      <c r="HFK46" s="76"/>
      <c r="HFL46" s="76"/>
      <c r="HFM46" s="76"/>
      <c r="HFN46" s="76"/>
      <c r="HFO46" s="76"/>
      <c r="HFP46" s="76"/>
      <c r="HFQ46" s="76"/>
      <c r="HFR46" s="76"/>
      <c r="HFS46" s="76"/>
      <c r="HFT46" s="76"/>
      <c r="HFU46" s="76"/>
      <c r="HFV46" s="76"/>
      <c r="HFW46" s="76"/>
      <c r="HFX46" s="76"/>
      <c r="HFY46" s="76"/>
      <c r="HFZ46" s="76"/>
      <c r="HGA46" s="76"/>
      <c r="HGB46" s="76"/>
      <c r="HGC46" s="76"/>
      <c r="HGD46" s="76"/>
      <c r="HGE46" s="76"/>
      <c r="HGF46" s="76"/>
      <c r="HGG46" s="76"/>
      <c r="HGH46" s="76"/>
      <c r="HGI46" s="76"/>
      <c r="HGJ46" s="76"/>
      <c r="HGK46" s="76"/>
      <c r="HGL46" s="76"/>
      <c r="HGM46" s="76"/>
      <c r="HGN46" s="76"/>
      <c r="HGO46" s="76"/>
      <c r="HGP46" s="76"/>
      <c r="HGQ46" s="76"/>
      <c r="HGR46" s="76"/>
      <c r="HGS46" s="76"/>
      <c r="HGT46" s="76"/>
      <c r="HGU46" s="76"/>
      <c r="HGV46" s="76"/>
      <c r="HGW46" s="76"/>
      <c r="HGX46" s="76"/>
      <c r="HGY46" s="76"/>
      <c r="HGZ46" s="76"/>
      <c r="HHA46" s="76"/>
      <c r="HHB46" s="76"/>
      <c r="HHC46" s="76"/>
      <c r="HHD46" s="76"/>
      <c r="HHE46" s="76"/>
      <c r="HHF46" s="76"/>
      <c r="HHG46" s="76"/>
      <c r="HHH46" s="76"/>
      <c r="HHI46" s="76"/>
      <c r="HHJ46" s="76"/>
      <c r="HHK46" s="76"/>
      <c r="HHL46" s="76"/>
      <c r="HHM46" s="76"/>
      <c r="HHN46" s="76"/>
      <c r="HHO46" s="76"/>
      <c r="HHP46" s="76"/>
      <c r="HHQ46" s="76"/>
      <c r="HHR46" s="76"/>
      <c r="HHS46" s="76"/>
      <c r="HHT46" s="76"/>
      <c r="HHU46" s="76"/>
      <c r="HHV46" s="76"/>
      <c r="HHW46" s="76"/>
      <c r="HHX46" s="76"/>
      <c r="HHY46" s="76"/>
      <c r="HHZ46" s="76"/>
      <c r="HIA46" s="76"/>
      <c r="HIB46" s="76"/>
      <c r="HIC46" s="76"/>
      <c r="HID46" s="76"/>
      <c r="HIE46" s="76"/>
      <c r="HIF46" s="76"/>
      <c r="HIG46" s="76"/>
      <c r="HIH46" s="76"/>
      <c r="HII46" s="76"/>
      <c r="HIJ46" s="76"/>
      <c r="HIK46" s="76"/>
      <c r="HIL46" s="76"/>
      <c r="HIM46" s="76"/>
      <c r="HIN46" s="76"/>
      <c r="HIO46" s="76"/>
      <c r="HIP46" s="76"/>
      <c r="HIQ46" s="76"/>
      <c r="HIR46" s="76"/>
      <c r="HIS46" s="76"/>
      <c r="HIT46" s="76"/>
      <c r="HIU46" s="76"/>
      <c r="HIV46" s="76"/>
      <c r="HIW46" s="76"/>
      <c r="HIX46" s="76"/>
      <c r="HIY46" s="76"/>
      <c r="HIZ46" s="76"/>
      <c r="HJA46" s="76"/>
      <c r="HJB46" s="76"/>
      <c r="HJC46" s="76"/>
      <c r="HJD46" s="76"/>
      <c r="HJE46" s="76"/>
      <c r="HJF46" s="76"/>
      <c r="HJG46" s="76"/>
      <c r="HJH46" s="76"/>
      <c r="HJI46" s="76"/>
      <c r="HJJ46" s="76"/>
      <c r="HJK46" s="76"/>
      <c r="HJL46" s="76"/>
      <c r="HJM46" s="76"/>
      <c r="HJN46" s="76"/>
      <c r="HJO46" s="76"/>
      <c r="HJP46" s="76"/>
      <c r="HJQ46" s="76"/>
      <c r="HJR46" s="76"/>
      <c r="HJS46" s="76"/>
      <c r="HJT46" s="76"/>
      <c r="HJU46" s="76"/>
      <c r="HJV46" s="76"/>
      <c r="HJW46" s="76"/>
      <c r="HJX46" s="76"/>
      <c r="HJY46" s="76"/>
      <c r="HJZ46" s="76"/>
      <c r="HKA46" s="76"/>
      <c r="HKB46" s="76"/>
      <c r="HKC46" s="76"/>
      <c r="HKD46" s="76"/>
      <c r="HKE46" s="76"/>
      <c r="HKF46" s="76"/>
      <c r="HKG46" s="76"/>
      <c r="HKH46" s="76"/>
      <c r="HKI46" s="76"/>
      <c r="HKJ46" s="76"/>
      <c r="HKK46" s="76"/>
      <c r="HKL46" s="76"/>
      <c r="HKM46" s="76"/>
      <c r="HKN46" s="76"/>
      <c r="HKO46" s="76"/>
      <c r="HKP46" s="76"/>
      <c r="HKQ46" s="76"/>
      <c r="HKR46" s="76"/>
      <c r="HKS46" s="76"/>
      <c r="HKT46" s="76"/>
      <c r="HKU46" s="76"/>
      <c r="HKV46" s="76"/>
      <c r="HKW46" s="76"/>
      <c r="HKX46" s="76"/>
      <c r="HKY46" s="76"/>
      <c r="HKZ46" s="76"/>
      <c r="HLA46" s="76"/>
      <c r="HLB46" s="76"/>
      <c r="HLC46" s="76"/>
      <c r="HLD46" s="76"/>
      <c r="HLE46" s="76"/>
      <c r="HLF46" s="76"/>
      <c r="HLG46" s="76"/>
      <c r="HLH46" s="76"/>
      <c r="HLI46" s="76"/>
      <c r="HLJ46" s="76"/>
      <c r="HLK46" s="76"/>
      <c r="HLL46" s="76"/>
      <c r="HLM46" s="76"/>
      <c r="HLN46" s="76"/>
      <c r="HLO46" s="76"/>
      <c r="HLP46" s="76"/>
      <c r="HLQ46" s="76"/>
      <c r="HLR46" s="76"/>
      <c r="HLS46" s="76"/>
      <c r="HLT46" s="76"/>
      <c r="HLU46" s="76"/>
      <c r="HLV46" s="76"/>
      <c r="HLW46" s="76"/>
      <c r="HLX46" s="76"/>
      <c r="HLY46" s="76"/>
      <c r="HLZ46" s="76"/>
      <c r="HMA46" s="76"/>
      <c r="HMB46" s="76"/>
      <c r="HMC46" s="76"/>
      <c r="HMD46" s="76"/>
      <c r="HME46" s="76"/>
      <c r="HMF46" s="76"/>
      <c r="HMG46" s="76"/>
      <c r="HMH46" s="76"/>
      <c r="HMI46" s="76"/>
      <c r="HMJ46" s="76"/>
      <c r="HMK46" s="76"/>
      <c r="HML46" s="76"/>
      <c r="HMM46" s="76"/>
      <c r="HMN46" s="76"/>
      <c r="HMO46" s="76"/>
      <c r="HMP46" s="76"/>
      <c r="HMQ46" s="76"/>
      <c r="HMR46" s="76"/>
      <c r="HMS46" s="76"/>
      <c r="HMT46" s="76"/>
      <c r="HMU46" s="76"/>
      <c r="HMV46" s="76"/>
      <c r="HMW46" s="76"/>
      <c r="HMX46" s="76"/>
      <c r="HMY46" s="76"/>
      <c r="HMZ46" s="76"/>
      <c r="HNA46" s="76"/>
      <c r="HNB46" s="76"/>
      <c r="HNC46" s="76"/>
      <c r="HND46" s="76"/>
      <c r="HNE46" s="76"/>
      <c r="HNF46" s="76"/>
      <c r="HNG46" s="76"/>
      <c r="HNH46" s="76"/>
      <c r="HNI46" s="76"/>
      <c r="HNJ46" s="76"/>
      <c r="HNK46" s="76"/>
      <c r="HNL46" s="76"/>
      <c r="HNM46" s="76"/>
      <c r="HNN46" s="76"/>
      <c r="HNO46" s="76"/>
      <c r="HNP46" s="76"/>
      <c r="HNQ46" s="76"/>
      <c r="HNR46" s="76"/>
      <c r="HNS46" s="76"/>
      <c r="HNT46" s="76"/>
      <c r="HNU46" s="76"/>
      <c r="HNV46" s="76"/>
      <c r="HNW46" s="76"/>
      <c r="HNX46" s="76"/>
      <c r="HNY46" s="76"/>
      <c r="HNZ46" s="76"/>
      <c r="HOA46" s="76"/>
      <c r="HOB46" s="76"/>
      <c r="HOC46" s="76"/>
      <c r="HOD46" s="76"/>
      <c r="HOE46" s="76"/>
      <c r="HOF46" s="76"/>
      <c r="HOG46" s="76"/>
      <c r="HOH46" s="76"/>
      <c r="HOI46" s="76"/>
      <c r="HOJ46" s="76"/>
      <c r="HOK46" s="76"/>
      <c r="HOL46" s="76"/>
      <c r="HOM46" s="76"/>
      <c r="HON46" s="76"/>
      <c r="HOO46" s="76"/>
      <c r="HOP46" s="76"/>
      <c r="HOQ46" s="76"/>
      <c r="HOR46" s="76"/>
      <c r="HOS46" s="76"/>
      <c r="HOT46" s="76"/>
      <c r="HOU46" s="76"/>
      <c r="HOV46" s="76"/>
      <c r="HOW46" s="76"/>
      <c r="HOX46" s="76"/>
      <c r="HOY46" s="76"/>
      <c r="HOZ46" s="76"/>
      <c r="HPA46" s="76"/>
      <c r="HPB46" s="76"/>
      <c r="HPC46" s="76"/>
      <c r="HPD46" s="76"/>
      <c r="HPE46" s="76"/>
      <c r="HPF46" s="76"/>
      <c r="HPG46" s="76"/>
      <c r="HPH46" s="76"/>
      <c r="HPI46" s="76"/>
      <c r="HPJ46" s="76"/>
      <c r="HPK46" s="76"/>
      <c r="HPL46" s="76"/>
      <c r="HPM46" s="76"/>
      <c r="HPN46" s="76"/>
      <c r="HPO46" s="76"/>
      <c r="HPP46" s="76"/>
      <c r="HPQ46" s="76"/>
      <c r="HPR46" s="76"/>
      <c r="HPS46" s="76"/>
      <c r="HPT46" s="76"/>
      <c r="HPU46" s="76"/>
      <c r="HPV46" s="76"/>
      <c r="HPW46" s="76"/>
      <c r="HPX46" s="76"/>
      <c r="HPY46" s="76"/>
      <c r="HPZ46" s="76"/>
      <c r="HQA46" s="76"/>
      <c r="HQB46" s="76"/>
      <c r="HQC46" s="76"/>
      <c r="HQD46" s="76"/>
      <c r="HQE46" s="76"/>
      <c r="HQF46" s="76"/>
      <c r="HQG46" s="76"/>
      <c r="HQH46" s="76"/>
      <c r="HQI46" s="76"/>
      <c r="HQJ46" s="76"/>
      <c r="HQK46" s="76"/>
      <c r="HQL46" s="76"/>
      <c r="HQM46" s="76"/>
      <c r="HQN46" s="76"/>
      <c r="HQO46" s="76"/>
      <c r="HQP46" s="76"/>
      <c r="HQQ46" s="76"/>
      <c r="HQR46" s="76"/>
      <c r="HQS46" s="76"/>
      <c r="HQT46" s="76"/>
      <c r="HQU46" s="76"/>
      <c r="HQV46" s="76"/>
      <c r="HQW46" s="76"/>
      <c r="HQX46" s="76"/>
      <c r="HQY46" s="76"/>
      <c r="HQZ46" s="76"/>
      <c r="HRA46" s="76"/>
      <c r="HRB46" s="76"/>
      <c r="HRC46" s="76"/>
      <c r="HRD46" s="76"/>
      <c r="HRE46" s="76"/>
      <c r="HRF46" s="76"/>
      <c r="HRG46" s="76"/>
      <c r="HRH46" s="76"/>
      <c r="HRI46" s="76"/>
      <c r="HRJ46" s="76"/>
      <c r="HRK46" s="76"/>
      <c r="HRL46" s="76"/>
      <c r="HRM46" s="76"/>
      <c r="HRN46" s="76"/>
      <c r="HRO46" s="76"/>
      <c r="HRP46" s="76"/>
      <c r="HRQ46" s="76"/>
      <c r="HRR46" s="76"/>
      <c r="HRS46" s="76"/>
      <c r="HRT46" s="76"/>
      <c r="HRU46" s="76"/>
      <c r="HRV46" s="76"/>
      <c r="HRW46" s="76"/>
      <c r="HRX46" s="76"/>
      <c r="HRY46" s="76"/>
      <c r="HRZ46" s="76"/>
      <c r="HSA46" s="76"/>
      <c r="HSB46" s="76"/>
      <c r="HSC46" s="76"/>
      <c r="HSD46" s="76"/>
      <c r="HSE46" s="76"/>
      <c r="HSF46" s="76"/>
      <c r="HSG46" s="76"/>
      <c r="HSH46" s="76"/>
      <c r="HSI46" s="76"/>
      <c r="HSJ46" s="76"/>
      <c r="HSK46" s="76"/>
      <c r="HSL46" s="76"/>
      <c r="HSM46" s="76"/>
      <c r="HSN46" s="76"/>
      <c r="HSO46" s="76"/>
      <c r="HSP46" s="76"/>
      <c r="HSQ46" s="76"/>
      <c r="HSR46" s="76"/>
      <c r="HSS46" s="76"/>
      <c r="HST46" s="76"/>
      <c r="HSU46" s="76"/>
      <c r="HSV46" s="76"/>
      <c r="HSW46" s="76"/>
      <c r="HSX46" s="76"/>
      <c r="HSY46" s="76"/>
      <c r="HSZ46" s="76"/>
      <c r="HTA46" s="76"/>
      <c r="HTB46" s="76"/>
      <c r="HTC46" s="76"/>
      <c r="HTD46" s="76"/>
      <c r="HTE46" s="76"/>
      <c r="HTF46" s="76"/>
      <c r="HTG46" s="76"/>
      <c r="HTH46" s="76"/>
      <c r="HTI46" s="76"/>
      <c r="HTJ46" s="76"/>
      <c r="HTK46" s="76"/>
      <c r="HTL46" s="76"/>
      <c r="HTM46" s="76"/>
      <c r="HTN46" s="76"/>
      <c r="HTO46" s="76"/>
      <c r="HTP46" s="76"/>
      <c r="HTQ46" s="76"/>
      <c r="HTR46" s="76"/>
      <c r="HTS46" s="76"/>
      <c r="HTT46" s="76"/>
      <c r="HTU46" s="76"/>
      <c r="HTV46" s="76"/>
      <c r="HTW46" s="76"/>
      <c r="HTX46" s="76"/>
      <c r="HTY46" s="76"/>
      <c r="HTZ46" s="76"/>
      <c r="HUA46" s="76"/>
      <c r="HUB46" s="76"/>
      <c r="HUC46" s="76"/>
      <c r="HUD46" s="76"/>
      <c r="HUE46" s="76"/>
      <c r="HUF46" s="76"/>
      <c r="HUG46" s="76"/>
      <c r="HUH46" s="76"/>
      <c r="HUI46" s="76"/>
      <c r="HUJ46" s="76"/>
      <c r="HUK46" s="76"/>
      <c r="HUL46" s="76"/>
      <c r="HUM46" s="76"/>
      <c r="HUN46" s="76"/>
      <c r="HUO46" s="76"/>
      <c r="HUP46" s="76"/>
      <c r="HUQ46" s="76"/>
      <c r="HUR46" s="76"/>
      <c r="HUS46" s="76"/>
      <c r="HUT46" s="76"/>
      <c r="HUU46" s="76"/>
      <c r="HUV46" s="76"/>
      <c r="HUW46" s="76"/>
      <c r="HUX46" s="76"/>
      <c r="HUY46" s="76"/>
      <c r="HUZ46" s="76"/>
      <c r="HVA46" s="76"/>
      <c r="HVB46" s="76"/>
      <c r="HVC46" s="76"/>
      <c r="HVD46" s="76"/>
      <c r="HVE46" s="76"/>
      <c r="HVF46" s="76"/>
      <c r="HVG46" s="76"/>
      <c r="HVH46" s="76"/>
      <c r="HVI46" s="76"/>
      <c r="HVJ46" s="76"/>
      <c r="HVK46" s="76"/>
      <c r="HVL46" s="76"/>
      <c r="HVM46" s="76"/>
      <c r="HVN46" s="76"/>
      <c r="HVO46" s="76"/>
      <c r="HVP46" s="76"/>
      <c r="HVQ46" s="76"/>
      <c r="HVR46" s="76"/>
      <c r="HVS46" s="76"/>
      <c r="HVT46" s="76"/>
      <c r="HVU46" s="76"/>
      <c r="HVV46" s="76"/>
      <c r="HVW46" s="76"/>
      <c r="HVX46" s="76"/>
      <c r="HVY46" s="76"/>
      <c r="HVZ46" s="76"/>
      <c r="HWA46" s="76"/>
      <c r="HWB46" s="76"/>
      <c r="HWC46" s="76"/>
      <c r="HWD46" s="76"/>
      <c r="HWE46" s="76"/>
      <c r="HWF46" s="76"/>
      <c r="HWG46" s="76"/>
      <c r="HWH46" s="76"/>
      <c r="HWI46" s="76"/>
      <c r="HWJ46" s="76"/>
      <c r="HWK46" s="76"/>
      <c r="HWL46" s="76"/>
      <c r="HWM46" s="76"/>
      <c r="HWN46" s="76"/>
      <c r="HWO46" s="76"/>
      <c r="HWP46" s="76"/>
      <c r="HWQ46" s="76"/>
      <c r="HWR46" s="76"/>
      <c r="HWS46" s="76"/>
      <c r="HWT46" s="76"/>
      <c r="HWU46" s="76"/>
      <c r="HWV46" s="76"/>
      <c r="HWW46" s="76"/>
      <c r="HWX46" s="76"/>
      <c r="HWY46" s="76"/>
      <c r="HWZ46" s="76"/>
      <c r="HXA46" s="76"/>
      <c r="HXB46" s="76"/>
      <c r="HXC46" s="76"/>
      <c r="HXD46" s="76"/>
      <c r="HXE46" s="76"/>
      <c r="HXF46" s="76"/>
      <c r="HXG46" s="76"/>
      <c r="HXH46" s="76"/>
      <c r="HXI46" s="76"/>
      <c r="HXJ46" s="76"/>
      <c r="HXK46" s="76"/>
      <c r="HXL46" s="76"/>
      <c r="HXM46" s="76"/>
      <c r="HXN46" s="76"/>
      <c r="HXO46" s="76"/>
      <c r="HXP46" s="76"/>
      <c r="HXQ46" s="76"/>
      <c r="HXR46" s="76"/>
      <c r="HXS46" s="76"/>
      <c r="HXT46" s="76"/>
      <c r="HXU46" s="76"/>
      <c r="HXV46" s="76"/>
      <c r="HXW46" s="76"/>
      <c r="HXX46" s="76"/>
      <c r="HXY46" s="76"/>
      <c r="HXZ46" s="76"/>
      <c r="HYA46" s="76"/>
      <c r="HYB46" s="76"/>
      <c r="HYC46" s="76"/>
      <c r="HYD46" s="76"/>
      <c r="HYE46" s="76"/>
      <c r="HYF46" s="76"/>
      <c r="HYG46" s="76"/>
      <c r="HYH46" s="76"/>
      <c r="HYI46" s="76"/>
      <c r="HYJ46" s="76"/>
      <c r="HYK46" s="76"/>
      <c r="HYL46" s="76"/>
      <c r="HYM46" s="76"/>
      <c r="HYN46" s="76"/>
      <c r="HYO46" s="76"/>
      <c r="HYP46" s="76"/>
      <c r="HYQ46" s="76"/>
      <c r="HYR46" s="76"/>
      <c r="HYS46" s="76"/>
      <c r="HYT46" s="76"/>
      <c r="HYU46" s="76"/>
      <c r="HYV46" s="76"/>
      <c r="HYW46" s="76"/>
      <c r="HYX46" s="76"/>
      <c r="HYY46" s="76"/>
      <c r="HYZ46" s="76"/>
      <c r="HZA46" s="76"/>
      <c r="HZB46" s="76"/>
      <c r="HZC46" s="76"/>
      <c r="HZD46" s="76"/>
      <c r="HZE46" s="76"/>
      <c r="HZF46" s="76"/>
      <c r="HZG46" s="76"/>
      <c r="HZH46" s="76"/>
      <c r="HZI46" s="76"/>
      <c r="HZJ46" s="76"/>
      <c r="HZK46" s="76"/>
      <c r="HZL46" s="76"/>
      <c r="HZM46" s="76"/>
      <c r="HZN46" s="76"/>
      <c r="HZO46" s="76"/>
      <c r="HZP46" s="76"/>
      <c r="HZQ46" s="76"/>
      <c r="HZR46" s="76"/>
      <c r="HZS46" s="76"/>
      <c r="HZT46" s="76"/>
      <c r="HZU46" s="76"/>
      <c r="HZV46" s="76"/>
      <c r="HZW46" s="76"/>
      <c r="HZX46" s="76"/>
      <c r="HZY46" s="76"/>
      <c r="HZZ46" s="76"/>
      <c r="IAA46" s="76"/>
      <c r="IAB46" s="76"/>
      <c r="IAC46" s="76"/>
      <c r="IAD46" s="76"/>
      <c r="IAE46" s="76"/>
      <c r="IAF46" s="76"/>
      <c r="IAG46" s="76"/>
      <c r="IAH46" s="76"/>
      <c r="IAI46" s="76"/>
      <c r="IAJ46" s="76"/>
      <c r="IAK46" s="76"/>
      <c r="IAL46" s="76"/>
      <c r="IAM46" s="76"/>
      <c r="IAN46" s="76"/>
      <c r="IAO46" s="76"/>
      <c r="IAP46" s="76"/>
      <c r="IAQ46" s="76"/>
      <c r="IAR46" s="76"/>
      <c r="IAS46" s="76"/>
      <c r="IAT46" s="76"/>
      <c r="IAU46" s="76"/>
      <c r="IAV46" s="76"/>
      <c r="IAW46" s="76"/>
      <c r="IAX46" s="76"/>
      <c r="IAY46" s="76"/>
      <c r="IAZ46" s="76"/>
      <c r="IBA46" s="76"/>
      <c r="IBB46" s="76"/>
      <c r="IBC46" s="76"/>
      <c r="IBD46" s="76"/>
      <c r="IBE46" s="76"/>
      <c r="IBF46" s="76"/>
      <c r="IBG46" s="76"/>
      <c r="IBH46" s="76"/>
      <c r="IBI46" s="76"/>
      <c r="IBJ46" s="76"/>
      <c r="IBK46" s="76"/>
      <c r="IBL46" s="76"/>
      <c r="IBM46" s="76"/>
      <c r="IBN46" s="76"/>
      <c r="IBO46" s="76"/>
      <c r="IBP46" s="76"/>
      <c r="IBQ46" s="76"/>
      <c r="IBR46" s="76"/>
      <c r="IBS46" s="76"/>
      <c r="IBT46" s="76"/>
      <c r="IBU46" s="76"/>
      <c r="IBV46" s="76"/>
      <c r="IBW46" s="76"/>
      <c r="IBX46" s="76"/>
      <c r="IBY46" s="76"/>
      <c r="IBZ46" s="76"/>
      <c r="ICA46" s="76"/>
      <c r="ICB46" s="76"/>
      <c r="ICC46" s="76"/>
      <c r="ICD46" s="76"/>
      <c r="ICE46" s="76"/>
      <c r="ICF46" s="76"/>
      <c r="ICG46" s="76"/>
      <c r="ICH46" s="76"/>
      <c r="ICI46" s="76"/>
      <c r="ICJ46" s="76"/>
      <c r="ICK46" s="76"/>
      <c r="ICL46" s="76"/>
      <c r="ICM46" s="76"/>
      <c r="ICN46" s="76"/>
      <c r="ICO46" s="76"/>
      <c r="ICP46" s="76"/>
      <c r="ICQ46" s="76"/>
      <c r="ICR46" s="76"/>
      <c r="ICS46" s="76"/>
      <c r="ICT46" s="76"/>
      <c r="ICU46" s="76"/>
      <c r="ICV46" s="76"/>
      <c r="ICW46" s="76"/>
      <c r="ICX46" s="76"/>
      <c r="ICY46" s="76"/>
      <c r="ICZ46" s="76"/>
      <c r="IDA46" s="76"/>
      <c r="IDB46" s="76"/>
      <c r="IDC46" s="76"/>
      <c r="IDD46" s="76"/>
      <c r="IDE46" s="76"/>
      <c r="IDF46" s="76"/>
      <c r="IDG46" s="76"/>
      <c r="IDH46" s="76"/>
      <c r="IDI46" s="76"/>
      <c r="IDJ46" s="76"/>
      <c r="IDK46" s="76"/>
      <c r="IDL46" s="76"/>
      <c r="IDM46" s="76"/>
      <c r="IDN46" s="76"/>
      <c r="IDO46" s="76"/>
      <c r="IDP46" s="76"/>
      <c r="IDQ46" s="76"/>
      <c r="IDR46" s="76"/>
      <c r="IDS46" s="76"/>
      <c r="IDT46" s="76"/>
      <c r="IDU46" s="76"/>
      <c r="IDV46" s="76"/>
      <c r="IDW46" s="76"/>
      <c r="IDX46" s="76"/>
      <c r="IDY46" s="76"/>
      <c r="IDZ46" s="76"/>
      <c r="IEA46" s="76"/>
      <c r="IEB46" s="76"/>
      <c r="IEC46" s="76"/>
      <c r="IED46" s="76"/>
      <c r="IEE46" s="76"/>
      <c r="IEF46" s="76"/>
      <c r="IEG46" s="76"/>
      <c r="IEH46" s="76"/>
      <c r="IEI46" s="76"/>
      <c r="IEJ46" s="76"/>
      <c r="IEK46" s="76"/>
      <c r="IEL46" s="76"/>
      <c r="IEM46" s="76"/>
      <c r="IEN46" s="76"/>
      <c r="IEO46" s="76"/>
      <c r="IEP46" s="76"/>
      <c r="IEQ46" s="76"/>
      <c r="IER46" s="76"/>
      <c r="IES46" s="76"/>
      <c r="IET46" s="76"/>
      <c r="IEU46" s="76"/>
      <c r="IEV46" s="76"/>
      <c r="IEW46" s="76"/>
      <c r="IEX46" s="76"/>
      <c r="IEY46" s="76"/>
      <c r="IEZ46" s="76"/>
      <c r="IFA46" s="76"/>
      <c r="IFB46" s="76"/>
      <c r="IFC46" s="76"/>
      <c r="IFD46" s="76"/>
      <c r="IFE46" s="76"/>
      <c r="IFF46" s="76"/>
      <c r="IFG46" s="76"/>
      <c r="IFH46" s="76"/>
      <c r="IFI46" s="76"/>
      <c r="IFJ46" s="76"/>
      <c r="IFK46" s="76"/>
      <c r="IFL46" s="76"/>
      <c r="IFM46" s="76"/>
      <c r="IFN46" s="76"/>
      <c r="IFO46" s="76"/>
      <c r="IFP46" s="76"/>
      <c r="IFQ46" s="76"/>
      <c r="IFR46" s="76"/>
      <c r="IFS46" s="76"/>
      <c r="IFT46" s="76"/>
      <c r="IFU46" s="76"/>
      <c r="IFV46" s="76"/>
      <c r="IFW46" s="76"/>
      <c r="IFX46" s="76"/>
      <c r="IFY46" s="76"/>
      <c r="IFZ46" s="76"/>
      <c r="IGA46" s="76"/>
      <c r="IGB46" s="76"/>
      <c r="IGC46" s="76"/>
      <c r="IGD46" s="76"/>
      <c r="IGE46" s="76"/>
      <c r="IGF46" s="76"/>
      <c r="IGG46" s="76"/>
      <c r="IGH46" s="76"/>
      <c r="IGI46" s="76"/>
      <c r="IGJ46" s="76"/>
      <c r="IGK46" s="76"/>
      <c r="IGL46" s="76"/>
      <c r="IGM46" s="76"/>
      <c r="IGN46" s="76"/>
      <c r="IGO46" s="76"/>
      <c r="IGP46" s="76"/>
      <c r="IGQ46" s="76"/>
      <c r="IGR46" s="76"/>
      <c r="IGS46" s="76"/>
      <c r="IGT46" s="76"/>
      <c r="IGU46" s="76"/>
      <c r="IGV46" s="76"/>
      <c r="IGW46" s="76"/>
      <c r="IGX46" s="76"/>
      <c r="IGY46" s="76"/>
      <c r="IGZ46" s="76"/>
      <c r="IHA46" s="76"/>
      <c r="IHB46" s="76"/>
      <c r="IHC46" s="76"/>
      <c r="IHD46" s="76"/>
      <c r="IHE46" s="76"/>
      <c r="IHF46" s="76"/>
      <c r="IHG46" s="76"/>
      <c r="IHH46" s="76"/>
      <c r="IHI46" s="76"/>
      <c r="IHJ46" s="76"/>
      <c r="IHK46" s="76"/>
      <c r="IHL46" s="76"/>
      <c r="IHM46" s="76"/>
      <c r="IHN46" s="76"/>
      <c r="IHO46" s="76"/>
      <c r="IHP46" s="76"/>
      <c r="IHQ46" s="76"/>
      <c r="IHR46" s="76"/>
      <c r="IHS46" s="76"/>
      <c r="IHT46" s="76"/>
      <c r="IHU46" s="76"/>
      <c r="IHV46" s="76"/>
      <c r="IHW46" s="76"/>
      <c r="IHX46" s="76"/>
      <c r="IHY46" s="76"/>
      <c r="IHZ46" s="76"/>
      <c r="IIA46" s="76"/>
      <c r="IIB46" s="76"/>
      <c r="IIC46" s="76"/>
      <c r="IID46" s="76"/>
      <c r="IIE46" s="76"/>
      <c r="IIF46" s="76"/>
      <c r="IIG46" s="76"/>
      <c r="IIH46" s="76"/>
      <c r="III46" s="76"/>
      <c r="IIJ46" s="76"/>
      <c r="IIK46" s="76"/>
      <c r="IIL46" s="76"/>
      <c r="IIM46" s="76"/>
      <c r="IIN46" s="76"/>
      <c r="IIO46" s="76"/>
      <c r="IIP46" s="76"/>
      <c r="IIQ46" s="76"/>
      <c r="IIR46" s="76"/>
      <c r="IIS46" s="76"/>
      <c r="IIT46" s="76"/>
      <c r="IIU46" s="76"/>
      <c r="IIV46" s="76"/>
      <c r="IIW46" s="76"/>
      <c r="IIX46" s="76"/>
      <c r="IIY46" s="76"/>
      <c r="IIZ46" s="76"/>
      <c r="IJA46" s="76"/>
      <c r="IJB46" s="76"/>
      <c r="IJC46" s="76"/>
      <c r="IJD46" s="76"/>
      <c r="IJE46" s="76"/>
      <c r="IJF46" s="76"/>
      <c r="IJG46" s="76"/>
      <c r="IJH46" s="76"/>
      <c r="IJI46" s="76"/>
      <c r="IJJ46" s="76"/>
      <c r="IJK46" s="76"/>
      <c r="IJL46" s="76"/>
      <c r="IJM46" s="76"/>
      <c r="IJN46" s="76"/>
      <c r="IJO46" s="76"/>
      <c r="IJP46" s="76"/>
      <c r="IJQ46" s="76"/>
      <c r="IJR46" s="76"/>
      <c r="IJS46" s="76"/>
      <c r="IJT46" s="76"/>
      <c r="IJU46" s="76"/>
      <c r="IJV46" s="76"/>
      <c r="IJW46" s="76"/>
      <c r="IJX46" s="76"/>
      <c r="IJY46" s="76"/>
      <c r="IJZ46" s="76"/>
      <c r="IKA46" s="76"/>
      <c r="IKB46" s="76"/>
      <c r="IKC46" s="76"/>
      <c r="IKD46" s="76"/>
      <c r="IKE46" s="76"/>
      <c r="IKF46" s="76"/>
      <c r="IKG46" s="76"/>
      <c r="IKH46" s="76"/>
      <c r="IKI46" s="76"/>
      <c r="IKJ46" s="76"/>
      <c r="IKK46" s="76"/>
      <c r="IKL46" s="76"/>
      <c r="IKM46" s="76"/>
      <c r="IKN46" s="76"/>
      <c r="IKO46" s="76"/>
      <c r="IKP46" s="76"/>
      <c r="IKQ46" s="76"/>
      <c r="IKR46" s="76"/>
      <c r="IKS46" s="76"/>
      <c r="IKT46" s="76"/>
      <c r="IKU46" s="76"/>
      <c r="IKV46" s="76"/>
      <c r="IKW46" s="76"/>
      <c r="IKX46" s="76"/>
      <c r="IKY46" s="76"/>
      <c r="IKZ46" s="76"/>
      <c r="ILA46" s="76"/>
      <c r="ILB46" s="76"/>
      <c r="ILC46" s="76"/>
      <c r="ILD46" s="76"/>
      <c r="ILE46" s="76"/>
      <c r="ILF46" s="76"/>
      <c r="ILG46" s="76"/>
      <c r="ILH46" s="76"/>
      <c r="ILI46" s="76"/>
      <c r="ILJ46" s="76"/>
      <c r="ILK46" s="76"/>
      <c r="ILL46" s="76"/>
      <c r="ILM46" s="76"/>
      <c r="ILN46" s="76"/>
      <c r="ILO46" s="76"/>
      <c r="ILP46" s="76"/>
      <c r="ILQ46" s="76"/>
      <c r="ILR46" s="76"/>
      <c r="ILS46" s="76"/>
      <c r="ILT46" s="76"/>
      <c r="ILU46" s="76"/>
      <c r="ILV46" s="76"/>
      <c r="ILW46" s="76"/>
      <c r="ILX46" s="76"/>
      <c r="ILY46" s="76"/>
      <c r="ILZ46" s="76"/>
      <c r="IMA46" s="76"/>
      <c r="IMB46" s="76"/>
      <c r="IMC46" s="76"/>
      <c r="IMD46" s="76"/>
      <c r="IME46" s="76"/>
      <c r="IMF46" s="76"/>
      <c r="IMG46" s="76"/>
      <c r="IMH46" s="76"/>
      <c r="IMI46" s="76"/>
      <c r="IMJ46" s="76"/>
      <c r="IMK46" s="76"/>
      <c r="IML46" s="76"/>
      <c r="IMM46" s="76"/>
      <c r="IMN46" s="76"/>
      <c r="IMO46" s="76"/>
      <c r="IMP46" s="76"/>
      <c r="IMQ46" s="76"/>
      <c r="IMR46" s="76"/>
      <c r="IMS46" s="76"/>
      <c r="IMT46" s="76"/>
      <c r="IMU46" s="76"/>
      <c r="IMV46" s="76"/>
      <c r="IMW46" s="76"/>
      <c r="IMX46" s="76"/>
      <c r="IMY46" s="76"/>
      <c r="IMZ46" s="76"/>
      <c r="INA46" s="76"/>
      <c r="INB46" s="76"/>
      <c r="INC46" s="76"/>
      <c r="IND46" s="76"/>
      <c r="INE46" s="76"/>
      <c r="INF46" s="76"/>
      <c r="ING46" s="76"/>
      <c r="INH46" s="76"/>
      <c r="INI46" s="76"/>
      <c r="INJ46" s="76"/>
      <c r="INK46" s="76"/>
      <c r="INL46" s="76"/>
      <c r="INM46" s="76"/>
      <c r="INN46" s="76"/>
      <c r="INO46" s="76"/>
      <c r="INP46" s="76"/>
      <c r="INQ46" s="76"/>
      <c r="INR46" s="76"/>
      <c r="INS46" s="76"/>
      <c r="INT46" s="76"/>
      <c r="INU46" s="76"/>
      <c r="INV46" s="76"/>
      <c r="INW46" s="76"/>
      <c r="INX46" s="76"/>
      <c r="INY46" s="76"/>
      <c r="INZ46" s="76"/>
      <c r="IOA46" s="76"/>
      <c r="IOB46" s="76"/>
      <c r="IOC46" s="76"/>
      <c r="IOD46" s="76"/>
      <c r="IOE46" s="76"/>
      <c r="IOF46" s="76"/>
      <c r="IOG46" s="76"/>
      <c r="IOH46" s="76"/>
      <c r="IOI46" s="76"/>
      <c r="IOJ46" s="76"/>
      <c r="IOK46" s="76"/>
      <c r="IOL46" s="76"/>
      <c r="IOM46" s="76"/>
      <c r="ION46" s="76"/>
      <c r="IOO46" s="76"/>
      <c r="IOP46" s="76"/>
      <c r="IOQ46" s="76"/>
      <c r="IOR46" s="76"/>
      <c r="IOS46" s="76"/>
      <c r="IOT46" s="76"/>
      <c r="IOU46" s="76"/>
      <c r="IOV46" s="76"/>
      <c r="IOW46" s="76"/>
      <c r="IOX46" s="76"/>
      <c r="IOY46" s="76"/>
      <c r="IOZ46" s="76"/>
      <c r="IPA46" s="76"/>
      <c r="IPB46" s="76"/>
      <c r="IPC46" s="76"/>
      <c r="IPD46" s="76"/>
      <c r="IPE46" s="76"/>
      <c r="IPF46" s="76"/>
      <c r="IPG46" s="76"/>
      <c r="IPH46" s="76"/>
      <c r="IPI46" s="76"/>
      <c r="IPJ46" s="76"/>
      <c r="IPK46" s="76"/>
      <c r="IPL46" s="76"/>
      <c r="IPM46" s="76"/>
      <c r="IPN46" s="76"/>
      <c r="IPO46" s="76"/>
      <c r="IPP46" s="76"/>
      <c r="IPQ46" s="76"/>
      <c r="IPR46" s="76"/>
      <c r="IPS46" s="76"/>
      <c r="IPT46" s="76"/>
      <c r="IPU46" s="76"/>
      <c r="IPV46" s="76"/>
      <c r="IPW46" s="76"/>
      <c r="IPX46" s="76"/>
      <c r="IPY46" s="76"/>
      <c r="IPZ46" s="76"/>
      <c r="IQA46" s="76"/>
      <c r="IQB46" s="76"/>
      <c r="IQC46" s="76"/>
      <c r="IQD46" s="76"/>
      <c r="IQE46" s="76"/>
      <c r="IQF46" s="76"/>
      <c r="IQG46" s="76"/>
      <c r="IQH46" s="76"/>
      <c r="IQI46" s="76"/>
      <c r="IQJ46" s="76"/>
      <c r="IQK46" s="76"/>
      <c r="IQL46" s="76"/>
      <c r="IQM46" s="76"/>
      <c r="IQN46" s="76"/>
      <c r="IQO46" s="76"/>
      <c r="IQP46" s="76"/>
      <c r="IQQ46" s="76"/>
      <c r="IQR46" s="76"/>
      <c r="IQS46" s="76"/>
      <c r="IQT46" s="76"/>
      <c r="IQU46" s="76"/>
      <c r="IQV46" s="76"/>
      <c r="IQW46" s="76"/>
      <c r="IQX46" s="76"/>
      <c r="IQY46" s="76"/>
      <c r="IQZ46" s="76"/>
      <c r="IRA46" s="76"/>
      <c r="IRB46" s="76"/>
      <c r="IRC46" s="76"/>
      <c r="IRD46" s="76"/>
      <c r="IRE46" s="76"/>
      <c r="IRF46" s="76"/>
      <c r="IRG46" s="76"/>
      <c r="IRH46" s="76"/>
      <c r="IRI46" s="76"/>
      <c r="IRJ46" s="76"/>
      <c r="IRK46" s="76"/>
      <c r="IRL46" s="76"/>
      <c r="IRM46" s="76"/>
      <c r="IRN46" s="76"/>
      <c r="IRO46" s="76"/>
      <c r="IRP46" s="76"/>
      <c r="IRQ46" s="76"/>
      <c r="IRR46" s="76"/>
      <c r="IRS46" s="76"/>
      <c r="IRT46" s="76"/>
      <c r="IRU46" s="76"/>
      <c r="IRV46" s="76"/>
      <c r="IRW46" s="76"/>
      <c r="IRX46" s="76"/>
      <c r="IRY46" s="76"/>
      <c r="IRZ46" s="76"/>
      <c r="ISA46" s="76"/>
      <c r="ISB46" s="76"/>
      <c r="ISC46" s="76"/>
      <c r="ISD46" s="76"/>
      <c r="ISE46" s="76"/>
      <c r="ISF46" s="76"/>
      <c r="ISG46" s="76"/>
      <c r="ISH46" s="76"/>
      <c r="ISI46" s="76"/>
      <c r="ISJ46" s="76"/>
      <c r="ISK46" s="76"/>
      <c r="ISL46" s="76"/>
      <c r="ISM46" s="76"/>
      <c r="ISN46" s="76"/>
      <c r="ISO46" s="76"/>
      <c r="ISP46" s="76"/>
      <c r="ISQ46" s="76"/>
      <c r="ISR46" s="76"/>
      <c r="ISS46" s="76"/>
      <c r="IST46" s="76"/>
      <c r="ISU46" s="76"/>
      <c r="ISV46" s="76"/>
      <c r="ISW46" s="76"/>
      <c r="ISX46" s="76"/>
      <c r="ISY46" s="76"/>
      <c r="ISZ46" s="76"/>
      <c r="ITA46" s="76"/>
      <c r="ITB46" s="76"/>
      <c r="ITC46" s="76"/>
      <c r="ITD46" s="76"/>
      <c r="ITE46" s="76"/>
      <c r="ITF46" s="76"/>
      <c r="ITG46" s="76"/>
      <c r="ITH46" s="76"/>
      <c r="ITI46" s="76"/>
      <c r="ITJ46" s="76"/>
      <c r="ITK46" s="76"/>
      <c r="ITL46" s="76"/>
      <c r="ITM46" s="76"/>
      <c r="ITN46" s="76"/>
      <c r="ITO46" s="76"/>
      <c r="ITP46" s="76"/>
      <c r="ITQ46" s="76"/>
      <c r="ITR46" s="76"/>
      <c r="ITS46" s="76"/>
      <c r="ITT46" s="76"/>
      <c r="ITU46" s="76"/>
      <c r="ITV46" s="76"/>
      <c r="ITW46" s="76"/>
      <c r="ITX46" s="76"/>
      <c r="ITY46" s="76"/>
      <c r="ITZ46" s="76"/>
      <c r="IUA46" s="76"/>
      <c r="IUB46" s="76"/>
      <c r="IUC46" s="76"/>
      <c r="IUD46" s="76"/>
      <c r="IUE46" s="76"/>
      <c r="IUF46" s="76"/>
      <c r="IUG46" s="76"/>
      <c r="IUH46" s="76"/>
      <c r="IUI46" s="76"/>
      <c r="IUJ46" s="76"/>
      <c r="IUK46" s="76"/>
      <c r="IUL46" s="76"/>
      <c r="IUM46" s="76"/>
      <c r="IUN46" s="76"/>
      <c r="IUO46" s="76"/>
      <c r="IUP46" s="76"/>
      <c r="IUQ46" s="76"/>
      <c r="IUR46" s="76"/>
      <c r="IUS46" s="76"/>
      <c r="IUT46" s="76"/>
      <c r="IUU46" s="76"/>
      <c r="IUV46" s="76"/>
      <c r="IUW46" s="76"/>
      <c r="IUX46" s="76"/>
      <c r="IUY46" s="76"/>
      <c r="IUZ46" s="76"/>
      <c r="IVA46" s="76"/>
      <c r="IVB46" s="76"/>
      <c r="IVC46" s="76"/>
      <c r="IVD46" s="76"/>
      <c r="IVE46" s="76"/>
      <c r="IVF46" s="76"/>
      <c r="IVG46" s="76"/>
      <c r="IVH46" s="76"/>
      <c r="IVI46" s="76"/>
      <c r="IVJ46" s="76"/>
      <c r="IVK46" s="76"/>
      <c r="IVL46" s="76"/>
      <c r="IVM46" s="76"/>
      <c r="IVN46" s="76"/>
      <c r="IVO46" s="76"/>
      <c r="IVP46" s="76"/>
      <c r="IVQ46" s="76"/>
      <c r="IVR46" s="76"/>
      <c r="IVS46" s="76"/>
      <c r="IVT46" s="76"/>
      <c r="IVU46" s="76"/>
      <c r="IVV46" s="76"/>
      <c r="IVW46" s="76"/>
      <c r="IVX46" s="76"/>
      <c r="IVY46" s="76"/>
      <c r="IVZ46" s="76"/>
      <c r="IWA46" s="76"/>
      <c r="IWB46" s="76"/>
      <c r="IWC46" s="76"/>
      <c r="IWD46" s="76"/>
      <c r="IWE46" s="76"/>
      <c r="IWF46" s="76"/>
      <c r="IWG46" s="76"/>
      <c r="IWH46" s="76"/>
      <c r="IWI46" s="76"/>
      <c r="IWJ46" s="76"/>
      <c r="IWK46" s="76"/>
      <c r="IWL46" s="76"/>
      <c r="IWM46" s="76"/>
      <c r="IWN46" s="76"/>
      <c r="IWO46" s="76"/>
      <c r="IWP46" s="76"/>
      <c r="IWQ46" s="76"/>
      <c r="IWR46" s="76"/>
      <c r="IWS46" s="76"/>
      <c r="IWT46" s="76"/>
      <c r="IWU46" s="76"/>
      <c r="IWV46" s="76"/>
      <c r="IWW46" s="76"/>
      <c r="IWX46" s="76"/>
      <c r="IWY46" s="76"/>
      <c r="IWZ46" s="76"/>
      <c r="IXA46" s="76"/>
      <c r="IXB46" s="76"/>
      <c r="IXC46" s="76"/>
      <c r="IXD46" s="76"/>
      <c r="IXE46" s="76"/>
      <c r="IXF46" s="76"/>
      <c r="IXG46" s="76"/>
      <c r="IXH46" s="76"/>
      <c r="IXI46" s="76"/>
      <c r="IXJ46" s="76"/>
      <c r="IXK46" s="76"/>
      <c r="IXL46" s="76"/>
      <c r="IXM46" s="76"/>
      <c r="IXN46" s="76"/>
      <c r="IXO46" s="76"/>
      <c r="IXP46" s="76"/>
      <c r="IXQ46" s="76"/>
      <c r="IXR46" s="76"/>
      <c r="IXS46" s="76"/>
      <c r="IXT46" s="76"/>
      <c r="IXU46" s="76"/>
      <c r="IXV46" s="76"/>
      <c r="IXW46" s="76"/>
      <c r="IXX46" s="76"/>
      <c r="IXY46" s="76"/>
      <c r="IXZ46" s="76"/>
      <c r="IYA46" s="76"/>
      <c r="IYB46" s="76"/>
      <c r="IYC46" s="76"/>
      <c r="IYD46" s="76"/>
      <c r="IYE46" s="76"/>
      <c r="IYF46" s="76"/>
      <c r="IYG46" s="76"/>
      <c r="IYH46" s="76"/>
      <c r="IYI46" s="76"/>
      <c r="IYJ46" s="76"/>
      <c r="IYK46" s="76"/>
      <c r="IYL46" s="76"/>
      <c r="IYM46" s="76"/>
      <c r="IYN46" s="76"/>
      <c r="IYO46" s="76"/>
      <c r="IYP46" s="76"/>
      <c r="IYQ46" s="76"/>
      <c r="IYR46" s="76"/>
      <c r="IYS46" s="76"/>
      <c r="IYT46" s="76"/>
      <c r="IYU46" s="76"/>
      <c r="IYV46" s="76"/>
      <c r="IYW46" s="76"/>
      <c r="IYX46" s="76"/>
      <c r="IYY46" s="76"/>
      <c r="IYZ46" s="76"/>
      <c r="IZA46" s="76"/>
      <c r="IZB46" s="76"/>
      <c r="IZC46" s="76"/>
      <c r="IZD46" s="76"/>
      <c r="IZE46" s="76"/>
      <c r="IZF46" s="76"/>
      <c r="IZG46" s="76"/>
      <c r="IZH46" s="76"/>
      <c r="IZI46" s="76"/>
      <c r="IZJ46" s="76"/>
      <c r="IZK46" s="76"/>
      <c r="IZL46" s="76"/>
      <c r="IZM46" s="76"/>
      <c r="IZN46" s="76"/>
      <c r="IZO46" s="76"/>
      <c r="IZP46" s="76"/>
      <c r="IZQ46" s="76"/>
      <c r="IZR46" s="76"/>
      <c r="IZS46" s="76"/>
      <c r="IZT46" s="76"/>
      <c r="IZU46" s="76"/>
      <c r="IZV46" s="76"/>
      <c r="IZW46" s="76"/>
      <c r="IZX46" s="76"/>
      <c r="IZY46" s="76"/>
      <c r="IZZ46" s="76"/>
      <c r="JAA46" s="76"/>
      <c r="JAB46" s="76"/>
      <c r="JAC46" s="76"/>
      <c r="JAD46" s="76"/>
      <c r="JAE46" s="76"/>
      <c r="JAF46" s="76"/>
      <c r="JAG46" s="76"/>
      <c r="JAH46" s="76"/>
      <c r="JAI46" s="76"/>
      <c r="JAJ46" s="76"/>
      <c r="JAK46" s="76"/>
      <c r="JAL46" s="76"/>
      <c r="JAM46" s="76"/>
      <c r="JAN46" s="76"/>
      <c r="JAO46" s="76"/>
      <c r="JAP46" s="76"/>
      <c r="JAQ46" s="76"/>
      <c r="JAR46" s="76"/>
      <c r="JAS46" s="76"/>
      <c r="JAT46" s="76"/>
      <c r="JAU46" s="76"/>
      <c r="JAV46" s="76"/>
      <c r="JAW46" s="76"/>
      <c r="JAX46" s="76"/>
      <c r="JAY46" s="76"/>
      <c r="JAZ46" s="76"/>
      <c r="JBA46" s="76"/>
      <c r="JBB46" s="76"/>
      <c r="JBC46" s="76"/>
      <c r="JBD46" s="76"/>
      <c r="JBE46" s="76"/>
      <c r="JBF46" s="76"/>
      <c r="JBG46" s="76"/>
      <c r="JBH46" s="76"/>
      <c r="JBI46" s="76"/>
      <c r="JBJ46" s="76"/>
      <c r="JBK46" s="76"/>
      <c r="JBL46" s="76"/>
      <c r="JBM46" s="76"/>
      <c r="JBN46" s="76"/>
      <c r="JBO46" s="76"/>
      <c r="JBP46" s="76"/>
      <c r="JBQ46" s="76"/>
      <c r="JBR46" s="76"/>
      <c r="JBS46" s="76"/>
      <c r="JBT46" s="76"/>
      <c r="JBU46" s="76"/>
      <c r="JBV46" s="76"/>
      <c r="JBW46" s="76"/>
      <c r="JBX46" s="76"/>
      <c r="JBY46" s="76"/>
      <c r="JBZ46" s="76"/>
      <c r="JCA46" s="76"/>
      <c r="JCB46" s="76"/>
      <c r="JCC46" s="76"/>
      <c r="JCD46" s="76"/>
      <c r="JCE46" s="76"/>
      <c r="JCF46" s="76"/>
      <c r="JCG46" s="76"/>
      <c r="JCH46" s="76"/>
      <c r="JCI46" s="76"/>
      <c r="JCJ46" s="76"/>
      <c r="JCK46" s="76"/>
      <c r="JCL46" s="76"/>
      <c r="JCM46" s="76"/>
      <c r="JCN46" s="76"/>
      <c r="JCO46" s="76"/>
      <c r="JCP46" s="76"/>
      <c r="JCQ46" s="76"/>
      <c r="JCR46" s="76"/>
      <c r="JCS46" s="76"/>
      <c r="JCT46" s="76"/>
      <c r="JCU46" s="76"/>
      <c r="JCV46" s="76"/>
      <c r="JCW46" s="76"/>
      <c r="JCX46" s="76"/>
      <c r="JCY46" s="76"/>
      <c r="JCZ46" s="76"/>
      <c r="JDA46" s="76"/>
      <c r="JDB46" s="76"/>
      <c r="JDC46" s="76"/>
      <c r="JDD46" s="76"/>
      <c r="JDE46" s="76"/>
      <c r="JDF46" s="76"/>
      <c r="JDG46" s="76"/>
      <c r="JDH46" s="76"/>
      <c r="JDI46" s="76"/>
      <c r="JDJ46" s="76"/>
      <c r="JDK46" s="76"/>
      <c r="JDL46" s="76"/>
      <c r="JDM46" s="76"/>
      <c r="JDN46" s="76"/>
      <c r="JDO46" s="76"/>
      <c r="JDP46" s="76"/>
      <c r="JDQ46" s="76"/>
      <c r="JDR46" s="76"/>
      <c r="JDS46" s="76"/>
      <c r="JDT46" s="76"/>
      <c r="JDU46" s="76"/>
      <c r="JDV46" s="76"/>
      <c r="JDW46" s="76"/>
      <c r="JDX46" s="76"/>
      <c r="JDY46" s="76"/>
      <c r="JDZ46" s="76"/>
      <c r="JEA46" s="76"/>
      <c r="JEB46" s="76"/>
      <c r="JEC46" s="76"/>
      <c r="JED46" s="76"/>
      <c r="JEE46" s="76"/>
      <c r="JEF46" s="76"/>
      <c r="JEG46" s="76"/>
      <c r="JEH46" s="76"/>
      <c r="JEI46" s="76"/>
      <c r="JEJ46" s="76"/>
      <c r="JEK46" s="76"/>
      <c r="JEL46" s="76"/>
      <c r="JEM46" s="76"/>
      <c r="JEN46" s="76"/>
      <c r="JEO46" s="76"/>
      <c r="JEP46" s="76"/>
      <c r="JEQ46" s="76"/>
      <c r="JER46" s="76"/>
      <c r="JES46" s="76"/>
      <c r="JET46" s="76"/>
      <c r="JEU46" s="76"/>
      <c r="JEV46" s="76"/>
      <c r="JEW46" s="76"/>
      <c r="JEX46" s="76"/>
      <c r="JEY46" s="76"/>
      <c r="JEZ46" s="76"/>
      <c r="JFA46" s="76"/>
      <c r="JFB46" s="76"/>
      <c r="JFC46" s="76"/>
      <c r="JFD46" s="76"/>
      <c r="JFE46" s="76"/>
      <c r="JFF46" s="76"/>
      <c r="JFG46" s="76"/>
      <c r="JFH46" s="76"/>
      <c r="JFI46" s="76"/>
      <c r="JFJ46" s="76"/>
      <c r="JFK46" s="76"/>
      <c r="JFL46" s="76"/>
      <c r="JFM46" s="76"/>
      <c r="JFN46" s="76"/>
      <c r="JFO46" s="76"/>
      <c r="JFP46" s="76"/>
      <c r="JFQ46" s="76"/>
      <c r="JFR46" s="76"/>
      <c r="JFS46" s="76"/>
      <c r="JFT46" s="76"/>
      <c r="JFU46" s="76"/>
      <c r="JFV46" s="76"/>
      <c r="JFW46" s="76"/>
      <c r="JFX46" s="76"/>
      <c r="JFY46" s="76"/>
      <c r="JFZ46" s="76"/>
      <c r="JGA46" s="76"/>
      <c r="JGB46" s="76"/>
      <c r="JGC46" s="76"/>
      <c r="JGD46" s="76"/>
      <c r="JGE46" s="76"/>
      <c r="JGF46" s="76"/>
      <c r="JGG46" s="76"/>
      <c r="JGH46" s="76"/>
      <c r="JGI46" s="76"/>
      <c r="JGJ46" s="76"/>
      <c r="JGK46" s="76"/>
      <c r="JGL46" s="76"/>
      <c r="JGM46" s="76"/>
      <c r="JGN46" s="76"/>
      <c r="JGO46" s="76"/>
      <c r="JGP46" s="76"/>
      <c r="JGQ46" s="76"/>
      <c r="JGR46" s="76"/>
      <c r="JGS46" s="76"/>
      <c r="JGT46" s="76"/>
      <c r="JGU46" s="76"/>
      <c r="JGV46" s="76"/>
      <c r="JGW46" s="76"/>
      <c r="JGX46" s="76"/>
      <c r="JGY46" s="76"/>
      <c r="JGZ46" s="76"/>
      <c r="JHA46" s="76"/>
      <c r="JHB46" s="76"/>
      <c r="JHC46" s="76"/>
      <c r="JHD46" s="76"/>
      <c r="JHE46" s="76"/>
      <c r="JHF46" s="76"/>
      <c r="JHG46" s="76"/>
      <c r="JHH46" s="76"/>
      <c r="JHI46" s="76"/>
      <c r="JHJ46" s="76"/>
      <c r="JHK46" s="76"/>
      <c r="JHL46" s="76"/>
      <c r="JHM46" s="76"/>
      <c r="JHN46" s="76"/>
      <c r="JHO46" s="76"/>
      <c r="JHP46" s="76"/>
      <c r="JHQ46" s="76"/>
      <c r="JHR46" s="76"/>
      <c r="JHS46" s="76"/>
      <c r="JHT46" s="76"/>
      <c r="JHU46" s="76"/>
      <c r="JHV46" s="76"/>
      <c r="JHW46" s="76"/>
      <c r="JHX46" s="76"/>
      <c r="JHY46" s="76"/>
      <c r="JHZ46" s="76"/>
      <c r="JIA46" s="76"/>
      <c r="JIB46" s="76"/>
      <c r="JIC46" s="76"/>
      <c r="JID46" s="76"/>
      <c r="JIE46" s="76"/>
      <c r="JIF46" s="76"/>
      <c r="JIG46" s="76"/>
      <c r="JIH46" s="76"/>
      <c r="JII46" s="76"/>
      <c r="JIJ46" s="76"/>
      <c r="JIK46" s="76"/>
      <c r="JIL46" s="76"/>
      <c r="JIM46" s="76"/>
      <c r="JIN46" s="76"/>
      <c r="JIO46" s="76"/>
      <c r="JIP46" s="76"/>
      <c r="JIQ46" s="76"/>
      <c r="JIR46" s="76"/>
      <c r="JIS46" s="76"/>
      <c r="JIT46" s="76"/>
      <c r="JIU46" s="76"/>
      <c r="JIV46" s="76"/>
      <c r="JIW46" s="76"/>
      <c r="JIX46" s="76"/>
      <c r="JIY46" s="76"/>
      <c r="JIZ46" s="76"/>
      <c r="JJA46" s="76"/>
      <c r="JJB46" s="76"/>
      <c r="JJC46" s="76"/>
      <c r="JJD46" s="76"/>
      <c r="JJE46" s="76"/>
      <c r="JJF46" s="76"/>
      <c r="JJG46" s="76"/>
      <c r="JJH46" s="76"/>
      <c r="JJI46" s="76"/>
      <c r="JJJ46" s="76"/>
      <c r="JJK46" s="76"/>
      <c r="JJL46" s="76"/>
      <c r="JJM46" s="76"/>
      <c r="JJN46" s="76"/>
      <c r="JJO46" s="76"/>
      <c r="JJP46" s="76"/>
      <c r="JJQ46" s="76"/>
      <c r="JJR46" s="76"/>
      <c r="JJS46" s="76"/>
      <c r="JJT46" s="76"/>
      <c r="JJU46" s="76"/>
      <c r="JJV46" s="76"/>
      <c r="JJW46" s="76"/>
      <c r="JJX46" s="76"/>
      <c r="JJY46" s="76"/>
      <c r="JJZ46" s="76"/>
      <c r="JKA46" s="76"/>
      <c r="JKB46" s="76"/>
      <c r="JKC46" s="76"/>
      <c r="JKD46" s="76"/>
      <c r="JKE46" s="76"/>
      <c r="JKF46" s="76"/>
      <c r="JKG46" s="76"/>
      <c r="JKH46" s="76"/>
      <c r="JKI46" s="76"/>
      <c r="JKJ46" s="76"/>
      <c r="JKK46" s="76"/>
      <c r="JKL46" s="76"/>
      <c r="JKM46" s="76"/>
      <c r="JKN46" s="76"/>
      <c r="JKO46" s="76"/>
      <c r="JKP46" s="76"/>
      <c r="JKQ46" s="76"/>
      <c r="JKR46" s="76"/>
      <c r="JKS46" s="76"/>
      <c r="JKT46" s="76"/>
      <c r="JKU46" s="76"/>
      <c r="JKV46" s="76"/>
      <c r="JKW46" s="76"/>
      <c r="JKX46" s="76"/>
      <c r="JKY46" s="76"/>
      <c r="JKZ46" s="76"/>
      <c r="JLA46" s="76"/>
      <c r="JLB46" s="76"/>
      <c r="JLC46" s="76"/>
      <c r="JLD46" s="76"/>
      <c r="JLE46" s="76"/>
      <c r="JLF46" s="76"/>
      <c r="JLG46" s="76"/>
      <c r="JLH46" s="76"/>
      <c r="JLI46" s="76"/>
      <c r="JLJ46" s="76"/>
      <c r="JLK46" s="76"/>
      <c r="JLL46" s="76"/>
      <c r="JLM46" s="76"/>
      <c r="JLN46" s="76"/>
      <c r="JLO46" s="76"/>
      <c r="JLP46" s="76"/>
      <c r="JLQ46" s="76"/>
      <c r="JLR46" s="76"/>
      <c r="JLS46" s="76"/>
      <c r="JLT46" s="76"/>
      <c r="JLU46" s="76"/>
      <c r="JLV46" s="76"/>
      <c r="JLW46" s="76"/>
      <c r="JLX46" s="76"/>
      <c r="JLY46" s="76"/>
      <c r="JLZ46" s="76"/>
      <c r="JMA46" s="76"/>
      <c r="JMB46" s="76"/>
      <c r="JMC46" s="76"/>
      <c r="JMD46" s="76"/>
      <c r="JME46" s="76"/>
      <c r="JMF46" s="76"/>
      <c r="JMG46" s="76"/>
      <c r="JMH46" s="76"/>
      <c r="JMI46" s="76"/>
      <c r="JMJ46" s="76"/>
      <c r="JMK46" s="76"/>
      <c r="JML46" s="76"/>
      <c r="JMM46" s="76"/>
      <c r="JMN46" s="76"/>
      <c r="JMO46" s="76"/>
      <c r="JMP46" s="76"/>
      <c r="JMQ46" s="76"/>
      <c r="JMR46" s="76"/>
      <c r="JMS46" s="76"/>
      <c r="JMT46" s="76"/>
      <c r="JMU46" s="76"/>
      <c r="JMV46" s="76"/>
      <c r="JMW46" s="76"/>
      <c r="JMX46" s="76"/>
      <c r="JMY46" s="76"/>
      <c r="JMZ46" s="76"/>
      <c r="JNA46" s="76"/>
      <c r="JNB46" s="76"/>
      <c r="JNC46" s="76"/>
      <c r="JND46" s="76"/>
      <c r="JNE46" s="76"/>
      <c r="JNF46" s="76"/>
      <c r="JNG46" s="76"/>
      <c r="JNH46" s="76"/>
      <c r="JNI46" s="76"/>
      <c r="JNJ46" s="76"/>
      <c r="JNK46" s="76"/>
      <c r="JNL46" s="76"/>
      <c r="JNM46" s="76"/>
      <c r="JNN46" s="76"/>
      <c r="JNO46" s="76"/>
      <c r="JNP46" s="76"/>
      <c r="JNQ46" s="76"/>
      <c r="JNR46" s="76"/>
      <c r="JNS46" s="76"/>
      <c r="JNT46" s="76"/>
      <c r="JNU46" s="76"/>
      <c r="JNV46" s="76"/>
      <c r="JNW46" s="76"/>
      <c r="JNX46" s="76"/>
      <c r="JNY46" s="76"/>
      <c r="JNZ46" s="76"/>
      <c r="JOA46" s="76"/>
      <c r="JOB46" s="76"/>
      <c r="JOC46" s="76"/>
      <c r="JOD46" s="76"/>
      <c r="JOE46" s="76"/>
      <c r="JOF46" s="76"/>
      <c r="JOG46" s="76"/>
      <c r="JOH46" s="76"/>
      <c r="JOI46" s="76"/>
      <c r="JOJ46" s="76"/>
      <c r="JOK46" s="76"/>
      <c r="JOL46" s="76"/>
      <c r="JOM46" s="76"/>
      <c r="JON46" s="76"/>
      <c r="JOO46" s="76"/>
      <c r="JOP46" s="76"/>
      <c r="JOQ46" s="76"/>
      <c r="JOR46" s="76"/>
      <c r="JOS46" s="76"/>
      <c r="JOT46" s="76"/>
      <c r="JOU46" s="76"/>
      <c r="JOV46" s="76"/>
      <c r="JOW46" s="76"/>
      <c r="JOX46" s="76"/>
      <c r="JOY46" s="76"/>
      <c r="JOZ46" s="76"/>
      <c r="JPA46" s="76"/>
      <c r="JPB46" s="76"/>
      <c r="JPC46" s="76"/>
      <c r="JPD46" s="76"/>
      <c r="JPE46" s="76"/>
      <c r="JPF46" s="76"/>
      <c r="JPG46" s="76"/>
      <c r="JPH46" s="76"/>
      <c r="JPI46" s="76"/>
      <c r="JPJ46" s="76"/>
      <c r="JPK46" s="76"/>
      <c r="JPL46" s="76"/>
      <c r="JPM46" s="76"/>
      <c r="JPN46" s="76"/>
      <c r="JPO46" s="76"/>
      <c r="JPP46" s="76"/>
      <c r="JPQ46" s="76"/>
      <c r="JPR46" s="76"/>
      <c r="JPS46" s="76"/>
      <c r="JPT46" s="76"/>
      <c r="JPU46" s="76"/>
      <c r="JPV46" s="76"/>
      <c r="JPW46" s="76"/>
      <c r="JPX46" s="76"/>
      <c r="JPY46" s="76"/>
      <c r="JPZ46" s="76"/>
      <c r="JQA46" s="76"/>
      <c r="JQB46" s="76"/>
      <c r="JQC46" s="76"/>
      <c r="JQD46" s="76"/>
      <c r="JQE46" s="76"/>
      <c r="JQF46" s="76"/>
      <c r="JQG46" s="76"/>
      <c r="JQH46" s="76"/>
      <c r="JQI46" s="76"/>
      <c r="JQJ46" s="76"/>
      <c r="JQK46" s="76"/>
      <c r="JQL46" s="76"/>
      <c r="JQM46" s="76"/>
      <c r="JQN46" s="76"/>
      <c r="JQO46" s="76"/>
      <c r="JQP46" s="76"/>
      <c r="JQQ46" s="76"/>
      <c r="JQR46" s="76"/>
      <c r="JQS46" s="76"/>
      <c r="JQT46" s="76"/>
      <c r="JQU46" s="76"/>
      <c r="JQV46" s="76"/>
      <c r="JQW46" s="76"/>
      <c r="JQX46" s="76"/>
      <c r="JQY46" s="76"/>
      <c r="JQZ46" s="76"/>
      <c r="JRA46" s="76"/>
      <c r="JRB46" s="76"/>
      <c r="JRC46" s="76"/>
      <c r="JRD46" s="76"/>
      <c r="JRE46" s="76"/>
      <c r="JRF46" s="76"/>
      <c r="JRG46" s="76"/>
      <c r="JRH46" s="76"/>
      <c r="JRI46" s="76"/>
      <c r="JRJ46" s="76"/>
      <c r="JRK46" s="76"/>
      <c r="JRL46" s="76"/>
      <c r="JRM46" s="76"/>
      <c r="JRN46" s="76"/>
      <c r="JRO46" s="76"/>
      <c r="JRP46" s="76"/>
      <c r="JRQ46" s="76"/>
      <c r="JRR46" s="76"/>
      <c r="JRS46" s="76"/>
      <c r="JRT46" s="76"/>
      <c r="JRU46" s="76"/>
      <c r="JRV46" s="76"/>
      <c r="JRW46" s="76"/>
      <c r="JRX46" s="76"/>
      <c r="JRY46" s="76"/>
      <c r="JRZ46" s="76"/>
      <c r="JSA46" s="76"/>
      <c r="JSB46" s="76"/>
      <c r="JSC46" s="76"/>
      <c r="JSD46" s="76"/>
      <c r="JSE46" s="76"/>
      <c r="JSF46" s="76"/>
      <c r="JSG46" s="76"/>
      <c r="JSH46" s="76"/>
      <c r="JSI46" s="76"/>
      <c r="JSJ46" s="76"/>
      <c r="JSK46" s="76"/>
      <c r="JSL46" s="76"/>
      <c r="JSM46" s="76"/>
      <c r="JSN46" s="76"/>
      <c r="JSO46" s="76"/>
      <c r="JSP46" s="76"/>
      <c r="JSQ46" s="76"/>
      <c r="JSR46" s="76"/>
      <c r="JSS46" s="76"/>
      <c r="JST46" s="76"/>
      <c r="JSU46" s="76"/>
      <c r="JSV46" s="76"/>
      <c r="JSW46" s="76"/>
      <c r="JSX46" s="76"/>
      <c r="JSY46" s="76"/>
      <c r="JSZ46" s="76"/>
      <c r="JTA46" s="76"/>
      <c r="JTB46" s="76"/>
      <c r="JTC46" s="76"/>
      <c r="JTD46" s="76"/>
      <c r="JTE46" s="76"/>
      <c r="JTF46" s="76"/>
      <c r="JTG46" s="76"/>
      <c r="JTH46" s="76"/>
      <c r="JTI46" s="76"/>
      <c r="JTJ46" s="76"/>
      <c r="JTK46" s="76"/>
      <c r="JTL46" s="76"/>
      <c r="JTM46" s="76"/>
      <c r="JTN46" s="76"/>
      <c r="JTO46" s="76"/>
      <c r="JTP46" s="76"/>
      <c r="JTQ46" s="76"/>
      <c r="JTR46" s="76"/>
      <c r="JTS46" s="76"/>
      <c r="JTT46" s="76"/>
      <c r="JTU46" s="76"/>
      <c r="JTV46" s="76"/>
      <c r="JTW46" s="76"/>
      <c r="JTX46" s="76"/>
      <c r="JTY46" s="76"/>
      <c r="JTZ46" s="76"/>
      <c r="JUA46" s="76"/>
      <c r="JUB46" s="76"/>
      <c r="JUC46" s="76"/>
      <c r="JUD46" s="76"/>
      <c r="JUE46" s="76"/>
      <c r="JUF46" s="76"/>
      <c r="JUG46" s="76"/>
      <c r="JUH46" s="76"/>
      <c r="JUI46" s="76"/>
      <c r="JUJ46" s="76"/>
      <c r="JUK46" s="76"/>
      <c r="JUL46" s="76"/>
      <c r="JUM46" s="76"/>
      <c r="JUN46" s="76"/>
      <c r="JUO46" s="76"/>
      <c r="JUP46" s="76"/>
      <c r="JUQ46" s="76"/>
      <c r="JUR46" s="76"/>
      <c r="JUS46" s="76"/>
      <c r="JUT46" s="76"/>
      <c r="JUU46" s="76"/>
      <c r="JUV46" s="76"/>
      <c r="JUW46" s="76"/>
      <c r="JUX46" s="76"/>
      <c r="JUY46" s="76"/>
      <c r="JUZ46" s="76"/>
      <c r="JVA46" s="76"/>
      <c r="JVB46" s="76"/>
      <c r="JVC46" s="76"/>
      <c r="JVD46" s="76"/>
      <c r="JVE46" s="76"/>
      <c r="JVF46" s="76"/>
      <c r="JVG46" s="76"/>
      <c r="JVH46" s="76"/>
      <c r="JVI46" s="76"/>
      <c r="JVJ46" s="76"/>
      <c r="JVK46" s="76"/>
      <c r="JVL46" s="76"/>
      <c r="JVM46" s="76"/>
      <c r="JVN46" s="76"/>
      <c r="JVO46" s="76"/>
      <c r="JVP46" s="76"/>
      <c r="JVQ46" s="76"/>
      <c r="JVR46" s="76"/>
      <c r="JVS46" s="76"/>
      <c r="JVT46" s="76"/>
      <c r="JVU46" s="76"/>
      <c r="JVV46" s="76"/>
      <c r="JVW46" s="76"/>
      <c r="JVX46" s="76"/>
      <c r="JVY46" s="76"/>
      <c r="JVZ46" s="76"/>
      <c r="JWA46" s="76"/>
      <c r="JWB46" s="76"/>
      <c r="JWC46" s="76"/>
      <c r="JWD46" s="76"/>
      <c r="JWE46" s="76"/>
      <c r="JWF46" s="76"/>
      <c r="JWG46" s="76"/>
      <c r="JWH46" s="76"/>
      <c r="JWI46" s="76"/>
      <c r="JWJ46" s="76"/>
      <c r="JWK46" s="76"/>
      <c r="JWL46" s="76"/>
      <c r="JWM46" s="76"/>
      <c r="JWN46" s="76"/>
      <c r="JWO46" s="76"/>
      <c r="JWP46" s="76"/>
      <c r="JWQ46" s="76"/>
      <c r="JWR46" s="76"/>
      <c r="JWS46" s="76"/>
      <c r="JWT46" s="76"/>
      <c r="JWU46" s="76"/>
      <c r="JWV46" s="76"/>
      <c r="JWW46" s="76"/>
      <c r="JWX46" s="76"/>
      <c r="JWY46" s="76"/>
      <c r="JWZ46" s="76"/>
      <c r="JXA46" s="76"/>
      <c r="JXB46" s="76"/>
      <c r="JXC46" s="76"/>
      <c r="JXD46" s="76"/>
      <c r="JXE46" s="76"/>
      <c r="JXF46" s="76"/>
      <c r="JXG46" s="76"/>
      <c r="JXH46" s="76"/>
      <c r="JXI46" s="76"/>
      <c r="JXJ46" s="76"/>
      <c r="JXK46" s="76"/>
      <c r="JXL46" s="76"/>
      <c r="JXM46" s="76"/>
      <c r="JXN46" s="76"/>
      <c r="JXO46" s="76"/>
      <c r="JXP46" s="76"/>
      <c r="JXQ46" s="76"/>
      <c r="JXR46" s="76"/>
      <c r="JXS46" s="76"/>
      <c r="JXT46" s="76"/>
      <c r="JXU46" s="76"/>
      <c r="JXV46" s="76"/>
      <c r="JXW46" s="76"/>
      <c r="JXX46" s="76"/>
      <c r="JXY46" s="76"/>
      <c r="JXZ46" s="76"/>
      <c r="JYA46" s="76"/>
      <c r="JYB46" s="76"/>
      <c r="JYC46" s="76"/>
      <c r="JYD46" s="76"/>
      <c r="JYE46" s="76"/>
      <c r="JYF46" s="76"/>
      <c r="JYG46" s="76"/>
      <c r="JYH46" s="76"/>
      <c r="JYI46" s="76"/>
      <c r="JYJ46" s="76"/>
      <c r="JYK46" s="76"/>
      <c r="JYL46" s="76"/>
      <c r="JYM46" s="76"/>
      <c r="JYN46" s="76"/>
      <c r="JYO46" s="76"/>
      <c r="JYP46" s="76"/>
      <c r="JYQ46" s="76"/>
      <c r="JYR46" s="76"/>
      <c r="JYS46" s="76"/>
      <c r="JYT46" s="76"/>
      <c r="JYU46" s="76"/>
      <c r="JYV46" s="76"/>
      <c r="JYW46" s="76"/>
      <c r="JYX46" s="76"/>
      <c r="JYY46" s="76"/>
      <c r="JYZ46" s="76"/>
      <c r="JZA46" s="76"/>
      <c r="JZB46" s="76"/>
      <c r="JZC46" s="76"/>
      <c r="JZD46" s="76"/>
      <c r="JZE46" s="76"/>
      <c r="JZF46" s="76"/>
      <c r="JZG46" s="76"/>
      <c r="JZH46" s="76"/>
      <c r="JZI46" s="76"/>
      <c r="JZJ46" s="76"/>
      <c r="JZK46" s="76"/>
      <c r="JZL46" s="76"/>
      <c r="JZM46" s="76"/>
      <c r="JZN46" s="76"/>
      <c r="JZO46" s="76"/>
      <c r="JZP46" s="76"/>
      <c r="JZQ46" s="76"/>
      <c r="JZR46" s="76"/>
      <c r="JZS46" s="76"/>
      <c r="JZT46" s="76"/>
      <c r="JZU46" s="76"/>
      <c r="JZV46" s="76"/>
      <c r="JZW46" s="76"/>
      <c r="JZX46" s="76"/>
      <c r="JZY46" s="76"/>
      <c r="JZZ46" s="76"/>
      <c r="KAA46" s="76"/>
      <c r="KAB46" s="76"/>
      <c r="KAC46" s="76"/>
      <c r="KAD46" s="76"/>
      <c r="KAE46" s="76"/>
      <c r="KAF46" s="76"/>
      <c r="KAG46" s="76"/>
      <c r="KAH46" s="76"/>
      <c r="KAI46" s="76"/>
      <c r="KAJ46" s="76"/>
      <c r="KAK46" s="76"/>
      <c r="KAL46" s="76"/>
      <c r="KAM46" s="76"/>
      <c r="KAN46" s="76"/>
      <c r="KAO46" s="76"/>
      <c r="KAP46" s="76"/>
      <c r="KAQ46" s="76"/>
      <c r="KAR46" s="76"/>
      <c r="KAS46" s="76"/>
      <c r="KAT46" s="76"/>
      <c r="KAU46" s="76"/>
      <c r="KAV46" s="76"/>
      <c r="KAW46" s="76"/>
      <c r="KAX46" s="76"/>
      <c r="KAY46" s="76"/>
      <c r="KAZ46" s="76"/>
      <c r="KBA46" s="76"/>
      <c r="KBB46" s="76"/>
      <c r="KBC46" s="76"/>
      <c r="KBD46" s="76"/>
      <c r="KBE46" s="76"/>
      <c r="KBF46" s="76"/>
      <c r="KBG46" s="76"/>
      <c r="KBH46" s="76"/>
      <c r="KBI46" s="76"/>
      <c r="KBJ46" s="76"/>
      <c r="KBK46" s="76"/>
      <c r="KBL46" s="76"/>
      <c r="KBM46" s="76"/>
      <c r="KBN46" s="76"/>
      <c r="KBO46" s="76"/>
      <c r="KBP46" s="76"/>
      <c r="KBQ46" s="76"/>
      <c r="KBR46" s="76"/>
      <c r="KBS46" s="76"/>
      <c r="KBT46" s="76"/>
      <c r="KBU46" s="76"/>
      <c r="KBV46" s="76"/>
      <c r="KBW46" s="76"/>
      <c r="KBX46" s="76"/>
      <c r="KBY46" s="76"/>
      <c r="KBZ46" s="76"/>
      <c r="KCA46" s="76"/>
      <c r="KCB46" s="76"/>
      <c r="KCC46" s="76"/>
      <c r="KCD46" s="76"/>
      <c r="KCE46" s="76"/>
      <c r="KCF46" s="76"/>
      <c r="KCG46" s="76"/>
      <c r="KCH46" s="76"/>
      <c r="KCI46" s="76"/>
      <c r="KCJ46" s="76"/>
      <c r="KCK46" s="76"/>
      <c r="KCL46" s="76"/>
      <c r="KCM46" s="76"/>
      <c r="KCN46" s="76"/>
      <c r="KCO46" s="76"/>
      <c r="KCP46" s="76"/>
      <c r="KCQ46" s="76"/>
      <c r="KCR46" s="76"/>
      <c r="KCS46" s="76"/>
      <c r="KCT46" s="76"/>
      <c r="KCU46" s="76"/>
      <c r="KCV46" s="76"/>
      <c r="KCW46" s="76"/>
      <c r="KCX46" s="76"/>
      <c r="KCY46" s="76"/>
      <c r="KCZ46" s="76"/>
      <c r="KDA46" s="76"/>
      <c r="KDB46" s="76"/>
      <c r="KDC46" s="76"/>
      <c r="KDD46" s="76"/>
      <c r="KDE46" s="76"/>
      <c r="KDF46" s="76"/>
      <c r="KDG46" s="76"/>
      <c r="KDH46" s="76"/>
      <c r="KDI46" s="76"/>
      <c r="KDJ46" s="76"/>
      <c r="KDK46" s="76"/>
      <c r="KDL46" s="76"/>
      <c r="KDM46" s="76"/>
      <c r="KDN46" s="76"/>
      <c r="KDO46" s="76"/>
      <c r="KDP46" s="76"/>
      <c r="KDQ46" s="76"/>
      <c r="KDR46" s="76"/>
      <c r="KDS46" s="76"/>
      <c r="KDT46" s="76"/>
      <c r="KDU46" s="76"/>
      <c r="KDV46" s="76"/>
      <c r="KDW46" s="76"/>
      <c r="KDX46" s="76"/>
      <c r="KDY46" s="76"/>
      <c r="KDZ46" s="76"/>
      <c r="KEA46" s="76"/>
      <c r="KEB46" s="76"/>
      <c r="KEC46" s="76"/>
      <c r="KED46" s="76"/>
      <c r="KEE46" s="76"/>
      <c r="KEF46" s="76"/>
      <c r="KEG46" s="76"/>
      <c r="KEH46" s="76"/>
      <c r="KEI46" s="76"/>
      <c r="KEJ46" s="76"/>
      <c r="KEK46" s="76"/>
      <c r="KEL46" s="76"/>
      <c r="KEM46" s="76"/>
      <c r="KEN46" s="76"/>
      <c r="KEO46" s="76"/>
      <c r="KEP46" s="76"/>
      <c r="KEQ46" s="76"/>
      <c r="KER46" s="76"/>
      <c r="KES46" s="76"/>
      <c r="KET46" s="76"/>
      <c r="KEU46" s="76"/>
      <c r="KEV46" s="76"/>
      <c r="KEW46" s="76"/>
      <c r="KEX46" s="76"/>
      <c r="KEY46" s="76"/>
      <c r="KEZ46" s="76"/>
      <c r="KFA46" s="76"/>
      <c r="KFB46" s="76"/>
      <c r="KFC46" s="76"/>
      <c r="KFD46" s="76"/>
      <c r="KFE46" s="76"/>
      <c r="KFF46" s="76"/>
      <c r="KFG46" s="76"/>
      <c r="KFH46" s="76"/>
      <c r="KFI46" s="76"/>
      <c r="KFJ46" s="76"/>
      <c r="KFK46" s="76"/>
      <c r="KFL46" s="76"/>
      <c r="KFM46" s="76"/>
      <c r="KFN46" s="76"/>
      <c r="KFO46" s="76"/>
      <c r="KFP46" s="76"/>
      <c r="KFQ46" s="76"/>
      <c r="KFR46" s="76"/>
      <c r="KFS46" s="76"/>
      <c r="KFT46" s="76"/>
      <c r="KFU46" s="76"/>
      <c r="KFV46" s="76"/>
      <c r="KFW46" s="76"/>
      <c r="KFX46" s="76"/>
      <c r="KFY46" s="76"/>
      <c r="KFZ46" s="76"/>
      <c r="KGA46" s="76"/>
      <c r="KGB46" s="76"/>
      <c r="KGC46" s="76"/>
      <c r="KGD46" s="76"/>
      <c r="KGE46" s="76"/>
      <c r="KGF46" s="76"/>
      <c r="KGG46" s="76"/>
      <c r="KGH46" s="76"/>
      <c r="KGI46" s="76"/>
      <c r="KGJ46" s="76"/>
      <c r="KGK46" s="76"/>
      <c r="KGL46" s="76"/>
      <c r="KGM46" s="76"/>
      <c r="KGN46" s="76"/>
      <c r="KGO46" s="76"/>
      <c r="KGP46" s="76"/>
      <c r="KGQ46" s="76"/>
      <c r="KGR46" s="76"/>
      <c r="KGS46" s="76"/>
      <c r="KGT46" s="76"/>
      <c r="KGU46" s="76"/>
      <c r="KGV46" s="76"/>
      <c r="KGW46" s="76"/>
      <c r="KGX46" s="76"/>
      <c r="KGY46" s="76"/>
      <c r="KGZ46" s="76"/>
      <c r="KHA46" s="76"/>
      <c r="KHB46" s="76"/>
      <c r="KHC46" s="76"/>
      <c r="KHD46" s="76"/>
      <c r="KHE46" s="76"/>
      <c r="KHF46" s="76"/>
      <c r="KHG46" s="76"/>
      <c r="KHH46" s="76"/>
      <c r="KHI46" s="76"/>
      <c r="KHJ46" s="76"/>
      <c r="KHK46" s="76"/>
      <c r="KHL46" s="76"/>
      <c r="KHM46" s="76"/>
      <c r="KHN46" s="76"/>
      <c r="KHO46" s="76"/>
      <c r="KHP46" s="76"/>
      <c r="KHQ46" s="76"/>
      <c r="KHR46" s="76"/>
      <c r="KHS46" s="76"/>
      <c r="KHT46" s="76"/>
      <c r="KHU46" s="76"/>
      <c r="KHV46" s="76"/>
      <c r="KHW46" s="76"/>
      <c r="KHX46" s="76"/>
      <c r="KHY46" s="76"/>
      <c r="KHZ46" s="76"/>
      <c r="KIA46" s="76"/>
      <c r="KIB46" s="76"/>
      <c r="KIC46" s="76"/>
      <c r="KID46" s="76"/>
      <c r="KIE46" s="76"/>
      <c r="KIF46" s="76"/>
      <c r="KIG46" s="76"/>
      <c r="KIH46" s="76"/>
      <c r="KII46" s="76"/>
      <c r="KIJ46" s="76"/>
      <c r="KIK46" s="76"/>
      <c r="KIL46" s="76"/>
      <c r="KIM46" s="76"/>
      <c r="KIN46" s="76"/>
      <c r="KIO46" s="76"/>
      <c r="KIP46" s="76"/>
      <c r="KIQ46" s="76"/>
      <c r="KIR46" s="76"/>
      <c r="KIS46" s="76"/>
      <c r="KIT46" s="76"/>
      <c r="KIU46" s="76"/>
      <c r="KIV46" s="76"/>
      <c r="KIW46" s="76"/>
      <c r="KIX46" s="76"/>
      <c r="KIY46" s="76"/>
      <c r="KIZ46" s="76"/>
      <c r="KJA46" s="76"/>
      <c r="KJB46" s="76"/>
      <c r="KJC46" s="76"/>
      <c r="KJD46" s="76"/>
      <c r="KJE46" s="76"/>
      <c r="KJF46" s="76"/>
      <c r="KJG46" s="76"/>
      <c r="KJH46" s="76"/>
      <c r="KJI46" s="76"/>
      <c r="KJJ46" s="76"/>
      <c r="KJK46" s="76"/>
      <c r="KJL46" s="76"/>
      <c r="KJM46" s="76"/>
      <c r="KJN46" s="76"/>
      <c r="KJO46" s="76"/>
      <c r="KJP46" s="76"/>
      <c r="KJQ46" s="76"/>
      <c r="KJR46" s="76"/>
      <c r="KJS46" s="76"/>
      <c r="KJT46" s="76"/>
      <c r="KJU46" s="76"/>
      <c r="KJV46" s="76"/>
      <c r="KJW46" s="76"/>
      <c r="KJX46" s="76"/>
      <c r="KJY46" s="76"/>
      <c r="KJZ46" s="76"/>
      <c r="KKA46" s="76"/>
      <c r="KKB46" s="76"/>
      <c r="KKC46" s="76"/>
      <c r="KKD46" s="76"/>
      <c r="KKE46" s="76"/>
      <c r="KKF46" s="76"/>
      <c r="KKG46" s="76"/>
      <c r="KKH46" s="76"/>
      <c r="KKI46" s="76"/>
      <c r="KKJ46" s="76"/>
      <c r="KKK46" s="76"/>
      <c r="KKL46" s="76"/>
      <c r="KKM46" s="76"/>
      <c r="KKN46" s="76"/>
      <c r="KKO46" s="76"/>
      <c r="KKP46" s="76"/>
      <c r="KKQ46" s="76"/>
      <c r="KKR46" s="76"/>
      <c r="KKS46" s="76"/>
      <c r="KKT46" s="76"/>
      <c r="KKU46" s="76"/>
      <c r="KKV46" s="76"/>
      <c r="KKW46" s="76"/>
      <c r="KKX46" s="76"/>
      <c r="KKY46" s="76"/>
      <c r="KKZ46" s="76"/>
      <c r="KLA46" s="76"/>
      <c r="KLB46" s="76"/>
      <c r="KLC46" s="76"/>
      <c r="KLD46" s="76"/>
      <c r="KLE46" s="76"/>
      <c r="KLF46" s="76"/>
      <c r="KLG46" s="76"/>
      <c r="KLH46" s="76"/>
      <c r="KLI46" s="76"/>
      <c r="KLJ46" s="76"/>
      <c r="KLK46" s="76"/>
      <c r="KLL46" s="76"/>
      <c r="KLM46" s="76"/>
      <c r="KLN46" s="76"/>
      <c r="KLO46" s="76"/>
      <c r="KLP46" s="76"/>
      <c r="KLQ46" s="76"/>
      <c r="KLR46" s="76"/>
      <c r="KLS46" s="76"/>
      <c r="KLT46" s="76"/>
      <c r="KLU46" s="76"/>
      <c r="KLV46" s="76"/>
      <c r="KLW46" s="76"/>
      <c r="KLX46" s="76"/>
      <c r="KLY46" s="76"/>
      <c r="KLZ46" s="76"/>
      <c r="KMA46" s="76"/>
      <c r="KMB46" s="76"/>
      <c r="KMC46" s="76"/>
      <c r="KMD46" s="76"/>
      <c r="KME46" s="76"/>
      <c r="KMF46" s="76"/>
      <c r="KMG46" s="76"/>
      <c r="KMH46" s="76"/>
      <c r="KMI46" s="76"/>
      <c r="KMJ46" s="76"/>
      <c r="KMK46" s="76"/>
      <c r="KML46" s="76"/>
      <c r="KMM46" s="76"/>
      <c r="KMN46" s="76"/>
      <c r="KMO46" s="76"/>
      <c r="KMP46" s="76"/>
      <c r="KMQ46" s="76"/>
      <c r="KMR46" s="76"/>
      <c r="KMS46" s="76"/>
      <c r="KMT46" s="76"/>
      <c r="KMU46" s="76"/>
      <c r="KMV46" s="76"/>
      <c r="KMW46" s="76"/>
      <c r="KMX46" s="76"/>
      <c r="KMY46" s="76"/>
      <c r="KMZ46" s="76"/>
      <c r="KNA46" s="76"/>
      <c r="KNB46" s="76"/>
      <c r="KNC46" s="76"/>
      <c r="KND46" s="76"/>
      <c r="KNE46" s="76"/>
      <c r="KNF46" s="76"/>
      <c r="KNG46" s="76"/>
      <c r="KNH46" s="76"/>
      <c r="KNI46" s="76"/>
      <c r="KNJ46" s="76"/>
      <c r="KNK46" s="76"/>
      <c r="KNL46" s="76"/>
      <c r="KNM46" s="76"/>
      <c r="KNN46" s="76"/>
      <c r="KNO46" s="76"/>
      <c r="KNP46" s="76"/>
      <c r="KNQ46" s="76"/>
      <c r="KNR46" s="76"/>
      <c r="KNS46" s="76"/>
      <c r="KNT46" s="76"/>
      <c r="KNU46" s="76"/>
      <c r="KNV46" s="76"/>
      <c r="KNW46" s="76"/>
      <c r="KNX46" s="76"/>
      <c r="KNY46" s="76"/>
      <c r="KNZ46" s="76"/>
      <c r="KOA46" s="76"/>
      <c r="KOB46" s="76"/>
      <c r="KOC46" s="76"/>
      <c r="KOD46" s="76"/>
      <c r="KOE46" s="76"/>
      <c r="KOF46" s="76"/>
      <c r="KOG46" s="76"/>
      <c r="KOH46" s="76"/>
      <c r="KOI46" s="76"/>
      <c r="KOJ46" s="76"/>
      <c r="KOK46" s="76"/>
      <c r="KOL46" s="76"/>
      <c r="KOM46" s="76"/>
      <c r="KON46" s="76"/>
      <c r="KOO46" s="76"/>
      <c r="KOP46" s="76"/>
      <c r="KOQ46" s="76"/>
      <c r="KOR46" s="76"/>
      <c r="KOS46" s="76"/>
      <c r="KOT46" s="76"/>
      <c r="KOU46" s="76"/>
      <c r="KOV46" s="76"/>
      <c r="KOW46" s="76"/>
      <c r="KOX46" s="76"/>
      <c r="KOY46" s="76"/>
      <c r="KOZ46" s="76"/>
      <c r="KPA46" s="76"/>
      <c r="KPB46" s="76"/>
      <c r="KPC46" s="76"/>
      <c r="KPD46" s="76"/>
      <c r="KPE46" s="76"/>
      <c r="KPF46" s="76"/>
      <c r="KPG46" s="76"/>
      <c r="KPH46" s="76"/>
      <c r="KPI46" s="76"/>
      <c r="KPJ46" s="76"/>
      <c r="KPK46" s="76"/>
      <c r="KPL46" s="76"/>
      <c r="KPM46" s="76"/>
      <c r="KPN46" s="76"/>
      <c r="KPO46" s="76"/>
      <c r="KPP46" s="76"/>
      <c r="KPQ46" s="76"/>
      <c r="KPR46" s="76"/>
      <c r="KPS46" s="76"/>
      <c r="KPT46" s="76"/>
      <c r="KPU46" s="76"/>
      <c r="KPV46" s="76"/>
      <c r="KPW46" s="76"/>
      <c r="KPX46" s="76"/>
      <c r="KPY46" s="76"/>
      <c r="KPZ46" s="76"/>
      <c r="KQA46" s="76"/>
      <c r="KQB46" s="76"/>
      <c r="KQC46" s="76"/>
      <c r="KQD46" s="76"/>
      <c r="KQE46" s="76"/>
      <c r="KQF46" s="76"/>
      <c r="KQG46" s="76"/>
      <c r="KQH46" s="76"/>
      <c r="KQI46" s="76"/>
      <c r="KQJ46" s="76"/>
      <c r="KQK46" s="76"/>
      <c r="KQL46" s="76"/>
      <c r="KQM46" s="76"/>
      <c r="KQN46" s="76"/>
      <c r="KQO46" s="76"/>
      <c r="KQP46" s="76"/>
      <c r="KQQ46" s="76"/>
      <c r="KQR46" s="76"/>
      <c r="KQS46" s="76"/>
      <c r="KQT46" s="76"/>
      <c r="KQU46" s="76"/>
      <c r="KQV46" s="76"/>
      <c r="KQW46" s="76"/>
      <c r="KQX46" s="76"/>
      <c r="KQY46" s="76"/>
      <c r="KQZ46" s="76"/>
      <c r="KRA46" s="76"/>
      <c r="KRB46" s="76"/>
      <c r="KRC46" s="76"/>
      <c r="KRD46" s="76"/>
      <c r="KRE46" s="76"/>
      <c r="KRF46" s="76"/>
      <c r="KRG46" s="76"/>
      <c r="KRH46" s="76"/>
      <c r="KRI46" s="76"/>
      <c r="KRJ46" s="76"/>
      <c r="KRK46" s="76"/>
      <c r="KRL46" s="76"/>
      <c r="KRM46" s="76"/>
      <c r="KRN46" s="76"/>
      <c r="KRO46" s="76"/>
      <c r="KRP46" s="76"/>
      <c r="KRQ46" s="76"/>
      <c r="KRR46" s="76"/>
      <c r="KRS46" s="76"/>
      <c r="KRT46" s="76"/>
      <c r="KRU46" s="76"/>
      <c r="KRV46" s="76"/>
      <c r="KRW46" s="76"/>
      <c r="KRX46" s="76"/>
      <c r="KRY46" s="76"/>
      <c r="KRZ46" s="76"/>
      <c r="KSA46" s="76"/>
      <c r="KSB46" s="76"/>
      <c r="KSC46" s="76"/>
      <c r="KSD46" s="76"/>
      <c r="KSE46" s="76"/>
      <c r="KSF46" s="76"/>
      <c r="KSG46" s="76"/>
      <c r="KSH46" s="76"/>
      <c r="KSI46" s="76"/>
      <c r="KSJ46" s="76"/>
      <c r="KSK46" s="76"/>
      <c r="KSL46" s="76"/>
      <c r="KSM46" s="76"/>
      <c r="KSN46" s="76"/>
      <c r="KSO46" s="76"/>
      <c r="KSP46" s="76"/>
      <c r="KSQ46" s="76"/>
      <c r="KSR46" s="76"/>
      <c r="KSS46" s="76"/>
      <c r="KST46" s="76"/>
      <c r="KSU46" s="76"/>
      <c r="KSV46" s="76"/>
      <c r="KSW46" s="76"/>
      <c r="KSX46" s="76"/>
      <c r="KSY46" s="76"/>
      <c r="KSZ46" s="76"/>
      <c r="KTA46" s="76"/>
      <c r="KTB46" s="76"/>
      <c r="KTC46" s="76"/>
      <c r="KTD46" s="76"/>
      <c r="KTE46" s="76"/>
      <c r="KTF46" s="76"/>
      <c r="KTG46" s="76"/>
      <c r="KTH46" s="76"/>
      <c r="KTI46" s="76"/>
      <c r="KTJ46" s="76"/>
      <c r="KTK46" s="76"/>
      <c r="KTL46" s="76"/>
      <c r="KTM46" s="76"/>
      <c r="KTN46" s="76"/>
      <c r="KTO46" s="76"/>
      <c r="KTP46" s="76"/>
      <c r="KTQ46" s="76"/>
      <c r="KTR46" s="76"/>
      <c r="KTS46" s="76"/>
      <c r="KTT46" s="76"/>
      <c r="KTU46" s="76"/>
      <c r="KTV46" s="76"/>
      <c r="KTW46" s="76"/>
      <c r="KTX46" s="76"/>
      <c r="KTY46" s="76"/>
      <c r="KTZ46" s="76"/>
      <c r="KUA46" s="76"/>
      <c r="KUB46" s="76"/>
      <c r="KUC46" s="76"/>
      <c r="KUD46" s="76"/>
      <c r="KUE46" s="76"/>
      <c r="KUF46" s="76"/>
      <c r="KUG46" s="76"/>
      <c r="KUH46" s="76"/>
      <c r="KUI46" s="76"/>
      <c r="KUJ46" s="76"/>
      <c r="KUK46" s="76"/>
      <c r="KUL46" s="76"/>
      <c r="KUM46" s="76"/>
      <c r="KUN46" s="76"/>
      <c r="KUO46" s="76"/>
      <c r="KUP46" s="76"/>
      <c r="KUQ46" s="76"/>
      <c r="KUR46" s="76"/>
      <c r="KUS46" s="76"/>
      <c r="KUT46" s="76"/>
      <c r="KUU46" s="76"/>
      <c r="KUV46" s="76"/>
      <c r="KUW46" s="76"/>
      <c r="KUX46" s="76"/>
      <c r="KUY46" s="76"/>
      <c r="KUZ46" s="76"/>
      <c r="KVA46" s="76"/>
      <c r="KVB46" s="76"/>
      <c r="KVC46" s="76"/>
      <c r="KVD46" s="76"/>
      <c r="KVE46" s="76"/>
      <c r="KVF46" s="76"/>
      <c r="KVG46" s="76"/>
      <c r="KVH46" s="76"/>
      <c r="KVI46" s="76"/>
      <c r="KVJ46" s="76"/>
      <c r="KVK46" s="76"/>
      <c r="KVL46" s="76"/>
      <c r="KVM46" s="76"/>
      <c r="KVN46" s="76"/>
      <c r="KVO46" s="76"/>
      <c r="KVP46" s="76"/>
      <c r="KVQ46" s="76"/>
      <c r="KVR46" s="76"/>
      <c r="KVS46" s="76"/>
      <c r="KVT46" s="76"/>
      <c r="KVU46" s="76"/>
      <c r="KVV46" s="76"/>
      <c r="KVW46" s="76"/>
      <c r="KVX46" s="76"/>
      <c r="KVY46" s="76"/>
      <c r="KVZ46" s="76"/>
      <c r="KWA46" s="76"/>
      <c r="KWB46" s="76"/>
      <c r="KWC46" s="76"/>
      <c r="KWD46" s="76"/>
      <c r="KWE46" s="76"/>
      <c r="KWF46" s="76"/>
      <c r="KWG46" s="76"/>
      <c r="KWH46" s="76"/>
      <c r="KWI46" s="76"/>
      <c r="KWJ46" s="76"/>
      <c r="KWK46" s="76"/>
      <c r="KWL46" s="76"/>
      <c r="KWM46" s="76"/>
      <c r="KWN46" s="76"/>
      <c r="KWO46" s="76"/>
      <c r="KWP46" s="76"/>
      <c r="KWQ46" s="76"/>
      <c r="KWR46" s="76"/>
      <c r="KWS46" s="76"/>
      <c r="KWT46" s="76"/>
      <c r="KWU46" s="76"/>
      <c r="KWV46" s="76"/>
      <c r="KWW46" s="76"/>
      <c r="KWX46" s="76"/>
      <c r="KWY46" s="76"/>
      <c r="KWZ46" s="76"/>
      <c r="KXA46" s="76"/>
      <c r="KXB46" s="76"/>
      <c r="KXC46" s="76"/>
      <c r="KXD46" s="76"/>
      <c r="KXE46" s="76"/>
      <c r="KXF46" s="76"/>
      <c r="KXG46" s="76"/>
      <c r="KXH46" s="76"/>
      <c r="KXI46" s="76"/>
      <c r="KXJ46" s="76"/>
      <c r="KXK46" s="76"/>
      <c r="KXL46" s="76"/>
      <c r="KXM46" s="76"/>
      <c r="KXN46" s="76"/>
      <c r="KXO46" s="76"/>
      <c r="KXP46" s="76"/>
      <c r="KXQ46" s="76"/>
      <c r="KXR46" s="76"/>
      <c r="KXS46" s="76"/>
      <c r="KXT46" s="76"/>
      <c r="KXU46" s="76"/>
      <c r="KXV46" s="76"/>
      <c r="KXW46" s="76"/>
      <c r="KXX46" s="76"/>
      <c r="KXY46" s="76"/>
      <c r="KXZ46" s="76"/>
      <c r="KYA46" s="76"/>
      <c r="KYB46" s="76"/>
      <c r="KYC46" s="76"/>
      <c r="KYD46" s="76"/>
      <c r="KYE46" s="76"/>
      <c r="KYF46" s="76"/>
      <c r="KYG46" s="76"/>
      <c r="KYH46" s="76"/>
      <c r="KYI46" s="76"/>
      <c r="KYJ46" s="76"/>
      <c r="KYK46" s="76"/>
      <c r="KYL46" s="76"/>
      <c r="KYM46" s="76"/>
      <c r="KYN46" s="76"/>
      <c r="KYO46" s="76"/>
      <c r="KYP46" s="76"/>
      <c r="KYQ46" s="76"/>
      <c r="KYR46" s="76"/>
      <c r="KYS46" s="76"/>
      <c r="KYT46" s="76"/>
      <c r="KYU46" s="76"/>
      <c r="KYV46" s="76"/>
      <c r="KYW46" s="76"/>
      <c r="KYX46" s="76"/>
      <c r="KYY46" s="76"/>
      <c r="KYZ46" s="76"/>
      <c r="KZA46" s="76"/>
      <c r="KZB46" s="76"/>
      <c r="KZC46" s="76"/>
      <c r="KZD46" s="76"/>
      <c r="KZE46" s="76"/>
      <c r="KZF46" s="76"/>
      <c r="KZG46" s="76"/>
      <c r="KZH46" s="76"/>
      <c r="KZI46" s="76"/>
      <c r="KZJ46" s="76"/>
      <c r="KZK46" s="76"/>
      <c r="KZL46" s="76"/>
      <c r="KZM46" s="76"/>
      <c r="KZN46" s="76"/>
      <c r="KZO46" s="76"/>
      <c r="KZP46" s="76"/>
      <c r="KZQ46" s="76"/>
      <c r="KZR46" s="76"/>
      <c r="KZS46" s="76"/>
      <c r="KZT46" s="76"/>
      <c r="KZU46" s="76"/>
      <c r="KZV46" s="76"/>
      <c r="KZW46" s="76"/>
      <c r="KZX46" s="76"/>
      <c r="KZY46" s="76"/>
      <c r="KZZ46" s="76"/>
      <c r="LAA46" s="76"/>
      <c r="LAB46" s="76"/>
      <c r="LAC46" s="76"/>
      <c r="LAD46" s="76"/>
      <c r="LAE46" s="76"/>
      <c r="LAF46" s="76"/>
      <c r="LAG46" s="76"/>
      <c r="LAH46" s="76"/>
      <c r="LAI46" s="76"/>
      <c r="LAJ46" s="76"/>
      <c r="LAK46" s="76"/>
      <c r="LAL46" s="76"/>
      <c r="LAM46" s="76"/>
      <c r="LAN46" s="76"/>
      <c r="LAO46" s="76"/>
      <c r="LAP46" s="76"/>
      <c r="LAQ46" s="76"/>
      <c r="LAR46" s="76"/>
      <c r="LAS46" s="76"/>
      <c r="LAT46" s="76"/>
      <c r="LAU46" s="76"/>
      <c r="LAV46" s="76"/>
      <c r="LAW46" s="76"/>
      <c r="LAX46" s="76"/>
      <c r="LAY46" s="76"/>
      <c r="LAZ46" s="76"/>
      <c r="LBA46" s="76"/>
      <c r="LBB46" s="76"/>
      <c r="LBC46" s="76"/>
      <c r="LBD46" s="76"/>
      <c r="LBE46" s="76"/>
      <c r="LBF46" s="76"/>
      <c r="LBG46" s="76"/>
      <c r="LBH46" s="76"/>
      <c r="LBI46" s="76"/>
      <c r="LBJ46" s="76"/>
      <c r="LBK46" s="76"/>
      <c r="LBL46" s="76"/>
      <c r="LBM46" s="76"/>
      <c r="LBN46" s="76"/>
      <c r="LBO46" s="76"/>
      <c r="LBP46" s="76"/>
      <c r="LBQ46" s="76"/>
      <c r="LBR46" s="76"/>
      <c r="LBS46" s="76"/>
      <c r="LBT46" s="76"/>
      <c r="LBU46" s="76"/>
      <c r="LBV46" s="76"/>
      <c r="LBW46" s="76"/>
      <c r="LBX46" s="76"/>
      <c r="LBY46" s="76"/>
      <c r="LBZ46" s="76"/>
      <c r="LCA46" s="76"/>
      <c r="LCB46" s="76"/>
      <c r="LCC46" s="76"/>
      <c r="LCD46" s="76"/>
      <c r="LCE46" s="76"/>
      <c r="LCF46" s="76"/>
      <c r="LCG46" s="76"/>
      <c r="LCH46" s="76"/>
      <c r="LCI46" s="76"/>
      <c r="LCJ46" s="76"/>
      <c r="LCK46" s="76"/>
      <c r="LCL46" s="76"/>
      <c r="LCM46" s="76"/>
      <c r="LCN46" s="76"/>
      <c r="LCO46" s="76"/>
      <c r="LCP46" s="76"/>
      <c r="LCQ46" s="76"/>
      <c r="LCR46" s="76"/>
      <c r="LCS46" s="76"/>
      <c r="LCT46" s="76"/>
      <c r="LCU46" s="76"/>
      <c r="LCV46" s="76"/>
      <c r="LCW46" s="76"/>
      <c r="LCX46" s="76"/>
      <c r="LCY46" s="76"/>
      <c r="LCZ46" s="76"/>
      <c r="LDA46" s="76"/>
      <c r="LDB46" s="76"/>
      <c r="LDC46" s="76"/>
      <c r="LDD46" s="76"/>
      <c r="LDE46" s="76"/>
      <c r="LDF46" s="76"/>
      <c r="LDG46" s="76"/>
      <c r="LDH46" s="76"/>
      <c r="LDI46" s="76"/>
      <c r="LDJ46" s="76"/>
      <c r="LDK46" s="76"/>
      <c r="LDL46" s="76"/>
      <c r="LDM46" s="76"/>
      <c r="LDN46" s="76"/>
      <c r="LDO46" s="76"/>
      <c r="LDP46" s="76"/>
      <c r="LDQ46" s="76"/>
      <c r="LDR46" s="76"/>
      <c r="LDS46" s="76"/>
      <c r="LDT46" s="76"/>
      <c r="LDU46" s="76"/>
      <c r="LDV46" s="76"/>
      <c r="LDW46" s="76"/>
      <c r="LDX46" s="76"/>
      <c r="LDY46" s="76"/>
      <c r="LDZ46" s="76"/>
      <c r="LEA46" s="76"/>
      <c r="LEB46" s="76"/>
      <c r="LEC46" s="76"/>
      <c r="LED46" s="76"/>
      <c r="LEE46" s="76"/>
      <c r="LEF46" s="76"/>
      <c r="LEG46" s="76"/>
      <c r="LEH46" s="76"/>
      <c r="LEI46" s="76"/>
      <c r="LEJ46" s="76"/>
      <c r="LEK46" s="76"/>
      <c r="LEL46" s="76"/>
      <c r="LEM46" s="76"/>
      <c r="LEN46" s="76"/>
      <c r="LEO46" s="76"/>
      <c r="LEP46" s="76"/>
      <c r="LEQ46" s="76"/>
      <c r="LER46" s="76"/>
      <c r="LES46" s="76"/>
      <c r="LET46" s="76"/>
      <c r="LEU46" s="76"/>
      <c r="LEV46" s="76"/>
      <c r="LEW46" s="76"/>
      <c r="LEX46" s="76"/>
      <c r="LEY46" s="76"/>
      <c r="LEZ46" s="76"/>
      <c r="LFA46" s="76"/>
      <c r="LFB46" s="76"/>
      <c r="LFC46" s="76"/>
      <c r="LFD46" s="76"/>
      <c r="LFE46" s="76"/>
      <c r="LFF46" s="76"/>
      <c r="LFG46" s="76"/>
      <c r="LFH46" s="76"/>
      <c r="LFI46" s="76"/>
      <c r="LFJ46" s="76"/>
      <c r="LFK46" s="76"/>
      <c r="LFL46" s="76"/>
      <c r="LFM46" s="76"/>
      <c r="LFN46" s="76"/>
      <c r="LFO46" s="76"/>
      <c r="LFP46" s="76"/>
      <c r="LFQ46" s="76"/>
      <c r="LFR46" s="76"/>
      <c r="LFS46" s="76"/>
      <c r="LFT46" s="76"/>
      <c r="LFU46" s="76"/>
      <c r="LFV46" s="76"/>
      <c r="LFW46" s="76"/>
      <c r="LFX46" s="76"/>
      <c r="LFY46" s="76"/>
      <c r="LFZ46" s="76"/>
      <c r="LGA46" s="76"/>
      <c r="LGB46" s="76"/>
      <c r="LGC46" s="76"/>
      <c r="LGD46" s="76"/>
      <c r="LGE46" s="76"/>
      <c r="LGF46" s="76"/>
      <c r="LGG46" s="76"/>
      <c r="LGH46" s="76"/>
      <c r="LGI46" s="76"/>
      <c r="LGJ46" s="76"/>
      <c r="LGK46" s="76"/>
      <c r="LGL46" s="76"/>
      <c r="LGM46" s="76"/>
      <c r="LGN46" s="76"/>
      <c r="LGO46" s="76"/>
      <c r="LGP46" s="76"/>
      <c r="LGQ46" s="76"/>
      <c r="LGR46" s="76"/>
      <c r="LGS46" s="76"/>
      <c r="LGT46" s="76"/>
      <c r="LGU46" s="76"/>
      <c r="LGV46" s="76"/>
      <c r="LGW46" s="76"/>
      <c r="LGX46" s="76"/>
      <c r="LGY46" s="76"/>
      <c r="LGZ46" s="76"/>
      <c r="LHA46" s="76"/>
      <c r="LHB46" s="76"/>
      <c r="LHC46" s="76"/>
      <c r="LHD46" s="76"/>
      <c r="LHE46" s="76"/>
      <c r="LHF46" s="76"/>
      <c r="LHG46" s="76"/>
      <c r="LHH46" s="76"/>
      <c r="LHI46" s="76"/>
      <c r="LHJ46" s="76"/>
      <c r="LHK46" s="76"/>
      <c r="LHL46" s="76"/>
      <c r="LHM46" s="76"/>
      <c r="LHN46" s="76"/>
      <c r="LHO46" s="76"/>
      <c r="LHP46" s="76"/>
      <c r="LHQ46" s="76"/>
      <c r="LHR46" s="76"/>
      <c r="LHS46" s="76"/>
      <c r="LHT46" s="76"/>
      <c r="LHU46" s="76"/>
      <c r="LHV46" s="76"/>
      <c r="LHW46" s="76"/>
      <c r="LHX46" s="76"/>
      <c r="LHY46" s="76"/>
      <c r="LHZ46" s="76"/>
      <c r="LIA46" s="76"/>
      <c r="LIB46" s="76"/>
      <c r="LIC46" s="76"/>
      <c r="LID46" s="76"/>
      <c r="LIE46" s="76"/>
      <c r="LIF46" s="76"/>
      <c r="LIG46" s="76"/>
      <c r="LIH46" s="76"/>
      <c r="LII46" s="76"/>
      <c r="LIJ46" s="76"/>
      <c r="LIK46" s="76"/>
      <c r="LIL46" s="76"/>
      <c r="LIM46" s="76"/>
      <c r="LIN46" s="76"/>
      <c r="LIO46" s="76"/>
      <c r="LIP46" s="76"/>
      <c r="LIQ46" s="76"/>
      <c r="LIR46" s="76"/>
      <c r="LIS46" s="76"/>
      <c r="LIT46" s="76"/>
      <c r="LIU46" s="76"/>
      <c r="LIV46" s="76"/>
      <c r="LIW46" s="76"/>
      <c r="LIX46" s="76"/>
      <c r="LIY46" s="76"/>
      <c r="LIZ46" s="76"/>
      <c r="LJA46" s="76"/>
      <c r="LJB46" s="76"/>
      <c r="LJC46" s="76"/>
      <c r="LJD46" s="76"/>
      <c r="LJE46" s="76"/>
      <c r="LJF46" s="76"/>
      <c r="LJG46" s="76"/>
      <c r="LJH46" s="76"/>
      <c r="LJI46" s="76"/>
      <c r="LJJ46" s="76"/>
      <c r="LJK46" s="76"/>
      <c r="LJL46" s="76"/>
      <c r="LJM46" s="76"/>
      <c r="LJN46" s="76"/>
      <c r="LJO46" s="76"/>
      <c r="LJP46" s="76"/>
      <c r="LJQ46" s="76"/>
      <c r="LJR46" s="76"/>
      <c r="LJS46" s="76"/>
      <c r="LJT46" s="76"/>
      <c r="LJU46" s="76"/>
      <c r="LJV46" s="76"/>
      <c r="LJW46" s="76"/>
      <c r="LJX46" s="76"/>
      <c r="LJY46" s="76"/>
      <c r="LJZ46" s="76"/>
      <c r="LKA46" s="76"/>
      <c r="LKB46" s="76"/>
      <c r="LKC46" s="76"/>
      <c r="LKD46" s="76"/>
      <c r="LKE46" s="76"/>
      <c r="LKF46" s="76"/>
      <c r="LKG46" s="76"/>
      <c r="LKH46" s="76"/>
      <c r="LKI46" s="76"/>
      <c r="LKJ46" s="76"/>
      <c r="LKK46" s="76"/>
      <c r="LKL46" s="76"/>
      <c r="LKM46" s="76"/>
      <c r="LKN46" s="76"/>
      <c r="LKO46" s="76"/>
      <c r="LKP46" s="76"/>
      <c r="LKQ46" s="76"/>
      <c r="LKR46" s="76"/>
      <c r="LKS46" s="76"/>
      <c r="LKT46" s="76"/>
      <c r="LKU46" s="76"/>
      <c r="LKV46" s="76"/>
      <c r="LKW46" s="76"/>
      <c r="LKX46" s="76"/>
      <c r="LKY46" s="76"/>
      <c r="LKZ46" s="76"/>
      <c r="LLA46" s="76"/>
      <c r="LLB46" s="76"/>
      <c r="LLC46" s="76"/>
      <c r="LLD46" s="76"/>
      <c r="LLE46" s="76"/>
      <c r="LLF46" s="76"/>
      <c r="LLG46" s="76"/>
      <c r="LLH46" s="76"/>
      <c r="LLI46" s="76"/>
      <c r="LLJ46" s="76"/>
      <c r="LLK46" s="76"/>
      <c r="LLL46" s="76"/>
      <c r="LLM46" s="76"/>
      <c r="LLN46" s="76"/>
      <c r="LLO46" s="76"/>
      <c r="LLP46" s="76"/>
      <c r="LLQ46" s="76"/>
      <c r="LLR46" s="76"/>
      <c r="LLS46" s="76"/>
      <c r="LLT46" s="76"/>
      <c r="LLU46" s="76"/>
      <c r="LLV46" s="76"/>
      <c r="LLW46" s="76"/>
      <c r="LLX46" s="76"/>
      <c r="LLY46" s="76"/>
      <c r="LLZ46" s="76"/>
      <c r="LMA46" s="76"/>
      <c r="LMB46" s="76"/>
      <c r="LMC46" s="76"/>
      <c r="LMD46" s="76"/>
      <c r="LME46" s="76"/>
      <c r="LMF46" s="76"/>
      <c r="LMG46" s="76"/>
      <c r="LMH46" s="76"/>
      <c r="LMI46" s="76"/>
      <c r="LMJ46" s="76"/>
      <c r="LMK46" s="76"/>
      <c r="LML46" s="76"/>
      <c r="LMM46" s="76"/>
      <c r="LMN46" s="76"/>
      <c r="LMO46" s="76"/>
      <c r="LMP46" s="76"/>
      <c r="LMQ46" s="76"/>
      <c r="LMR46" s="76"/>
      <c r="LMS46" s="76"/>
      <c r="LMT46" s="76"/>
      <c r="LMU46" s="76"/>
      <c r="LMV46" s="76"/>
      <c r="LMW46" s="76"/>
      <c r="LMX46" s="76"/>
      <c r="LMY46" s="76"/>
      <c r="LMZ46" s="76"/>
      <c r="LNA46" s="76"/>
      <c r="LNB46" s="76"/>
      <c r="LNC46" s="76"/>
      <c r="LND46" s="76"/>
      <c r="LNE46" s="76"/>
      <c r="LNF46" s="76"/>
      <c r="LNG46" s="76"/>
      <c r="LNH46" s="76"/>
      <c r="LNI46" s="76"/>
      <c r="LNJ46" s="76"/>
      <c r="LNK46" s="76"/>
      <c r="LNL46" s="76"/>
      <c r="LNM46" s="76"/>
      <c r="LNN46" s="76"/>
      <c r="LNO46" s="76"/>
      <c r="LNP46" s="76"/>
      <c r="LNQ46" s="76"/>
      <c r="LNR46" s="76"/>
      <c r="LNS46" s="76"/>
      <c r="LNT46" s="76"/>
      <c r="LNU46" s="76"/>
      <c r="LNV46" s="76"/>
      <c r="LNW46" s="76"/>
      <c r="LNX46" s="76"/>
      <c r="LNY46" s="76"/>
      <c r="LNZ46" s="76"/>
      <c r="LOA46" s="76"/>
      <c r="LOB46" s="76"/>
      <c r="LOC46" s="76"/>
      <c r="LOD46" s="76"/>
      <c r="LOE46" s="76"/>
      <c r="LOF46" s="76"/>
      <c r="LOG46" s="76"/>
      <c r="LOH46" s="76"/>
      <c r="LOI46" s="76"/>
      <c r="LOJ46" s="76"/>
      <c r="LOK46" s="76"/>
      <c r="LOL46" s="76"/>
      <c r="LOM46" s="76"/>
      <c r="LON46" s="76"/>
      <c r="LOO46" s="76"/>
      <c r="LOP46" s="76"/>
      <c r="LOQ46" s="76"/>
      <c r="LOR46" s="76"/>
      <c r="LOS46" s="76"/>
      <c r="LOT46" s="76"/>
      <c r="LOU46" s="76"/>
      <c r="LOV46" s="76"/>
      <c r="LOW46" s="76"/>
      <c r="LOX46" s="76"/>
      <c r="LOY46" s="76"/>
      <c r="LOZ46" s="76"/>
      <c r="LPA46" s="76"/>
      <c r="LPB46" s="76"/>
      <c r="LPC46" s="76"/>
      <c r="LPD46" s="76"/>
      <c r="LPE46" s="76"/>
      <c r="LPF46" s="76"/>
      <c r="LPG46" s="76"/>
      <c r="LPH46" s="76"/>
      <c r="LPI46" s="76"/>
      <c r="LPJ46" s="76"/>
      <c r="LPK46" s="76"/>
      <c r="LPL46" s="76"/>
      <c r="LPM46" s="76"/>
      <c r="LPN46" s="76"/>
      <c r="LPO46" s="76"/>
      <c r="LPP46" s="76"/>
      <c r="LPQ46" s="76"/>
      <c r="LPR46" s="76"/>
      <c r="LPS46" s="76"/>
      <c r="LPT46" s="76"/>
      <c r="LPU46" s="76"/>
      <c r="LPV46" s="76"/>
      <c r="LPW46" s="76"/>
      <c r="LPX46" s="76"/>
      <c r="LPY46" s="76"/>
      <c r="LPZ46" s="76"/>
      <c r="LQA46" s="76"/>
      <c r="LQB46" s="76"/>
      <c r="LQC46" s="76"/>
      <c r="LQD46" s="76"/>
      <c r="LQE46" s="76"/>
      <c r="LQF46" s="76"/>
      <c r="LQG46" s="76"/>
      <c r="LQH46" s="76"/>
      <c r="LQI46" s="76"/>
      <c r="LQJ46" s="76"/>
      <c r="LQK46" s="76"/>
      <c r="LQL46" s="76"/>
      <c r="LQM46" s="76"/>
      <c r="LQN46" s="76"/>
      <c r="LQO46" s="76"/>
      <c r="LQP46" s="76"/>
      <c r="LQQ46" s="76"/>
      <c r="LQR46" s="76"/>
      <c r="LQS46" s="76"/>
      <c r="LQT46" s="76"/>
      <c r="LQU46" s="76"/>
      <c r="LQV46" s="76"/>
      <c r="LQW46" s="76"/>
      <c r="LQX46" s="76"/>
      <c r="LQY46" s="76"/>
      <c r="LQZ46" s="76"/>
      <c r="LRA46" s="76"/>
      <c r="LRB46" s="76"/>
      <c r="LRC46" s="76"/>
      <c r="LRD46" s="76"/>
      <c r="LRE46" s="76"/>
      <c r="LRF46" s="76"/>
      <c r="LRG46" s="76"/>
      <c r="LRH46" s="76"/>
      <c r="LRI46" s="76"/>
      <c r="LRJ46" s="76"/>
      <c r="LRK46" s="76"/>
      <c r="LRL46" s="76"/>
      <c r="LRM46" s="76"/>
      <c r="LRN46" s="76"/>
      <c r="LRO46" s="76"/>
      <c r="LRP46" s="76"/>
      <c r="LRQ46" s="76"/>
      <c r="LRR46" s="76"/>
      <c r="LRS46" s="76"/>
      <c r="LRT46" s="76"/>
      <c r="LRU46" s="76"/>
      <c r="LRV46" s="76"/>
      <c r="LRW46" s="76"/>
      <c r="LRX46" s="76"/>
      <c r="LRY46" s="76"/>
      <c r="LRZ46" s="76"/>
      <c r="LSA46" s="76"/>
      <c r="LSB46" s="76"/>
      <c r="LSC46" s="76"/>
      <c r="LSD46" s="76"/>
      <c r="LSE46" s="76"/>
      <c r="LSF46" s="76"/>
      <c r="LSG46" s="76"/>
      <c r="LSH46" s="76"/>
      <c r="LSI46" s="76"/>
      <c r="LSJ46" s="76"/>
      <c r="LSK46" s="76"/>
      <c r="LSL46" s="76"/>
      <c r="LSM46" s="76"/>
      <c r="LSN46" s="76"/>
      <c r="LSO46" s="76"/>
      <c r="LSP46" s="76"/>
      <c r="LSQ46" s="76"/>
      <c r="LSR46" s="76"/>
      <c r="LSS46" s="76"/>
      <c r="LST46" s="76"/>
      <c r="LSU46" s="76"/>
      <c r="LSV46" s="76"/>
      <c r="LSW46" s="76"/>
      <c r="LSX46" s="76"/>
      <c r="LSY46" s="76"/>
      <c r="LSZ46" s="76"/>
      <c r="LTA46" s="76"/>
      <c r="LTB46" s="76"/>
      <c r="LTC46" s="76"/>
      <c r="LTD46" s="76"/>
      <c r="LTE46" s="76"/>
      <c r="LTF46" s="76"/>
      <c r="LTG46" s="76"/>
      <c r="LTH46" s="76"/>
      <c r="LTI46" s="76"/>
      <c r="LTJ46" s="76"/>
      <c r="LTK46" s="76"/>
      <c r="LTL46" s="76"/>
      <c r="LTM46" s="76"/>
      <c r="LTN46" s="76"/>
      <c r="LTO46" s="76"/>
      <c r="LTP46" s="76"/>
      <c r="LTQ46" s="76"/>
      <c r="LTR46" s="76"/>
      <c r="LTS46" s="76"/>
      <c r="LTT46" s="76"/>
      <c r="LTU46" s="76"/>
      <c r="LTV46" s="76"/>
      <c r="LTW46" s="76"/>
      <c r="LTX46" s="76"/>
      <c r="LTY46" s="76"/>
      <c r="LTZ46" s="76"/>
      <c r="LUA46" s="76"/>
      <c r="LUB46" s="76"/>
      <c r="LUC46" s="76"/>
      <c r="LUD46" s="76"/>
      <c r="LUE46" s="76"/>
      <c r="LUF46" s="76"/>
      <c r="LUG46" s="76"/>
      <c r="LUH46" s="76"/>
      <c r="LUI46" s="76"/>
      <c r="LUJ46" s="76"/>
      <c r="LUK46" s="76"/>
      <c r="LUL46" s="76"/>
      <c r="LUM46" s="76"/>
      <c r="LUN46" s="76"/>
      <c r="LUO46" s="76"/>
      <c r="LUP46" s="76"/>
      <c r="LUQ46" s="76"/>
      <c r="LUR46" s="76"/>
      <c r="LUS46" s="76"/>
      <c r="LUT46" s="76"/>
      <c r="LUU46" s="76"/>
      <c r="LUV46" s="76"/>
      <c r="LUW46" s="76"/>
      <c r="LUX46" s="76"/>
      <c r="LUY46" s="76"/>
      <c r="LUZ46" s="76"/>
      <c r="LVA46" s="76"/>
      <c r="LVB46" s="76"/>
      <c r="LVC46" s="76"/>
      <c r="LVD46" s="76"/>
      <c r="LVE46" s="76"/>
      <c r="LVF46" s="76"/>
      <c r="LVG46" s="76"/>
      <c r="LVH46" s="76"/>
      <c r="LVI46" s="76"/>
      <c r="LVJ46" s="76"/>
      <c r="LVK46" s="76"/>
      <c r="LVL46" s="76"/>
      <c r="LVM46" s="76"/>
      <c r="LVN46" s="76"/>
      <c r="LVO46" s="76"/>
      <c r="LVP46" s="76"/>
      <c r="LVQ46" s="76"/>
      <c r="LVR46" s="76"/>
      <c r="LVS46" s="76"/>
      <c r="LVT46" s="76"/>
      <c r="LVU46" s="76"/>
      <c r="LVV46" s="76"/>
      <c r="LVW46" s="76"/>
      <c r="LVX46" s="76"/>
      <c r="LVY46" s="76"/>
      <c r="LVZ46" s="76"/>
      <c r="LWA46" s="76"/>
      <c r="LWB46" s="76"/>
      <c r="LWC46" s="76"/>
      <c r="LWD46" s="76"/>
      <c r="LWE46" s="76"/>
      <c r="LWF46" s="76"/>
      <c r="LWG46" s="76"/>
      <c r="LWH46" s="76"/>
      <c r="LWI46" s="76"/>
      <c r="LWJ46" s="76"/>
      <c r="LWK46" s="76"/>
      <c r="LWL46" s="76"/>
      <c r="LWM46" s="76"/>
      <c r="LWN46" s="76"/>
      <c r="LWO46" s="76"/>
      <c r="LWP46" s="76"/>
      <c r="LWQ46" s="76"/>
      <c r="LWR46" s="76"/>
      <c r="LWS46" s="76"/>
      <c r="LWT46" s="76"/>
      <c r="LWU46" s="76"/>
      <c r="LWV46" s="76"/>
      <c r="LWW46" s="76"/>
      <c r="LWX46" s="76"/>
      <c r="LWY46" s="76"/>
      <c r="LWZ46" s="76"/>
      <c r="LXA46" s="76"/>
      <c r="LXB46" s="76"/>
      <c r="LXC46" s="76"/>
      <c r="LXD46" s="76"/>
      <c r="LXE46" s="76"/>
      <c r="LXF46" s="76"/>
      <c r="LXG46" s="76"/>
      <c r="LXH46" s="76"/>
      <c r="LXI46" s="76"/>
      <c r="LXJ46" s="76"/>
      <c r="LXK46" s="76"/>
      <c r="LXL46" s="76"/>
      <c r="LXM46" s="76"/>
      <c r="LXN46" s="76"/>
      <c r="LXO46" s="76"/>
      <c r="LXP46" s="76"/>
      <c r="LXQ46" s="76"/>
      <c r="LXR46" s="76"/>
      <c r="LXS46" s="76"/>
      <c r="LXT46" s="76"/>
      <c r="LXU46" s="76"/>
      <c r="LXV46" s="76"/>
      <c r="LXW46" s="76"/>
      <c r="LXX46" s="76"/>
      <c r="LXY46" s="76"/>
      <c r="LXZ46" s="76"/>
      <c r="LYA46" s="76"/>
      <c r="LYB46" s="76"/>
      <c r="LYC46" s="76"/>
      <c r="LYD46" s="76"/>
      <c r="LYE46" s="76"/>
      <c r="LYF46" s="76"/>
      <c r="LYG46" s="76"/>
      <c r="LYH46" s="76"/>
      <c r="LYI46" s="76"/>
      <c r="LYJ46" s="76"/>
      <c r="LYK46" s="76"/>
      <c r="LYL46" s="76"/>
      <c r="LYM46" s="76"/>
      <c r="LYN46" s="76"/>
      <c r="LYO46" s="76"/>
      <c r="LYP46" s="76"/>
      <c r="LYQ46" s="76"/>
      <c r="LYR46" s="76"/>
      <c r="LYS46" s="76"/>
      <c r="LYT46" s="76"/>
      <c r="LYU46" s="76"/>
      <c r="LYV46" s="76"/>
      <c r="LYW46" s="76"/>
      <c r="LYX46" s="76"/>
      <c r="LYY46" s="76"/>
      <c r="LYZ46" s="76"/>
      <c r="LZA46" s="76"/>
      <c r="LZB46" s="76"/>
      <c r="LZC46" s="76"/>
      <c r="LZD46" s="76"/>
      <c r="LZE46" s="76"/>
      <c r="LZF46" s="76"/>
      <c r="LZG46" s="76"/>
      <c r="LZH46" s="76"/>
      <c r="LZI46" s="76"/>
      <c r="LZJ46" s="76"/>
      <c r="LZK46" s="76"/>
      <c r="LZL46" s="76"/>
      <c r="LZM46" s="76"/>
      <c r="LZN46" s="76"/>
      <c r="LZO46" s="76"/>
      <c r="LZP46" s="76"/>
      <c r="LZQ46" s="76"/>
      <c r="LZR46" s="76"/>
      <c r="LZS46" s="76"/>
      <c r="LZT46" s="76"/>
      <c r="LZU46" s="76"/>
      <c r="LZV46" s="76"/>
      <c r="LZW46" s="76"/>
      <c r="LZX46" s="76"/>
      <c r="LZY46" s="76"/>
      <c r="LZZ46" s="76"/>
      <c r="MAA46" s="76"/>
      <c r="MAB46" s="76"/>
      <c r="MAC46" s="76"/>
      <c r="MAD46" s="76"/>
      <c r="MAE46" s="76"/>
      <c r="MAF46" s="76"/>
      <c r="MAG46" s="76"/>
      <c r="MAH46" s="76"/>
      <c r="MAI46" s="76"/>
      <c r="MAJ46" s="76"/>
      <c r="MAK46" s="76"/>
      <c r="MAL46" s="76"/>
      <c r="MAM46" s="76"/>
      <c r="MAN46" s="76"/>
      <c r="MAO46" s="76"/>
      <c r="MAP46" s="76"/>
      <c r="MAQ46" s="76"/>
      <c r="MAR46" s="76"/>
      <c r="MAS46" s="76"/>
      <c r="MAT46" s="76"/>
      <c r="MAU46" s="76"/>
      <c r="MAV46" s="76"/>
      <c r="MAW46" s="76"/>
      <c r="MAX46" s="76"/>
      <c r="MAY46" s="76"/>
      <c r="MAZ46" s="76"/>
      <c r="MBA46" s="76"/>
      <c r="MBB46" s="76"/>
      <c r="MBC46" s="76"/>
      <c r="MBD46" s="76"/>
      <c r="MBE46" s="76"/>
      <c r="MBF46" s="76"/>
      <c r="MBG46" s="76"/>
      <c r="MBH46" s="76"/>
      <c r="MBI46" s="76"/>
      <c r="MBJ46" s="76"/>
      <c r="MBK46" s="76"/>
      <c r="MBL46" s="76"/>
      <c r="MBM46" s="76"/>
      <c r="MBN46" s="76"/>
      <c r="MBO46" s="76"/>
      <c r="MBP46" s="76"/>
      <c r="MBQ46" s="76"/>
      <c r="MBR46" s="76"/>
      <c r="MBS46" s="76"/>
      <c r="MBT46" s="76"/>
      <c r="MBU46" s="76"/>
      <c r="MBV46" s="76"/>
      <c r="MBW46" s="76"/>
      <c r="MBX46" s="76"/>
      <c r="MBY46" s="76"/>
      <c r="MBZ46" s="76"/>
      <c r="MCA46" s="76"/>
      <c r="MCB46" s="76"/>
      <c r="MCC46" s="76"/>
      <c r="MCD46" s="76"/>
      <c r="MCE46" s="76"/>
      <c r="MCF46" s="76"/>
      <c r="MCG46" s="76"/>
      <c r="MCH46" s="76"/>
      <c r="MCI46" s="76"/>
      <c r="MCJ46" s="76"/>
      <c r="MCK46" s="76"/>
      <c r="MCL46" s="76"/>
      <c r="MCM46" s="76"/>
      <c r="MCN46" s="76"/>
      <c r="MCO46" s="76"/>
      <c r="MCP46" s="76"/>
      <c r="MCQ46" s="76"/>
      <c r="MCR46" s="76"/>
      <c r="MCS46" s="76"/>
      <c r="MCT46" s="76"/>
      <c r="MCU46" s="76"/>
      <c r="MCV46" s="76"/>
      <c r="MCW46" s="76"/>
      <c r="MCX46" s="76"/>
      <c r="MCY46" s="76"/>
      <c r="MCZ46" s="76"/>
      <c r="MDA46" s="76"/>
      <c r="MDB46" s="76"/>
      <c r="MDC46" s="76"/>
      <c r="MDD46" s="76"/>
      <c r="MDE46" s="76"/>
      <c r="MDF46" s="76"/>
      <c r="MDG46" s="76"/>
      <c r="MDH46" s="76"/>
      <c r="MDI46" s="76"/>
      <c r="MDJ46" s="76"/>
      <c r="MDK46" s="76"/>
      <c r="MDL46" s="76"/>
      <c r="MDM46" s="76"/>
      <c r="MDN46" s="76"/>
      <c r="MDO46" s="76"/>
      <c r="MDP46" s="76"/>
      <c r="MDQ46" s="76"/>
      <c r="MDR46" s="76"/>
      <c r="MDS46" s="76"/>
      <c r="MDT46" s="76"/>
      <c r="MDU46" s="76"/>
      <c r="MDV46" s="76"/>
      <c r="MDW46" s="76"/>
      <c r="MDX46" s="76"/>
      <c r="MDY46" s="76"/>
      <c r="MDZ46" s="76"/>
      <c r="MEA46" s="76"/>
      <c r="MEB46" s="76"/>
      <c r="MEC46" s="76"/>
      <c r="MED46" s="76"/>
      <c r="MEE46" s="76"/>
      <c r="MEF46" s="76"/>
      <c r="MEG46" s="76"/>
      <c r="MEH46" s="76"/>
      <c r="MEI46" s="76"/>
      <c r="MEJ46" s="76"/>
      <c r="MEK46" s="76"/>
      <c r="MEL46" s="76"/>
      <c r="MEM46" s="76"/>
      <c r="MEN46" s="76"/>
      <c r="MEO46" s="76"/>
      <c r="MEP46" s="76"/>
      <c r="MEQ46" s="76"/>
      <c r="MER46" s="76"/>
      <c r="MES46" s="76"/>
      <c r="MET46" s="76"/>
      <c r="MEU46" s="76"/>
      <c r="MEV46" s="76"/>
      <c r="MEW46" s="76"/>
      <c r="MEX46" s="76"/>
      <c r="MEY46" s="76"/>
      <c r="MEZ46" s="76"/>
      <c r="MFA46" s="76"/>
      <c r="MFB46" s="76"/>
      <c r="MFC46" s="76"/>
      <c r="MFD46" s="76"/>
      <c r="MFE46" s="76"/>
      <c r="MFF46" s="76"/>
      <c r="MFG46" s="76"/>
      <c r="MFH46" s="76"/>
      <c r="MFI46" s="76"/>
      <c r="MFJ46" s="76"/>
      <c r="MFK46" s="76"/>
      <c r="MFL46" s="76"/>
      <c r="MFM46" s="76"/>
      <c r="MFN46" s="76"/>
      <c r="MFO46" s="76"/>
      <c r="MFP46" s="76"/>
      <c r="MFQ46" s="76"/>
      <c r="MFR46" s="76"/>
      <c r="MFS46" s="76"/>
      <c r="MFT46" s="76"/>
      <c r="MFU46" s="76"/>
      <c r="MFV46" s="76"/>
      <c r="MFW46" s="76"/>
      <c r="MFX46" s="76"/>
      <c r="MFY46" s="76"/>
      <c r="MFZ46" s="76"/>
      <c r="MGA46" s="76"/>
      <c r="MGB46" s="76"/>
      <c r="MGC46" s="76"/>
      <c r="MGD46" s="76"/>
      <c r="MGE46" s="76"/>
      <c r="MGF46" s="76"/>
      <c r="MGG46" s="76"/>
      <c r="MGH46" s="76"/>
      <c r="MGI46" s="76"/>
      <c r="MGJ46" s="76"/>
      <c r="MGK46" s="76"/>
      <c r="MGL46" s="76"/>
      <c r="MGM46" s="76"/>
      <c r="MGN46" s="76"/>
      <c r="MGO46" s="76"/>
      <c r="MGP46" s="76"/>
      <c r="MGQ46" s="76"/>
      <c r="MGR46" s="76"/>
      <c r="MGS46" s="76"/>
      <c r="MGT46" s="76"/>
      <c r="MGU46" s="76"/>
      <c r="MGV46" s="76"/>
      <c r="MGW46" s="76"/>
      <c r="MGX46" s="76"/>
      <c r="MGY46" s="76"/>
      <c r="MGZ46" s="76"/>
      <c r="MHA46" s="76"/>
      <c r="MHB46" s="76"/>
      <c r="MHC46" s="76"/>
      <c r="MHD46" s="76"/>
      <c r="MHE46" s="76"/>
      <c r="MHF46" s="76"/>
      <c r="MHG46" s="76"/>
      <c r="MHH46" s="76"/>
      <c r="MHI46" s="76"/>
      <c r="MHJ46" s="76"/>
      <c r="MHK46" s="76"/>
      <c r="MHL46" s="76"/>
      <c r="MHM46" s="76"/>
      <c r="MHN46" s="76"/>
      <c r="MHO46" s="76"/>
      <c r="MHP46" s="76"/>
      <c r="MHQ46" s="76"/>
      <c r="MHR46" s="76"/>
      <c r="MHS46" s="76"/>
      <c r="MHT46" s="76"/>
      <c r="MHU46" s="76"/>
      <c r="MHV46" s="76"/>
      <c r="MHW46" s="76"/>
      <c r="MHX46" s="76"/>
      <c r="MHY46" s="76"/>
      <c r="MHZ46" s="76"/>
      <c r="MIA46" s="76"/>
      <c r="MIB46" s="76"/>
      <c r="MIC46" s="76"/>
      <c r="MID46" s="76"/>
      <c r="MIE46" s="76"/>
      <c r="MIF46" s="76"/>
      <c r="MIG46" s="76"/>
      <c r="MIH46" s="76"/>
      <c r="MII46" s="76"/>
      <c r="MIJ46" s="76"/>
      <c r="MIK46" s="76"/>
      <c r="MIL46" s="76"/>
      <c r="MIM46" s="76"/>
      <c r="MIN46" s="76"/>
      <c r="MIO46" s="76"/>
      <c r="MIP46" s="76"/>
      <c r="MIQ46" s="76"/>
      <c r="MIR46" s="76"/>
      <c r="MIS46" s="76"/>
      <c r="MIT46" s="76"/>
      <c r="MIU46" s="76"/>
      <c r="MIV46" s="76"/>
      <c r="MIW46" s="76"/>
      <c r="MIX46" s="76"/>
      <c r="MIY46" s="76"/>
      <c r="MIZ46" s="76"/>
      <c r="MJA46" s="76"/>
      <c r="MJB46" s="76"/>
      <c r="MJC46" s="76"/>
      <c r="MJD46" s="76"/>
      <c r="MJE46" s="76"/>
      <c r="MJF46" s="76"/>
      <c r="MJG46" s="76"/>
      <c r="MJH46" s="76"/>
      <c r="MJI46" s="76"/>
      <c r="MJJ46" s="76"/>
      <c r="MJK46" s="76"/>
      <c r="MJL46" s="76"/>
      <c r="MJM46" s="76"/>
      <c r="MJN46" s="76"/>
      <c r="MJO46" s="76"/>
      <c r="MJP46" s="76"/>
      <c r="MJQ46" s="76"/>
      <c r="MJR46" s="76"/>
      <c r="MJS46" s="76"/>
      <c r="MJT46" s="76"/>
      <c r="MJU46" s="76"/>
      <c r="MJV46" s="76"/>
      <c r="MJW46" s="76"/>
      <c r="MJX46" s="76"/>
      <c r="MJY46" s="76"/>
      <c r="MJZ46" s="76"/>
      <c r="MKA46" s="76"/>
      <c r="MKB46" s="76"/>
      <c r="MKC46" s="76"/>
      <c r="MKD46" s="76"/>
      <c r="MKE46" s="76"/>
      <c r="MKF46" s="76"/>
      <c r="MKG46" s="76"/>
      <c r="MKH46" s="76"/>
      <c r="MKI46" s="76"/>
      <c r="MKJ46" s="76"/>
      <c r="MKK46" s="76"/>
      <c r="MKL46" s="76"/>
      <c r="MKM46" s="76"/>
      <c r="MKN46" s="76"/>
      <c r="MKO46" s="76"/>
      <c r="MKP46" s="76"/>
      <c r="MKQ46" s="76"/>
      <c r="MKR46" s="76"/>
      <c r="MKS46" s="76"/>
      <c r="MKT46" s="76"/>
      <c r="MKU46" s="76"/>
      <c r="MKV46" s="76"/>
      <c r="MKW46" s="76"/>
      <c r="MKX46" s="76"/>
      <c r="MKY46" s="76"/>
      <c r="MKZ46" s="76"/>
      <c r="MLA46" s="76"/>
      <c r="MLB46" s="76"/>
      <c r="MLC46" s="76"/>
      <c r="MLD46" s="76"/>
      <c r="MLE46" s="76"/>
      <c r="MLF46" s="76"/>
      <c r="MLG46" s="76"/>
      <c r="MLH46" s="76"/>
      <c r="MLI46" s="76"/>
      <c r="MLJ46" s="76"/>
      <c r="MLK46" s="76"/>
      <c r="MLL46" s="76"/>
      <c r="MLM46" s="76"/>
      <c r="MLN46" s="76"/>
      <c r="MLO46" s="76"/>
      <c r="MLP46" s="76"/>
      <c r="MLQ46" s="76"/>
      <c r="MLR46" s="76"/>
      <c r="MLS46" s="76"/>
      <c r="MLT46" s="76"/>
      <c r="MLU46" s="76"/>
      <c r="MLV46" s="76"/>
      <c r="MLW46" s="76"/>
      <c r="MLX46" s="76"/>
      <c r="MLY46" s="76"/>
      <c r="MLZ46" s="76"/>
      <c r="MMA46" s="76"/>
      <c r="MMB46" s="76"/>
      <c r="MMC46" s="76"/>
      <c r="MMD46" s="76"/>
      <c r="MME46" s="76"/>
      <c r="MMF46" s="76"/>
      <c r="MMG46" s="76"/>
      <c r="MMH46" s="76"/>
      <c r="MMI46" s="76"/>
      <c r="MMJ46" s="76"/>
      <c r="MMK46" s="76"/>
      <c r="MML46" s="76"/>
      <c r="MMM46" s="76"/>
      <c r="MMN46" s="76"/>
      <c r="MMO46" s="76"/>
      <c r="MMP46" s="76"/>
      <c r="MMQ46" s="76"/>
      <c r="MMR46" s="76"/>
      <c r="MMS46" s="76"/>
      <c r="MMT46" s="76"/>
      <c r="MMU46" s="76"/>
      <c r="MMV46" s="76"/>
      <c r="MMW46" s="76"/>
      <c r="MMX46" s="76"/>
      <c r="MMY46" s="76"/>
      <c r="MMZ46" s="76"/>
      <c r="MNA46" s="76"/>
      <c r="MNB46" s="76"/>
      <c r="MNC46" s="76"/>
      <c r="MND46" s="76"/>
      <c r="MNE46" s="76"/>
      <c r="MNF46" s="76"/>
      <c r="MNG46" s="76"/>
      <c r="MNH46" s="76"/>
      <c r="MNI46" s="76"/>
      <c r="MNJ46" s="76"/>
      <c r="MNK46" s="76"/>
      <c r="MNL46" s="76"/>
      <c r="MNM46" s="76"/>
      <c r="MNN46" s="76"/>
      <c r="MNO46" s="76"/>
      <c r="MNP46" s="76"/>
      <c r="MNQ46" s="76"/>
      <c r="MNR46" s="76"/>
      <c r="MNS46" s="76"/>
      <c r="MNT46" s="76"/>
      <c r="MNU46" s="76"/>
      <c r="MNV46" s="76"/>
      <c r="MNW46" s="76"/>
      <c r="MNX46" s="76"/>
      <c r="MNY46" s="76"/>
      <c r="MNZ46" s="76"/>
      <c r="MOA46" s="76"/>
      <c r="MOB46" s="76"/>
      <c r="MOC46" s="76"/>
      <c r="MOD46" s="76"/>
      <c r="MOE46" s="76"/>
      <c r="MOF46" s="76"/>
      <c r="MOG46" s="76"/>
      <c r="MOH46" s="76"/>
      <c r="MOI46" s="76"/>
      <c r="MOJ46" s="76"/>
      <c r="MOK46" s="76"/>
      <c r="MOL46" s="76"/>
      <c r="MOM46" s="76"/>
      <c r="MON46" s="76"/>
      <c r="MOO46" s="76"/>
      <c r="MOP46" s="76"/>
      <c r="MOQ46" s="76"/>
      <c r="MOR46" s="76"/>
      <c r="MOS46" s="76"/>
      <c r="MOT46" s="76"/>
      <c r="MOU46" s="76"/>
      <c r="MOV46" s="76"/>
      <c r="MOW46" s="76"/>
      <c r="MOX46" s="76"/>
      <c r="MOY46" s="76"/>
      <c r="MOZ46" s="76"/>
      <c r="MPA46" s="76"/>
      <c r="MPB46" s="76"/>
      <c r="MPC46" s="76"/>
      <c r="MPD46" s="76"/>
      <c r="MPE46" s="76"/>
      <c r="MPF46" s="76"/>
      <c r="MPG46" s="76"/>
      <c r="MPH46" s="76"/>
      <c r="MPI46" s="76"/>
      <c r="MPJ46" s="76"/>
      <c r="MPK46" s="76"/>
      <c r="MPL46" s="76"/>
      <c r="MPM46" s="76"/>
      <c r="MPN46" s="76"/>
      <c r="MPO46" s="76"/>
      <c r="MPP46" s="76"/>
      <c r="MPQ46" s="76"/>
      <c r="MPR46" s="76"/>
      <c r="MPS46" s="76"/>
      <c r="MPT46" s="76"/>
      <c r="MPU46" s="76"/>
      <c r="MPV46" s="76"/>
      <c r="MPW46" s="76"/>
      <c r="MPX46" s="76"/>
      <c r="MPY46" s="76"/>
      <c r="MPZ46" s="76"/>
      <c r="MQA46" s="76"/>
      <c r="MQB46" s="76"/>
      <c r="MQC46" s="76"/>
      <c r="MQD46" s="76"/>
      <c r="MQE46" s="76"/>
      <c r="MQF46" s="76"/>
      <c r="MQG46" s="76"/>
      <c r="MQH46" s="76"/>
      <c r="MQI46" s="76"/>
      <c r="MQJ46" s="76"/>
      <c r="MQK46" s="76"/>
      <c r="MQL46" s="76"/>
      <c r="MQM46" s="76"/>
      <c r="MQN46" s="76"/>
      <c r="MQO46" s="76"/>
      <c r="MQP46" s="76"/>
      <c r="MQQ46" s="76"/>
      <c r="MQR46" s="76"/>
      <c r="MQS46" s="76"/>
      <c r="MQT46" s="76"/>
      <c r="MQU46" s="76"/>
      <c r="MQV46" s="76"/>
      <c r="MQW46" s="76"/>
      <c r="MQX46" s="76"/>
      <c r="MQY46" s="76"/>
      <c r="MQZ46" s="76"/>
      <c r="MRA46" s="76"/>
      <c r="MRB46" s="76"/>
      <c r="MRC46" s="76"/>
      <c r="MRD46" s="76"/>
      <c r="MRE46" s="76"/>
      <c r="MRF46" s="76"/>
      <c r="MRG46" s="76"/>
      <c r="MRH46" s="76"/>
      <c r="MRI46" s="76"/>
      <c r="MRJ46" s="76"/>
      <c r="MRK46" s="76"/>
      <c r="MRL46" s="76"/>
      <c r="MRM46" s="76"/>
      <c r="MRN46" s="76"/>
      <c r="MRO46" s="76"/>
      <c r="MRP46" s="76"/>
      <c r="MRQ46" s="76"/>
      <c r="MRR46" s="76"/>
      <c r="MRS46" s="76"/>
      <c r="MRT46" s="76"/>
      <c r="MRU46" s="76"/>
      <c r="MRV46" s="76"/>
      <c r="MRW46" s="76"/>
      <c r="MRX46" s="76"/>
      <c r="MRY46" s="76"/>
      <c r="MRZ46" s="76"/>
      <c r="MSA46" s="76"/>
      <c r="MSB46" s="76"/>
      <c r="MSC46" s="76"/>
      <c r="MSD46" s="76"/>
      <c r="MSE46" s="76"/>
      <c r="MSF46" s="76"/>
      <c r="MSG46" s="76"/>
      <c r="MSH46" s="76"/>
      <c r="MSI46" s="76"/>
      <c r="MSJ46" s="76"/>
      <c r="MSK46" s="76"/>
      <c r="MSL46" s="76"/>
      <c r="MSM46" s="76"/>
      <c r="MSN46" s="76"/>
      <c r="MSO46" s="76"/>
      <c r="MSP46" s="76"/>
      <c r="MSQ46" s="76"/>
      <c r="MSR46" s="76"/>
      <c r="MSS46" s="76"/>
      <c r="MST46" s="76"/>
      <c r="MSU46" s="76"/>
      <c r="MSV46" s="76"/>
      <c r="MSW46" s="76"/>
      <c r="MSX46" s="76"/>
      <c r="MSY46" s="76"/>
      <c r="MSZ46" s="76"/>
      <c r="MTA46" s="76"/>
      <c r="MTB46" s="76"/>
      <c r="MTC46" s="76"/>
      <c r="MTD46" s="76"/>
      <c r="MTE46" s="76"/>
      <c r="MTF46" s="76"/>
      <c r="MTG46" s="76"/>
      <c r="MTH46" s="76"/>
      <c r="MTI46" s="76"/>
      <c r="MTJ46" s="76"/>
      <c r="MTK46" s="76"/>
      <c r="MTL46" s="76"/>
      <c r="MTM46" s="76"/>
      <c r="MTN46" s="76"/>
      <c r="MTO46" s="76"/>
      <c r="MTP46" s="76"/>
      <c r="MTQ46" s="76"/>
      <c r="MTR46" s="76"/>
      <c r="MTS46" s="76"/>
      <c r="MTT46" s="76"/>
      <c r="MTU46" s="76"/>
      <c r="MTV46" s="76"/>
      <c r="MTW46" s="76"/>
      <c r="MTX46" s="76"/>
      <c r="MTY46" s="76"/>
      <c r="MTZ46" s="76"/>
      <c r="MUA46" s="76"/>
      <c r="MUB46" s="76"/>
      <c r="MUC46" s="76"/>
      <c r="MUD46" s="76"/>
      <c r="MUE46" s="76"/>
      <c r="MUF46" s="76"/>
      <c r="MUG46" s="76"/>
      <c r="MUH46" s="76"/>
      <c r="MUI46" s="76"/>
      <c r="MUJ46" s="76"/>
      <c r="MUK46" s="76"/>
      <c r="MUL46" s="76"/>
      <c r="MUM46" s="76"/>
      <c r="MUN46" s="76"/>
      <c r="MUO46" s="76"/>
      <c r="MUP46" s="76"/>
      <c r="MUQ46" s="76"/>
      <c r="MUR46" s="76"/>
      <c r="MUS46" s="76"/>
      <c r="MUT46" s="76"/>
      <c r="MUU46" s="76"/>
      <c r="MUV46" s="76"/>
      <c r="MUW46" s="76"/>
      <c r="MUX46" s="76"/>
      <c r="MUY46" s="76"/>
      <c r="MUZ46" s="76"/>
      <c r="MVA46" s="76"/>
      <c r="MVB46" s="76"/>
      <c r="MVC46" s="76"/>
      <c r="MVD46" s="76"/>
      <c r="MVE46" s="76"/>
      <c r="MVF46" s="76"/>
      <c r="MVG46" s="76"/>
      <c r="MVH46" s="76"/>
      <c r="MVI46" s="76"/>
      <c r="MVJ46" s="76"/>
      <c r="MVK46" s="76"/>
      <c r="MVL46" s="76"/>
      <c r="MVM46" s="76"/>
      <c r="MVN46" s="76"/>
      <c r="MVO46" s="76"/>
      <c r="MVP46" s="76"/>
      <c r="MVQ46" s="76"/>
      <c r="MVR46" s="76"/>
      <c r="MVS46" s="76"/>
      <c r="MVT46" s="76"/>
      <c r="MVU46" s="76"/>
      <c r="MVV46" s="76"/>
      <c r="MVW46" s="76"/>
      <c r="MVX46" s="76"/>
      <c r="MVY46" s="76"/>
      <c r="MVZ46" s="76"/>
      <c r="MWA46" s="76"/>
      <c r="MWB46" s="76"/>
      <c r="MWC46" s="76"/>
      <c r="MWD46" s="76"/>
      <c r="MWE46" s="76"/>
      <c r="MWF46" s="76"/>
      <c r="MWG46" s="76"/>
      <c r="MWH46" s="76"/>
      <c r="MWI46" s="76"/>
      <c r="MWJ46" s="76"/>
      <c r="MWK46" s="76"/>
      <c r="MWL46" s="76"/>
      <c r="MWM46" s="76"/>
      <c r="MWN46" s="76"/>
      <c r="MWO46" s="76"/>
      <c r="MWP46" s="76"/>
      <c r="MWQ46" s="76"/>
      <c r="MWR46" s="76"/>
      <c r="MWS46" s="76"/>
      <c r="MWT46" s="76"/>
      <c r="MWU46" s="76"/>
      <c r="MWV46" s="76"/>
      <c r="MWW46" s="76"/>
      <c r="MWX46" s="76"/>
      <c r="MWY46" s="76"/>
      <c r="MWZ46" s="76"/>
      <c r="MXA46" s="76"/>
      <c r="MXB46" s="76"/>
      <c r="MXC46" s="76"/>
      <c r="MXD46" s="76"/>
      <c r="MXE46" s="76"/>
      <c r="MXF46" s="76"/>
      <c r="MXG46" s="76"/>
      <c r="MXH46" s="76"/>
      <c r="MXI46" s="76"/>
      <c r="MXJ46" s="76"/>
      <c r="MXK46" s="76"/>
      <c r="MXL46" s="76"/>
      <c r="MXM46" s="76"/>
      <c r="MXN46" s="76"/>
      <c r="MXO46" s="76"/>
      <c r="MXP46" s="76"/>
      <c r="MXQ46" s="76"/>
      <c r="MXR46" s="76"/>
      <c r="MXS46" s="76"/>
      <c r="MXT46" s="76"/>
      <c r="MXU46" s="76"/>
      <c r="MXV46" s="76"/>
      <c r="MXW46" s="76"/>
      <c r="MXX46" s="76"/>
      <c r="MXY46" s="76"/>
      <c r="MXZ46" s="76"/>
      <c r="MYA46" s="76"/>
      <c r="MYB46" s="76"/>
      <c r="MYC46" s="76"/>
      <c r="MYD46" s="76"/>
      <c r="MYE46" s="76"/>
      <c r="MYF46" s="76"/>
      <c r="MYG46" s="76"/>
      <c r="MYH46" s="76"/>
      <c r="MYI46" s="76"/>
      <c r="MYJ46" s="76"/>
      <c r="MYK46" s="76"/>
      <c r="MYL46" s="76"/>
      <c r="MYM46" s="76"/>
      <c r="MYN46" s="76"/>
      <c r="MYO46" s="76"/>
      <c r="MYP46" s="76"/>
      <c r="MYQ46" s="76"/>
      <c r="MYR46" s="76"/>
      <c r="MYS46" s="76"/>
      <c r="MYT46" s="76"/>
      <c r="MYU46" s="76"/>
      <c r="MYV46" s="76"/>
      <c r="MYW46" s="76"/>
      <c r="MYX46" s="76"/>
      <c r="MYY46" s="76"/>
      <c r="MYZ46" s="76"/>
      <c r="MZA46" s="76"/>
      <c r="MZB46" s="76"/>
      <c r="MZC46" s="76"/>
      <c r="MZD46" s="76"/>
      <c r="MZE46" s="76"/>
      <c r="MZF46" s="76"/>
      <c r="MZG46" s="76"/>
      <c r="MZH46" s="76"/>
      <c r="MZI46" s="76"/>
      <c r="MZJ46" s="76"/>
      <c r="MZK46" s="76"/>
      <c r="MZL46" s="76"/>
      <c r="MZM46" s="76"/>
      <c r="MZN46" s="76"/>
      <c r="MZO46" s="76"/>
      <c r="MZP46" s="76"/>
      <c r="MZQ46" s="76"/>
      <c r="MZR46" s="76"/>
      <c r="MZS46" s="76"/>
      <c r="MZT46" s="76"/>
      <c r="MZU46" s="76"/>
      <c r="MZV46" s="76"/>
      <c r="MZW46" s="76"/>
      <c r="MZX46" s="76"/>
      <c r="MZY46" s="76"/>
      <c r="MZZ46" s="76"/>
      <c r="NAA46" s="76"/>
      <c r="NAB46" s="76"/>
      <c r="NAC46" s="76"/>
      <c r="NAD46" s="76"/>
      <c r="NAE46" s="76"/>
      <c r="NAF46" s="76"/>
      <c r="NAG46" s="76"/>
      <c r="NAH46" s="76"/>
      <c r="NAI46" s="76"/>
      <c r="NAJ46" s="76"/>
      <c r="NAK46" s="76"/>
      <c r="NAL46" s="76"/>
      <c r="NAM46" s="76"/>
      <c r="NAN46" s="76"/>
      <c r="NAO46" s="76"/>
      <c r="NAP46" s="76"/>
      <c r="NAQ46" s="76"/>
      <c r="NAR46" s="76"/>
      <c r="NAS46" s="76"/>
      <c r="NAT46" s="76"/>
      <c r="NAU46" s="76"/>
      <c r="NAV46" s="76"/>
      <c r="NAW46" s="76"/>
      <c r="NAX46" s="76"/>
      <c r="NAY46" s="76"/>
      <c r="NAZ46" s="76"/>
      <c r="NBA46" s="76"/>
      <c r="NBB46" s="76"/>
      <c r="NBC46" s="76"/>
      <c r="NBD46" s="76"/>
      <c r="NBE46" s="76"/>
      <c r="NBF46" s="76"/>
      <c r="NBG46" s="76"/>
      <c r="NBH46" s="76"/>
      <c r="NBI46" s="76"/>
      <c r="NBJ46" s="76"/>
      <c r="NBK46" s="76"/>
      <c r="NBL46" s="76"/>
      <c r="NBM46" s="76"/>
      <c r="NBN46" s="76"/>
      <c r="NBO46" s="76"/>
      <c r="NBP46" s="76"/>
      <c r="NBQ46" s="76"/>
      <c r="NBR46" s="76"/>
      <c r="NBS46" s="76"/>
      <c r="NBT46" s="76"/>
      <c r="NBU46" s="76"/>
      <c r="NBV46" s="76"/>
      <c r="NBW46" s="76"/>
      <c r="NBX46" s="76"/>
      <c r="NBY46" s="76"/>
      <c r="NBZ46" s="76"/>
      <c r="NCA46" s="76"/>
      <c r="NCB46" s="76"/>
      <c r="NCC46" s="76"/>
      <c r="NCD46" s="76"/>
      <c r="NCE46" s="76"/>
      <c r="NCF46" s="76"/>
      <c r="NCG46" s="76"/>
      <c r="NCH46" s="76"/>
      <c r="NCI46" s="76"/>
      <c r="NCJ46" s="76"/>
      <c r="NCK46" s="76"/>
      <c r="NCL46" s="76"/>
      <c r="NCM46" s="76"/>
      <c r="NCN46" s="76"/>
      <c r="NCO46" s="76"/>
      <c r="NCP46" s="76"/>
      <c r="NCQ46" s="76"/>
      <c r="NCR46" s="76"/>
      <c r="NCS46" s="76"/>
      <c r="NCT46" s="76"/>
      <c r="NCU46" s="76"/>
      <c r="NCV46" s="76"/>
      <c r="NCW46" s="76"/>
      <c r="NCX46" s="76"/>
      <c r="NCY46" s="76"/>
      <c r="NCZ46" s="76"/>
      <c r="NDA46" s="76"/>
      <c r="NDB46" s="76"/>
      <c r="NDC46" s="76"/>
      <c r="NDD46" s="76"/>
      <c r="NDE46" s="76"/>
      <c r="NDF46" s="76"/>
      <c r="NDG46" s="76"/>
      <c r="NDH46" s="76"/>
      <c r="NDI46" s="76"/>
      <c r="NDJ46" s="76"/>
      <c r="NDK46" s="76"/>
      <c r="NDL46" s="76"/>
      <c r="NDM46" s="76"/>
      <c r="NDN46" s="76"/>
      <c r="NDO46" s="76"/>
      <c r="NDP46" s="76"/>
      <c r="NDQ46" s="76"/>
      <c r="NDR46" s="76"/>
      <c r="NDS46" s="76"/>
      <c r="NDT46" s="76"/>
      <c r="NDU46" s="76"/>
      <c r="NDV46" s="76"/>
      <c r="NDW46" s="76"/>
      <c r="NDX46" s="76"/>
      <c r="NDY46" s="76"/>
      <c r="NDZ46" s="76"/>
      <c r="NEA46" s="76"/>
      <c r="NEB46" s="76"/>
      <c r="NEC46" s="76"/>
      <c r="NED46" s="76"/>
      <c r="NEE46" s="76"/>
      <c r="NEF46" s="76"/>
      <c r="NEG46" s="76"/>
      <c r="NEH46" s="76"/>
      <c r="NEI46" s="76"/>
      <c r="NEJ46" s="76"/>
      <c r="NEK46" s="76"/>
      <c r="NEL46" s="76"/>
      <c r="NEM46" s="76"/>
      <c r="NEN46" s="76"/>
      <c r="NEO46" s="76"/>
      <c r="NEP46" s="76"/>
      <c r="NEQ46" s="76"/>
      <c r="NER46" s="76"/>
      <c r="NES46" s="76"/>
      <c r="NET46" s="76"/>
      <c r="NEU46" s="76"/>
      <c r="NEV46" s="76"/>
      <c r="NEW46" s="76"/>
      <c r="NEX46" s="76"/>
      <c r="NEY46" s="76"/>
      <c r="NEZ46" s="76"/>
      <c r="NFA46" s="76"/>
      <c r="NFB46" s="76"/>
      <c r="NFC46" s="76"/>
      <c r="NFD46" s="76"/>
      <c r="NFE46" s="76"/>
      <c r="NFF46" s="76"/>
      <c r="NFG46" s="76"/>
      <c r="NFH46" s="76"/>
      <c r="NFI46" s="76"/>
      <c r="NFJ46" s="76"/>
      <c r="NFK46" s="76"/>
      <c r="NFL46" s="76"/>
      <c r="NFM46" s="76"/>
      <c r="NFN46" s="76"/>
      <c r="NFO46" s="76"/>
      <c r="NFP46" s="76"/>
      <c r="NFQ46" s="76"/>
      <c r="NFR46" s="76"/>
      <c r="NFS46" s="76"/>
      <c r="NFT46" s="76"/>
      <c r="NFU46" s="76"/>
      <c r="NFV46" s="76"/>
      <c r="NFW46" s="76"/>
      <c r="NFX46" s="76"/>
      <c r="NFY46" s="76"/>
      <c r="NFZ46" s="76"/>
      <c r="NGA46" s="76"/>
      <c r="NGB46" s="76"/>
      <c r="NGC46" s="76"/>
      <c r="NGD46" s="76"/>
      <c r="NGE46" s="76"/>
      <c r="NGF46" s="76"/>
      <c r="NGG46" s="76"/>
      <c r="NGH46" s="76"/>
      <c r="NGI46" s="76"/>
      <c r="NGJ46" s="76"/>
      <c r="NGK46" s="76"/>
      <c r="NGL46" s="76"/>
      <c r="NGM46" s="76"/>
      <c r="NGN46" s="76"/>
      <c r="NGO46" s="76"/>
      <c r="NGP46" s="76"/>
      <c r="NGQ46" s="76"/>
      <c r="NGR46" s="76"/>
      <c r="NGS46" s="76"/>
      <c r="NGT46" s="76"/>
      <c r="NGU46" s="76"/>
      <c r="NGV46" s="76"/>
      <c r="NGW46" s="76"/>
      <c r="NGX46" s="76"/>
      <c r="NGY46" s="76"/>
      <c r="NGZ46" s="76"/>
      <c r="NHA46" s="76"/>
      <c r="NHB46" s="76"/>
      <c r="NHC46" s="76"/>
      <c r="NHD46" s="76"/>
      <c r="NHE46" s="76"/>
      <c r="NHF46" s="76"/>
      <c r="NHG46" s="76"/>
      <c r="NHH46" s="76"/>
      <c r="NHI46" s="76"/>
      <c r="NHJ46" s="76"/>
      <c r="NHK46" s="76"/>
      <c r="NHL46" s="76"/>
      <c r="NHM46" s="76"/>
      <c r="NHN46" s="76"/>
      <c r="NHO46" s="76"/>
      <c r="NHP46" s="76"/>
      <c r="NHQ46" s="76"/>
      <c r="NHR46" s="76"/>
      <c r="NHS46" s="76"/>
      <c r="NHT46" s="76"/>
      <c r="NHU46" s="76"/>
      <c r="NHV46" s="76"/>
      <c r="NHW46" s="76"/>
      <c r="NHX46" s="76"/>
      <c r="NHY46" s="76"/>
      <c r="NHZ46" s="76"/>
      <c r="NIA46" s="76"/>
      <c r="NIB46" s="76"/>
      <c r="NIC46" s="76"/>
      <c r="NID46" s="76"/>
      <c r="NIE46" s="76"/>
      <c r="NIF46" s="76"/>
      <c r="NIG46" s="76"/>
      <c r="NIH46" s="76"/>
      <c r="NII46" s="76"/>
      <c r="NIJ46" s="76"/>
      <c r="NIK46" s="76"/>
      <c r="NIL46" s="76"/>
      <c r="NIM46" s="76"/>
      <c r="NIN46" s="76"/>
      <c r="NIO46" s="76"/>
      <c r="NIP46" s="76"/>
      <c r="NIQ46" s="76"/>
      <c r="NIR46" s="76"/>
      <c r="NIS46" s="76"/>
      <c r="NIT46" s="76"/>
      <c r="NIU46" s="76"/>
      <c r="NIV46" s="76"/>
      <c r="NIW46" s="76"/>
      <c r="NIX46" s="76"/>
      <c r="NIY46" s="76"/>
      <c r="NIZ46" s="76"/>
      <c r="NJA46" s="76"/>
      <c r="NJB46" s="76"/>
      <c r="NJC46" s="76"/>
      <c r="NJD46" s="76"/>
      <c r="NJE46" s="76"/>
      <c r="NJF46" s="76"/>
      <c r="NJG46" s="76"/>
      <c r="NJH46" s="76"/>
      <c r="NJI46" s="76"/>
      <c r="NJJ46" s="76"/>
      <c r="NJK46" s="76"/>
      <c r="NJL46" s="76"/>
      <c r="NJM46" s="76"/>
      <c r="NJN46" s="76"/>
      <c r="NJO46" s="76"/>
      <c r="NJP46" s="76"/>
      <c r="NJQ46" s="76"/>
      <c r="NJR46" s="76"/>
      <c r="NJS46" s="76"/>
      <c r="NJT46" s="76"/>
      <c r="NJU46" s="76"/>
      <c r="NJV46" s="76"/>
      <c r="NJW46" s="76"/>
      <c r="NJX46" s="76"/>
      <c r="NJY46" s="76"/>
      <c r="NJZ46" s="76"/>
      <c r="NKA46" s="76"/>
      <c r="NKB46" s="76"/>
      <c r="NKC46" s="76"/>
      <c r="NKD46" s="76"/>
      <c r="NKE46" s="76"/>
      <c r="NKF46" s="76"/>
      <c r="NKG46" s="76"/>
      <c r="NKH46" s="76"/>
      <c r="NKI46" s="76"/>
      <c r="NKJ46" s="76"/>
      <c r="NKK46" s="76"/>
      <c r="NKL46" s="76"/>
      <c r="NKM46" s="76"/>
      <c r="NKN46" s="76"/>
      <c r="NKO46" s="76"/>
      <c r="NKP46" s="76"/>
      <c r="NKQ46" s="76"/>
      <c r="NKR46" s="76"/>
      <c r="NKS46" s="76"/>
      <c r="NKT46" s="76"/>
      <c r="NKU46" s="76"/>
      <c r="NKV46" s="76"/>
      <c r="NKW46" s="76"/>
      <c r="NKX46" s="76"/>
      <c r="NKY46" s="76"/>
      <c r="NKZ46" s="76"/>
      <c r="NLA46" s="76"/>
      <c r="NLB46" s="76"/>
      <c r="NLC46" s="76"/>
      <c r="NLD46" s="76"/>
      <c r="NLE46" s="76"/>
      <c r="NLF46" s="76"/>
      <c r="NLG46" s="76"/>
      <c r="NLH46" s="76"/>
      <c r="NLI46" s="76"/>
      <c r="NLJ46" s="76"/>
      <c r="NLK46" s="76"/>
      <c r="NLL46" s="76"/>
      <c r="NLM46" s="76"/>
      <c r="NLN46" s="76"/>
      <c r="NLO46" s="76"/>
      <c r="NLP46" s="76"/>
      <c r="NLQ46" s="76"/>
      <c r="NLR46" s="76"/>
      <c r="NLS46" s="76"/>
      <c r="NLT46" s="76"/>
      <c r="NLU46" s="76"/>
      <c r="NLV46" s="76"/>
      <c r="NLW46" s="76"/>
      <c r="NLX46" s="76"/>
      <c r="NLY46" s="76"/>
      <c r="NLZ46" s="76"/>
      <c r="NMA46" s="76"/>
      <c r="NMB46" s="76"/>
      <c r="NMC46" s="76"/>
      <c r="NMD46" s="76"/>
      <c r="NME46" s="76"/>
      <c r="NMF46" s="76"/>
      <c r="NMG46" s="76"/>
      <c r="NMH46" s="76"/>
      <c r="NMI46" s="76"/>
      <c r="NMJ46" s="76"/>
      <c r="NMK46" s="76"/>
      <c r="NML46" s="76"/>
      <c r="NMM46" s="76"/>
      <c r="NMN46" s="76"/>
      <c r="NMO46" s="76"/>
      <c r="NMP46" s="76"/>
      <c r="NMQ46" s="76"/>
      <c r="NMR46" s="76"/>
      <c r="NMS46" s="76"/>
      <c r="NMT46" s="76"/>
      <c r="NMU46" s="76"/>
      <c r="NMV46" s="76"/>
      <c r="NMW46" s="76"/>
      <c r="NMX46" s="76"/>
      <c r="NMY46" s="76"/>
      <c r="NMZ46" s="76"/>
      <c r="NNA46" s="76"/>
      <c r="NNB46" s="76"/>
      <c r="NNC46" s="76"/>
      <c r="NND46" s="76"/>
      <c r="NNE46" s="76"/>
      <c r="NNF46" s="76"/>
      <c r="NNG46" s="76"/>
      <c r="NNH46" s="76"/>
      <c r="NNI46" s="76"/>
      <c r="NNJ46" s="76"/>
      <c r="NNK46" s="76"/>
      <c r="NNL46" s="76"/>
      <c r="NNM46" s="76"/>
      <c r="NNN46" s="76"/>
      <c r="NNO46" s="76"/>
      <c r="NNP46" s="76"/>
      <c r="NNQ46" s="76"/>
      <c r="NNR46" s="76"/>
      <c r="NNS46" s="76"/>
      <c r="NNT46" s="76"/>
      <c r="NNU46" s="76"/>
      <c r="NNV46" s="76"/>
      <c r="NNW46" s="76"/>
      <c r="NNX46" s="76"/>
      <c r="NNY46" s="76"/>
      <c r="NNZ46" s="76"/>
      <c r="NOA46" s="76"/>
      <c r="NOB46" s="76"/>
      <c r="NOC46" s="76"/>
      <c r="NOD46" s="76"/>
      <c r="NOE46" s="76"/>
      <c r="NOF46" s="76"/>
      <c r="NOG46" s="76"/>
      <c r="NOH46" s="76"/>
      <c r="NOI46" s="76"/>
      <c r="NOJ46" s="76"/>
      <c r="NOK46" s="76"/>
      <c r="NOL46" s="76"/>
      <c r="NOM46" s="76"/>
      <c r="NON46" s="76"/>
      <c r="NOO46" s="76"/>
      <c r="NOP46" s="76"/>
      <c r="NOQ46" s="76"/>
      <c r="NOR46" s="76"/>
      <c r="NOS46" s="76"/>
      <c r="NOT46" s="76"/>
      <c r="NOU46" s="76"/>
      <c r="NOV46" s="76"/>
      <c r="NOW46" s="76"/>
      <c r="NOX46" s="76"/>
      <c r="NOY46" s="76"/>
      <c r="NOZ46" s="76"/>
      <c r="NPA46" s="76"/>
      <c r="NPB46" s="76"/>
      <c r="NPC46" s="76"/>
      <c r="NPD46" s="76"/>
      <c r="NPE46" s="76"/>
      <c r="NPF46" s="76"/>
      <c r="NPG46" s="76"/>
      <c r="NPH46" s="76"/>
      <c r="NPI46" s="76"/>
      <c r="NPJ46" s="76"/>
      <c r="NPK46" s="76"/>
      <c r="NPL46" s="76"/>
      <c r="NPM46" s="76"/>
      <c r="NPN46" s="76"/>
      <c r="NPO46" s="76"/>
      <c r="NPP46" s="76"/>
      <c r="NPQ46" s="76"/>
      <c r="NPR46" s="76"/>
      <c r="NPS46" s="76"/>
      <c r="NPT46" s="76"/>
      <c r="NPU46" s="76"/>
      <c r="NPV46" s="76"/>
      <c r="NPW46" s="76"/>
      <c r="NPX46" s="76"/>
      <c r="NPY46" s="76"/>
      <c r="NPZ46" s="76"/>
      <c r="NQA46" s="76"/>
      <c r="NQB46" s="76"/>
      <c r="NQC46" s="76"/>
      <c r="NQD46" s="76"/>
      <c r="NQE46" s="76"/>
      <c r="NQF46" s="76"/>
      <c r="NQG46" s="76"/>
      <c r="NQH46" s="76"/>
      <c r="NQI46" s="76"/>
      <c r="NQJ46" s="76"/>
      <c r="NQK46" s="76"/>
      <c r="NQL46" s="76"/>
      <c r="NQM46" s="76"/>
      <c r="NQN46" s="76"/>
      <c r="NQO46" s="76"/>
      <c r="NQP46" s="76"/>
      <c r="NQQ46" s="76"/>
      <c r="NQR46" s="76"/>
      <c r="NQS46" s="76"/>
      <c r="NQT46" s="76"/>
      <c r="NQU46" s="76"/>
      <c r="NQV46" s="76"/>
      <c r="NQW46" s="76"/>
      <c r="NQX46" s="76"/>
      <c r="NQY46" s="76"/>
      <c r="NQZ46" s="76"/>
      <c r="NRA46" s="76"/>
      <c r="NRB46" s="76"/>
      <c r="NRC46" s="76"/>
      <c r="NRD46" s="76"/>
      <c r="NRE46" s="76"/>
      <c r="NRF46" s="76"/>
      <c r="NRG46" s="76"/>
      <c r="NRH46" s="76"/>
      <c r="NRI46" s="76"/>
      <c r="NRJ46" s="76"/>
      <c r="NRK46" s="76"/>
      <c r="NRL46" s="76"/>
      <c r="NRM46" s="76"/>
      <c r="NRN46" s="76"/>
      <c r="NRO46" s="76"/>
      <c r="NRP46" s="76"/>
      <c r="NRQ46" s="76"/>
      <c r="NRR46" s="76"/>
      <c r="NRS46" s="76"/>
      <c r="NRT46" s="76"/>
      <c r="NRU46" s="76"/>
      <c r="NRV46" s="76"/>
      <c r="NRW46" s="76"/>
      <c r="NRX46" s="76"/>
      <c r="NRY46" s="76"/>
      <c r="NRZ46" s="76"/>
      <c r="NSA46" s="76"/>
      <c r="NSB46" s="76"/>
      <c r="NSC46" s="76"/>
      <c r="NSD46" s="76"/>
      <c r="NSE46" s="76"/>
      <c r="NSF46" s="76"/>
      <c r="NSG46" s="76"/>
      <c r="NSH46" s="76"/>
      <c r="NSI46" s="76"/>
      <c r="NSJ46" s="76"/>
      <c r="NSK46" s="76"/>
      <c r="NSL46" s="76"/>
      <c r="NSM46" s="76"/>
      <c r="NSN46" s="76"/>
      <c r="NSO46" s="76"/>
      <c r="NSP46" s="76"/>
      <c r="NSQ46" s="76"/>
      <c r="NSR46" s="76"/>
      <c r="NSS46" s="76"/>
      <c r="NST46" s="76"/>
      <c r="NSU46" s="76"/>
      <c r="NSV46" s="76"/>
      <c r="NSW46" s="76"/>
      <c r="NSX46" s="76"/>
      <c r="NSY46" s="76"/>
      <c r="NSZ46" s="76"/>
      <c r="NTA46" s="76"/>
      <c r="NTB46" s="76"/>
      <c r="NTC46" s="76"/>
      <c r="NTD46" s="76"/>
      <c r="NTE46" s="76"/>
      <c r="NTF46" s="76"/>
      <c r="NTG46" s="76"/>
      <c r="NTH46" s="76"/>
      <c r="NTI46" s="76"/>
      <c r="NTJ46" s="76"/>
      <c r="NTK46" s="76"/>
      <c r="NTL46" s="76"/>
      <c r="NTM46" s="76"/>
      <c r="NTN46" s="76"/>
      <c r="NTO46" s="76"/>
      <c r="NTP46" s="76"/>
      <c r="NTQ46" s="76"/>
      <c r="NTR46" s="76"/>
      <c r="NTS46" s="76"/>
      <c r="NTT46" s="76"/>
      <c r="NTU46" s="76"/>
      <c r="NTV46" s="76"/>
      <c r="NTW46" s="76"/>
      <c r="NTX46" s="76"/>
      <c r="NTY46" s="76"/>
      <c r="NTZ46" s="76"/>
      <c r="NUA46" s="76"/>
      <c r="NUB46" s="76"/>
      <c r="NUC46" s="76"/>
      <c r="NUD46" s="76"/>
      <c r="NUE46" s="76"/>
      <c r="NUF46" s="76"/>
      <c r="NUG46" s="76"/>
      <c r="NUH46" s="76"/>
      <c r="NUI46" s="76"/>
      <c r="NUJ46" s="76"/>
      <c r="NUK46" s="76"/>
      <c r="NUL46" s="76"/>
      <c r="NUM46" s="76"/>
      <c r="NUN46" s="76"/>
      <c r="NUO46" s="76"/>
      <c r="NUP46" s="76"/>
      <c r="NUQ46" s="76"/>
      <c r="NUR46" s="76"/>
      <c r="NUS46" s="76"/>
      <c r="NUT46" s="76"/>
      <c r="NUU46" s="76"/>
      <c r="NUV46" s="76"/>
      <c r="NUW46" s="76"/>
      <c r="NUX46" s="76"/>
      <c r="NUY46" s="76"/>
      <c r="NUZ46" s="76"/>
      <c r="NVA46" s="76"/>
      <c r="NVB46" s="76"/>
      <c r="NVC46" s="76"/>
      <c r="NVD46" s="76"/>
      <c r="NVE46" s="76"/>
      <c r="NVF46" s="76"/>
      <c r="NVG46" s="76"/>
      <c r="NVH46" s="76"/>
      <c r="NVI46" s="76"/>
      <c r="NVJ46" s="76"/>
      <c r="NVK46" s="76"/>
      <c r="NVL46" s="76"/>
      <c r="NVM46" s="76"/>
      <c r="NVN46" s="76"/>
      <c r="NVO46" s="76"/>
      <c r="NVP46" s="76"/>
      <c r="NVQ46" s="76"/>
      <c r="NVR46" s="76"/>
      <c r="NVS46" s="76"/>
      <c r="NVT46" s="76"/>
      <c r="NVU46" s="76"/>
      <c r="NVV46" s="76"/>
      <c r="NVW46" s="76"/>
      <c r="NVX46" s="76"/>
      <c r="NVY46" s="76"/>
      <c r="NVZ46" s="76"/>
      <c r="NWA46" s="76"/>
      <c r="NWB46" s="76"/>
      <c r="NWC46" s="76"/>
      <c r="NWD46" s="76"/>
      <c r="NWE46" s="76"/>
      <c r="NWF46" s="76"/>
      <c r="NWG46" s="76"/>
      <c r="NWH46" s="76"/>
      <c r="NWI46" s="76"/>
      <c r="NWJ46" s="76"/>
      <c r="NWK46" s="76"/>
      <c r="NWL46" s="76"/>
      <c r="NWM46" s="76"/>
      <c r="NWN46" s="76"/>
      <c r="NWO46" s="76"/>
      <c r="NWP46" s="76"/>
      <c r="NWQ46" s="76"/>
      <c r="NWR46" s="76"/>
      <c r="NWS46" s="76"/>
      <c r="NWT46" s="76"/>
      <c r="NWU46" s="76"/>
      <c r="NWV46" s="76"/>
      <c r="NWW46" s="76"/>
      <c r="NWX46" s="76"/>
      <c r="NWY46" s="76"/>
      <c r="NWZ46" s="76"/>
      <c r="NXA46" s="76"/>
      <c r="NXB46" s="76"/>
      <c r="NXC46" s="76"/>
      <c r="NXD46" s="76"/>
      <c r="NXE46" s="76"/>
      <c r="NXF46" s="76"/>
      <c r="NXG46" s="76"/>
      <c r="NXH46" s="76"/>
      <c r="NXI46" s="76"/>
      <c r="NXJ46" s="76"/>
      <c r="NXK46" s="76"/>
      <c r="NXL46" s="76"/>
      <c r="NXM46" s="76"/>
      <c r="NXN46" s="76"/>
      <c r="NXO46" s="76"/>
      <c r="NXP46" s="76"/>
      <c r="NXQ46" s="76"/>
      <c r="NXR46" s="76"/>
      <c r="NXS46" s="76"/>
      <c r="NXT46" s="76"/>
      <c r="NXU46" s="76"/>
      <c r="NXV46" s="76"/>
      <c r="NXW46" s="76"/>
      <c r="NXX46" s="76"/>
      <c r="NXY46" s="76"/>
      <c r="NXZ46" s="76"/>
      <c r="NYA46" s="76"/>
      <c r="NYB46" s="76"/>
      <c r="NYC46" s="76"/>
      <c r="NYD46" s="76"/>
      <c r="NYE46" s="76"/>
      <c r="NYF46" s="76"/>
      <c r="NYG46" s="76"/>
      <c r="NYH46" s="76"/>
      <c r="NYI46" s="76"/>
      <c r="NYJ46" s="76"/>
      <c r="NYK46" s="76"/>
      <c r="NYL46" s="76"/>
      <c r="NYM46" s="76"/>
      <c r="NYN46" s="76"/>
      <c r="NYO46" s="76"/>
      <c r="NYP46" s="76"/>
      <c r="NYQ46" s="76"/>
      <c r="NYR46" s="76"/>
      <c r="NYS46" s="76"/>
      <c r="NYT46" s="76"/>
      <c r="NYU46" s="76"/>
      <c r="NYV46" s="76"/>
      <c r="NYW46" s="76"/>
      <c r="NYX46" s="76"/>
      <c r="NYY46" s="76"/>
      <c r="NYZ46" s="76"/>
      <c r="NZA46" s="76"/>
      <c r="NZB46" s="76"/>
      <c r="NZC46" s="76"/>
      <c r="NZD46" s="76"/>
      <c r="NZE46" s="76"/>
      <c r="NZF46" s="76"/>
      <c r="NZG46" s="76"/>
      <c r="NZH46" s="76"/>
      <c r="NZI46" s="76"/>
      <c r="NZJ46" s="76"/>
      <c r="NZK46" s="76"/>
      <c r="NZL46" s="76"/>
      <c r="NZM46" s="76"/>
      <c r="NZN46" s="76"/>
      <c r="NZO46" s="76"/>
      <c r="NZP46" s="76"/>
      <c r="NZQ46" s="76"/>
      <c r="NZR46" s="76"/>
      <c r="NZS46" s="76"/>
      <c r="NZT46" s="76"/>
      <c r="NZU46" s="76"/>
      <c r="NZV46" s="76"/>
      <c r="NZW46" s="76"/>
      <c r="NZX46" s="76"/>
      <c r="NZY46" s="76"/>
      <c r="NZZ46" s="76"/>
      <c r="OAA46" s="76"/>
      <c r="OAB46" s="76"/>
      <c r="OAC46" s="76"/>
      <c r="OAD46" s="76"/>
      <c r="OAE46" s="76"/>
      <c r="OAF46" s="76"/>
      <c r="OAG46" s="76"/>
      <c r="OAH46" s="76"/>
      <c r="OAI46" s="76"/>
      <c r="OAJ46" s="76"/>
      <c r="OAK46" s="76"/>
      <c r="OAL46" s="76"/>
      <c r="OAM46" s="76"/>
      <c r="OAN46" s="76"/>
      <c r="OAO46" s="76"/>
      <c r="OAP46" s="76"/>
      <c r="OAQ46" s="76"/>
      <c r="OAR46" s="76"/>
      <c r="OAS46" s="76"/>
      <c r="OAT46" s="76"/>
      <c r="OAU46" s="76"/>
      <c r="OAV46" s="76"/>
      <c r="OAW46" s="76"/>
      <c r="OAX46" s="76"/>
      <c r="OAY46" s="76"/>
      <c r="OAZ46" s="76"/>
      <c r="OBA46" s="76"/>
      <c r="OBB46" s="76"/>
      <c r="OBC46" s="76"/>
      <c r="OBD46" s="76"/>
      <c r="OBE46" s="76"/>
      <c r="OBF46" s="76"/>
      <c r="OBG46" s="76"/>
      <c r="OBH46" s="76"/>
      <c r="OBI46" s="76"/>
      <c r="OBJ46" s="76"/>
      <c r="OBK46" s="76"/>
      <c r="OBL46" s="76"/>
      <c r="OBM46" s="76"/>
      <c r="OBN46" s="76"/>
      <c r="OBO46" s="76"/>
      <c r="OBP46" s="76"/>
      <c r="OBQ46" s="76"/>
      <c r="OBR46" s="76"/>
      <c r="OBS46" s="76"/>
      <c r="OBT46" s="76"/>
      <c r="OBU46" s="76"/>
      <c r="OBV46" s="76"/>
      <c r="OBW46" s="76"/>
      <c r="OBX46" s="76"/>
      <c r="OBY46" s="76"/>
      <c r="OBZ46" s="76"/>
      <c r="OCA46" s="76"/>
      <c r="OCB46" s="76"/>
      <c r="OCC46" s="76"/>
      <c r="OCD46" s="76"/>
      <c r="OCE46" s="76"/>
      <c r="OCF46" s="76"/>
      <c r="OCG46" s="76"/>
      <c r="OCH46" s="76"/>
      <c r="OCI46" s="76"/>
      <c r="OCJ46" s="76"/>
      <c r="OCK46" s="76"/>
      <c r="OCL46" s="76"/>
      <c r="OCM46" s="76"/>
      <c r="OCN46" s="76"/>
      <c r="OCO46" s="76"/>
      <c r="OCP46" s="76"/>
      <c r="OCQ46" s="76"/>
      <c r="OCR46" s="76"/>
      <c r="OCS46" s="76"/>
      <c r="OCT46" s="76"/>
      <c r="OCU46" s="76"/>
      <c r="OCV46" s="76"/>
      <c r="OCW46" s="76"/>
      <c r="OCX46" s="76"/>
      <c r="OCY46" s="76"/>
      <c r="OCZ46" s="76"/>
      <c r="ODA46" s="76"/>
      <c r="ODB46" s="76"/>
      <c r="ODC46" s="76"/>
      <c r="ODD46" s="76"/>
      <c r="ODE46" s="76"/>
      <c r="ODF46" s="76"/>
      <c r="ODG46" s="76"/>
      <c r="ODH46" s="76"/>
      <c r="ODI46" s="76"/>
      <c r="ODJ46" s="76"/>
      <c r="ODK46" s="76"/>
      <c r="ODL46" s="76"/>
      <c r="ODM46" s="76"/>
      <c r="ODN46" s="76"/>
      <c r="ODO46" s="76"/>
      <c r="ODP46" s="76"/>
      <c r="ODQ46" s="76"/>
      <c r="ODR46" s="76"/>
      <c r="ODS46" s="76"/>
      <c r="ODT46" s="76"/>
      <c r="ODU46" s="76"/>
      <c r="ODV46" s="76"/>
      <c r="ODW46" s="76"/>
      <c r="ODX46" s="76"/>
      <c r="ODY46" s="76"/>
      <c r="ODZ46" s="76"/>
      <c r="OEA46" s="76"/>
      <c r="OEB46" s="76"/>
      <c r="OEC46" s="76"/>
      <c r="OED46" s="76"/>
      <c r="OEE46" s="76"/>
      <c r="OEF46" s="76"/>
      <c r="OEG46" s="76"/>
      <c r="OEH46" s="76"/>
      <c r="OEI46" s="76"/>
      <c r="OEJ46" s="76"/>
      <c r="OEK46" s="76"/>
      <c r="OEL46" s="76"/>
      <c r="OEM46" s="76"/>
      <c r="OEN46" s="76"/>
      <c r="OEO46" s="76"/>
      <c r="OEP46" s="76"/>
      <c r="OEQ46" s="76"/>
      <c r="OER46" s="76"/>
      <c r="OES46" s="76"/>
      <c r="OET46" s="76"/>
      <c r="OEU46" s="76"/>
      <c r="OEV46" s="76"/>
      <c r="OEW46" s="76"/>
      <c r="OEX46" s="76"/>
      <c r="OEY46" s="76"/>
      <c r="OEZ46" s="76"/>
      <c r="OFA46" s="76"/>
      <c r="OFB46" s="76"/>
      <c r="OFC46" s="76"/>
      <c r="OFD46" s="76"/>
      <c r="OFE46" s="76"/>
      <c r="OFF46" s="76"/>
      <c r="OFG46" s="76"/>
      <c r="OFH46" s="76"/>
      <c r="OFI46" s="76"/>
      <c r="OFJ46" s="76"/>
      <c r="OFK46" s="76"/>
      <c r="OFL46" s="76"/>
      <c r="OFM46" s="76"/>
      <c r="OFN46" s="76"/>
      <c r="OFO46" s="76"/>
      <c r="OFP46" s="76"/>
      <c r="OFQ46" s="76"/>
      <c r="OFR46" s="76"/>
      <c r="OFS46" s="76"/>
      <c r="OFT46" s="76"/>
      <c r="OFU46" s="76"/>
      <c r="OFV46" s="76"/>
      <c r="OFW46" s="76"/>
      <c r="OFX46" s="76"/>
      <c r="OFY46" s="76"/>
      <c r="OFZ46" s="76"/>
      <c r="OGA46" s="76"/>
      <c r="OGB46" s="76"/>
      <c r="OGC46" s="76"/>
      <c r="OGD46" s="76"/>
      <c r="OGE46" s="76"/>
      <c r="OGF46" s="76"/>
      <c r="OGG46" s="76"/>
      <c r="OGH46" s="76"/>
      <c r="OGI46" s="76"/>
      <c r="OGJ46" s="76"/>
      <c r="OGK46" s="76"/>
      <c r="OGL46" s="76"/>
      <c r="OGM46" s="76"/>
      <c r="OGN46" s="76"/>
      <c r="OGO46" s="76"/>
      <c r="OGP46" s="76"/>
      <c r="OGQ46" s="76"/>
      <c r="OGR46" s="76"/>
      <c r="OGS46" s="76"/>
      <c r="OGT46" s="76"/>
      <c r="OGU46" s="76"/>
      <c r="OGV46" s="76"/>
      <c r="OGW46" s="76"/>
      <c r="OGX46" s="76"/>
      <c r="OGY46" s="76"/>
      <c r="OGZ46" s="76"/>
      <c r="OHA46" s="76"/>
      <c r="OHB46" s="76"/>
      <c r="OHC46" s="76"/>
      <c r="OHD46" s="76"/>
      <c r="OHE46" s="76"/>
      <c r="OHF46" s="76"/>
      <c r="OHG46" s="76"/>
      <c r="OHH46" s="76"/>
      <c r="OHI46" s="76"/>
      <c r="OHJ46" s="76"/>
      <c r="OHK46" s="76"/>
      <c r="OHL46" s="76"/>
      <c r="OHM46" s="76"/>
      <c r="OHN46" s="76"/>
      <c r="OHO46" s="76"/>
      <c r="OHP46" s="76"/>
      <c r="OHQ46" s="76"/>
      <c r="OHR46" s="76"/>
      <c r="OHS46" s="76"/>
      <c r="OHT46" s="76"/>
      <c r="OHU46" s="76"/>
      <c r="OHV46" s="76"/>
      <c r="OHW46" s="76"/>
      <c r="OHX46" s="76"/>
      <c r="OHY46" s="76"/>
      <c r="OHZ46" s="76"/>
      <c r="OIA46" s="76"/>
      <c r="OIB46" s="76"/>
      <c r="OIC46" s="76"/>
      <c r="OID46" s="76"/>
      <c r="OIE46" s="76"/>
      <c r="OIF46" s="76"/>
      <c r="OIG46" s="76"/>
      <c r="OIH46" s="76"/>
      <c r="OII46" s="76"/>
      <c r="OIJ46" s="76"/>
      <c r="OIK46" s="76"/>
      <c r="OIL46" s="76"/>
      <c r="OIM46" s="76"/>
      <c r="OIN46" s="76"/>
      <c r="OIO46" s="76"/>
      <c r="OIP46" s="76"/>
      <c r="OIQ46" s="76"/>
      <c r="OIR46" s="76"/>
      <c r="OIS46" s="76"/>
      <c r="OIT46" s="76"/>
      <c r="OIU46" s="76"/>
      <c r="OIV46" s="76"/>
      <c r="OIW46" s="76"/>
      <c r="OIX46" s="76"/>
      <c r="OIY46" s="76"/>
      <c r="OIZ46" s="76"/>
      <c r="OJA46" s="76"/>
      <c r="OJB46" s="76"/>
      <c r="OJC46" s="76"/>
      <c r="OJD46" s="76"/>
      <c r="OJE46" s="76"/>
      <c r="OJF46" s="76"/>
      <c r="OJG46" s="76"/>
      <c r="OJH46" s="76"/>
      <c r="OJI46" s="76"/>
      <c r="OJJ46" s="76"/>
      <c r="OJK46" s="76"/>
      <c r="OJL46" s="76"/>
      <c r="OJM46" s="76"/>
      <c r="OJN46" s="76"/>
      <c r="OJO46" s="76"/>
      <c r="OJP46" s="76"/>
      <c r="OJQ46" s="76"/>
      <c r="OJR46" s="76"/>
      <c r="OJS46" s="76"/>
      <c r="OJT46" s="76"/>
      <c r="OJU46" s="76"/>
      <c r="OJV46" s="76"/>
      <c r="OJW46" s="76"/>
      <c r="OJX46" s="76"/>
      <c r="OJY46" s="76"/>
      <c r="OJZ46" s="76"/>
      <c r="OKA46" s="76"/>
      <c r="OKB46" s="76"/>
      <c r="OKC46" s="76"/>
      <c r="OKD46" s="76"/>
      <c r="OKE46" s="76"/>
      <c r="OKF46" s="76"/>
      <c r="OKG46" s="76"/>
      <c r="OKH46" s="76"/>
      <c r="OKI46" s="76"/>
      <c r="OKJ46" s="76"/>
      <c r="OKK46" s="76"/>
      <c r="OKL46" s="76"/>
      <c r="OKM46" s="76"/>
      <c r="OKN46" s="76"/>
      <c r="OKO46" s="76"/>
      <c r="OKP46" s="76"/>
      <c r="OKQ46" s="76"/>
      <c r="OKR46" s="76"/>
      <c r="OKS46" s="76"/>
      <c r="OKT46" s="76"/>
      <c r="OKU46" s="76"/>
      <c r="OKV46" s="76"/>
      <c r="OKW46" s="76"/>
      <c r="OKX46" s="76"/>
      <c r="OKY46" s="76"/>
      <c r="OKZ46" s="76"/>
      <c r="OLA46" s="76"/>
      <c r="OLB46" s="76"/>
      <c r="OLC46" s="76"/>
      <c r="OLD46" s="76"/>
      <c r="OLE46" s="76"/>
      <c r="OLF46" s="76"/>
      <c r="OLG46" s="76"/>
      <c r="OLH46" s="76"/>
      <c r="OLI46" s="76"/>
      <c r="OLJ46" s="76"/>
      <c r="OLK46" s="76"/>
      <c r="OLL46" s="76"/>
      <c r="OLM46" s="76"/>
      <c r="OLN46" s="76"/>
      <c r="OLO46" s="76"/>
      <c r="OLP46" s="76"/>
      <c r="OLQ46" s="76"/>
      <c r="OLR46" s="76"/>
      <c r="OLS46" s="76"/>
      <c r="OLT46" s="76"/>
      <c r="OLU46" s="76"/>
      <c r="OLV46" s="76"/>
      <c r="OLW46" s="76"/>
      <c r="OLX46" s="76"/>
      <c r="OLY46" s="76"/>
      <c r="OLZ46" s="76"/>
      <c r="OMA46" s="76"/>
      <c r="OMB46" s="76"/>
      <c r="OMC46" s="76"/>
      <c r="OMD46" s="76"/>
      <c r="OME46" s="76"/>
      <c r="OMF46" s="76"/>
      <c r="OMG46" s="76"/>
      <c r="OMH46" s="76"/>
      <c r="OMI46" s="76"/>
      <c r="OMJ46" s="76"/>
      <c r="OMK46" s="76"/>
      <c r="OML46" s="76"/>
      <c r="OMM46" s="76"/>
      <c r="OMN46" s="76"/>
      <c r="OMO46" s="76"/>
      <c r="OMP46" s="76"/>
      <c r="OMQ46" s="76"/>
      <c r="OMR46" s="76"/>
      <c r="OMS46" s="76"/>
      <c r="OMT46" s="76"/>
      <c r="OMU46" s="76"/>
      <c r="OMV46" s="76"/>
      <c r="OMW46" s="76"/>
      <c r="OMX46" s="76"/>
      <c r="OMY46" s="76"/>
      <c r="OMZ46" s="76"/>
      <c r="ONA46" s="76"/>
      <c r="ONB46" s="76"/>
      <c r="ONC46" s="76"/>
      <c r="OND46" s="76"/>
      <c r="ONE46" s="76"/>
      <c r="ONF46" s="76"/>
      <c r="ONG46" s="76"/>
      <c r="ONH46" s="76"/>
      <c r="ONI46" s="76"/>
      <c r="ONJ46" s="76"/>
      <c r="ONK46" s="76"/>
      <c r="ONL46" s="76"/>
      <c r="ONM46" s="76"/>
      <c r="ONN46" s="76"/>
      <c r="ONO46" s="76"/>
      <c r="ONP46" s="76"/>
      <c r="ONQ46" s="76"/>
      <c r="ONR46" s="76"/>
      <c r="ONS46" s="76"/>
      <c r="ONT46" s="76"/>
      <c r="ONU46" s="76"/>
      <c r="ONV46" s="76"/>
      <c r="ONW46" s="76"/>
      <c r="ONX46" s="76"/>
      <c r="ONY46" s="76"/>
      <c r="ONZ46" s="76"/>
      <c r="OOA46" s="76"/>
      <c r="OOB46" s="76"/>
      <c r="OOC46" s="76"/>
      <c r="OOD46" s="76"/>
      <c r="OOE46" s="76"/>
      <c r="OOF46" s="76"/>
      <c r="OOG46" s="76"/>
      <c r="OOH46" s="76"/>
      <c r="OOI46" s="76"/>
      <c r="OOJ46" s="76"/>
      <c r="OOK46" s="76"/>
      <c r="OOL46" s="76"/>
      <c r="OOM46" s="76"/>
      <c r="OON46" s="76"/>
      <c r="OOO46" s="76"/>
      <c r="OOP46" s="76"/>
      <c r="OOQ46" s="76"/>
      <c r="OOR46" s="76"/>
      <c r="OOS46" s="76"/>
      <c r="OOT46" s="76"/>
      <c r="OOU46" s="76"/>
      <c r="OOV46" s="76"/>
      <c r="OOW46" s="76"/>
      <c r="OOX46" s="76"/>
      <c r="OOY46" s="76"/>
      <c r="OOZ46" s="76"/>
      <c r="OPA46" s="76"/>
      <c r="OPB46" s="76"/>
      <c r="OPC46" s="76"/>
      <c r="OPD46" s="76"/>
      <c r="OPE46" s="76"/>
      <c r="OPF46" s="76"/>
      <c r="OPG46" s="76"/>
      <c r="OPH46" s="76"/>
      <c r="OPI46" s="76"/>
      <c r="OPJ46" s="76"/>
      <c r="OPK46" s="76"/>
      <c r="OPL46" s="76"/>
      <c r="OPM46" s="76"/>
      <c r="OPN46" s="76"/>
      <c r="OPO46" s="76"/>
      <c r="OPP46" s="76"/>
      <c r="OPQ46" s="76"/>
      <c r="OPR46" s="76"/>
      <c r="OPS46" s="76"/>
      <c r="OPT46" s="76"/>
      <c r="OPU46" s="76"/>
      <c r="OPV46" s="76"/>
      <c r="OPW46" s="76"/>
      <c r="OPX46" s="76"/>
      <c r="OPY46" s="76"/>
      <c r="OPZ46" s="76"/>
      <c r="OQA46" s="76"/>
      <c r="OQB46" s="76"/>
      <c r="OQC46" s="76"/>
      <c r="OQD46" s="76"/>
      <c r="OQE46" s="76"/>
      <c r="OQF46" s="76"/>
      <c r="OQG46" s="76"/>
      <c r="OQH46" s="76"/>
      <c r="OQI46" s="76"/>
      <c r="OQJ46" s="76"/>
      <c r="OQK46" s="76"/>
      <c r="OQL46" s="76"/>
      <c r="OQM46" s="76"/>
      <c r="OQN46" s="76"/>
      <c r="OQO46" s="76"/>
      <c r="OQP46" s="76"/>
      <c r="OQQ46" s="76"/>
      <c r="OQR46" s="76"/>
      <c r="OQS46" s="76"/>
      <c r="OQT46" s="76"/>
      <c r="OQU46" s="76"/>
      <c r="OQV46" s="76"/>
      <c r="OQW46" s="76"/>
      <c r="OQX46" s="76"/>
      <c r="OQY46" s="76"/>
      <c r="OQZ46" s="76"/>
      <c r="ORA46" s="76"/>
      <c r="ORB46" s="76"/>
      <c r="ORC46" s="76"/>
      <c r="ORD46" s="76"/>
      <c r="ORE46" s="76"/>
      <c r="ORF46" s="76"/>
      <c r="ORG46" s="76"/>
      <c r="ORH46" s="76"/>
      <c r="ORI46" s="76"/>
      <c r="ORJ46" s="76"/>
      <c r="ORK46" s="76"/>
      <c r="ORL46" s="76"/>
      <c r="ORM46" s="76"/>
      <c r="ORN46" s="76"/>
      <c r="ORO46" s="76"/>
      <c r="ORP46" s="76"/>
      <c r="ORQ46" s="76"/>
      <c r="ORR46" s="76"/>
      <c r="ORS46" s="76"/>
      <c r="ORT46" s="76"/>
      <c r="ORU46" s="76"/>
      <c r="ORV46" s="76"/>
      <c r="ORW46" s="76"/>
      <c r="ORX46" s="76"/>
      <c r="ORY46" s="76"/>
      <c r="ORZ46" s="76"/>
      <c r="OSA46" s="76"/>
      <c r="OSB46" s="76"/>
      <c r="OSC46" s="76"/>
      <c r="OSD46" s="76"/>
      <c r="OSE46" s="76"/>
      <c r="OSF46" s="76"/>
      <c r="OSG46" s="76"/>
      <c r="OSH46" s="76"/>
      <c r="OSI46" s="76"/>
      <c r="OSJ46" s="76"/>
      <c r="OSK46" s="76"/>
      <c r="OSL46" s="76"/>
      <c r="OSM46" s="76"/>
      <c r="OSN46" s="76"/>
      <c r="OSO46" s="76"/>
      <c r="OSP46" s="76"/>
      <c r="OSQ46" s="76"/>
      <c r="OSR46" s="76"/>
      <c r="OSS46" s="76"/>
      <c r="OST46" s="76"/>
      <c r="OSU46" s="76"/>
      <c r="OSV46" s="76"/>
      <c r="OSW46" s="76"/>
      <c r="OSX46" s="76"/>
      <c r="OSY46" s="76"/>
      <c r="OSZ46" s="76"/>
      <c r="OTA46" s="76"/>
      <c r="OTB46" s="76"/>
      <c r="OTC46" s="76"/>
      <c r="OTD46" s="76"/>
      <c r="OTE46" s="76"/>
      <c r="OTF46" s="76"/>
      <c r="OTG46" s="76"/>
      <c r="OTH46" s="76"/>
      <c r="OTI46" s="76"/>
      <c r="OTJ46" s="76"/>
      <c r="OTK46" s="76"/>
      <c r="OTL46" s="76"/>
      <c r="OTM46" s="76"/>
      <c r="OTN46" s="76"/>
      <c r="OTO46" s="76"/>
      <c r="OTP46" s="76"/>
      <c r="OTQ46" s="76"/>
      <c r="OTR46" s="76"/>
      <c r="OTS46" s="76"/>
      <c r="OTT46" s="76"/>
      <c r="OTU46" s="76"/>
      <c r="OTV46" s="76"/>
      <c r="OTW46" s="76"/>
      <c r="OTX46" s="76"/>
      <c r="OTY46" s="76"/>
      <c r="OTZ46" s="76"/>
      <c r="OUA46" s="76"/>
      <c r="OUB46" s="76"/>
      <c r="OUC46" s="76"/>
      <c r="OUD46" s="76"/>
      <c r="OUE46" s="76"/>
      <c r="OUF46" s="76"/>
      <c r="OUG46" s="76"/>
      <c r="OUH46" s="76"/>
      <c r="OUI46" s="76"/>
      <c r="OUJ46" s="76"/>
      <c r="OUK46" s="76"/>
      <c r="OUL46" s="76"/>
      <c r="OUM46" s="76"/>
      <c r="OUN46" s="76"/>
      <c r="OUO46" s="76"/>
      <c r="OUP46" s="76"/>
      <c r="OUQ46" s="76"/>
      <c r="OUR46" s="76"/>
      <c r="OUS46" s="76"/>
      <c r="OUT46" s="76"/>
      <c r="OUU46" s="76"/>
      <c r="OUV46" s="76"/>
      <c r="OUW46" s="76"/>
      <c r="OUX46" s="76"/>
      <c r="OUY46" s="76"/>
      <c r="OUZ46" s="76"/>
      <c r="OVA46" s="76"/>
      <c r="OVB46" s="76"/>
      <c r="OVC46" s="76"/>
      <c r="OVD46" s="76"/>
      <c r="OVE46" s="76"/>
      <c r="OVF46" s="76"/>
      <c r="OVG46" s="76"/>
      <c r="OVH46" s="76"/>
      <c r="OVI46" s="76"/>
      <c r="OVJ46" s="76"/>
      <c r="OVK46" s="76"/>
      <c r="OVL46" s="76"/>
      <c r="OVM46" s="76"/>
      <c r="OVN46" s="76"/>
      <c r="OVO46" s="76"/>
      <c r="OVP46" s="76"/>
      <c r="OVQ46" s="76"/>
      <c r="OVR46" s="76"/>
      <c r="OVS46" s="76"/>
      <c r="OVT46" s="76"/>
      <c r="OVU46" s="76"/>
      <c r="OVV46" s="76"/>
      <c r="OVW46" s="76"/>
      <c r="OVX46" s="76"/>
      <c r="OVY46" s="76"/>
      <c r="OVZ46" s="76"/>
      <c r="OWA46" s="76"/>
      <c r="OWB46" s="76"/>
      <c r="OWC46" s="76"/>
      <c r="OWD46" s="76"/>
      <c r="OWE46" s="76"/>
      <c r="OWF46" s="76"/>
      <c r="OWG46" s="76"/>
      <c r="OWH46" s="76"/>
      <c r="OWI46" s="76"/>
      <c r="OWJ46" s="76"/>
      <c r="OWK46" s="76"/>
      <c r="OWL46" s="76"/>
      <c r="OWM46" s="76"/>
      <c r="OWN46" s="76"/>
      <c r="OWO46" s="76"/>
      <c r="OWP46" s="76"/>
      <c r="OWQ46" s="76"/>
      <c r="OWR46" s="76"/>
      <c r="OWS46" s="76"/>
      <c r="OWT46" s="76"/>
      <c r="OWU46" s="76"/>
      <c r="OWV46" s="76"/>
      <c r="OWW46" s="76"/>
      <c r="OWX46" s="76"/>
      <c r="OWY46" s="76"/>
      <c r="OWZ46" s="76"/>
      <c r="OXA46" s="76"/>
      <c r="OXB46" s="76"/>
      <c r="OXC46" s="76"/>
      <c r="OXD46" s="76"/>
      <c r="OXE46" s="76"/>
      <c r="OXF46" s="76"/>
      <c r="OXG46" s="76"/>
      <c r="OXH46" s="76"/>
      <c r="OXI46" s="76"/>
      <c r="OXJ46" s="76"/>
      <c r="OXK46" s="76"/>
      <c r="OXL46" s="76"/>
      <c r="OXM46" s="76"/>
      <c r="OXN46" s="76"/>
      <c r="OXO46" s="76"/>
      <c r="OXP46" s="76"/>
      <c r="OXQ46" s="76"/>
      <c r="OXR46" s="76"/>
      <c r="OXS46" s="76"/>
      <c r="OXT46" s="76"/>
      <c r="OXU46" s="76"/>
      <c r="OXV46" s="76"/>
      <c r="OXW46" s="76"/>
      <c r="OXX46" s="76"/>
      <c r="OXY46" s="76"/>
      <c r="OXZ46" s="76"/>
      <c r="OYA46" s="76"/>
      <c r="OYB46" s="76"/>
      <c r="OYC46" s="76"/>
      <c r="OYD46" s="76"/>
      <c r="OYE46" s="76"/>
      <c r="OYF46" s="76"/>
      <c r="OYG46" s="76"/>
      <c r="OYH46" s="76"/>
      <c r="OYI46" s="76"/>
      <c r="OYJ46" s="76"/>
      <c r="OYK46" s="76"/>
      <c r="OYL46" s="76"/>
      <c r="OYM46" s="76"/>
      <c r="OYN46" s="76"/>
      <c r="OYO46" s="76"/>
      <c r="OYP46" s="76"/>
      <c r="OYQ46" s="76"/>
      <c r="OYR46" s="76"/>
      <c r="OYS46" s="76"/>
      <c r="OYT46" s="76"/>
      <c r="OYU46" s="76"/>
      <c r="OYV46" s="76"/>
      <c r="OYW46" s="76"/>
      <c r="OYX46" s="76"/>
      <c r="OYY46" s="76"/>
      <c r="OYZ46" s="76"/>
      <c r="OZA46" s="76"/>
      <c r="OZB46" s="76"/>
      <c r="OZC46" s="76"/>
      <c r="OZD46" s="76"/>
      <c r="OZE46" s="76"/>
      <c r="OZF46" s="76"/>
      <c r="OZG46" s="76"/>
      <c r="OZH46" s="76"/>
      <c r="OZI46" s="76"/>
      <c r="OZJ46" s="76"/>
      <c r="OZK46" s="76"/>
      <c r="OZL46" s="76"/>
      <c r="OZM46" s="76"/>
      <c r="OZN46" s="76"/>
      <c r="OZO46" s="76"/>
      <c r="OZP46" s="76"/>
      <c r="OZQ46" s="76"/>
      <c r="OZR46" s="76"/>
      <c r="OZS46" s="76"/>
      <c r="OZT46" s="76"/>
      <c r="OZU46" s="76"/>
      <c r="OZV46" s="76"/>
      <c r="OZW46" s="76"/>
      <c r="OZX46" s="76"/>
      <c r="OZY46" s="76"/>
      <c r="OZZ46" s="76"/>
      <c r="PAA46" s="76"/>
      <c r="PAB46" s="76"/>
      <c r="PAC46" s="76"/>
      <c r="PAD46" s="76"/>
      <c r="PAE46" s="76"/>
      <c r="PAF46" s="76"/>
      <c r="PAG46" s="76"/>
      <c r="PAH46" s="76"/>
      <c r="PAI46" s="76"/>
      <c r="PAJ46" s="76"/>
      <c r="PAK46" s="76"/>
      <c r="PAL46" s="76"/>
      <c r="PAM46" s="76"/>
      <c r="PAN46" s="76"/>
      <c r="PAO46" s="76"/>
      <c r="PAP46" s="76"/>
      <c r="PAQ46" s="76"/>
      <c r="PAR46" s="76"/>
      <c r="PAS46" s="76"/>
      <c r="PAT46" s="76"/>
      <c r="PAU46" s="76"/>
      <c r="PAV46" s="76"/>
      <c r="PAW46" s="76"/>
      <c r="PAX46" s="76"/>
      <c r="PAY46" s="76"/>
      <c r="PAZ46" s="76"/>
      <c r="PBA46" s="76"/>
      <c r="PBB46" s="76"/>
      <c r="PBC46" s="76"/>
      <c r="PBD46" s="76"/>
      <c r="PBE46" s="76"/>
      <c r="PBF46" s="76"/>
      <c r="PBG46" s="76"/>
      <c r="PBH46" s="76"/>
      <c r="PBI46" s="76"/>
      <c r="PBJ46" s="76"/>
      <c r="PBK46" s="76"/>
      <c r="PBL46" s="76"/>
      <c r="PBM46" s="76"/>
      <c r="PBN46" s="76"/>
      <c r="PBO46" s="76"/>
      <c r="PBP46" s="76"/>
      <c r="PBQ46" s="76"/>
      <c r="PBR46" s="76"/>
      <c r="PBS46" s="76"/>
      <c r="PBT46" s="76"/>
      <c r="PBU46" s="76"/>
      <c r="PBV46" s="76"/>
      <c r="PBW46" s="76"/>
      <c r="PBX46" s="76"/>
      <c r="PBY46" s="76"/>
      <c r="PBZ46" s="76"/>
      <c r="PCA46" s="76"/>
      <c r="PCB46" s="76"/>
      <c r="PCC46" s="76"/>
      <c r="PCD46" s="76"/>
      <c r="PCE46" s="76"/>
      <c r="PCF46" s="76"/>
      <c r="PCG46" s="76"/>
      <c r="PCH46" s="76"/>
      <c r="PCI46" s="76"/>
      <c r="PCJ46" s="76"/>
      <c r="PCK46" s="76"/>
      <c r="PCL46" s="76"/>
      <c r="PCM46" s="76"/>
      <c r="PCN46" s="76"/>
      <c r="PCO46" s="76"/>
      <c r="PCP46" s="76"/>
      <c r="PCQ46" s="76"/>
      <c r="PCR46" s="76"/>
      <c r="PCS46" s="76"/>
      <c r="PCT46" s="76"/>
      <c r="PCU46" s="76"/>
      <c r="PCV46" s="76"/>
      <c r="PCW46" s="76"/>
      <c r="PCX46" s="76"/>
      <c r="PCY46" s="76"/>
      <c r="PCZ46" s="76"/>
      <c r="PDA46" s="76"/>
      <c r="PDB46" s="76"/>
      <c r="PDC46" s="76"/>
      <c r="PDD46" s="76"/>
      <c r="PDE46" s="76"/>
      <c r="PDF46" s="76"/>
      <c r="PDG46" s="76"/>
      <c r="PDH46" s="76"/>
      <c r="PDI46" s="76"/>
      <c r="PDJ46" s="76"/>
      <c r="PDK46" s="76"/>
      <c r="PDL46" s="76"/>
      <c r="PDM46" s="76"/>
      <c r="PDN46" s="76"/>
      <c r="PDO46" s="76"/>
      <c r="PDP46" s="76"/>
      <c r="PDQ46" s="76"/>
      <c r="PDR46" s="76"/>
      <c r="PDS46" s="76"/>
      <c r="PDT46" s="76"/>
      <c r="PDU46" s="76"/>
      <c r="PDV46" s="76"/>
      <c r="PDW46" s="76"/>
      <c r="PDX46" s="76"/>
      <c r="PDY46" s="76"/>
      <c r="PDZ46" s="76"/>
      <c r="PEA46" s="76"/>
      <c r="PEB46" s="76"/>
      <c r="PEC46" s="76"/>
      <c r="PED46" s="76"/>
      <c r="PEE46" s="76"/>
      <c r="PEF46" s="76"/>
      <c r="PEG46" s="76"/>
      <c r="PEH46" s="76"/>
      <c r="PEI46" s="76"/>
      <c r="PEJ46" s="76"/>
      <c r="PEK46" s="76"/>
      <c r="PEL46" s="76"/>
      <c r="PEM46" s="76"/>
      <c r="PEN46" s="76"/>
      <c r="PEO46" s="76"/>
      <c r="PEP46" s="76"/>
      <c r="PEQ46" s="76"/>
      <c r="PER46" s="76"/>
      <c r="PES46" s="76"/>
      <c r="PET46" s="76"/>
      <c r="PEU46" s="76"/>
      <c r="PEV46" s="76"/>
      <c r="PEW46" s="76"/>
      <c r="PEX46" s="76"/>
      <c r="PEY46" s="76"/>
      <c r="PEZ46" s="76"/>
      <c r="PFA46" s="76"/>
      <c r="PFB46" s="76"/>
      <c r="PFC46" s="76"/>
      <c r="PFD46" s="76"/>
      <c r="PFE46" s="76"/>
      <c r="PFF46" s="76"/>
      <c r="PFG46" s="76"/>
      <c r="PFH46" s="76"/>
      <c r="PFI46" s="76"/>
      <c r="PFJ46" s="76"/>
      <c r="PFK46" s="76"/>
      <c r="PFL46" s="76"/>
      <c r="PFM46" s="76"/>
      <c r="PFN46" s="76"/>
      <c r="PFO46" s="76"/>
      <c r="PFP46" s="76"/>
      <c r="PFQ46" s="76"/>
      <c r="PFR46" s="76"/>
      <c r="PFS46" s="76"/>
      <c r="PFT46" s="76"/>
      <c r="PFU46" s="76"/>
      <c r="PFV46" s="76"/>
      <c r="PFW46" s="76"/>
      <c r="PFX46" s="76"/>
      <c r="PFY46" s="76"/>
      <c r="PFZ46" s="76"/>
      <c r="PGA46" s="76"/>
      <c r="PGB46" s="76"/>
      <c r="PGC46" s="76"/>
      <c r="PGD46" s="76"/>
      <c r="PGE46" s="76"/>
      <c r="PGF46" s="76"/>
      <c r="PGG46" s="76"/>
      <c r="PGH46" s="76"/>
      <c r="PGI46" s="76"/>
      <c r="PGJ46" s="76"/>
      <c r="PGK46" s="76"/>
      <c r="PGL46" s="76"/>
      <c r="PGM46" s="76"/>
      <c r="PGN46" s="76"/>
      <c r="PGO46" s="76"/>
      <c r="PGP46" s="76"/>
      <c r="PGQ46" s="76"/>
      <c r="PGR46" s="76"/>
      <c r="PGS46" s="76"/>
      <c r="PGT46" s="76"/>
      <c r="PGU46" s="76"/>
      <c r="PGV46" s="76"/>
      <c r="PGW46" s="76"/>
      <c r="PGX46" s="76"/>
      <c r="PGY46" s="76"/>
      <c r="PGZ46" s="76"/>
      <c r="PHA46" s="76"/>
      <c r="PHB46" s="76"/>
      <c r="PHC46" s="76"/>
      <c r="PHD46" s="76"/>
      <c r="PHE46" s="76"/>
      <c r="PHF46" s="76"/>
      <c r="PHG46" s="76"/>
      <c r="PHH46" s="76"/>
      <c r="PHI46" s="76"/>
      <c r="PHJ46" s="76"/>
      <c r="PHK46" s="76"/>
      <c r="PHL46" s="76"/>
      <c r="PHM46" s="76"/>
      <c r="PHN46" s="76"/>
      <c r="PHO46" s="76"/>
      <c r="PHP46" s="76"/>
      <c r="PHQ46" s="76"/>
      <c r="PHR46" s="76"/>
      <c r="PHS46" s="76"/>
      <c r="PHT46" s="76"/>
      <c r="PHU46" s="76"/>
      <c r="PHV46" s="76"/>
      <c r="PHW46" s="76"/>
      <c r="PHX46" s="76"/>
      <c r="PHY46" s="76"/>
      <c r="PHZ46" s="76"/>
      <c r="PIA46" s="76"/>
      <c r="PIB46" s="76"/>
      <c r="PIC46" s="76"/>
      <c r="PID46" s="76"/>
      <c r="PIE46" s="76"/>
      <c r="PIF46" s="76"/>
      <c r="PIG46" s="76"/>
      <c r="PIH46" s="76"/>
      <c r="PII46" s="76"/>
      <c r="PIJ46" s="76"/>
      <c r="PIK46" s="76"/>
      <c r="PIL46" s="76"/>
      <c r="PIM46" s="76"/>
      <c r="PIN46" s="76"/>
      <c r="PIO46" s="76"/>
      <c r="PIP46" s="76"/>
      <c r="PIQ46" s="76"/>
      <c r="PIR46" s="76"/>
      <c r="PIS46" s="76"/>
      <c r="PIT46" s="76"/>
      <c r="PIU46" s="76"/>
      <c r="PIV46" s="76"/>
      <c r="PIW46" s="76"/>
      <c r="PIX46" s="76"/>
      <c r="PIY46" s="76"/>
      <c r="PIZ46" s="76"/>
      <c r="PJA46" s="76"/>
      <c r="PJB46" s="76"/>
      <c r="PJC46" s="76"/>
      <c r="PJD46" s="76"/>
      <c r="PJE46" s="76"/>
      <c r="PJF46" s="76"/>
      <c r="PJG46" s="76"/>
      <c r="PJH46" s="76"/>
      <c r="PJI46" s="76"/>
      <c r="PJJ46" s="76"/>
      <c r="PJK46" s="76"/>
      <c r="PJL46" s="76"/>
      <c r="PJM46" s="76"/>
      <c r="PJN46" s="76"/>
      <c r="PJO46" s="76"/>
      <c r="PJP46" s="76"/>
      <c r="PJQ46" s="76"/>
      <c r="PJR46" s="76"/>
      <c r="PJS46" s="76"/>
      <c r="PJT46" s="76"/>
      <c r="PJU46" s="76"/>
      <c r="PJV46" s="76"/>
      <c r="PJW46" s="76"/>
      <c r="PJX46" s="76"/>
      <c r="PJY46" s="76"/>
      <c r="PJZ46" s="76"/>
      <c r="PKA46" s="76"/>
      <c r="PKB46" s="76"/>
      <c r="PKC46" s="76"/>
      <c r="PKD46" s="76"/>
      <c r="PKE46" s="76"/>
      <c r="PKF46" s="76"/>
      <c r="PKG46" s="76"/>
      <c r="PKH46" s="76"/>
      <c r="PKI46" s="76"/>
      <c r="PKJ46" s="76"/>
      <c r="PKK46" s="76"/>
      <c r="PKL46" s="76"/>
      <c r="PKM46" s="76"/>
      <c r="PKN46" s="76"/>
      <c r="PKO46" s="76"/>
      <c r="PKP46" s="76"/>
      <c r="PKQ46" s="76"/>
      <c r="PKR46" s="76"/>
      <c r="PKS46" s="76"/>
      <c r="PKT46" s="76"/>
      <c r="PKU46" s="76"/>
      <c r="PKV46" s="76"/>
      <c r="PKW46" s="76"/>
      <c r="PKX46" s="76"/>
      <c r="PKY46" s="76"/>
      <c r="PKZ46" s="76"/>
      <c r="PLA46" s="76"/>
      <c r="PLB46" s="76"/>
      <c r="PLC46" s="76"/>
      <c r="PLD46" s="76"/>
      <c r="PLE46" s="76"/>
      <c r="PLF46" s="76"/>
      <c r="PLG46" s="76"/>
      <c r="PLH46" s="76"/>
      <c r="PLI46" s="76"/>
      <c r="PLJ46" s="76"/>
      <c r="PLK46" s="76"/>
      <c r="PLL46" s="76"/>
      <c r="PLM46" s="76"/>
      <c r="PLN46" s="76"/>
      <c r="PLO46" s="76"/>
      <c r="PLP46" s="76"/>
      <c r="PLQ46" s="76"/>
      <c r="PLR46" s="76"/>
      <c r="PLS46" s="76"/>
      <c r="PLT46" s="76"/>
      <c r="PLU46" s="76"/>
      <c r="PLV46" s="76"/>
      <c r="PLW46" s="76"/>
      <c r="PLX46" s="76"/>
      <c r="PLY46" s="76"/>
      <c r="PLZ46" s="76"/>
      <c r="PMA46" s="76"/>
      <c r="PMB46" s="76"/>
      <c r="PMC46" s="76"/>
      <c r="PMD46" s="76"/>
      <c r="PME46" s="76"/>
      <c r="PMF46" s="76"/>
      <c r="PMG46" s="76"/>
      <c r="PMH46" s="76"/>
      <c r="PMI46" s="76"/>
      <c r="PMJ46" s="76"/>
      <c r="PMK46" s="76"/>
      <c r="PML46" s="76"/>
      <c r="PMM46" s="76"/>
      <c r="PMN46" s="76"/>
      <c r="PMO46" s="76"/>
      <c r="PMP46" s="76"/>
      <c r="PMQ46" s="76"/>
      <c r="PMR46" s="76"/>
      <c r="PMS46" s="76"/>
      <c r="PMT46" s="76"/>
      <c r="PMU46" s="76"/>
      <c r="PMV46" s="76"/>
      <c r="PMW46" s="76"/>
      <c r="PMX46" s="76"/>
      <c r="PMY46" s="76"/>
      <c r="PMZ46" s="76"/>
      <c r="PNA46" s="76"/>
      <c r="PNB46" s="76"/>
      <c r="PNC46" s="76"/>
      <c r="PND46" s="76"/>
      <c r="PNE46" s="76"/>
      <c r="PNF46" s="76"/>
      <c r="PNG46" s="76"/>
      <c r="PNH46" s="76"/>
      <c r="PNI46" s="76"/>
      <c r="PNJ46" s="76"/>
      <c r="PNK46" s="76"/>
      <c r="PNL46" s="76"/>
      <c r="PNM46" s="76"/>
      <c r="PNN46" s="76"/>
      <c r="PNO46" s="76"/>
      <c r="PNP46" s="76"/>
      <c r="PNQ46" s="76"/>
      <c r="PNR46" s="76"/>
      <c r="PNS46" s="76"/>
      <c r="PNT46" s="76"/>
      <c r="PNU46" s="76"/>
      <c r="PNV46" s="76"/>
      <c r="PNW46" s="76"/>
      <c r="PNX46" s="76"/>
      <c r="PNY46" s="76"/>
      <c r="PNZ46" s="76"/>
      <c r="POA46" s="76"/>
      <c r="POB46" s="76"/>
      <c r="POC46" s="76"/>
      <c r="POD46" s="76"/>
      <c r="POE46" s="76"/>
      <c r="POF46" s="76"/>
      <c r="POG46" s="76"/>
      <c r="POH46" s="76"/>
      <c r="POI46" s="76"/>
      <c r="POJ46" s="76"/>
      <c r="POK46" s="76"/>
      <c r="POL46" s="76"/>
      <c r="POM46" s="76"/>
      <c r="PON46" s="76"/>
      <c r="POO46" s="76"/>
      <c r="POP46" s="76"/>
      <c r="POQ46" s="76"/>
      <c r="POR46" s="76"/>
      <c r="POS46" s="76"/>
      <c r="POT46" s="76"/>
      <c r="POU46" s="76"/>
      <c r="POV46" s="76"/>
      <c r="POW46" s="76"/>
      <c r="POX46" s="76"/>
      <c r="POY46" s="76"/>
      <c r="POZ46" s="76"/>
      <c r="PPA46" s="76"/>
      <c r="PPB46" s="76"/>
      <c r="PPC46" s="76"/>
      <c r="PPD46" s="76"/>
      <c r="PPE46" s="76"/>
      <c r="PPF46" s="76"/>
      <c r="PPG46" s="76"/>
      <c r="PPH46" s="76"/>
      <c r="PPI46" s="76"/>
      <c r="PPJ46" s="76"/>
      <c r="PPK46" s="76"/>
      <c r="PPL46" s="76"/>
      <c r="PPM46" s="76"/>
      <c r="PPN46" s="76"/>
      <c r="PPO46" s="76"/>
      <c r="PPP46" s="76"/>
      <c r="PPQ46" s="76"/>
      <c r="PPR46" s="76"/>
      <c r="PPS46" s="76"/>
      <c r="PPT46" s="76"/>
      <c r="PPU46" s="76"/>
      <c r="PPV46" s="76"/>
      <c r="PPW46" s="76"/>
      <c r="PPX46" s="76"/>
      <c r="PPY46" s="76"/>
      <c r="PPZ46" s="76"/>
      <c r="PQA46" s="76"/>
      <c r="PQB46" s="76"/>
      <c r="PQC46" s="76"/>
      <c r="PQD46" s="76"/>
      <c r="PQE46" s="76"/>
      <c r="PQF46" s="76"/>
      <c r="PQG46" s="76"/>
      <c r="PQH46" s="76"/>
      <c r="PQI46" s="76"/>
      <c r="PQJ46" s="76"/>
      <c r="PQK46" s="76"/>
      <c r="PQL46" s="76"/>
      <c r="PQM46" s="76"/>
      <c r="PQN46" s="76"/>
      <c r="PQO46" s="76"/>
      <c r="PQP46" s="76"/>
      <c r="PQQ46" s="76"/>
      <c r="PQR46" s="76"/>
      <c r="PQS46" s="76"/>
      <c r="PQT46" s="76"/>
      <c r="PQU46" s="76"/>
      <c r="PQV46" s="76"/>
      <c r="PQW46" s="76"/>
      <c r="PQX46" s="76"/>
      <c r="PQY46" s="76"/>
      <c r="PQZ46" s="76"/>
      <c r="PRA46" s="76"/>
      <c r="PRB46" s="76"/>
      <c r="PRC46" s="76"/>
      <c r="PRD46" s="76"/>
      <c r="PRE46" s="76"/>
      <c r="PRF46" s="76"/>
      <c r="PRG46" s="76"/>
      <c r="PRH46" s="76"/>
      <c r="PRI46" s="76"/>
      <c r="PRJ46" s="76"/>
      <c r="PRK46" s="76"/>
      <c r="PRL46" s="76"/>
      <c r="PRM46" s="76"/>
      <c r="PRN46" s="76"/>
      <c r="PRO46" s="76"/>
      <c r="PRP46" s="76"/>
      <c r="PRQ46" s="76"/>
      <c r="PRR46" s="76"/>
      <c r="PRS46" s="76"/>
      <c r="PRT46" s="76"/>
      <c r="PRU46" s="76"/>
      <c r="PRV46" s="76"/>
      <c r="PRW46" s="76"/>
      <c r="PRX46" s="76"/>
      <c r="PRY46" s="76"/>
      <c r="PRZ46" s="76"/>
      <c r="PSA46" s="76"/>
      <c r="PSB46" s="76"/>
      <c r="PSC46" s="76"/>
      <c r="PSD46" s="76"/>
      <c r="PSE46" s="76"/>
      <c r="PSF46" s="76"/>
      <c r="PSG46" s="76"/>
      <c r="PSH46" s="76"/>
      <c r="PSI46" s="76"/>
      <c r="PSJ46" s="76"/>
      <c r="PSK46" s="76"/>
      <c r="PSL46" s="76"/>
      <c r="PSM46" s="76"/>
      <c r="PSN46" s="76"/>
      <c r="PSO46" s="76"/>
      <c r="PSP46" s="76"/>
      <c r="PSQ46" s="76"/>
      <c r="PSR46" s="76"/>
      <c r="PSS46" s="76"/>
      <c r="PST46" s="76"/>
      <c r="PSU46" s="76"/>
      <c r="PSV46" s="76"/>
      <c r="PSW46" s="76"/>
      <c r="PSX46" s="76"/>
      <c r="PSY46" s="76"/>
      <c r="PSZ46" s="76"/>
      <c r="PTA46" s="76"/>
      <c r="PTB46" s="76"/>
      <c r="PTC46" s="76"/>
      <c r="PTD46" s="76"/>
      <c r="PTE46" s="76"/>
      <c r="PTF46" s="76"/>
      <c r="PTG46" s="76"/>
      <c r="PTH46" s="76"/>
      <c r="PTI46" s="76"/>
      <c r="PTJ46" s="76"/>
      <c r="PTK46" s="76"/>
      <c r="PTL46" s="76"/>
      <c r="PTM46" s="76"/>
      <c r="PTN46" s="76"/>
      <c r="PTO46" s="76"/>
      <c r="PTP46" s="76"/>
      <c r="PTQ46" s="76"/>
      <c r="PTR46" s="76"/>
      <c r="PTS46" s="76"/>
      <c r="PTT46" s="76"/>
      <c r="PTU46" s="76"/>
      <c r="PTV46" s="76"/>
      <c r="PTW46" s="76"/>
      <c r="PTX46" s="76"/>
      <c r="PTY46" s="76"/>
      <c r="PTZ46" s="76"/>
      <c r="PUA46" s="76"/>
      <c r="PUB46" s="76"/>
      <c r="PUC46" s="76"/>
      <c r="PUD46" s="76"/>
      <c r="PUE46" s="76"/>
      <c r="PUF46" s="76"/>
      <c r="PUG46" s="76"/>
      <c r="PUH46" s="76"/>
      <c r="PUI46" s="76"/>
      <c r="PUJ46" s="76"/>
      <c r="PUK46" s="76"/>
      <c r="PUL46" s="76"/>
      <c r="PUM46" s="76"/>
      <c r="PUN46" s="76"/>
      <c r="PUO46" s="76"/>
      <c r="PUP46" s="76"/>
      <c r="PUQ46" s="76"/>
      <c r="PUR46" s="76"/>
      <c r="PUS46" s="76"/>
      <c r="PUT46" s="76"/>
      <c r="PUU46" s="76"/>
      <c r="PUV46" s="76"/>
      <c r="PUW46" s="76"/>
      <c r="PUX46" s="76"/>
      <c r="PUY46" s="76"/>
      <c r="PUZ46" s="76"/>
      <c r="PVA46" s="76"/>
      <c r="PVB46" s="76"/>
      <c r="PVC46" s="76"/>
      <c r="PVD46" s="76"/>
      <c r="PVE46" s="76"/>
      <c r="PVF46" s="76"/>
      <c r="PVG46" s="76"/>
      <c r="PVH46" s="76"/>
      <c r="PVI46" s="76"/>
      <c r="PVJ46" s="76"/>
      <c r="PVK46" s="76"/>
      <c r="PVL46" s="76"/>
      <c r="PVM46" s="76"/>
      <c r="PVN46" s="76"/>
      <c r="PVO46" s="76"/>
      <c r="PVP46" s="76"/>
      <c r="PVQ46" s="76"/>
      <c r="PVR46" s="76"/>
      <c r="PVS46" s="76"/>
      <c r="PVT46" s="76"/>
      <c r="PVU46" s="76"/>
      <c r="PVV46" s="76"/>
      <c r="PVW46" s="76"/>
      <c r="PVX46" s="76"/>
      <c r="PVY46" s="76"/>
      <c r="PVZ46" s="76"/>
      <c r="PWA46" s="76"/>
      <c r="PWB46" s="76"/>
      <c r="PWC46" s="76"/>
      <c r="PWD46" s="76"/>
      <c r="PWE46" s="76"/>
      <c r="PWF46" s="76"/>
      <c r="PWG46" s="76"/>
      <c r="PWH46" s="76"/>
      <c r="PWI46" s="76"/>
      <c r="PWJ46" s="76"/>
      <c r="PWK46" s="76"/>
      <c r="PWL46" s="76"/>
      <c r="PWM46" s="76"/>
      <c r="PWN46" s="76"/>
      <c r="PWO46" s="76"/>
      <c r="PWP46" s="76"/>
      <c r="PWQ46" s="76"/>
      <c r="PWR46" s="76"/>
      <c r="PWS46" s="76"/>
      <c r="PWT46" s="76"/>
      <c r="PWU46" s="76"/>
      <c r="PWV46" s="76"/>
      <c r="PWW46" s="76"/>
      <c r="PWX46" s="76"/>
      <c r="PWY46" s="76"/>
      <c r="PWZ46" s="76"/>
      <c r="PXA46" s="76"/>
      <c r="PXB46" s="76"/>
      <c r="PXC46" s="76"/>
      <c r="PXD46" s="76"/>
      <c r="PXE46" s="76"/>
      <c r="PXF46" s="76"/>
      <c r="PXG46" s="76"/>
      <c r="PXH46" s="76"/>
      <c r="PXI46" s="76"/>
      <c r="PXJ46" s="76"/>
      <c r="PXK46" s="76"/>
      <c r="PXL46" s="76"/>
      <c r="PXM46" s="76"/>
      <c r="PXN46" s="76"/>
      <c r="PXO46" s="76"/>
      <c r="PXP46" s="76"/>
      <c r="PXQ46" s="76"/>
      <c r="PXR46" s="76"/>
      <c r="PXS46" s="76"/>
      <c r="PXT46" s="76"/>
      <c r="PXU46" s="76"/>
      <c r="PXV46" s="76"/>
      <c r="PXW46" s="76"/>
      <c r="PXX46" s="76"/>
      <c r="PXY46" s="76"/>
      <c r="PXZ46" s="76"/>
      <c r="PYA46" s="76"/>
      <c r="PYB46" s="76"/>
      <c r="PYC46" s="76"/>
      <c r="PYD46" s="76"/>
      <c r="PYE46" s="76"/>
      <c r="PYF46" s="76"/>
      <c r="PYG46" s="76"/>
      <c r="PYH46" s="76"/>
      <c r="PYI46" s="76"/>
      <c r="PYJ46" s="76"/>
      <c r="PYK46" s="76"/>
      <c r="PYL46" s="76"/>
      <c r="PYM46" s="76"/>
      <c r="PYN46" s="76"/>
      <c r="PYO46" s="76"/>
      <c r="PYP46" s="76"/>
      <c r="PYQ46" s="76"/>
      <c r="PYR46" s="76"/>
      <c r="PYS46" s="76"/>
      <c r="PYT46" s="76"/>
      <c r="PYU46" s="76"/>
      <c r="PYV46" s="76"/>
      <c r="PYW46" s="76"/>
      <c r="PYX46" s="76"/>
      <c r="PYY46" s="76"/>
      <c r="PYZ46" s="76"/>
      <c r="PZA46" s="76"/>
      <c r="PZB46" s="76"/>
      <c r="PZC46" s="76"/>
      <c r="PZD46" s="76"/>
      <c r="PZE46" s="76"/>
      <c r="PZF46" s="76"/>
      <c r="PZG46" s="76"/>
      <c r="PZH46" s="76"/>
      <c r="PZI46" s="76"/>
      <c r="PZJ46" s="76"/>
      <c r="PZK46" s="76"/>
      <c r="PZL46" s="76"/>
      <c r="PZM46" s="76"/>
      <c r="PZN46" s="76"/>
      <c r="PZO46" s="76"/>
      <c r="PZP46" s="76"/>
      <c r="PZQ46" s="76"/>
      <c r="PZR46" s="76"/>
      <c r="PZS46" s="76"/>
      <c r="PZT46" s="76"/>
      <c r="PZU46" s="76"/>
      <c r="PZV46" s="76"/>
      <c r="PZW46" s="76"/>
      <c r="PZX46" s="76"/>
      <c r="PZY46" s="76"/>
      <c r="PZZ46" s="76"/>
      <c r="QAA46" s="76"/>
      <c r="QAB46" s="76"/>
      <c r="QAC46" s="76"/>
      <c r="QAD46" s="76"/>
      <c r="QAE46" s="76"/>
      <c r="QAF46" s="76"/>
      <c r="QAG46" s="76"/>
      <c r="QAH46" s="76"/>
      <c r="QAI46" s="76"/>
      <c r="QAJ46" s="76"/>
      <c r="QAK46" s="76"/>
      <c r="QAL46" s="76"/>
      <c r="QAM46" s="76"/>
      <c r="QAN46" s="76"/>
      <c r="QAO46" s="76"/>
      <c r="QAP46" s="76"/>
      <c r="QAQ46" s="76"/>
      <c r="QAR46" s="76"/>
      <c r="QAS46" s="76"/>
      <c r="QAT46" s="76"/>
      <c r="QAU46" s="76"/>
      <c r="QAV46" s="76"/>
      <c r="QAW46" s="76"/>
      <c r="QAX46" s="76"/>
      <c r="QAY46" s="76"/>
      <c r="QAZ46" s="76"/>
      <c r="QBA46" s="76"/>
      <c r="QBB46" s="76"/>
      <c r="QBC46" s="76"/>
      <c r="QBD46" s="76"/>
      <c r="QBE46" s="76"/>
      <c r="QBF46" s="76"/>
      <c r="QBG46" s="76"/>
      <c r="QBH46" s="76"/>
      <c r="QBI46" s="76"/>
      <c r="QBJ46" s="76"/>
      <c r="QBK46" s="76"/>
      <c r="QBL46" s="76"/>
      <c r="QBM46" s="76"/>
      <c r="QBN46" s="76"/>
      <c r="QBO46" s="76"/>
      <c r="QBP46" s="76"/>
      <c r="QBQ46" s="76"/>
      <c r="QBR46" s="76"/>
      <c r="QBS46" s="76"/>
      <c r="QBT46" s="76"/>
      <c r="QBU46" s="76"/>
      <c r="QBV46" s="76"/>
      <c r="QBW46" s="76"/>
      <c r="QBX46" s="76"/>
      <c r="QBY46" s="76"/>
      <c r="QBZ46" s="76"/>
      <c r="QCA46" s="76"/>
      <c r="QCB46" s="76"/>
      <c r="QCC46" s="76"/>
      <c r="QCD46" s="76"/>
      <c r="QCE46" s="76"/>
      <c r="QCF46" s="76"/>
      <c r="QCG46" s="76"/>
      <c r="QCH46" s="76"/>
      <c r="QCI46" s="76"/>
      <c r="QCJ46" s="76"/>
      <c r="QCK46" s="76"/>
      <c r="QCL46" s="76"/>
      <c r="QCM46" s="76"/>
      <c r="QCN46" s="76"/>
      <c r="QCO46" s="76"/>
      <c r="QCP46" s="76"/>
      <c r="QCQ46" s="76"/>
      <c r="QCR46" s="76"/>
      <c r="QCS46" s="76"/>
      <c r="QCT46" s="76"/>
      <c r="QCU46" s="76"/>
      <c r="QCV46" s="76"/>
      <c r="QCW46" s="76"/>
      <c r="QCX46" s="76"/>
      <c r="QCY46" s="76"/>
      <c r="QCZ46" s="76"/>
      <c r="QDA46" s="76"/>
      <c r="QDB46" s="76"/>
      <c r="QDC46" s="76"/>
      <c r="QDD46" s="76"/>
      <c r="QDE46" s="76"/>
      <c r="QDF46" s="76"/>
      <c r="QDG46" s="76"/>
      <c r="QDH46" s="76"/>
      <c r="QDI46" s="76"/>
      <c r="QDJ46" s="76"/>
      <c r="QDK46" s="76"/>
      <c r="QDL46" s="76"/>
      <c r="QDM46" s="76"/>
      <c r="QDN46" s="76"/>
      <c r="QDO46" s="76"/>
      <c r="QDP46" s="76"/>
      <c r="QDQ46" s="76"/>
      <c r="QDR46" s="76"/>
      <c r="QDS46" s="76"/>
      <c r="QDT46" s="76"/>
      <c r="QDU46" s="76"/>
      <c r="QDV46" s="76"/>
      <c r="QDW46" s="76"/>
      <c r="QDX46" s="76"/>
      <c r="QDY46" s="76"/>
      <c r="QDZ46" s="76"/>
      <c r="QEA46" s="76"/>
      <c r="QEB46" s="76"/>
      <c r="QEC46" s="76"/>
      <c r="QED46" s="76"/>
      <c r="QEE46" s="76"/>
      <c r="QEF46" s="76"/>
      <c r="QEG46" s="76"/>
      <c r="QEH46" s="76"/>
      <c r="QEI46" s="76"/>
      <c r="QEJ46" s="76"/>
      <c r="QEK46" s="76"/>
      <c r="QEL46" s="76"/>
      <c r="QEM46" s="76"/>
      <c r="QEN46" s="76"/>
      <c r="QEO46" s="76"/>
      <c r="QEP46" s="76"/>
      <c r="QEQ46" s="76"/>
      <c r="QER46" s="76"/>
      <c r="QES46" s="76"/>
      <c r="QET46" s="76"/>
      <c r="QEU46" s="76"/>
      <c r="QEV46" s="76"/>
      <c r="QEW46" s="76"/>
      <c r="QEX46" s="76"/>
      <c r="QEY46" s="76"/>
      <c r="QEZ46" s="76"/>
      <c r="QFA46" s="76"/>
      <c r="QFB46" s="76"/>
      <c r="QFC46" s="76"/>
      <c r="QFD46" s="76"/>
      <c r="QFE46" s="76"/>
      <c r="QFF46" s="76"/>
      <c r="QFG46" s="76"/>
      <c r="QFH46" s="76"/>
      <c r="QFI46" s="76"/>
      <c r="QFJ46" s="76"/>
      <c r="QFK46" s="76"/>
      <c r="QFL46" s="76"/>
      <c r="QFM46" s="76"/>
      <c r="QFN46" s="76"/>
      <c r="QFO46" s="76"/>
      <c r="QFP46" s="76"/>
      <c r="QFQ46" s="76"/>
      <c r="QFR46" s="76"/>
      <c r="QFS46" s="76"/>
      <c r="QFT46" s="76"/>
      <c r="QFU46" s="76"/>
      <c r="QFV46" s="76"/>
      <c r="QFW46" s="76"/>
      <c r="QFX46" s="76"/>
      <c r="QFY46" s="76"/>
      <c r="QFZ46" s="76"/>
      <c r="QGA46" s="76"/>
      <c r="QGB46" s="76"/>
      <c r="QGC46" s="76"/>
      <c r="QGD46" s="76"/>
      <c r="QGE46" s="76"/>
      <c r="QGF46" s="76"/>
      <c r="QGG46" s="76"/>
      <c r="QGH46" s="76"/>
      <c r="QGI46" s="76"/>
      <c r="QGJ46" s="76"/>
      <c r="QGK46" s="76"/>
      <c r="QGL46" s="76"/>
      <c r="QGM46" s="76"/>
      <c r="QGN46" s="76"/>
      <c r="QGO46" s="76"/>
      <c r="QGP46" s="76"/>
      <c r="QGQ46" s="76"/>
      <c r="QGR46" s="76"/>
      <c r="QGS46" s="76"/>
      <c r="QGT46" s="76"/>
      <c r="QGU46" s="76"/>
      <c r="QGV46" s="76"/>
      <c r="QGW46" s="76"/>
      <c r="QGX46" s="76"/>
      <c r="QGY46" s="76"/>
      <c r="QGZ46" s="76"/>
      <c r="QHA46" s="76"/>
      <c r="QHB46" s="76"/>
      <c r="QHC46" s="76"/>
      <c r="QHD46" s="76"/>
      <c r="QHE46" s="76"/>
      <c r="QHF46" s="76"/>
      <c r="QHG46" s="76"/>
      <c r="QHH46" s="76"/>
      <c r="QHI46" s="76"/>
      <c r="QHJ46" s="76"/>
      <c r="QHK46" s="76"/>
      <c r="QHL46" s="76"/>
      <c r="QHM46" s="76"/>
      <c r="QHN46" s="76"/>
      <c r="QHO46" s="76"/>
      <c r="QHP46" s="76"/>
      <c r="QHQ46" s="76"/>
      <c r="QHR46" s="76"/>
      <c r="QHS46" s="76"/>
      <c r="QHT46" s="76"/>
      <c r="QHU46" s="76"/>
      <c r="QHV46" s="76"/>
      <c r="QHW46" s="76"/>
      <c r="QHX46" s="76"/>
      <c r="QHY46" s="76"/>
      <c r="QHZ46" s="76"/>
      <c r="QIA46" s="76"/>
      <c r="QIB46" s="76"/>
      <c r="QIC46" s="76"/>
      <c r="QID46" s="76"/>
      <c r="QIE46" s="76"/>
      <c r="QIF46" s="76"/>
      <c r="QIG46" s="76"/>
      <c r="QIH46" s="76"/>
      <c r="QII46" s="76"/>
      <c r="QIJ46" s="76"/>
      <c r="QIK46" s="76"/>
      <c r="QIL46" s="76"/>
      <c r="QIM46" s="76"/>
      <c r="QIN46" s="76"/>
      <c r="QIO46" s="76"/>
      <c r="QIP46" s="76"/>
      <c r="QIQ46" s="76"/>
      <c r="QIR46" s="76"/>
      <c r="QIS46" s="76"/>
      <c r="QIT46" s="76"/>
      <c r="QIU46" s="76"/>
      <c r="QIV46" s="76"/>
      <c r="QIW46" s="76"/>
      <c r="QIX46" s="76"/>
      <c r="QIY46" s="76"/>
      <c r="QIZ46" s="76"/>
      <c r="QJA46" s="76"/>
      <c r="QJB46" s="76"/>
      <c r="QJC46" s="76"/>
      <c r="QJD46" s="76"/>
      <c r="QJE46" s="76"/>
      <c r="QJF46" s="76"/>
      <c r="QJG46" s="76"/>
      <c r="QJH46" s="76"/>
      <c r="QJI46" s="76"/>
      <c r="QJJ46" s="76"/>
      <c r="QJK46" s="76"/>
      <c r="QJL46" s="76"/>
      <c r="QJM46" s="76"/>
      <c r="QJN46" s="76"/>
      <c r="QJO46" s="76"/>
      <c r="QJP46" s="76"/>
      <c r="QJQ46" s="76"/>
      <c r="QJR46" s="76"/>
      <c r="QJS46" s="76"/>
      <c r="QJT46" s="76"/>
      <c r="QJU46" s="76"/>
      <c r="QJV46" s="76"/>
      <c r="QJW46" s="76"/>
      <c r="QJX46" s="76"/>
      <c r="QJY46" s="76"/>
      <c r="QJZ46" s="76"/>
      <c r="QKA46" s="76"/>
      <c r="QKB46" s="76"/>
      <c r="QKC46" s="76"/>
      <c r="QKD46" s="76"/>
      <c r="QKE46" s="76"/>
      <c r="QKF46" s="76"/>
      <c r="QKG46" s="76"/>
      <c r="QKH46" s="76"/>
      <c r="QKI46" s="76"/>
      <c r="QKJ46" s="76"/>
      <c r="QKK46" s="76"/>
      <c r="QKL46" s="76"/>
      <c r="QKM46" s="76"/>
      <c r="QKN46" s="76"/>
      <c r="QKO46" s="76"/>
      <c r="QKP46" s="76"/>
      <c r="QKQ46" s="76"/>
      <c r="QKR46" s="76"/>
      <c r="QKS46" s="76"/>
      <c r="QKT46" s="76"/>
      <c r="QKU46" s="76"/>
      <c r="QKV46" s="76"/>
      <c r="QKW46" s="76"/>
      <c r="QKX46" s="76"/>
      <c r="QKY46" s="76"/>
      <c r="QKZ46" s="76"/>
      <c r="QLA46" s="76"/>
      <c r="QLB46" s="76"/>
      <c r="QLC46" s="76"/>
      <c r="QLD46" s="76"/>
      <c r="QLE46" s="76"/>
      <c r="QLF46" s="76"/>
      <c r="QLG46" s="76"/>
      <c r="QLH46" s="76"/>
      <c r="QLI46" s="76"/>
      <c r="QLJ46" s="76"/>
      <c r="QLK46" s="76"/>
      <c r="QLL46" s="76"/>
      <c r="QLM46" s="76"/>
      <c r="QLN46" s="76"/>
      <c r="QLO46" s="76"/>
      <c r="QLP46" s="76"/>
      <c r="QLQ46" s="76"/>
      <c r="QLR46" s="76"/>
      <c r="QLS46" s="76"/>
      <c r="QLT46" s="76"/>
      <c r="QLU46" s="76"/>
      <c r="QLV46" s="76"/>
      <c r="QLW46" s="76"/>
      <c r="QLX46" s="76"/>
      <c r="QLY46" s="76"/>
      <c r="QLZ46" s="76"/>
      <c r="QMA46" s="76"/>
      <c r="QMB46" s="76"/>
      <c r="QMC46" s="76"/>
      <c r="QMD46" s="76"/>
      <c r="QME46" s="76"/>
      <c r="QMF46" s="76"/>
      <c r="QMG46" s="76"/>
      <c r="QMH46" s="76"/>
      <c r="QMI46" s="76"/>
      <c r="QMJ46" s="76"/>
      <c r="QMK46" s="76"/>
      <c r="QML46" s="76"/>
      <c r="QMM46" s="76"/>
      <c r="QMN46" s="76"/>
      <c r="QMO46" s="76"/>
      <c r="QMP46" s="76"/>
      <c r="QMQ46" s="76"/>
      <c r="QMR46" s="76"/>
      <c r="QMS46" s="76"/>
      <c r="QMT46" s="76"/>
      <c r="QMU46" s="76"/>
      <c r="QMV46" s="76"/>
      <c r="QMW46" s="76"/>
      <c r="QMX46" s="76"/>
      <c r="QMY46" s="76"/>
      <c r="QMZ46" s="76"/>
      <c r="QNA46" s="76"/>
      <c r="QNB46" s="76"/>
      <c r="QNC46" s="76"/>
      <c r="QND46" s="76"/>
      <c r="QNE46" s="76"/>
      <c r="QNF46" s="76"/>
      <c r="QNG46" s="76"/>
      <c r="QNH46" s="76"/>
      <c r="QNI46" s="76"/>
      <c r="QNJ46" s="76"/>
      <c r="QNK46" s="76"/>
      <c r="QNL46" s="76"/>
      <c r="QNM46" s="76"/>
      <c r="QNN46" s="76"/>
      <c r="QNO46" s="76"/>
      <c r="QNP46" s="76"/>
      <c r="QNQ46" s="76"/>
      <c r="QNR46" s="76"/>
      <c r="QNS46" s="76"/>
      <c r="QNT46" s="76"/>
      <c r="QNU46" s="76"/>
      <c r="QNV46" s="76"/>
      <c r="QNW46" s="76"/>
      <c r="QNX46" s="76"/>
      <c r="QNY46" s="76"/>
      <c r="QNZ46" s="76"/>
      <c r="QOA46" s="76"/>
      <c r="QOB46" s="76"/>
      <c r="QOC46" s="76"/>
      <c r="QOD46" s="76"/>
      <c r="QOE46" s="76"/>
      <c r="QOF46" s="76"/>
      <c r="QOG46" s="76"/>
      <c r="QOH46" s="76"/>
      <c r="QOI46" s="76"/>
      <c r="QOJ46" s="76"/>
      <c r="QOK46" s="76"/>
      <c r="QOL46" s="76"/>
      <c r="QOM46" s="76"/>
      <c r="QON46" s="76"/>
      <c r="QOO46" s="76"/>
      <c r="QOP46" s="76"/>
      <c r="QOQ46" s="76"/>
      <c r="QOR46" s="76"/>
      <c r="QOS46" s="76"/>
      <c r="QOT46" s="76"/>
      <c r="QOU46" s="76"/>
      <c r="QOV46" s="76"/>
      <c r="QOW46" s="76"/>
      <c r="QOX46" s="76"/>
      <c r="QOY46" s="76"/>
      <c r="QOZ46" s="76"/>
      <c r="QPA46" s="76"/>
      <c r="QPB46" s="76"/>
      <c r="QPC46" s="76"/>
      <c r="QPD46" s="76"/>
      <c r="QPE46" s="76"/>
      <c r="QPF46" s="76"/>
      <c r="QPG46" s="76"/>
      <c r="QPH46" s="76"/>
      <c r="QPI46" s="76"/>
      <c r="QPJ46" s="76"/>
      <c r="QPK46" s="76"/>
      <c r="QPL46" s="76"/>
      <c r="QPM46" s="76"/>
      <c r="QPN46" s="76"/>
      <c r="QPO46" s="76"/>
      <c r="QPP46" s="76"/>
      <c r="QPQ46" s="76"/>
      <c r="QPR46" s="76"/>
      <c r="QPS46" s="76"/>
      <c r="QPT46" s="76"/>
      <c r="QPU46" s="76"/>
      <c r="QPV46" s="76"/>
      <c r="QPW46" s="76"/>
      <c r="QPX46" s="76"/>
      <c r="QPY46" s="76"/>
      <c r="QPZ46" s="76"/>
      <c r="QQA46" s="76"/>
      <c r="QQB46" s="76"/>
      <c r="QQC46" s="76"/>
      <c r="QQD46" s="76"/>
      <c r="QQE46" s="76"/>
      <c r="QQF46" s="76"/>
      <c r="QQG46" s="76"/>
      <c r="QQH46" s="76"/>
      <c r="QQI46" s="76"/>
      <c r="QQJ46" s="76"/>
      <c r="QQK46" s="76"/>
      <c r="QQL46" s="76"/>
      <c r="QQM46" s="76"/>
      <c r="QQN46" s="76"/>
      <c r="QQO46" s="76"/>
      <c r="QQP46" s="76"/>
      <c r="QQQ46" s="76"/>
      <c r="QQR46" s="76"/>
      <c r="QQS46" s="76"/>
      <c r="QQT46" s="76"/>
      <c r="QQU46" s="76"/>
      <c r="QQV46" s="76"/>
      <c r="QQW46" s="76"/>
      <c r="QQX46" s="76"/>
      <c r="QQY46" s="76"/>
      <c r="QQZ46" s="76"/>
      <c r="QRA46" s="76"/>
      <c r="QRB46" s="76"/>
      <c r="QRC46" s="76"/>
      <c r="QRD46" s="76"/>
      <c r="QRE46" s="76"/>
      <c r="QRF46" s="76"/>
      <c r="QRG46" s="76"/>
      <c r="QRH46" s="76"/>
      <c r="QRI46" s="76"/>
      <c r="QRJ46" s="76"/>
      <c r="QRK46" s="76"/>
      <c r="QRL46" s="76"/>
      <c r="QRM46" s="76"/>
      <c r="QRN46" s="76"/>
      <c r="QRO46" s="76"/>
      <c r="QRP46" s="76"/>
      <c r="QRQ46" s="76"/>
      <c r="QRR46" s="76"/>
      <c r="QRS46" s="76"/>
      <c r="QRT46" s="76"/>
      <c r="QRU46" s="76"/>
      <c r="QRV46" s="76"/>
      <c r="QRW46" s="76"/>
      <c r="QRX46" s="76"/>
      <c r="QRY46" s="76"/>
      <c r="QRZ46" s="76"/>
      <c r="QSA46" s="76"/>
      <c r="QSB46" s="76"/>
      <c r="QSC46" s="76"/>
      <c r="QSD46" s="76"/>
      <c r="QSE46" s="76"/>
      <c r="QSF46" s="76"/>
      <c r="QSG46" s="76"/>
      <c r="QSH46" s="76"/>
      <c r="QSI46" s="76"/>
      <c r="QSJ46" s="76"/>
      <c r="QSK46" s="76"/>
      <c r="QSL46" s="76"/>
      <c r="QSM46" s="76"/>
      <c r="QSN46" s="76"/>
      <c r="QSO46" s="76"/>
      <c r="QSP46" s="76"/>
      <c r="QSQ46" s="76"/>
      <c r="QSR46" s="76"/>
      <c r="QSS46" s="76"/>
      <c r="QST46" s="76"/>
      <c r="QSU46" s="76"/>
      <c r="QSV46" s="76"/>
      <c r="QSW46" s="76"/>
      <c r="QSX46" s="76"/>
      <c r="QSY46" s="76"/>
      <c r="QSZ46" s="76"/>
      <c r="QTA46" s="76"/>
      <c r="QTB46" s="76"/>
      <c r="QTC46" s="76"/>
      <c r="QTD46" s="76"/>
      <c r="QTE46" s="76"/>
      <c r="QTF46" s="76"/>
      <c r="QTG46" s="76"/>
      <c r="QTH46" s="76"/>
      <c r="QTI46" s="76"/>
      <c r="QTJ46" s="76"/>
      <c r="QTK46" s="76"/>
      <c r="QTL46" s="76"/>
      <c r="QTM46" s="76"/>
      <c r="QTN46" s="76"/>
      <c r="QTO46" s="76"/>
      <c r="QTP46" s="76"/>
      <c r="QTQ46" s="76"/>
      <c r="QTR46" s="76"/>
      <c r="QTS46" s="76"/>
      <c r="QTT46" s="76"/>
      <c r="QTU46" s="76"/>
      <c r="QTV46" s="76"/>
      <c r="QTW46" s="76"/>
      <c r="QTX46" s="76"/>
      <c r="QTY46" s="76"/>
      <c r="QTZ46" s="76"/>
      <c r="QUA46" s="76"/>
      <c r="QUB46" s="76"/>
      <c r="QUC46" s="76"/>
      <c r="QUD46" s="76"/>
      <c r="QUE46" s="76"/>
      <c r="QUF46" s="76"/>
      <c r="QUG46" s="76"/>
      <c r="QUH46" s="76"/>
      <c r="QUI46" s="76"/>
      <c r="QUJ46" s="76"/>
      <c r="QUK46" s="76"/>
      <c r="QUL46" s="76"/>
      <c r="QUM46" s="76"/>
      <c r="QUN46" s="76"/>
      <c r="QUO46" s="76"/>
      <c r="QUP46" s="76"/>
      <c r="QUQ46" s="76"/>
      <c r="QUR46" s="76"/>
      <c r="QUS46" s="76"/>
      <c r="QUT46" s="76"/>
      <c r="QUU46" s="76"/>
      <c r="QUV46" s="76"/>
      <c r="QUW46" s="76"/>
      <c r="QUX46" s="76"/>
      <c r="QUY46" s="76"/>
      <c r="QUZ46" s="76"/>
      <c r="QVA46" s="76"/>
      <c r="QVB46" s="76"/>
      <c r="QVC46" s="76"/>
      <c r="QVD46" s="76"/>
      <c r="QVE46" s="76"/>
      <c r="QVF46" s="76"/>
      <c r="QVG46" s="76"/>
      <c r="QVH46" s="76"/>
      <c r="QVI46" s="76"/>
      <c r="QVJ46" s="76"/>
      <c r="QVK46" s="76"/>
      <c r="QVL46" s="76"/>
      <c r="QVM46" s="76"/>
      <c r="QVN46" s="76"/>
      <c r="QVO46" s="76"/>
      <c r="QVP46" s="76"/>
      <c r="QVQ46" s="76"/>
      <c r="QVR46" s="76"/>
      <c r="QVS46" s="76"/>
      <c r="QVT46" s="76"/>
      <c r="QVU46" s="76"/>
      <c r="QVV46" s="76"/>
      <c r="QVW46" s="76"/>
      <c r="QVX46" s="76"/>
      <c r="QVY46" s="76"/>
      <c r="QVZ46" s="76"/>
      <c r="QWA46" s="76"/>
      <c r="QWB46" s="76"/>
      <c r="QWC46" s="76"/>
      <c r="QWD46" s="76"/>
      <c r="QWE46" s="76"/>
      <c r="QWF46" s="76"/>
      <c r="QWG46" s="76"/>
      <c r="QWH46" s="76"/>
      <c r="QWI46" s="76"/>
      <c r="QWJ46" s="76"/>
      <c r="QWK46" s="76"/>
      <c r="QWL46" s="76"/>
      <c r="QWM46" s="76"/>
      <c r="QWN46" s="76"/>
      <c r="QWO46" s="76"/>
      <c r="QWP46" s="76"/>
      <c r="QWQ46" s="76"/>
      <c r="QWR46" s="76"/>
      <c r="QWS46" s="76"/>
      <c r="QWT46" s="76"/>
      <c r="QWU46" s="76"/>
      <c r="QWV46" s="76"/>
      <c r="QWW46" s="76"/>
      <c r="QWX46" s="76"/>
      <c r="QWY46" s="76"/>
      <c r="QWZ46" s="76"/>
      <c r="QXA46" s="76"/>
      <c r="QXB46" s="76"/>
      <c r="QXC46" s="76"/>
      <c r="QXD46" s="76"/>
      <c r="QXE46" s="76"/>
      <c r="QXF46" s="76"/>
      <c r="QXG46" s="76"/>
      <c r="QXH46" s="76"/>
      <c r="QXI46" s="76"/>
      <c r="QXJ46" s="76"/>
      <c r="QXK46" s="76"/>
      <c r="QXL46" s="76"/>
      <c r="QXM46" s="76"/>
      <c r="QXN46" s="76"/>
      <c r="QXO46" s="76"/>
      <c r="QXP46" s="76"/>
      <c r="QXQ46" s="76"/>
      <c r="QXR46" s="76"/>
      <c r="QXS46" s="76"/>
      <c r="QXT46" s="76"/>
      <c r="QXU46" s="76"/>
      <c r="QXV46" s="76"/>
      <c r="QXW46" s="76"/>
      <c r="QXX46" s="76"/>
      <c r="QXY46" s="76"/>
      <c r="QXZ46" s="76"/>
      <c r="QYA46" s="76"/>
      <c r="QYB46" s="76"/>
      <c r="QYC46" s="76"/>
      <c r="QYD46" s="76"/>
      <c r="QYE46" s="76"/>
      <c r="QYF46" s="76"/>
      <c r="QYG46" s="76"/>
      <c r="QYH46" s="76"/>
      <c r="QYI46" s="76"/>
      <c r="QYJ46" s="76"/>
      <c r="QYK46" s="76"/>
      <c r="QYL46" s="76"/>
      <c r="QYM46" s="76"/>
      <c r="QYN46" s="76"/>
      <c r="QYO46" s="76"/>
      <c r="QYP46" s="76"/>
      <c r="QYQ46" s="76"/>
      <c r="QYR46" s="76"/>
      <c r="QYS46" s="76"/>
      <c r="QYT46" s="76"/>
      <c r="QYU46" s="76"/>
      <c r="QYV46" s="76"/>
      <c r="QYW46" s="76"/>
      <c r="QYX46" s="76"/>
      <c r="QYY46" s="76"/>
      <c r="QYZ46" s="76"/>
      <c r="QZA46" s="76"/>
      <c r="QZB46" s="76"/>
      <c r="QZC46" s="76"/>
      <c r="QZD46" s="76"/>
      <c r="QZE46" s="76"/>
      <c r="QZF46" s="76"/>
      <c r="QZG46" s="76"/>
      <c r="QZH46" s="76"/>
      <c r="QZI46" s="76"/>
      <c r="QZJ46" s="76"/>
      <c r="QZK46" s="76"/>
      <c r="QZL46" s="76"/>
      <c r="QZM46" s="76"/>
      <c r="QZN46" s="76"/>
      <c r="QZO46" s="76"/>
      <c r="QZP46" s="76"/>
      <c r="QZQ46" s="76"/>
      <c r="QZR46" s="76"/>
      <c r="QZS46" s="76"/>
      <c r="QZT46" s="76"/>
      <c r="QZU46" s="76"/>
      <c r="QZV46" s="76"/>
      <c r="QZW46" s="76"/>
      <c r="QZX46" s="76"/>
      <c r="QZY46" s="76"/>
      <c r="QZZ46" s="76"/>
      <c r="RAA46" s="76"/>
      <c r="RAB46" s="76"/>
      <c r="RAC46" s="76"/>
      <c r="RAD46" s="76"/>
      <c r="RAE46" s="76"/>
      <c r="RAF46" s="76"/>
      <c r="RAG46" s="76"/>
      <c r="RAH46" s="76"/>
      <c r="RAI46" s="76"/>
      <c r="RAJ46" s="76"/>
      <c r="RAK46" s="76"/>
      <c r="RAL46" s="76"/>
      <c r="RAM46" s="76"/>
      <c r="RAN46" s="76"/>
      <c r="RAO46" s="76"/>
      <c r="RAP46" s="76"/>
      <c r="RAQ46" s="76"/>
      <c r="RAR46" s="76"/>
      <c r="RAS46" s="76"/>
      <c r="RAT46" s="76"/>
      <c r="RAU46" s="76"/>
      <c r="RAV46" s="76"/>
      <c r="RAW46" s="76"/>
      <c r="RAX46" s="76"/>
      <c r="RAY46" s="76"/>
      <c r="RAZ46" s="76"/>
      <c r="RBA46" s="76"/>
      <c r="RBB46" s="76"/>
      <c r="RBC46" s="76"/>
      <c r="RBD46" s="76"/>
      <c r="RBE46" s="76"/>
      <c r="RBF46" s="76"/>
      <c r="RBG46" s="76"/>
      <c r="RBH46" s="76"/>
      <c r="RBI46" s="76"/>
      <c r="RBJ46" s="76"/>
      <c r="RBK46" s="76"/>
      <c r="RBL46" s="76"/>
      <c r="RBM46" s="76"/>
      <c r="RBN46" s="76"/>
      <c r="RBO46" s="76"/>
      <c r="RBP46" s="76"/>
      <c r="RBQ46" s="76"/>
      <c r="RBR46" s="76"/>
      <c r="RBS46" s="76"/>
      <c r="RBT46" s="76"/>
      <c r="RBU46" s="76"/>
      <c r="RBV46" s="76"/>
      <c r="RBW46" s="76"/>
      <c r="RBX46" s="76"/>
      <c r="RBY46" s="76"/>
      <c r="RBZ46" s="76"/>
      <c r="RCA46" s="76"/>
      <c r="RCB46" s="76"/>
      <c r="RCC46" s="76"/>
      <c r="RCD46" s="76"/>
      <c r="RCE46" s="76"/>
      <c r="RCF46" s="76"/>
      <c r="RCG46" s="76"/>
      <c r="RCH46" s="76"/>
      <c r="RCI46" s="76"/>
      <c r="RCJ46" s="76"/>
      <c r="RCK46" s="76"/>
      <c r="RCL46" s="76"/>
      <c r="RCM46" s="76"/>
      <c r="RCN46" s="76"/>
      <c r="RCO46" s="76"/>
      <c r="RCP46" s="76"/>
      <c r="RCQ46" s="76"/>
      <c r="RCR46" s="76"/>
      <c r="RCS46" s="76"/>
      <c r="RCT46" s="76"/>
      <c r="RCU46" s="76"/>
      <c r="RCV46" s="76"/>
      <c r="RCW46" s="76"/>
      <c r="RCX46" s="76"/>
      <c r="RCY46" s="76"/>
      <c r="RCZ46" s="76"/>
      <c r="RDA46" s="76"/>
      <c r="RDB46" s="76"/>
      <c r="RDC46" s="76"/>
      <c r="RDD46" s="76"/>
      <c r="RDE46" s="76"/>
      <c r="RDF46" s="76"/>
      <c r="RDG46" s="76"/>
      <c r="RDH46" s="76"/>
      <c r="RDI46" s="76"/>
      <c r="RDJ46" s="76"/>
      <c r="RDK46" s="76"/>
      <c r="RDL46" s="76"/>
      <c r="RDM46" s="76"/>
      <c r="RDN46" s="76"/>
      <c r="RDO46" s="76"/>
      <c r="RDP46" s="76"/>
      <c r="RDQ46" s="76"/>
      <c r="RDR46" s="76"/>
      <c r="RDS46" s="76"/>
      <c r="RDT46" s="76"/>
      <c r="RDU46" s="76"/>
      <c r="RDV46" s="76"/>
      <c r="RDW46" s="76"/>
      <c r="RDX46" s="76"/>
      <c r="RDY46" s="76"/>
      <c r="RDZ46" s="76"/>
      <c r="REA46" s="76"/>
      <c r="REB46" s="76"/>
      <c r="REC46" s="76"/>
      <c r="RED46" s="76"/>
      <c r="REE46" s="76"/>
      <c r="REF46" s="76"/>
      <c r="REG46" s="76"/>
      <c r="REH46" s="76"/>
      <c r="REI46" s="76"/>
      <c r="REJ46" s="76"/>
      <c r="REK46" s="76"/>
      <c r="REL46" s="76"/>
      <c r="REM46" s="76"/>
      <c r="REN46" s="76"/>
      <c r="REO46" s="76"/>
      <c r="REP46" s="76"/>
      <c r="REQ46" s="76"/>
      <c r="RER46" s="76"/>
      <c r="RES46" s="76"/>
      <c r="RET46" s="76"/>
      <c r="REU46" s="76"/>
      <c r="REV46" s="76"/>
      <c r="REW46" s="76"/>
      <c r="REX46" s="76"/>
      <c r="REY46" s="76"/>
      <c r="REZ46" s="76"/>
      <c r="RFA46" s="76"/>
      <c r="RFB46" s="76"/>
      <c r="RFC46" s="76"/>
      <c r="RFD46" s="76"/>
      <c r="RFE46" s="76"/>
      <c r="RFF46" s="76"/>
      <c r="RFG46" s="76"/>
      <c r="RFH46" s="76"/>
      <c r="RFI46" s="76"/>
      <c r="RFJ46" s="76"/>
      <c r="RFK46" s="76"/>
      <c r="RFL46" s="76"/>
      <c r="RFM46" s="76"/>
      <c r="RFN46" s="76"/>
      <c r="RFO46" s="76"/>
      <c r="RFP46" s="76"/>
      <c r="RFQ46" s="76"/>
      <c r="RFR46" s="76"/>
      <c r="RFS46" s="76"/>
      <c r="RFT46" s="76"/>
      <c r="RFU46" s="76"/>
      <c r="RFV46" s="76"/>
      <c r="RFW46" s="76"/>
      <c r="RFX46" s="76"/>
      <c r="RFY46" s="76"/>
      <c r="RFZ46" s="76"/>
      <c r="RGA46" s="76"/>
      <c r="RGB46" s="76"/>
      <c r="RGC46" s="76"/>
      <c r="RGD46" s="76"/>
      <c r="RGE46" s="76"/>
      <c r="RGF46" s="76"/>
      <c r="RGG46" s="76"/>
      <c r="RGH46" s="76"/>
      <c r="RGI46" s="76"/>
      <c r="RGJ46" s="76"/>
      <c r="RGK46" s="76"/>
      <c r="RGL46" s="76"/>
      <c r="RGM46" s="76"/>
      <c r="RGN46" s="76"/>
      <c r="RGO46" s="76"/>
      <c r="RGP46" s="76"/>
      <c r="RGQ46" s="76"/>
      <c r="RGR46" s="76"/>
      <c r="RGS46" s="76"/>
      <c r="RGT46" s="76"/>
      <c r="RGU46" s="76"/>
      <c r="RGV46" s="76"/>
      <c r="RGW46" s="76"/>
      <c r="RGX46" s="76"/>
      <c r="RGY46" s="76"/>
      <c r="RGZ46" s="76"/>
      <c r="RHA46" s="76"/>
      <c r="RHB46" s="76"/>
      <c r="RHC46" s="76"/>
      <c r="RHD46" s="76"/>
      <c r="RHE46" s="76"/>
      <c r="RHF46" s="76"/>
      <c r="RHG46" s="76"/>
      <c r="RHH46" s="76"/>
      <c r="RHI46" s="76"/>
      <c r="RHJ46" s="76"/>
      <c r="RHK46" s="76"/>
      <c r="RHL46" s="76"/>
      <c r="RHM46" s="76"/>
      <c r="RHN46" s="76"/>
      <c r="RHO46" s="76"/>
      <c r="RHP46" s="76"/>
      <c r="RHQ46" s="76"/>
      <c r="RHR46" s="76"/>
      <c r="RHS46" s="76"/>
      <c r="RHT46" s="76"/>
      <c r="RHU46" s="76"/>
      <c r="RHV46" s="76"/>
      <c r="RHW46" s="76"/>
      <c r="RHX46" s="76"/>
      <c r="RHY46" s="76"/>
      <c r="RHZ46" s="76"/>
      <c r="RIA46" s="76"/>
      <c r="RIB46" s="76"/>
      <c r="RIC46" s="76"/>
      <c r="RID46" s="76"/>
      <c r="RIE46" s="76"/>
      <c r="RIF46" s="76"/>
      <c r="RIG46" s="76"/>
      <c r="RIH46" s="76"/>
      <c r="RII46" s="76"/>
      <c r="RIJ46" s="76"/>
      <c r="RIK46" s="76"/>
      <c r="RIL46" s="76"/>
      <c r="RIM46" s="76"/>
      <c r="RIN46" s="76"/>
      <c r="RIO46" s="76"/>
      <c r="RIP46" s="76"/>
      <c r="RIQ46" s="76"/>
      <c r="RIR46" s="76"/>
      <c r="RIS46" s="76"/>
      <c r="RIT46" s="76"/>
      <c r="RIU46" s="76"/>
      <c r="RIV46" s="76"/>
      <c r="RIW46" s="76"/>
      <c r="RIX46" s="76"/>
      <c r="RIY46" s="76"/>
      <c r="RIZ46" s="76"/>
      <c r="RJA46" s="76"/>
      <c r="RJB46" s="76"/>
      <c r="RJC46" s="76"/>
      <c r="RJD46" s="76"/>
      <c r="RJE46" s="76"/>
      <c r="RJF46" s="76"/>
      <c r="RJG46" s="76"/>
      <c r="RJH46" s="76"/>
      <c r="RJI46" s="76"/>
      <c r="RJJ46" s="76"/>
      <c r="RJK46" s="76"/>
      <c r="RJL46" s="76"/>
      <c r="RJM46" s="76"/>
      <c r="RJN46" s="76"/>
      <c r="RJO46" s="76"/>
      <c r="RJP46" s="76"/>
      <c r="RJQ46" s="76"/>
      <c r="RJR46" s="76"/>
      <c r="RJS46" s="76"/>
      <c r="RJT46" s="76"/>
      <c r="RJU46" s="76"/>
      <c r="RJV46" s="76"/>
      <c r="RJW46" s="76"/>
      <c r="RJX46" s="76"/>
      <c r="RJY46" s="76"/>
      <c r="RJZ46" s="76"/>
      <c r="RKA46" s="76"/>
      <c r="RKB46" s="76"/>
      <c r="RKC46" s="76"/>
      <c r="RKD46" s="76"/>
      <c r="RKE46" s="76"/>
      <c r="RKF46" s="76"/>
      <c r="RKG46" s="76"/>
      <c r="RKH46" s="76"/>
      <c r="RKI46" s="76"/>
      <c r="RKJ46" s="76"/>
      <c r="RKK46" s="76"/>
      <c r="RKL46" s="76"/>
      <c r="RKM46" s="76"/>
      <c r="RKN46" s="76"/>
      <c r="RKO46" s="76"/>
      <c r="RKP46" s="76"/>
      <c r="RKQ46" s="76"/>
      <c r="RKR46" s="76"/>
      <c r="RKS46" s="76"/>
      <c r="RKT46" s="76"/>
      <c r="RKU46" s="76"/>
      <c r="RKV46" s="76"/>
      <c r="RKW46" s="76"/>
      <c r="RKX46" s="76"/>
      <c r="RKY46" s="76"/>
      <c r="RKZ46" s="76"/>
      <c r="RLA46" s="76"/>
      <c r="RLB46" s="76"/>
      <c r="RLC46" s="76"/>
      <c r="RLD46" s="76"/>
      <c r="RLE46" s="76"/>
      <c r="RLF46" s="76"/>
      <c r="RLG46" s="76"/>
      <c r="RLH46" s="76"/>
      <c r="RLI46" s="76"/>
      <c r="RLJ46" s="76"/>
      <c r="RLK46" s="76"/>
      <c r="RLL46" s="76"/>
      <c r="RLM46" s="76"/>
      <c r="RLN46" s="76"/>
      <c r="RLO46" s="76"/>
      <c r="RLP46" s="76"/>
      <c r="RLQ46" s="76"/>
      <c r="RLR46" s="76"/>
      <c r="RLS46" s="76"/>
      <c r="RLT46" s="76"/>
      <c r="RLU46" s="76"/>
      <c r="RLV46" s="76"/>
      <c r="RLW46" s="76"/>
      <c r="RLX46" s="76"/>
      <c r="RLY46" s="76"/>
      <c r="RLZ46" s="76"/>
      <c r="RMA46" s="76"/>
      <c r="RMB46" s="76"/>
      <c r="RMC46" s="76"/>
      <c r="RMD46" s="76"/>
      <c r="RME46" s="76"/>
      <c r="RMF46" s="76"/>
      <c r="RMG46" s="76"/>
      <c r="RMH46" s="76"/>
      <c r="RMI46" s="76"/>
      <c r="RMJ46" s="76"/>
      <c r="RMK46" s="76"/>
      <c r="RML46" s="76"/>
      <c r="RMM46" s="76"/>
      <c r="RMN46" s="76"/>
      <c r="RMO46" s="76"/>
      <c r="RMP46" s="76"/>
      <c r="RMQ46" s="76"/>
      <c r="RMR46" s="76"/>
      <c r="RMS46" s="76"/>
      <c r="RMT46" s="76"/>
      <c r="RMU46" s="76"/>
      <c r="RMV46" s="76"/>
      <c r="RMW46" s="76"/>
      <c r="RMX46" s="76"/>
      <c r="RMY46" s="76"/>
      <c r="RMZ46" s="76"/>
      <c r="RNA46" s="76"/>
      <c r="RNB46" s="76"/>
      <c r="RNC46" s="76"/>
      <c r="RND46" s="76"/>
      <c r="RNE46" s="76"/>
      <c r="RNF46" s="76"/>
      <c r="RNG46" s="76"/>
      <c r="RNH46" s="76"/>
      <c r="RNI46" s="76"/>
      <c r="RNJ46" s="76"/>
      <c r="RNK46" s="76"/>
      <c r="RNL46" s="76"/>
      <c r="RNM46" s="76"/>
      <c r="RNN46" s="76"/>
      <c r="RNO46" s="76"/>
      <c r="RNP46" s="76"/>
      <c r="RNQ46" s="76"/>
      <c r="RNR46" s="76"/>
      <c r="RNS46" s="76"/>
      <c r="RNT46" s="76"/>
      <c r="RNU46" s="76"/>
      <c r="RNV46" s="76"/>
      <c r="RNW46" s="76"/>
      <c r="RNX46" s="76"/>
      <c r="RNY46" s="76"/>
      <c r="RNZ46" s="76"/>
      <c r="ROA46" s="76"/>
      <c r="ROB46" s="76"/>
      <c r="ROC46" s="76"/>
      <c r="ROD46" s="76"/>
      <c r="ROE46" s="76"/>
      <c r="ROF46" s="76"/>
      <c r="ROG46" s="76"/>
      <c r="ROH46" s="76"/>
      <c r="ROI46" s="76"/>
      <c r="ROJ46" s="76"/>
      <c r="ROK46" s="76"/>
      <c r="ROL46" s="76"/>
      <c r="ROM46" s="76"/>
      <c r="RON46" s="76"/>
      <c r="ROO46" s="76"/>
      <c r="ROP46" s="76"/>
      <c r="ROQ46" s="76"/>
      <c r="ROR46" s="76"/>
      <c r="ROS46" s="76"/>
      <c r="ROT46" s="76"/>
      <c r="ROU46" s="76"/>
      <c r="ROV46" s="76"/>
      <c r="ROW46" s="76"/>
      <c r="ROX46" s="76"/>
      <c r="ROY46" s="76"/>
      <c r="ROZ46" s="76"/>
      <c r="RPA46" s="76"/>
      <c r="RPB46" s="76"/>
      <c r="RPC46" s="76"/>
      <c r="RPD46" s="76"/>
      <c r="RPE46" s="76"/>
      <c r="RPF46" s="76"/>
      <c r="RPG46" s="76"/>
      <c r="RPH46" s="76"/>
      <c r="RPI46" s="76"/>
      <c r="RPJ46" s="76"/>
      <c r="RPK46" s="76"/>
      <c r="RPL46" s="76"/>
      <c r="RPM46" s="76"/>
      <c r="RPN46" s="76"/>
      <c r="RPO46" s="76"/>
      <c r="RPP46" s="76"/>
      <c r="RPQ46" s="76"/>
      <c r="RPR46" s="76"/>
      <c r="RPS46" s="76"/>
      <c r="RPT46" s="76"/>
      <c r="RPU46" s="76"/>
      <c r="RPV46" s="76"/>
      <c r="RPW46" s="76"/>
      <c r="RPX46" s="76"/>
      <c r="RPY46" s="76"/>
      <c r="RPZ46" s="76"/>
      <c r="RQA46" s="76"/>
      <c r="RQB46" s="76"/>
      <c r="RQC46" s="76"/>
      <c r="RQD46" s="76"/>
      <c r="RQE46" s="76"/>
      <c r="RQF46" s="76"/>
      <c r="RQG46" s="76"/>
      <c r="RQH46" s="76"/>
      <c r="RQI46" s="76"/>
      <c r="RQJ46" s="76"/>
      <c r="RQK46" s="76"/>
      <c r="RQL46" s="76"/>
      <c r="RQM46" s="76"/>
      <c r="RQN46" s="76"/>
      <c r="RQO46" s="76"/>
      <c r="RQP46" s="76"/>
      <c r="RQQ46" s="76"/>
      <c r="RQR46" s="76"/>
      <c r="RQS46" s="76"/>
      <c r="RQT46" s="76"/>
      <c r="RQU46" s="76"/>
      <c r="RQV46" s="76"/>
      <c r="RQW46" s="76"/>
      <c r="RQX46" s="76"/>
      <c r="RQY46" s="76"/>
      <c r="RQZ46" s="76"/>
      <c r="RRA46" s="76"/>
      <c r="RRB46" s="76"/>
      <c r="RRC46" s="76"/>
      <c r="RRD46" s="76"/>
      <c r="RRE46" s="76"/>
      <c r="RRF46" s="76"/>
      <c r="RRG46" s="76"/>
      <c r="RRH46" s="76"/>
      <c r="RRI46" s="76"/>
      <c r="RRJ46" s="76"/>
      <c r="RRK46" s="76"/>
      <c r="RRL46" s="76"/>
      <c r="RRM46" s="76"/>
      <c r="RRN46" s="76"/>
      <c r="RRO46" s="76"/>
      <c r="RRP46" s="76"/>
      <c r="RRQ46" s="76"/>
      <c r="RRR46" s="76"/>
      <c r="RRS46" s="76"/>
      <c r="RRT46" s="76"/>
      <c r="RRU46" s="76"/>
      <c r="RRV46" s="76"/>
      <c r="RRW46" s="76"/>
      <c r="RRX46" s="76"/>
      <c r="RRY46" s="76"/>
      <c r="RRZ46" s="76"/>
      <c r="RSA46" s="76"/>
      <c r="RSB46" s="76"/>
      <c r="RSC46" s="76"/>
      <c r="RSD46" s="76"/>
      <c r="RSE46" s="76"/>
      <c r="RSF46" s="76"/>
      <c r="RSG46" s="76"/>
      <c r="RSH46" s="76"/>
      <c r="RSI46" s="76"/>
      <c r="RSJ46" s="76"/>
      <c r="RSK46" s="76"/>
      <c r="RSL46" s="76"/>
      <c r="RSM46" s="76"/>
      <c r="RSN46" s="76"/>
      <c r="RSO46" s="76"/>
      <c r="RSP46" s="76"/>
      <c r="RSQ46" s="76"/>
      <c r="RSR46" s="76"/>
      <c r="RSS46" s="76"/>
      <c r="RST46" s="76"/>
      <c r="RSU46" s="76"/>
      <c r="RSV46" s="76"/>
      <c r="RSW46" s="76"/>
      <c r="RSX46" s="76"/>
      <c r="RSY46" s="76"/>
      <c r="RSZ46" s="76"/>
      <c r="RTA46" s="76"/>
      <c r="RTB46" s="76"/>
      <c r="RTC46" s="76"/>
      <c r="RTD46" s="76"/>
      <c r="RTE46" s="76"/>
      <c r="RTF46" s="76"/>
      <c r="RTG46" s="76"/>
      <c r="RTH46" s="76"/>
      <c r="RTI46" s="76"/>
      <c r="RTJ46" s="76"/>
      <c r="RTK46" s="76"/>
      <c r="RTL46" s="76"/>
      <c r="RTM46" s="76"/>
      <c r="RTN46" s="76"/>
      <c r="RTO46" s="76"/>
      <c r="RTP46" s="76"/>
      <c r="RTQ46" s="76"/>
      <c r="RTR46" s="76"/>
      <c r="RTS46" s="76"/>
      <c r="RTT46" s="76"/>
      <c r="RTU46" s="76"/>
      <c r="RTV46" s="76"/>
      <c r="RTW46" s="76"/>
      <c r="RTX46" s="76"/>
      <c r="RTY46" s="76"/>
      <c r="RTZ46" s="76"/>
      <c r="RUA46" s="76"/>
      <c r="RUB46" s="76"/>
      <c r="RUC46" s="76"/>
      <c r="RUD46" s="76"/>
      <c r="RUE46" s="76"/>
      <c r="RUF46" s="76"/>
      <c r="RUG46" s="76"/>
      <c r="RUH46" s="76"/>
      <c r="RUI46" s="76"/>
      <c r="RUJ46" s="76"/>
      <c r="RUK46" s="76"/>
      <c r="RUL46" s="76"/>
      <c r="RUM46" s="76"/>
      <c r="RUN46" s="76"/>
      <c r="RUO46" s="76"/>
      <c r="RUP46" s="76"/>
      <c r="RUQ46" s="76"/>
      <c r="RUR46" s="76"/>
      <c r="RUS46" s="76"/>
      <c r="RUT46" s="76"/>
      <c r="RUU46" s="76"/>
      <c r="RUV46" s="76"/>
      <c r="RUW46" s="76"/>
      <c r="RUX46" s="76"/>
      <c r="RUY46" s="76"/>
      <c r="RUZ46" s="76"/>
      <c r="RVA46" s="76"/>
      <c r="RVB46" s="76"/>
      <c r="RVC46" s="76"/>
      <c r="RVD46" s="76"/>
      <c r="RVE46" s="76"/>
      <c r="RVF46" s="76"/>
      <c r="RVG46" s="76"/>
      <c r="RVH46" s="76"/>
      <c r="RVI46" s="76"/>
      <c r="RVJ46" s="76"/>
      <c r="RVK46" s="76"/>
      <c r="RVL46" s="76"/>
      <c r="RVM46" s="76"/>
      <c r="RVN46" s="76"/>
      <c r="RVO46" s="76"/>
      <c r="RVP46" s="76"/>
      <c r="RVQ46" s="76"/>
      <c r="RVR46" s="76"/>
      <c r="RVS46" s="76"/>
      <c r="RVT46" s="76"/>
      <c r="RVU46" s="76"/>
      <c r="RVV46" s="76"/>
      <c r="RVW46" s="76"/>
      <c r="RVX46" s="76"/>
      <c r="RVY46" s="76"/>
      <c r="RVZ46" s="76"/>
      <c r="RWA46" s="76"/>
      <c r="RWB46" s="76"/>
      <c r="RWC46" s="76"/>
      <c r="RWD46" s="76"/>
      <c r="RWE46" s="76"/>
      <c r="RWF46" s="76"/>
      <c r="RWG46" s="76"/>
      <c r="RWH46" s="76"/>
      <c r="RWI46" s="76"/>
      <c r="RWJ46" s="76"/>
      <c r="RWK46" s="76"/>
      <c r="RWL46" s="76"/>
      <c r="RWM46" s="76"/>
      <c r="RWN46" s="76"/>
      <c r="RWO46" s="76"/>
      <c r="RWP46" s="76"/>
      <c r="RWQ46" s="76"/>
      <c r="RWR46" s="76"/>
      <c r="RWS46" s="76"/>
      <c r="RWT46" s="76"/>
      <c r="RWU46" s="76"/>
      <c r="RWV46" s="76"/>
      <c r="RWW46" s="76"/>
      <c r="RWX46" s="76"/>
      <c r="RWY46" s="76"/>
      <c r="RWZ46" s="76"/>
      <c r="RXA46" s="76"/>
      <c r="RXB46" s="76"/>
      <c r="RXC46" s="76"/>
      <c r="RXD46" s="76"/>
      <c r="RXE46" s="76"/>
      <c r="RXF46" s="76"/>
      <c r="RXG46" s="76"/>
      <c r="RXH46" s="76"/>
      <c r="RXI46" s="76"/>
      <c r="RXJ46" s="76"/>
      <c r="RXK46" s="76"/>
      <c r="RXL46" s="76"/>
      <c r="RXM46" s="76"/>
      <c r="RXN46" s="76"/>
      <c r="RXO46" s="76"/>
      <c r="RXP46" s="76"/>
      <c r="RXQ46" s="76"/>
      <c r="RXR46" s="76"/>
      <c r="RXS46" s="76"/>
      <c r="RXT46" s="76"/>
      <c r="RXU46" s="76"/>
      <c r="RXV46" s="76"/>
      <c r="RXW46" s="76"/>
      <c r="RXX46" s="76"/>
      <c r="RXY46" s="76"/>
      <c r="RXZ46" s="76"/>
      <c r="RYA46" s="76"/>
      <c r="RYB46" s="76"/>
      <c r="RYC46" s="76"/>
      <c r="RYD46" s="76"/>
      <c r="RYE46" s="76"/>
      <c r="RYF46" s="76"/>
      <c r="RYG46" s="76"/>
      <c r="RYH46" s="76"/>
      <c r="RYI46" s="76"/>
      <c r="RYJ46" s="76"/>
      <c r="RYK46" s="76"/>
      <c r="RYL46" s="76"/>
      <c r="RYM46" s="76"/>
      <c r="RYN46" s="76"/>
      <c r="RYO46" s="76"/>
      <c r="RYP46" s="76"/>
      <c r="RYQ46" s="76"/>
      <c r="RYR46" s="76"/>
      <c r="RYS46" s="76"/>
      <c r="RYT46" s="76"/>
      <c r="RYU46" s="76"/>
      <c r="RYV46" s="76"/>
      <c r="RYW46" s="76"/>
      <c r="RYX46" s="76"/>
      <c r="RYY46" s="76"/>
      <c r="RYZ46" s="76"/>
      <c r="RZA46" s="76"/>
      <c r="RZB46" s="76"/>
      <c r="RZC46" s="76"/>
      <c r="RZD46" s="76"/>
      <c r="RZE46" s="76"/>
      <c r="RZF46" s="76"/>
      <c r="RZG46" s="76"/>
      <c r="RZH46" s="76"/>
      <c r="RZI46" s="76"/>
      <c r="RZJ46" s="76"/>
      <c r="RZK46" s="76"/>
      <c r="RZL46" s="76"/>
      <c r="RZM46" s="76"/>
      <c r="RZN46" s="76"/>
      <c r="RZO46" s="76"/>
      <c r="RZP46" s="76"/>
      <c r="RZQ46" s="76"/>
      <c r="RZR46" s="76"/>
      <c r="RZS46" s="76"/>
      <c r="RZT46" s="76"/>
      <c r="RZU46" s="76"/>
      <c r="RZV46" s="76"/>
      <c r="RZW46" s="76"/>
      <c r="RZX46" s="76"/>
      <c r="RZY46" s="76"/>
      <c r="RZZ46" s="76"/>
      <c r="SAA46" s="76"/>
      <c r="SAB46" s="76"/>
      <c r="SAC46" s="76"/>
      <c r="SAD46" s="76"/>
      <c r="SAE46" s="76"/>
      <c r="SAF46" s="76"/>
      <c r="SAG46" s="76"/>
      <c r="SAH46" s="76"/>
      <c r="SAI46" s="76"/>
      <c r="SAJ46" s="76"/>
      <c r="SAK46" s="76"/>
      <c r="SAL46" s="76"/>
      <c r="SAM46" s="76"/>
      <c r="SAN46" s="76"/>
      <c r="SAO46" s="76"/>
      <c r="SAP46" s="76"/>
      <c r="SAQ46" s="76"/>
      <c r="SAR46" s="76"/>
      <c r="SAS46" s="76"/>
      <c r="SAT46" s="76"/>
      <c r="SAU46" s="76"/>
      <c r="SAV46" s="76"/>
      <c r="SAW46" s="76"/>
      <c r="SAX46" s="76"/>
      <c r="SAY46" s="76"/>
      <c r="SAZ46" s="76"/>
      <c r="SBA46" s="76"/>
      <c r="SBB46" s="76"/>
      <c r="SBC46" s="76"/>
      <c r="SBD46" s="76"/>
      <c r="SBE46" s="76"/>
      <c r="SBF46" s="76"/>
      <c r="SBG46" s="76"/>
      <c r="SBH46" s="76"/>
      <c r="SBI46" s="76"/>
      <c r="SBJ46" s="76"/>
      <c r="SBK46" s="76"/>
      <c r="SBL46" s="76"/>
      <c r="SBM46" s="76"/>
      <c r="SBN46" s="76"/>
      <c r="SBO46" s="76"/>
      <c r="SBP46" s="76"/>
      <c r="SBQ46" s="76"/>
      <c r="SBR46" s="76"/>
      <c r="SBS46" s="76"/>
      <c r="SBT46" s="76"/>
      <c r="SBU46" s="76"/>
      <c r="SBV46" s="76"/>
      <c r="SBW46" s="76"/>
      <c r="SBX46" s="76"/>
      <c r="SBY46" s="76"/>
      <c r="SBZ46" s="76"/>
      <c r="SCA46" s="76"/>
      <c r="SCB46" s="76"/>
      <c r="SCC46" s="76"/>
      <c r="SCD46" s="76"/>
      <c r="SCE46" s="76"/>
      <c r="SCF46" s="76"/>
      <c r="SCG46" s="76"/>
      <c r="SCH46" s="76"/>
      <c r="SCI46" s="76"/>
      <c r="SCJ46" s="76"/>
      <c r="SCK46" s="76"/>
      <c r="SCL46" s="76"/>
      <c r="SCM46" s="76"/>
      <c r="SCN46" s="76"/>
      <c r="SCO46" s="76"/>
      <c r="SCP46" s="76"/>
      <c r="SCQ46" s="76"/>
      <c r="SCR46" s="76"/>
      <c r="SCS46" s="76"/>
      <c r="SCT46" s="76"/>
      <c r="SCU46" s="76"/>
      <c r="SCV46" s="76"/>
      <c r="SCW46" s="76"/>
      <c r="SCX46" s="76"/>
      <c r="SCY46" s="76"/>
      <c r="SCZ46" s="76"/>
      <c r="SDA46" s="76"/>
      <c r="SDB46" s="76"/>
      <c r="SDC46" s="76"/>
      <c r="SDD46" s="76"/>
      <c r="SDE46" s="76"/>
      <c r="SDF46" s="76"/>
      <c r="SDG46" s="76"/>
      <c r="SDH46" s="76"/>
      <c r="SDI46" s="76"/>
      <c r="SDJ46" s="76"/>
      <c r="SDK46" s="76"/>
      <c r="SDL46" s="76"/>
      <c r="SDM46" s="76"/>
      <c r="SDN46" s="76"/>
      <c r="SDO46" s="76"/>
      <c r="SDP46" s="76"/>
      <c r="SDQ46" s="76"/>
      <c r="SDR46" s="76"/>
      <c r="SDS46" s="76"/>
      <c r="SDT46" s="76"/>
      <c r="SDU46" s="76"/>
      <c r="SDV46" s="76"/>
      <c r="SDW46" s="76"/>
      <c r="SDX46" s="76"/>
      <c r="SDY46" s="76"/>
      <c r="SDZ46" s="76"/>
      <c r="SEA46" s="76"/>
      <c r="SEB46" s="76"/>
      <c r="SEC46" s="76"/>
      <c r="SED46" s="76"/>
      <c r="SEE46" s="76"/>
      <c r="SEF46" s="76"/>
      <c r="SEG46" s="76"/>
      <c r="SEH46" s="76"/>
      <c r="SEI46" s="76"/>
      <c r="SEJ46" s="76"/>
      <c r="SEK46" s="76"/>
      <c r="SEL46" s="76"/>
      <c r="SEM46" s="76"/>
      <c r="SEN46" s="76"/>
      <c r="SEO46" s="76"/>
      <c r="SEP46" s="76"/>
      <c r="SEQ46" s="76"/>
      <c r="SER46" s="76"/>
      <c r="SES46" s="76"/>
      <c r="SET46" s="76"/>
      <c r="SEU46" s="76"/>
      <c r="SEV46" s="76"/>
      <c r="SEW46" s="76"/>
      <c r="SEX46" s="76"/>
      <c r="SEY46" s="76"/>
      <c r="SEZ46" s="76"/>
      <c r="SFA46" s="76"/>
      <c r="SFB46" s="76"/>
      <c r="SFC46" s="76"/>
      <c r="SFD46" s="76"/>
      <c r="SFE46" s="76"/>
      <c r="SFF46" s="76"/>
      <c r="SFG46" s="76"/>
      <c r="SFH46" s="76"/>
      <c r="SFI46" s="76"/>
      <c r="SFJ46" s="76"/>
      <c r="SFK46" s="76"/>
      <c r="SFL46" s="76"/>
      <c r="SFM46" s="76"/>
      <c r="SFN46" s="76"/>
      <c r="SFO46" s="76"/>
      <c r="SFP46" s="76"/>
      <c r="SFQ46" s="76"/>
      <c r="SFR46" s="76"/>
      <c r="SFS46" s="76"/>
      <c r="SFT46" s="76"/>
      <c r="SFU46" s="76"/>
      <c r="SFV46" s="76"/>
      <c r="SFW46" s="76"/>
      <c r="SFX46" s="76"/>
      <c r="SFY46" s="76"/>
      <c r="SFZ46" s="76"/>
      <c r="SGA46" s="76"/>
      <c r="SGB46" s="76"/>
      <c r="SGC46" s="76"/>
      <c r="SGD46" s="76"/>
      <c r="SGE46" s="76"/>
      <c r="SGF46" s="76"/>
      <c r="SGG46" s="76"/>
      <c r="SGH46" s="76"/>
      <c r="SGI46" s="76"/>
      <c r="SGJ46" s="76"/>
      <c r="SGK46" s="76"/>
      <c r="SGL46" s="76"/>
      <c r="SGM46" s="76"/>
      <c r="SGN46" s="76"/>
      <c r="SGO46" s="76"/>
      <c r="SGP46" s="76"/>
      <c r="SGQ46" s="76"/>
      <c r="SGR46" s="76"/>
      <c r="SGS46" s="76"/>
      <c r="SGT46" s="76"/>
      <c r="SGU46" s="76"/>
      <c r="SGV46" s="76"/>
      <c r="SGW46" s="76"/>
      <c r="SGX46" s="76"/>
      <c r="SGY46" s="76"/>
      <c r="SGZ46" s="76"/>
      <c r="SHA46" s="76"/>
      <c r="SHB46" s="76"/>
      <c r="SHC46" s="76"/>
      <c r="SHD46" s="76"/>
      <c r="SHE46" s="76"/>
      <c r="SHF46" s="76"/>
      <c r="SHG46" s="76"/>
      <c r="SHH46" s="76"/>
      <c r="SHI46" s="76"/>
      <c r="SHJ46" s="76"/>
      <c r="SHK46" s="76"/>
      <c r="SHL46" s="76"/>
      <c r="SHM46" s="76"/>
      <c r="SHN46" s="76"/>
      <c r="SHO46" s="76"/>
      <c r="SHP46" s="76"/>
      <c r="SHQ46" s="76"/>
      <c r="SHR46" s="76"/>
      <c r="SHS46" s="76"/>
      <c r="SHT46" s="76"/>
      <c r="SHU46" s="76"/>
      <c r="SHV46" s="76"/>
      <c r="SHW46" s="76"/>
      <c r="SHX46" s="76"/>
      <c r="SHY46" s="76"/>
      <c r="SHZ46" s="76"/>
      <c r="SIA46" s="76"/>
      <c r="SIB46" s="76"/>
      <c r="SIC46" s="76"/>
      <c r="SID46" s="76"/>
      <c r="SIE46" s="76"/>
      <c r="SIF46" s="76"/>
      <c r="SIG46" s="76"/>
      <c r="SIH46" s="76"/>
      <c r="SII46" s="76"/>
      <c r="SIJ46" s="76"/>
      <c r="SIK46" s="76"/>
      <c r="SIL46" s="76"/>
      <c r="SIM46" s="76"/>
      <c r="SIN46" s="76"/>
      <c r="SIO46" s="76"/>
      <c r="SIP46" s="76"/>
      <c r="SIQ46" s="76"/>
      <c r="SIR46" s="76"/>
      <c r="SIS46" s="76"/>
      <c r="SIT46" s="76"/>
      <c r="SIU46" s="76"/>
      <c r="SIV46" s="76"/>
      <c r="SIW46" s="76"/>
      <c r="SIX46" s="76"/>
      <c r="SIY46" s="76"/>
      <c r="SIZ46" s="76"/>
      <c r="SJA46" s="76"/>
      <c r="SJB46" s="76"/>
      <c r="SJC46" s="76"/>
      <c r="SJD46" s="76"/>
      <c r="SJE46" s="76"/>
      <c r="SJF46" s="76"/>
      <c r="SJG46" s="76"/>
      <c r="SJH46" s="76"/>
      <c r="SJI46" s="76"/>
      <c r="SJJ46" s="76"/>
      <c r="SJK46" s="76"/>
      <c r="SJL46" s="76"/>
      <c r="SJM46" s="76"/>
      <c r="SJN46" s="76"/>
      <c r="SJO46" s="76"/>
      <c r="SJP46" s="76"/>
      <c r="SJQ46" s="76"/>
      <c r="SJR46" s="76"/>
      <c r="SJS46" s="76"/>
      <c r="SJT46" s="76"/>
      <c r="SJU46" s="76"/>
      <c r="SJV46" s="76"/>
      <c r="SJW46" s="76"/>
      <c r="SJX46" s="76"/>
      <c r="SJY46" s="76"/>
      <c r="SJZ46" s="76"/>
      <c r="SKA46" s="76"/>
      <c r="SKB46" s="76"/>
      <c r="SKC46" s="76"/>
      <c r="SKD46" s="76"/>
      <c r="SKE46" s="76"/>
      <c r="SKF46" s="76"/>
      <c r="SKG46" s="76"/>
      <c r="SKH46" s="76"/>
      <c r="SKI46" s="76"/>
      <c r="SKJ46" s="76"/>
      <c r="SKK46" s="76"/>
      <c r="SKL46" s="76"/>
      <c r="SKM46" s="76"/>
      <c r="SKN46" s="76"/>
      <c r="SKO46" s="76"/>
      <c r="SKP46" s="76"/>
      <c r="SKQ46" s="76"/>
      <c r="SKR46" s="76"/>
      <c r="SKS46" s="76"/>
      <c r="SKT46" s="76"/>
      <c r="SKU46" s="76"/>
      <c r="SKV46" s="76"/>
      <c r="SKW46" s="76"/>
      <c r="SKX46" s="76"/>
      <c r="SKY46" s="76"/>
      <c r="SKZ46" s="76"/>
      <c r="SLA46" s="76"/>
      <c r="SLB46" s="76"/>
      <c r="SLC46" s="76"/>
      <c r="SLD46" s="76"/>
      <c r="SLE46" s="76"/>
      <c r="SLF46" s="76"/>
      <c r="SLG46" s="76"/>
      <c r="SLH46" s="76"/>
      <c r="SLI46" s="76"/>
      <c r="SLJ46" s="76"/>
      <c r="SLK46" s="76"/>
      <c r="SLL46" s="76"/>
      <c r="SLM46" s="76"/>
      <c r="SLN46" s="76"/>
      <c r="SLO46" s="76"/>
      <c r="SLP46" s="76"/>
      <c r="SLQ46" s="76"/>
      <c r="SLR46" s="76"/>
      <c r="SLS46" s="76"/>
      <c r="SLT46" s="76"/>
      <c r="SLU46" s="76"/>
      <c r="SLV46" s="76"/>
      <c r="SLW46" s="76"/>
      <c r="SLX46" s="76"/>
      <c r="SLY46" s="76"/>
      <c r="SLZ46" s="76"/>
      <c r="SMA46" s="76"/>
      <c r="SMB46" s="76"/>
      <c r="SMC46" s="76"/>
      <c r="SMD46" s="76"/>
      <c r="SME46" s="76"/>
      <c r="SMF46" s="76"/>
      <c r="SMG46" s="76"/>
      <c r="SMH46" s="76"/>
      <c r="SMI46" s="76"/>
      <c r="SMJ46" s="76"/>
      <c r="SMK46" s="76"/>
      <c r="SML46" s="76"/>
      <c r="SMM46" s="76"/>
      <c r="SMN46" s="76"/>
      <c r="SMO46" s="76"/>
      <c r="SMP46" s="76"/>
      <c r="SMQ46" s="76"/>
      <c r="SMR46" s="76"/>
      <c r="SMS46" s="76"/>
      <c r="SMT46" s="76"/>
      <c r="SMU46" s="76"/>
      <c r="SMV46" s="76"/>
      <c r="SMW46" s="76"/>
      <c r="SMX46" s="76"/>
      <c r="SMY46" s="76"/>
      <c r="SMZ46" s="76"/>
      <c r="SNA46" s="76"/>
      <c r="SNB46" s="76"/>
      <c r="SNC46" s="76"/>
      <c r="SND46" s="76"/>
      <c r="SNE46" s="76"/>
      <c r="SNF46" s="76"/>
      <c r="SNG46" s="76"/>
      <c r="SNH46" s="76"/>
      <c r="SNI46" s="76"/>
      <c r="SNJ46" s="76"/>
      <c r="SNK46" s="76"/>
      <c r="SNL46" s="76"/>
      <c r="SNM46" s="76"/>
      <c r="SNN46" s="76"/>
      <c r="SNO46" s="76"/>
      <c r="SNP46" s="76"/>
      <c r="SNQ46" s="76"/>
      <c r="SNR46" s="76"/>
      <c r="SNS46" s="76"/>
      <c r="SNT46" s="76"/>
      <c r="SNU46" s="76"/>
      <c r="SNV46" s="76"/>
      <c r="SNW46" s="76"/>
      <c r="SNX46" s="76"/>
      <c r="SNY46" s="76"/>
      <c r="SNZ46" s="76"/>
      <c r="SOA46" s="76"/>
      <c r="SOB46" s="76"/>
      <c r="SOC46" s="76"/>
      <c r="SOD46" s="76"/>
      <c r="SOE46" s="76"/>
      <c r="SOF46" s="76"/>
      <c r="SOG46" s="76"/>
      <c r="SOH46" s="76"/>
      <c r="SOI46" s="76"/>
      <c r="SOJ46" s="76"/>
      <c r="SOK46" s="76"/>
      <c r="SOL46" s="76"/>
      <c r="SOM46" s="76"/>
      <c r="SON46" s="76"/>
      <c r="SOO46" s="76"/>
      <c r="SOP46" s="76"/>
      <c r="SOQ46" s="76"/>
      <c r="SOR46" s="76"/>
      <c r="SOS46" s="76"/>
      <c r="SOT46" s="76"/>
      <c r="SOU46" s="76"/>
      <c r="SOV46" s="76"/>
      <c r="SOW46" s="76"/>
      <c r="SOX46" s="76"/>
      <c r="SOY46" s="76"/>
      <c r="SOZ46" s="76"/>
      <c r="SPA46" s="76"/>
      <c r="SPB46" s="76"/>
      <c r="SPC46" s="76"/>
      <c r="SPD46" s="76"/>
      <c r="SPE46" s="76"/>
      <c r="SPF46" s="76"/>
      <c r="SPG46" s="76"/>
      <c r="SPH46" s="76"/>
      <c r="SPI46" s="76"/>
      <c r="SPJ46" s="76"/>
      <c r="SPK46" s="76"/>
      <c r="SPL46" s="76"/>
      <c r="SPM46" s="76"/>
      <c r="SPN46" s="76"/>
      <c r="SPO46" s="76"/>
      <c r="SPP46" s="76"/>
      <c r="SPQ46" s="76"/>
      <c r="SPR46" s="76"/>
      <c r="SPS46" s="76"/>
      <c r="SPT46" s="76"/>
      <c r="SPU46" s="76"/>
      <c r="SPV46" s="76"/>
      <c r="SPW46" s="76"/>
      <c r="SPX46" s="76"/>
      <c r="SPY46" s="76"/>
      <c r="SPZ46" s="76"/>
      <c r="SQA46" s="76"/>
      <c r="SQB46" s="76"/>
      <c r="SQC46" s="76"/>
      <c r="SQD46" s="76"/>
      <c r="SQE46" s="76"/>
      <c r="SQF46" s="76"/>
      <c r="SQG46" s="76"/>
      <c r="SQH46" s="76"/>
      <c r="SQI46" s="76"/>
      <c r="SQJ46" s="76"/>
      <c r="SQK46" s="76"/>
      <c r="SQL46" s="76"/>
      <c r="SQM46" s="76"/>
      <c r="SQN46" s="76"/>
      <c r="SQO46" s="76"/>
      <c r="SQP46" s="76"/>
      <c r="SQQ46" s="76"/>
      <c r="SQR46" s="76"/>
      <c r="SQS46" s="76"/>
      <c r="SQT46" s="76"/>
      <c r="SQU46" s="76"/>
      <c r="SQV46" s="76"/>
      <c r="SQW46" s="76"/>
      <c r="SQX46" s="76"/>
      <c r="SQY46" s="76"/>
      <c r="SQZ46" s="76"/>
      <c r="SRA46" s="76"/>
      <c r="SRB46" s="76"/>
      <c r="SRC46" s="76"/>
      <c r="SRD46" s="76"/>
      <c r="SRE46" s="76"/>
      <c r="SRF46" s="76"/>
      <c r="SRG46" s="76"/>
      <c r="SRH46" s="76"/>
      <c r="SRI46" s="76"/>
      <c r="SRJ46" s="76"/>
      <c r="SRK46" s="76"/>
      <c r="SRL46" s="76"/>
      <c r="SRM46" s="76"/>
      <c r="SRN46" s="76"/>
      <c r="SRO46" s="76"/>
      <c r="SRP46" s="76"/>
      <c r="SRQ46" s="76"/>
      <c r="SRR46" s="76"/>
      <c r="SRS46" s="76"/>
      <c r="SRT46" s="76"/>
      <c r="SRU46" s="76"/>
      <c r="SRV46" s="76"/>
      <c r="SRW46" s="76"/>
      <c r="SRX46" s="76"/>
      <c r="SRY46" s="76"/>
      <c r="SRZ46" s="76"/>
      <c r="SSA46" s="76"/>
      <c r="SSB46" s="76"/>
      <c r="SSC46" s="76"/>
      <c r="SSD46" s="76"/>
      <c r="SSE46" s="76"/>
      <c r="SSF46" s="76"/>
      <c r="SSG46" s="76"/>
      <c r="SSH46" s="76"/>
      <c r="SSI46" s="76"/>
      <c r="SSJ46" s="76"/>
      <c r="SSK46" s="76"/>
      <c r="SSL46" s="76"/>
      <c r="SSM46" s="76"/>
      <c r="SSN46" s="76"/>
      <c r="SSO46" s="76"/>
      <c r="SSP46" s="76"/>
      <c r="SSQ46" s="76"/>
      <c r="SSR46" s="76"/>
      <c r="SSS46" s="76"/>
      <c r="SST46" s="76"/>
      <c r="SSU46" s="76"/>
      <c r="SSV46" s="76"/>
      <c r="SSW46" s="76"/>
      <c r="SSX46" s="76"/>
      <c r="SSY46" s="76"/>
      <c r="SSZ46" s="76"/>
      <c r="STA46" s="76"/>
      <c r="STB46" s="76"/>
      <c r="STC46" s="76"/>
      <c r="STD46" s="76"/>
      <c r="STE46" s="76"/>
      <c r="STF46" s="76"/>
      <c r="STG46" s="76"/>
      <c r="STH46" s="76"/>
      <c r="STI46" s="76"/>
      <c r="STJ46" s="76"/>
      <c r="STK46" s="76"/>
      <c r="STL46" s="76"/>
      <c r="STM46" s="76"/>
      <c r="STN46" s="76"/>
      <c r="STO46" s="76"/>
      <c r="STP46" s="76"/>
      <c r="STQ46" s="76"/>
      <c r="STR46" s="76"/>
      <c r="STS46" s="76"/>
      <c r="STT46" s="76"/>
      <c r="STU46" s="76"/>
      <c r="STV46" s="76"/>
      <c r="STW46" s="76"/>
      <c r="STX46" s="76"/>
      <c r="STY46" s="76"/>
      <c r="STZ46" s="76"/>
      <c r="SUA46" s="76"/>
      <c r="SUB46" s="76"/>
      <c r="SUC46" s="76"/>
      <c r="SUD46" s="76"/>
      <c r="SUE46" s="76"/>
      <c r="SUF46" s="76"/>
      <c r="SUG46" s="76"/>
      <c r="SUH46" s="76"/>
      <c r="SUI46" s="76"/>
      <c r="SUJ46" s="76"/>
      <c r="SUK46" s="76"/>
      <c r="SUL46" s="76"/>
      <c r="SUM46" s="76"/>
      <c r="SUN46" s="76"/>
      <c r="SUO46" s="76"/>
      <c r="SUP46" s="76"/>
      <c r="SUQ46" s="76"/>
      <c r="SUR46" s="76"/>
      <c r="SUS46" s="76"/>
      <c r="SUT46" s="76"/>
      <c r="SUU46" s="76"/>
      <c r="SUV46" s="76"/>
      <c r="SUW46" s="76"/>
      <c r="SUX46" s="76"/>
      <c r="SUY46" s="76"/>
      <c r="SUZ46" s="76"/>
      <c r="SVA46" s="76"/>
      <c r="SVB46" s="76"/>
      <c r="SVC46" s="76"/>
      <c r="SVD46" s="76"/>
      <c r="SVE46" s="76"/>
      <c r="SVF46" s="76"/>
      <c r="SVG46" s="76"/>
      <c r="SVH46" s="76"/>
      <c r="SVI46" s="76"/>
      <c r="SVJ46" s="76"/>
      <c r="SVK46" s="76"/>
      <c r="SVL46" s="76"/>
      <c r="SVM46" s="76"/>
      <c r="SVN46" s="76"/>
      <c r="SVO46" s="76"/>
      <c r="SVP46" s="76"/>
      <c r="SVQ46" s="76"/>
      <c r="SVR46" s="76"/>
      <c r="SVS46" s="76"/>
      <c r="SVT46" s="76"/>
      <c r="SVU46" s="76"/>
      <c r="SVV46" s="76"/>
      <c r="SVW46" s="76"/>
      <c r="SVX46" s="76"/>
      <c r="SVY46" s="76"/>
      <c r="SVZ46" s="76"/>
      <c r="SWA46" s="76"/>
      <c r="SWB46" s="76"/>
      <c r="SWC46" s="76"/>
      <c r="SWD46" s="76"/>
      <c r="SWE46" s="76"/>
      <c r="SWF46" s="76"/>
      <c r="SWG46" s="76"/>
      <c r="SWH46" s="76"/>
      <c r="SWI46" s="76"/>
      <c r="SWJ46" s="76"/>
      <c r="SWK46" s="76"/>
      <c r="SWL46" s="76"/>
      <c r="SWM46" s="76"/>
      <c r="SWN46" s="76"/>
      <c r="SWO46" s="76"/>
      <c r="SWP46" s="76"/>
      <c r="SWQ46" s="76"/>
      <c r="SWR46" s="76"/>
      <c r="SWS46" s="76"/>
      <c r="SWT46" s="76"/>
      <c r="SWU46" s="76"/>
      <c r="SWV46" s="76"/>
      <c r="SWW46" s="76"/>
      <c r="SWX46" s="76"/>
      <c r="SWY46" s="76"/>
      <c r="SWZ46" s="76"/>
      <c r="SXA46" s="76"/>
      <c r="SXB46" s="76"/>
      <c r="SXC46" s="76"/>
      <c r="SXD46" s="76"/>
      <c r="SXE46" s="76"/>
      <c r="SXF46" s="76"/>
      <c r="SXG46" s="76"/>
      <c r="SXH46" s="76"/>
      <c r="SXI46" s="76"/>
      <c r="SXJ46" s="76"/>
      <c r="SXK46" s="76"/>
      <c r="SXL46" s="76"/>
      <c r="SXM46" s="76"/>
      <c r="SXN46" s="76"/>
      <c r="SXO46" s="76"/>
      <c r="SXP46" s="76"/>
      <c r="SXQ46" s="76"/>
      <c r="SXR46" s="76"/>
      <c r="SXS46" s="76"/>
      <c r="SXT46" s="76"/>
      <c r="SXU46" s="76"/>
      <c r="SXV46" s="76"/>
      <c r="SXW46" s="76"/>
      <c r="SXX46" s="76"/>
      <c r="SXY46" s="76"/>
      <c r="SXZ46" s="76"/>
      <c r="SYA46" s="76"/>
      <c r="SYB46" s="76"/>
      <c r="SYC46" s="76"/>
      <c r="SYD46" s="76"/>
      <c r="SYE46" s="76"/>
      <c r="SYF46" s="76"/>
      <c r="SYG46" s="76"/>
      <c r="SYH46" s="76"/>
      <c r="SYI46" s="76"/>
      <c r="SYJ46" s="76"/>
      <c r="SYK46" s="76"/>
      <c r="SYL46" s="76"/>
      <c r="SYM46" s="76"/>
      <c r="SYN46" s="76"/>
      <c r="SYO46" s="76"/>
      <c r="SYP46" s="76"/>
      <c r="SYQ46" s="76"/>
      <c r="SYR46" s="76"/>
      <c r="SYS46" s="76"/>
      <c r="SYT46" s="76"/>
      <c r="SYU46" s="76"/>
      <c r="SYV46" s="76"/>
      <c r="SYW46" s="76"/>
      <c r="SYX46" s="76"/>
      <c r="SYY46" s="76"/>
      <c r="SYZ46" s="76"/>
      <c r="SZA46" s="76"/>
      <c r="SZB46" s="76"/>
      <c r="SZC46" s="76"/>
      <c r="SZD46" s="76"/>
      <c r="SZE46" s="76"/>
      <c r="SZF46" s="76"/>
      <c r="SZG46" s="76"/>
      <c r="SZH46" s="76"/>
      <c r="SZI46" s="76"/>
      <c r="SZJ46" s="76"/>
      <c r="SZK46" s="76"/>
      <c r="SZL46" s="76"/>
      <c r="SZM46" s="76"/>
      <c r="SZN46" s="76"/>
      <c r="SZO46" s="76"/>
      <c r="SZP46" s="76"/>
      <c r="SZQ46" s="76"/>
      <c r="SZR46" s="76"/>
      <c r="SZS46" s="76"/>
      <c r="SZT46" s="76"/>
      <c r="SZU46" s="76"/>
      <c r="SZV46" s="76"/>
      <c r="SZW46" s="76"/>
      <c r="SZX46" s="76"/>
      <c r="SZY46" s="76"/>
      <c r="SZZ46" s="76"/>
      <c r="TAA46" s="76"/>
      <c r="TAB46" s="76"/>
      <c r="TAC46" s="76"/>
      <c r="TAD46" s="76"/>
      <c r="TAE46" s="76"/>
      <c r="TAF46" s="76"/>
      <c r="TAG46" s="76"/>
      <c r="TAH46" s="76"/>
      <c r="TAI46" s="76"/>
      <c r="TAJ46" s="76"/>
      <c r="TAK46" s="76"/>
      <c r="TAL46" s="76"/>
      <c r="TAM46" s="76"/>
      <c r="TAN46" s="76"/>
      <c r="TAO46" s="76"/>
      <c r="TAP46" s="76"/>
      <c r="TAQ46" s="76"/>
      <c r="TAR46" s="76"/>
      <c r="TAS46" s="76"/>
      <c r="TAT46" s="76"/>
      <c r="TAU46" s="76"/>
      <c r="TAV46" s="76"/>
      <c r="TAW46" s="76"/>
      <c r="TAX46" s="76"/>
      <c r="TAY46" s="76"/>
      <c r="TAZ46" s="76"/>
      <c r="TBA46" s="76"/>
      <c r="TBB46" s="76"/>
      <c r="TBC46" s="76"/>
      <c r="TBD46" s="76"/>
      <c r="TBE46" s="76"/>
      <c r="TBF46" s="76"/>
      <c r="TBG46" s="76"/>
      <c r="TBH46" s="76"/>
      <c r="TBI46" s="76"/>
      <c r="TBJ46" s="76"/>
      <c r="TBK46" s="76"/>
      <c r="TBL46" s="76"/>
      <c r="TBM46" s="76"/>
      <c r="TBN46" s="76"/>
      <c r="TBO46" s="76"/>
      <c r="TBP46" s="76"/>
      <c r="TBQ46" s="76"/>
      <c r="TBR46" s="76"/>
      <c r="TBS46" s="76"/>
      <c r="TBT46" s="76"/>
      <c r="TBU46" s="76"/>
      <c r="TBV46" s="76"/>
      <c r="TBW46" s="76"/>
      <c r="TBX46" s="76"/>
      <c r="TBY46" s="76"/>
      <c r="TBZ46" s="76"/>
      <c r="TCA46" s="76"/>
      <c r="TCB46" s="76"/>
      <c r="TCC46" s="76"/>
      <c r="TCD46" s="76"/>
      <c r="TCE46" s="76"/>
      <c r="TCF46" s="76"/>
      <c r="TCG46" s="76"/>
      <c r="TCH46" s="76"/>
      <c r="TCI46" s="76"/>
      <c r="TCJ46" s="76"/>
      <c r="TCK46" s="76"/>
      <c r="TCL46" s="76"/>
      <c r="TCM46" s="76"/>
      <c r="TCN46" s="76"/>
      <c r="TCO46" s="76"/>
      <c r="TCP46" s="76"/>
      <c r="TCQ46" s="76"/>
      <c r="TCR46" s="76"/>
      <c r="TCS46" s="76"/>
      <c r="TCT46" s="76"/>
      <c r="TCU46" s="76"/>
      <c r="TCV46" s="76"/>
      <c r="TCW46" s="76"/>
      <c r="TCX46" s="76"/>
      <c r="TCY46" s="76"/>
      <c r="TCZ46" s="76"/>
      <c r="TDA46" s="76"/>
      <c r="TDB46" s="76"/>
      <c r="TDC46" s="76"/>
      <c r="TDD46" s="76"/>
      <c r="TDE46" s="76"/>
      <c r="TDF46" s="76"/>
      <c r="TDG46" s="76"/>
      <c r="TDH46" s="76"/>
      <c r="TDI46" s="76"/>
      <c r="TDJ46" s="76"/>
      <c r="TDK46" s="76"/>
      <c r="TDL46" s="76"/>
      <c r="TDM46" s="76"/>
      <c r="TDN46" s="76"/>
      <c r="TDO46" s="76"/>
      <c r="TDP46" s="76"/>
      <c r="TDQ46" s="76"/>
      <c r="TDR46" s="76"/>
      <c r="TDS46" s="76"/>
      <c r="TDT46" s="76"/>
      <c r="TDU46" s="76"/>
      <c r="TDV46" s="76"/>
      <c r="TDW46" s="76"/>
      <c r="TDX46" s="76"/>
      <c r="TDY46" s="76"/>
      <c r="TDZ46" s="76"/>
      <c r="TEA46" s="76"/>
      <c r="TEB46" s="76"/>
      <c r="TEC46" s="76"/>
      <c r="TED46" s="76"/>
      <c r="TEE46" s="76"/>
      <c r="TEF46" s="76"/>
      <c r="TEG46" s="76"/>
      <c r="TEH46" s="76"/>
      <c r="TEI46" s="76"/>
      <c r="TEJ46" s="76"/>
      <c r="TEK46" s="76"/>
      <c r="TEL46" s="76"/>
      <c r="TEM46" s="76"/>
      <c r="TEN46" s="76"/>
      <c r="TEO46" s="76"/>
      <c r="TEP46" s="76"/>
      <c r="TEQ46" s="76"/>
      <c r="TER46" s="76"/>
      <c r="TES46" s="76"/>
      <c r="TET46" s="76"/>
      <c r="TEU46" s="76"/>
      <c r="TEV46" s="76"/>
      <c r="TEW46" s="76"/>
      <c r="TEX46" s="76"/>
      <c r="TEY46" s="76"/>
      <c r="TEZ46" s="76"/>
      <c r="TFA46" s="76"/>
      <c r="TFB46" s="76"/>
      <c r="TFC46" s="76"/>
      <c r="TFD46" s="76"/>
      <c r="TFE46" s="76"/>
      <c r="TFF46" s="76"/>
      <c r="TFG46" s="76"/>
      <c r="TFH46" s="76"/>
      <c r="TFI46" s="76"/>
      <c r="TFJ46" s="76"/>
      <c r="TFK46" s="76"/>
      <c r="TFL46" s="76"/>
      <c r="TFM46" s="76"/>
      <c r="TFN46" s="76"/>
      <c r="TFO46" s="76"/>
      <c r="TFP46" s="76"/>
      <c r="TFQ46" s="76"/>
      <c r="TFR46" s="76"/>
      <c r="TFS46" s="76"/>
      <c r="TFT46" s="76"/>
      <c r="TFU46" s="76"/>
      <c r="TFV46" s="76"/>
      <c r="TFW46" s="76"/>
      <c r="TFX46" s="76"/>
      <c r="TFY46" s="76"/>
      <c r="TFZ46" s="76"/>
      <c r="TGA46" s="76"/>
      <c r="TGB46" s="76"/>
      <c r="TGC46" s="76"/>
      <c r="TGD46" s="76"/>
      <c r="TGE46" s="76"/>
      <c r="TGF46" s="76"/>
      <c r="TGG46" s="76"/>
      <c r="TGH46" s="76"/>
      <c r="TGI46" s="76"/>
      <c r="TGJ46" s="76"/>
      <c r="TGK46" s="76"/>
      <c r="TGL46" s="76"/>
      <c r="TGM46" s="76"/>
      <c r="TGN46" s="76"/>
      <c r="TGO46" s="76"/>
      <c r="TGP46" s="76"/>
      <c r="TGQ46" s="76"/>
      <c r="TGR46" s="76"/>
      <c r="TGS46" s="76"/>
      <c r="TGT46" s="76"/>
      <c r="TGU46" s="76"/>
      <c r="TGV46" s="76"/>
      <c r="TGW46" s="76"/>
      <c r="TGX46" s="76"/>
      <c r="TGY46" s="76"/>
      <c r="TGZ46" s="76"/>
      <c r="THA46" s="76"/>
      <c r="THB46" s="76"/>
      <c r="THC46" s="76"/>
      <c r="THD46" s="76"/>
      <c r="THE46" s="76"/>
      <c r="THF46" s="76"/>
      <c r="THG46" s="76"/>
      <c r="THH46" s="76"/>
      <c r="THI46" s="76"/>
      <c r="THJ46" s="76"/>
      <c r="THK46" s="76"/>
      <c r="THL46" s="76"/>
      <c r="THM46" s="76"/>
      <c r="THN46" s="76"/>
      <c r="THO46" s="76"/>
      <c r="THP46" s="76"/>
      <c r="THQ46" s="76"/>
      <c r="THR46" s="76"/>
      <c r="THS46" s="76"/>
      <c r="THT46" s="76"/>
      <c r="THU46" s="76"/>
      <c r="THV46" s="76"/>
      <c r="THW46" s="76"/>
      <c r="THX46" s="76"/>
      <c r="THY46" s="76"/>
      <c r="THZ46" s="76"/>
      <c r="TIA46" s="76"/>
      <c r="TIB46" s="76"/>
      <c r="TIC46" s="76"/>
      <c r="TID46" s="76"/>
      <c r="TIE46" s="76"/>
      <c r="TIF46" s="76"/>
      <c r="TIG46" s="76"/>
      <c r="TIH46" s="76"/>
      <c r="TII46" s="76"/>
      <c r="TIJ46" s="76"/>
      <c r="TIK46" s="76"/>
      <c r="TIL46" s="76"/>
      <c r="TIM46" s="76"/>
      <c r="TIN46" s="76"/>
      <c r="TIO46" s="76"/>
      <c r="TIP46" s="76"/>
      <c r="TIQ46" s="76"/>
      <c r="TIR46" s="76"/>
      <c r="TIS46" s="76"/>
      <c r="TIT46" s="76"/>
      <c r="TIU46" s="76"/>
      <c r="TIV46" s="76"/>
      <c r="TIW46" s="76"/>
      <c r="TIX46" s="76"/>
      <c r="TIY46" s="76"/>
      <c r="TIZ46" s="76"/>
      <c r="TJA46" s="76"/>
      <c r="TJB46" s="76"/>
      <c r="TJC46" s="76"/>
      <c r="TJD46" s="76"/>
      <c r="TJE46" s="76"/>
      <c r="TJF46" s="76"/>
      <c r="TJG46" s="76"/>
      <c r="TJH46" s="76"/>
      <c r="TJI46" s="76"/>
      <c r="TJJ46" s="76"/>
      <c r="TJK46" s="76"/>
      <c r="TJL46" s="76"/>
      <c r="TJM46" s="76"/>
      <c r="TJN46" s="76"/>
      <c r="TJO46" s="76"/>
      <c r="TJP46" s="76"/>
      <c r="TJQ46" s="76"/>
      <c r="TJR46" s="76"/>
      <c r="TJS46" s="76"/>
      <c r="TJT46" s="76"/>
      <c r="TJU46" s="76"/>
      <c r="TJV46" s="76"/>
      <c r="TJW46" s="76"/>
      <c r="TJX46" s="76"/>
      <c r="TJY46" s="76"/>
      <c r="TJZ46" s="76"/>
      <c r="TKA46" s="76"/>
      <c r="TKB46" s="76"/>
      <c r="TKC46" s="76"/>
      <c r="TKD46" s="76"/>
      <c r="TKE46" s="76"/>
      <c r="TKF46" s="76"/>
      <c r="TKG46" s="76"/>
      <c r="TKH46" s="76"/>
      <c r="TKI46" s="76"/>
      <c r="TKJ46" s="76"/>
      <c r="TKK46" s="76"/>
      <c r="TKL46" s="76"/>
      <c r="TKM46" s="76"/>
      <c r="TKN46" s="76"/>
      <c r="TKO46" s="76"/>
      <c r="TKP46" s="76"/>
      <c r="TKQ46" s="76"/>
      <c r="TKR46" s="76"/>
      <c r="TKS46" s="76"/>
      <c r="TKT46" s="76"/>
      <c r="TKU46" s="76"/>
      <c r="TKV46" s="76"/>
      <c r="TKW46" s="76"/>
      <c r="TKX46" s="76"/>
      <c r="TKY46" s="76"/>
      <c r="TKZ46" s="76"/>
      <c r="TLA46" s="76"/>
      <c r="TLB46" s="76"/>
      <c r="TLC46" s="76"/>
      <c r="TLD46" s="76"/>
      <c r="TLE46" s="76"/>
      <c r="TLF46" s="76"/>
      <c r="TLG46" s="76"/>
      <c r="TLH46" s="76"/>
      <c r="TLI46" s="76"/>
      <c r="TLJ46" s="76"/>
      <c r="TLK46" s="76"/>
      <c r="TLL46" s="76"/>
      <c r="TLM46" s="76"/>
      <c r="TLN46" s="76"/>
      <c r="TLO46" s="76"/>
      <c r="TLP46" s="76"/>
      <c r="TLQ46" s="76"/>
      <c r="TLR46" s="76"/>
      <c r="TLS46" s="76"/>
      <c r="TLT46" s="76"/>
      <c r="TLU46" s="76"/>
      <c r="TLV46" s="76"/>
      <c r="TLW46" s="76"/>
      <c r="TLX46" s="76"/>
      <c r="TLY46" s="76"/>
      <c r="TLZ46" s="76"/>
      <c r="TMA46" s="76"/>
      <c r="TMB46" s="76"/>
      <c r="TMC46" s="76"/>
      <c r="TMD46" s="76"/>
      <c r="TME46" s="76"/>
      <c r="TMF46" s="76"/>
      <c r="TMG46" s="76"/>
      <c r="TMH46" s="76"/>
      <c r="TMI46" s="76"/>
      <c r="TMJ46" s="76"/>
      <c r="TMK46" s="76"/>
      <c r="TML46" s="76"/>
      <c r="TMM46" s="76"/>
      <c r="TMN46" s="76"/>
      <c r="TMO46" s="76"/>
      <c r="TMP46" s="76"/>
      <c r="TMQ46" s="76"/>
      <c r="TMR46" s="76"/>
      <c r="TMS46" s="76"/>
      <c r="TMT46" s="76"/>
      <c r="TMU46" s="76"/>
      <c r="TMV46" s="76"/>
      <c r="TMW46" s="76"/>
      <c r="TMX46" s="76"/>
      <c r="TMY46" s="76"/>
      <c r="TMZ46" s="76"/>
      <c r="TNA46" s="76"/>
      <c r="TNB46" s="76"/>
      <c r="TNC46" s="76"/>
      <c r="TND46" s="76"/>
      <c r="TNE46" s="76"/>
      <c r="TNF46" s="76"/>
      <c r="TNG46" s="76"/>
      <c r="TNH46" s="76"/>
      <c r="TNI46" s="76"/>
      <c r="TNJ46" s="76"/>
      <c r="TNK46" s="76"/>
      <c r="TNL46" s="76"/>
      <c r="TNM46" s="76"/>
      <c r="TNN46" s="76"/>
      <c r="TNO46" s="76"/>
      <c r="TNP46" s="76"/>
      <c r="TNQ46" s="76"/>
      <c r="TNR46" s="76"/>
      <c r="TNS46" s="76"/>
      <c r="TNT46" s="76"/>
      <c r="TNU46" s="76"/>
      <c r="TNV46" s="76"/>
      <c r="TNW46" s="76"/>
      <c r="TNX46" s="76"/>
      <c r="TNY46" s="76"/>
      <c r="TNZ46" s="76"/>
      <c r="TOA46" s="76"/>
      <c r="TOB46" s="76"/>
      <c r="TOC46" s="76"/>
      <c r="TOD46" s="76"/>
      <c r="TOE46" s="76"/>
      <c r="TOF46" s="76"/>
      <c r="TOG46" s="76"/>
      <c r="TOH46" s="76"/>
      <c r="TOI46" s="76"/>
      <c r="TOJ46" s="76"/>
      <c r="TOK46" s="76"/>
      <c r="TOL46" s="76"/>
      <c r="TOM46" s="76"/>
      <c r="TON46" s="76"/>
      <c r="TOO46" s="76"/>
      <c r="TOP46" s="76"/>
      <c r="TOQ46" s="76"/>
      <c r="TOR46" s="76"/>
      <c r="TOS46" s="76"/>
      <c r="TOT46" s="76"/>
      <c r="TOU46" s="76"/>
      <c r="TOV46" s="76"/>
      <c r="TOW46" s="76"/>
      <c r="TOX46" s="76"/>
      <c r="TOY46" s="76"/>
      <c r="TOZ46" s="76"/>
      <c r="TPA46" s="76"/>
      <c r="TPB46" s="76"/>
      <c r="TPC46" s="76"/>
      <c r="TPD46" s="76"/>
      <c r="TPE46" s="76"/>
      <c r="TPF46" s="76"/>
      <c r="TPG46" s="76"/>
      <c r="TPH46" s="76"/>
      <c r="TPI46" s="76"/>
      <c r="TPJ46" s="76"/>
      <c r="TPK46" s="76"/>
      <c r="TPL46" s="76"/>
      <c r="TPM46" s="76"/>
      <c r="TPN46" s="76"/>
      <c r="TPO46" s="76"/>
      <c r="TPP46" s="76"/>
      <c r="TPQ46" s="76"/>
      <c r="TPR46" s="76"/>
      <c r="TPS46" s="76"/>
      <c r="TPT46" s="76"/>
      <c r="TPU46" s="76"/>
      <c r="TPV46" s="76"/>
      <c r="TPW46" s="76"/>
      <c r="TPX46" s="76"/>
      <c r="TPY46" s="76"/>
      <c r="TPZ46" s="76"/>
      <c r="TQA46" s="76"/>
      <c r="TQB46" s="76"/>
      <c r="TQC46" s="76"/>
      <c r="TQD46" s="76"/>
      <c r="TQE46" s="76"/>
      <c r="TQF46" s="76"/>
      <c r="TQG46" s="76"/>
      <c r="TQH46" s="76"/>
      <c r="TQI46" s="76"/>
      <c r="TQJ46" s="76"/>
      <c r="TQK46" s="76"/>
      <c r="TQL46" s="76"/>
      <c r="TQM46" s="76"/>
      <c r="TQN46" s="76"/>
      <c r="TQO46" s="76"/>
      <c r="TQP46" s="76"/>
      <c r="TQQ46" s="76"/>
      <c r="TQR46" s="76"/>
      <c r="TQS46" s="76"/>
      <c r="TQT46" s="76"/>
      <c r="TQU46" s="76"/>
      <c r="TQV46" s="76"/>
      <c r="TQW46" s="76"/>
      <c r="TQX46" s="76"/>
      <c r="TQY46" s="76"/>
      <c r="TQZ46" s="76"/>
      <c r="TRA46" s="76"/>
      <c r="TRB46" s="76"/>
      <c r="TRC46" s="76"/>
      <c r="TRD46" s="76"/>
      <c r="TRE46" s="76"/>
      <c r="TRF46" s="76"/>
      <c r="TRG46" s="76"/>
      <c r="TRH46" s="76"/>
      <c r="TRI46" s="76"/>
      <c r="TRJ46" s="76"/>
      <c r="TRK46" s="76"/>
      <c r="TRL46" s="76"/>
      <c r="TRM46" s="76"/>
      <c r="TRN46" s="76"/>
      <c r="TRO46" s="76"/>
      <c r="TRP46" s="76"/>
      <c r="TRQ46" s="76"/>
      <c r="TRR46" s="76"/>
      <c r="TRS46" s="76"/>
      <c r="TRT46" s="76"/>
      <c r="TRU46" s="76"/>
      <c r="TRV46" s="76"/>
      <c r="TRW46" s="76"/>
      <c r="TRX46" s="76"/>
      <c r="TRY46" s="76"/>
      <c r="TRZ46" s="76"/>
      <c r="TSA46" s="76"/>
      <c r="TSB46" s="76"/>
      <c r="TSC46" s="76"/>
      <c r="TSD46" s="76"/>
      <c r="TSE46" s="76"/>
      <c r="TSF46" s="76"/>
      <c r="TSG46" s="76"/>
      <c r="TSH46" s="76"/>
      <c r="TSI46" s="76"/>
      <c r="TSJ46" s="76"/>
      <c r="TSK46" s="76"/>
      <c r="TSL46" s="76"/>
      <c r="TSM46" s="76"/>
      <c r="TSN46" s="76"/>
      <c r="TSO46" s="76"/>
      <c r="TSP46" s="76"/>
      <c r="TSQ46" s="76"/>
      <c r="TSR46" s="76"/>
      <c r="TSS46" s="76"/>
      <c r="TST46" s="76"/>
      <c r="TSU46" s="76"/>
      <c r="TSV46" s="76"/>
      <c r="TSW46" s="76"/>
      <c r="TSX46" s="76"/>
      <c r="TSY46" s="76"/>
      <c r="TSZ46" s="76"/>
      <c r="TTA46" s="76"/>
      <c r="TTB46" s="76"/>
      <c r="TTC46" s="76"/>
      <c r="TTD46" s="76"/>
      <c r="TTE46" s="76"/>
      <c r="TTF46" s="76"/>
      <c r="TTG46" s="76"/>
      <c r="TTH46" s="76"/>
      <c r="TTI46" s="76"/>
      <c r="TTJ46" s="76"/>
      <c r="TTK46" s="76"/>
      <c r="TTL46" s="76"/>
      <c r="TTM46" s="76"/>
      <c r="TTN46" s="76"/>
      <c r="TTO46" s="76"/>
      <c r="TTP46" s="76"/>
      <c r="TTQ46" s="76"/>
      <c r="TTR46" s="76"/>
      <c r="TTS46" s="76"/>
      <c r="TTT46" s="76"/>
      <c r="TTU46" s="76"/>
      <c r="TTV46" s="76"/>
      <c r="TTW46" s="76"/>
      <c r="TTX46" s="76"/>
      <c r="TTY46" s="76"/>
      <c r="TTZ46" s="76"/>
      <c r="TUA46" s="76"/>
      <c r="TUB46" s="76"/>
      <c r="TUC46" s="76"/>
      <c r="TUD46" s="76"/>
      <c r="TUE46" s="76"/>
      <c r="TUF46" s="76"/>
      <c r="TUG46" s="76"/>
      <c r="TUH46" s="76"/>
      <c r="TUI46" s="76"/>
      <c r="TUJ46" s="76"/>
      <c r="TUK46" s="76"/>
      <c r="TUL46" s="76"/>
      <c r="TUM46" s="76"/>
      <c r="TUN46" s="76"/>
      <c r="TUO46" s="76"/>
      <c r="TUP46" s="76"/>
      <c r="TUQ46" s="76"/>
      <c r="TUR46" s="76"/>
      <c r="TUS46" s="76"/>
      <c r="TUT46" s="76"/>
      <c r="TUU46" s="76"/>
      <c r="TUV46" s="76"/>
      <c r="TUW46" s="76"/>
      <c r="TUX46" s="76"/>
      <c r="TUY46" s="76"/>
      <c r="TUZ46" s="76"/>
      <c r="TVA46" s="76"/>
      <c r="TVB46" s="76"/>
      <c r="TVC46" s="76"/>
      <c r="TVD46" s="76"/>
      <c r="TVE46" s="76"/>
      <c r="TVF46" s="76"/>
      <c r="TVG46" s="76"/>
      <c r="TVH46" s="76"/>
      <c r="TVI46" s="76"/>
      <c r="TVJ46" s="76"/>
      <c r="TVK46" s="76"/>
      <c r="TVL46" s="76"/>
      <c r="TVM46" s="76"/>
      <c r="TVN46" s="76"/>
      <c r="TVO46" s="76"/>
      <c r="TVP46" s="76"/>
      <c r="TVQ46" s="76"/>
      <c r="TVR46" s="76"/>
      <c r="TVS46" s="76"/>
      <c r="TVT46" s="76"/>
      <c r="TVU46" s="76"/>
      <c r="TVV46" s="76"/>
      <c r="TVW46" s="76"/>
      <c r="TVX46" s="76"/>
      <c r="TVY46" s="76"/>
      <c r="TVZ46" s="76"/>
      <c r="TWA46" s="76"/>
      <c r="TWB46" s="76"/>
      <c r="TWC46" s="76"/>
      <c r="TWD46" s="76"/>
      <c r="TWE46" s="76"/>
      <c r="TWF46" s="76"/>
      <c r="TWG46" s="76"/>
      <c r="TWH46" s="76"/>
      <c r="TWI46" s="76"/>
      <c r="TWJ46" s="76"/>
      <c r="TWK46" s="76"/>
      <c r="TWL46" s="76"/>
      <c r="TWM46" s="76"/>
      <c r="TWN46" s="76"/>
      <c r="TWO46" s="76"/>
      <c r="TWP46" s="76"/>
      <c r="TWQ46" s="76"/>
      <c r="TWR46" s="76"/>
      <c r="TWS46" s="76"/>
      <c r="TWT46" s="76"/>
      <c r="TWU46" s="76"/>
      <c r="TWV46" s="76"/>
      <c r="TWW46" s="76"/>
      <c r="TWX46" s="76"/>
      <c r="TWY46" s="76"/>
      <c r="TWZ46" s="76"/>
      <c r="TXA46" s="76"/>
      <c r="TXB46" s="76"/>
      <c r="TXC46" s="76"/>
      <c r="TXD46" s="76"/>
      <c r="TXE46" s="76"/>
      <c r="TXF46" s="76"/>
      <c r="TXG46" s="76"/>
      <c r="TXH46" s="76"/>
      <c r="TXI46" s="76"/>
      <c r="TXJ46" s="76"/>
      <c r="TXK46" s="76"/>
      <c r="TXL46" s="76"/>
      <c r="TXM46" s="76"/>
      <c r="TXN46" s="76"/>
      <c r="TXO46" s="76"/>
      <c r="TXP46" s="76"/>
      <c r="TXQ46" s="76"/>
      <c r="TXR46" s="76"/>
      <c r="TXS46" s="76"/>
      <c r="TXT46" s="76"/>
      <c r="TXU46" s="76"/>
      <c r="TXV46" s="76"/>
      <c r="TXW46" s="76"/>
      <c r="TXX46" s="76"/>
      <c r="TXY46" s="76"/>
      <c r="TXZ46" s="76"/>
      <c r="TYA46" s="76"/>
      <c r="TYB46" s="76"/>
      <c r="TYC46" s="76"/>
      <c r="TYD46" s="76"/>
      <c r="TYE46" s="76"/>
      <c r="TYF46" s="76"/>
      <c r="TYG46" s="76"/>
      <c r="TYH46" s="76"/>
      <c r="TYI46" s="76"/>
      <c r="TYJ46" s="76"/>
      <c r="TYK46" s="76"/>
      <c r="TYL46" s="76"/>
      <c r="TYM46" s="76"/>
      <c r="TYN46" s="76"/>
      <c r="TYO46" s="76"/>
      <c r="TYP46" s="76"/>
      <c r="TYQ46" s="76"/>
      <c r="TYR46" s="76"/>
      <c r="TYS46" s="76"/>
      <c r="TYT46" s="76"/>
      <c r="TYU46" s="76"/>
      <c r="TYV46" s="76"/>
      <c r="TYW46" s="76"/>
      <c r="TYX46" s="76"/>
      <c r="TYY46" s="76"/>
      <c r="TYZ46" s="76"/>
      <c r="TZA46" s="76"/>
      <c r="TZB46" s="76"/>
      <c r="TZC46" s="76"/>
      <c r="TZD46" s="76"/>
      <c r="TZE46" s="76"/>
      <c r="TZF46" s="76"/>
      <c r="TZG46" s="76"/>
      <c r="TZH46" s="76"/>
      <c r="TZI46" s="76"/>
      <c r="TZJ46" s="76"/>
      <c r="TZK46" s="76"/>
      <c r="TZL46" s="76"/>
      <c r="TZM46" s="76"/>
      <c r="TZN46" s="76"/>
      <c r="TZO46" s="76"/>
      <c r="TZP46" s="76"/>
      <c r="TZQ46" s="76"/>
      <c r="TZR46" s="76"/>
      <c r="TZS46" s="76"/>
      <c r="TZT46" s="76"/>
      <c r="TZU46" s="76"/>
      <c r="TZV46" s="76"/>
      <c r="TZW46" s="76"/>
      <c r="TZX46" s="76"/>
      <c r="TZY46" s="76"/>
      <c r="TZZ46" s="76"/>
      <c r="UAA46" s="76"/>
      <c r="UAB46" s="76"/>
      <c r="UAC46" s="76"/>
      <c r="UAD46" s="76"/>
      <c r="UAE46" s="76"/>
      <c r="UAF46" s="76"/>
      <c r="UAG46" s="76"/>
      <c r="UAH46" s="76"/>
      <c r="UAI46" s="76"/>
      <c r="UAJ46" s="76"/>
      <c r="UAK46" s="76"/>
      <c r="UAL46" s="76"/>
      <c r="UAM46" s="76"/>
      <c r="UAN46" s="76"/>
      <c r="UAO46" s="76"/>
      <c r="UAP46" s="76"/>
      <c r="UAQ46" s="76"/>
      <c r="UAR46" s="76"/>
      <c r="UAS46" s="76"/>
      <c r="UAT46" s="76"/>
      <c r="UAU46" s="76"/>
      <c r="UAV46" s="76"/>
      <c r="UAW46" s="76"/>
      <c r="UAX46" s="76"/>
      <c r="UAY46" s="76"/>
      <c r="UAZ46" s="76"/>
      <c r="UBA46" s="76"/>
      <c r="UBB46" s="76"/>
      <c r="UBC46" s="76"/>
      <c r="UBD46" s="76"/>
      <c r="UBE46" s="76"/>
      <c r="UBF46" s="76"/>
      <c r="UBG46" s="76"/>
      <c r="UBH46" s="76"/>
      <c r="UBI46" s="76"/>
      <c r="UBJ46" s="76"/>
      <c r="UBK46" s="76"/>
      <c r="UBL46" s="76"/>
      <c r="UBM46" s="76"/>
      <c r="UBN46" s="76"/>
      <c r="UBO46" s="76"/>
      <c r="UBP46" s="76"/>
      <c r="UBQ46" s="76"/>
      <c r="UBR46" s="76"/>
      <c r="UBS46" s="76"/>
      <c r="UBT46" s="76"/>
      <c r="UBU46" s="76"/>
      <c r="UBV46" s="76"/>
      <c r="UBW46" s="76"/>
      <c r="UBX46" s="76"/>
      <c r="UBY46" s="76"/>
      <c r="UBZ46" s="76"/>
      <c r="UCA46" s="76"/>
      <c r="UCB46" s="76"/>
      <c r="UCC46" s="76"/>
      <c r="UCD46" s="76"/>
      <c r="UCE46" s="76"/>
      <c r="UCF46" s="76"/>
      <c r="UCG46" s="76"/>
      <c r="UCH46" s="76"/>
      <c r="UCI46" s="76"/>
      <c r="UCJ46" s="76"/>
      <c r="UCK46" s="76"/>
      <c r="UCL46" s="76"/>
      <c r="UCM46" s="76"/>
      <c r="UCN46" s="76"/>
      <c r="UCO46" s="76"/>
      <c r="UCP46" s="76"/>
      <c r="UCQ46" s="76"/>
      <c r="UCR46" s="76"/>
      <c r="UCS46" s="76"/>
      <c r="UCT46" s="76"/>
      <c r="UCU46" s="76"/>
      <c r="UCV46" s="76"/>
      <c r="UCW46" s="76"/>
      <c r="UCX46" s="76"/>
      <c r="UCY46" s="76"/>
      <c r="UCZ46" s="76"/>
      <c r="UDA46" s="76"/>
      <c r="UDB46" s="76"/>
      <c r="UDC46" s="76"/>
      <c r="UDD46" s="76"/>
      <c r="UDE46" s="76"/>
      <c r="UDF46" s="76"/>
      <c r="UDG46" s="76"/>
      <c r="UDH46" s="76"/>
      <c r="UDI46" s="76"/>
      <c r="UDJ46" s="76"/>
      <c r="UDK46" s="76"/>
      <c r="UDL46" s="76"/>
      <c r="UDM46" s="76"/>
      <c r="UDN46" s="76"/>
      <c r="UDO46" s="76"/>
      <c r="UDP46" s="76"/>
      <c r="UDQ46" s="76"/>
      <c r="UDR46" s="76"/>
      <c r="UDS46" s="76"/>
      <c r="UDT46" s="76"/>
      <c r="UDU46" s="76"/>
      <c r="UDV46" s="76"/>
      <c r="UDW46" s="76"/>
      <c r="UDX46" s="76"/>
      <c r="UDY46" s="76"/>
      <c r="UDZ46" s="76"/>
      <c r="UEA46" s="76"/>
      <c r="UEB46" s="76"/>
      <c r="UEC46" s="76"/>
      <c r="UED46" s="76"/>
      <c r="UEE46" s="76"/>
      <c r="UEF46" s="76"/>
      <c r="UEG46" s="76"/>
      <c r="UEH46" s="76"/>
      <c r="UEI46" s="76"/>
      <c r="UEJ46" s="76"/>
      <c r="UEK46" s="76"/>
      <c r="UEL46" s="76"/>
      <c r="UEM46" s="76"/>
      <c r="UEN46" s="76"/>
      <c r="UEO46" s="76"/>
      <c r="UEP46" s="76"/>
      <c r="UEQ46" s="76"/>
      <c r="UER46" s="76"/>
      <c r="UES46" s="76"/>
      <c r="UET46" s="76"/>
      <c r="UEU46" s="76"/>
      <c r="UEV46" s="76"/>
      <c r="UEW46" s="76"/>
      <c r="UEX46" s="76"/>
      <c r="UEY46" s="76"/>
      <c r="UEZ46" s="76"/>
      <c r="UFA46" s="76"/>
      <c r="UFB46" s="76"/>
      <c r="UFC46" s="76"/>
      <c r="UFD46" s="76"/>
      <c r="UFE46" s="76"/>
      <c r="UFF46" s="76"/>
      <c r="UFG46" s="76"/>
      <c r="UFH46" s="76"/>
      <c r="UFI46" s="76"/>
      <c r="UFJ46" s="76"/>
      <c r="UFK46" s="76"/>
      <c r="UFL46" s="76"/>
      <c r="UFM46" s="76"/>
      <c r="UFN46" s="76"/>
      <c r="UFO46" s="76"/>
      <c r="UFP46" s="76"/>
      <c r="UFQ46" s="76"/>
      <c r="UFR46" s="76"/>
      <c r="UFS46" s="76"/>
      <c r="UFT46" s="76"/>
      <c r="UFU46" s="76"/>
      <c r="UFV46" s="76"/>
      <c r="UFW46" s="76"/>
      <c r="UFX46" s="76"/>
      <c r="UFY46" s="76"/>
      <c r="UFZ46" s="76"/>
      <c r="UGA46" s="76"/>
      <c r="UGB46" s="76"/>
      <c r="UGC46" s="76"/>
      <c r="UGD46" s="76"/>
      <c r="UGE46" s="76"/>
      <c r="UGF46" s="76"/>
      <c r="UGG46" s="76"/>
      <c r="UGH46" s="76"/>
      <c r="UGI46" s="76"/>
      <c r="UGJ46" s="76"/>
      <c r="UGK46" s="76"/>
      <c r="UGL46" s="76"/>
      <c r="UGM46" s="76"/>
      <c r="UGN46" s="76"/>
      <c r="UGO46" s="76"/>
      <c r="UGP46" s="76"/>
      <c r="UGQ46" s="76"/>
      <c r="UGR46" s="76"/>
      <c r="UGS46" s="76"/>
      <c r="UGT46" s="76"/>
      <c r="UGU46" s="76"/>
      <c r="UGV46" s="76"/>
      <c r="UGW46" s="76"/>
      <c r="UGX46" s="76"/>
      <c r="UGY46" s="76"/>
      <c r="UGZ46" s="76"/>
      <c r="UHA46" s="76"/>
      <c r="UHB46" s="76"/>
      <c r="UHC46" s="76"/>
      <c r="UHD46" s="76"/>
      <c r="UHE46" s="76"/>
      <c r="UHF46" s="76"/>
      <c r="UHG46" s="76"/>
      <c r="UHH46" s="76"/>
      <c r="UHI46" s="76"/>
      <c r="UHJ46" s="76"/>
      <c r="UHK46" s="76"/>
      <c r="UHL46" s="76"/>
      <c r="UHM46" s="76"/>
      <c r="UHN46" s="76"/>
      <c r="UHO46" s="76"/>
      <c r="UHP46" s="76"/>
      <c r="UHQ46" s="76"/>
      <c r="UHR46" s="76"/>
      <c r="UHS46" s="76"/>
      <c r="UHT46" s="76"/>
      <c r="UHU46" s="76"/>
      <c r="UHV46" s="76"/>
      <c r="UHW46" s="76"/>
      <c r="UHX46" s="76"/>
      <c r="UHY46" s="76"/>
      <c r="UHZ46" s="76"/>
      <c r="UIA46" s="76"/>
      <c r="UIB46" s="76"/>
      <c r="UIC46" s="76"/>
      <c r="UID46" s="76"/>
      <c r="UIE46" s="76"/>
      <c r="UIF46" s="76"/>
      <c r="UIG46" s="76"/>
      <c r="UIH46" s="76"/>
      <c r="UII46" s="76"/>
      <c r="UIJ46" s="76"/>
      <c r="UIK46" s="76"/>
      <c r="UIL46" s="76"/>
      <c r="UIM46" s="76"/>
      <c r="UIN46" s="76"/>
      <c r="UIO46" s="76"/>
      <c r="UIP46" s="76"/>
      <c r="UIQ46" s="76"/>
      <c r="UIR46" s="76"/>
      <c r="UIS46" s="76"/>
      <c r="UIT46" s="76"/>
      <c r="UIU46" s="76"/>
      <c r="UIV46" s="76"/>
      <c r="UIW46" s="76"/>
      <c r="UIX46" s="76"/>
      <c r="UIY46" s="76"/>
      <c r="UIZ46" s="76"/>
      <c r="UJA46" s="76"/>
      <c r="UJB46" s="76"/>
      <c r="UJC46" s="76"/>
      <c r="UJD46" s="76"/>
      <c r="UJE46" s="76"/>
      <c r="UJF46" s="76"/>
      <c r="UJG46" s="76"/>
      <c r="UJH46" s="76"/>
      <c r="UJI46" s="76"/>
      <c r="UJJ46" s="76"/>
      <c r="UJK46" s="76"/>
      <c r="UJL46" s="76"/>
      <c r="UJM46" s="76"/>
      <c r="UJN46" s="76"/>
      <c r="UJO46" s="76"/>
      <c r="UJP46" s="76"/>
      <c r="UJQ46" s="76"/>
      <c r="UJR46" s="76"/>
      <c r="UJS46" s="76"/>
      <c r="UJT46" s="76"/>
      <c r="UJU46" s="76"/>
      <c r="UJV46" s="76"/>
      <c r="UJW46" s="76"/>
      <c r="UJX46" s="76"/>
      <c r="UJY46" s="76"/>
      <c r="UJZ46" s="76"/>
      <c r="UKA46" s="76"/>
      <c r="UKB46" s="76"/>
      <c r="UKC46" s="76"/>
      <c r="UKD46" s="76"/>
      <c r="UKE46" s="76"/>
      <c r="UKF46" s="76"/>
      <c r="UKG46" s="76"/>
      <c r="UKH46" s="76"/>
      <c r="UKI46" s="76"/>
      <c r="UKJ46" s="76"/>
      <c r="UKK46" s="76"/>
      <c r="UKL46" s="76"/>
      <c r="UKM46" s="76"/>
      <c r="UKN46" s="76"/>
      <c r="UKO46" s="76"/>
      <c r="UKP46" s="76"/>
      <c r="UKQ46" s="76"/>
      <c r="UKR46" s="76"/>
      <c r="UKS46" s="76"/>
      <c r="UKT46" s="76"/>
      <c r="UKU46" s="76"/>
      <c r="UKV46" s="76"/>
      <c r="UKW46" s="76"/>
      <c r="UKX46" s="76"/>
      <c r="UKY46" s="76"/>
      <c r="UKZ46" s="76"/>
      <c r="ULA46" s="76"/>
      <c r="ULB46" s="76"/>
      <c r="ULC46" s="76"/>
      <c r="ULD46" s="76"/>
      <c r="ULE46" s="76"/>
      <c r="ULF46" s="76"/>
      <c r="ULG46" s="76"/>
      <c r="ULH46" s="76"/>
      <c r="ULI46" s="76"/>
      <c r="ULJ46" s="76"/>
      <c r="ULK46" s="76"/>
      <c r="ULL46" s="76"/>
      <c r="ULM46" s="76"/>
      <c r="ULN46" s="76"/>
      <c r="ULO46" s="76"/>
      <c r="ULP46" s="76"/>
      <c r="ULQ46" s="76"/>
      <c r="ULR46" s="76"/>
      <c r="ULS46" s="76"/>
      <c r="ULT46" s="76"/>
      <c r="ULU46" s="76"/>
      <c r="ULV46" s="76"/>
      <c r="ULW46" s="76"/>
      <c r="ULX46" s="76"/>
      <c r="ULY46" s="76"/>
      <c r="ULZ46" s="76"/>
      <c r="UMA46" s="76"/>
      <c r="UMB46" s="76"/>
      <c r="UMC46" s="76"/>
      <c r="UMD46" s="76"/>
      <c r="UME46" s="76"/>
      <c r="UMF46" s="76"/>
      <c r="UMG46" s="76"/>
      <c r="UMH46" s="76"/>
      <c r="UMI46" s="76"/>
      <c r="UMJ46" s="76"/>
      <c r="UMK46" s="76"/>
      <c r="UML46" s="76"/>
      <c r="UMM46" s="76"/>
      <c r="UMN46" s="76"/>
      <c r="UMO46" s="76"/>
      <c r="UMP46" s="76"/>
      <c r="UMQ46" s="76"/>
      <c r="UMR46" s="76"/>
      <c r="UMS46" s="76"/>
      <c r="UMT46" s="76"/>
      <c r="UMU46" s="76"/>
      <c r="UMV46" s="76"/>
      <c r="UMW46" s="76"/>
      <c r="UMX46" s="76"/>
      <c r="UMY46" s="76"/>
      <c r="UMZ46" s="76"/>
      <c r="UNA46" s="76"/>
      <c r="UNB46" s="76"/>
      <c r="UNC46" s="76"/>
      <c r="UND46" s="76"/>
      <c r="UNE46" s="76"/>
      <c r="UNF46" s="76"/>
      <c r="UNG46" s="76"/>
      <c r="UNH46" s="76"/>
      <c r="UNI46" s="76"/>
      <c r="UNJ46" s="76"/>
      <c r="UNK46" s="76"/>
      <c r="UNL46" s="76"/>
      <c r="UNM46" s="76"/>
      <c r="UNN46" s="76"/>
      <c r="UNO46" s="76"/>
      <c r="UNP46" s="76"/>
      <c r="UNQ46" s="76"/>
      <c r="UNR46" s="76"/>
      <c r="UNS46" s="76"/>
      <c r="UNT46" s="76"/>
      <c r="UNU46" s="76"/>
      <c r="UNV46" s="76"/>
      <c r="UNW46" s="76"/>
      <c r="UNX46" s="76"/>
      <c r="UNY46" s="76"/>
      <c r="UNZ46" s="76"/>
      <c r="UOA46" s="76"/>
      <c r="UOB46" s="76"/>
      <c r="UOC46" s="76"/>
      <c r="UOD46" s="76"/>
      <c r="UOE46" s="76"/>
      <c r="UOF46" s="76"/>
      <c r="UOG46" s="76"/>
      <c r="UOH46" s="76"/>
      <c r="UOI46" s="76"/>
      <c r="UOJ46" s="76"/>
      <c r="UOK46" s="76"/>
      <c r="UOL46" s="76"/>
      <c r="UOM46" s="76"/>
      <c r="UON46" s="76"/>
      <c r="UOO46" s="76"/>
      <c r="UOP46" s="76"/>
      <c r="UOQ46" s="76"/>
      <c r="UOR46" s="76"/>
      <c r="UOS46" s="76"/>
      <c r="UOT46" s="76"/>
      <c r="UOU46" s="76"/>
      <c r="UOV46" s="76"/>
      <c r="UOW46" s="76"/>
      <c r="UOX46" s="76"/>
      <c r="UOY46" s="76"/>
      <c r="UOZ46" s="76"/>
      <c r="UPA46" s="76"/>
      <c r="UPB46" s="76"/>
      <c r="UPC46" s="76"/>
      <c r="UPD46" s="76"/>
      <c r="UPE46" s="76"/>
      <c r="UPF46" s="76"/>
      <c r="UPG46" s="76"/>
      <c r="UPH46" s="76"/>
      <c r="UPI46" s="76"/>
      <c r="UPJ46" s="76"/>
      <c r="UPK46" s="76"/>
      <c r="UPL46" s="76"/>
      <c r="UPM46" s="76"/>
      <c r="UPN46" s="76"/>
      <c r="UPO46" s="76"/>
      <c r="UPP46" s="76"/>
      <c r="UPQ46" s="76"/>
      <c r="UPR46" s="76"/>
      <c r="UPS46" s="76"/>
      <c r="UPT46" s="76"/>
      <c r="UPU46" s="76"/>
      <c r="UPV46" s="76"/>
      <c r="UPW46" s="76"/>
      <c r="UPX46" s="76"/>
      <c r="UPY46" s="76"/>
      <c r="UPZ46" s="76"/>
      <c r="UQA46" s="76"/>
      <c r="UQB46" s="76"/>
      <c r="UQC46" s="76"/>
      <c r="UQD46" s="76"/>
      <c r="UQE46" s="76"/>
      <c r="UQF46" s="76"/>
      <c r="UQG46" s="76"/>
      <c r="UQH46" s="76"/>
      <c r="UQI46" s="76"/>
      <c r="UQJ46" s="76"/>
      <c r="UQK46" s="76"/>
      <c r="UQL46" s="76"/>
      <c r="UQM46" s="76"/>
      <c r="UQN46" s="76"/>
      <c r="UQO46" s="76"/>
      <c r="UQP46" s="76"/>
      <c r="UQQ46" s="76"/>
      <c r="UQR46" s="76"/>
      <c r="UQS46" s="76"/>
      <c r="UQT46" s="76"/>
      <c r="UQU46" s="76"/>
      <c r="UQV46" s="76"/>
      <c r="UQW46" s="76"/>
      <c r="UQX46" s="76"/>
      <c r="UQY46" s="76"/>
      <c r="UQZ46" s="76"/>
      <c r="URA46" s="76"/>
      <c r="URB46" s="76"/>
      <c r="URC46" s="76"/>
      <c r="URD46" s="76"/>
      <c r="URE46" s="76"/>
      <c r="URF46" s="76"/>
      <c r="URG46" s="76"/>
      <c r="URH46" s="76"/>
      <c r="URI46" s="76"/>
      <c r="URJ46" s="76"/>
      <c r="URK46" s="76"/>
      <c r="URL46" s="76"/>
      <c r="URM46" s="76"/>
      <c r="URN46" s="76"/>
      <c r="URO46" s="76"/>
      <c r="URP46" s="76"/>
      <c r="URQ46" s="76"/>
      <c r="URR46" s="76"/>
      <c r="URS46" s="76"/>
      <c r="URT46" s="76"/>
      <c r="URU46" s="76"/>
      <c r="URV46" s="76"/>
      <c r="URW46" s="76"/>
      <c r="URX46" s="76"/>
      <c r="URY46" s="76"/>
      <c r="URZ46" s="76"/>
      <c r="USA46" s="76"/>
      <c r="USB46" s="76"/>
      <c r="USC46" s="76"/>
      <c r="USD46" s="76"/>
      <c r="USE46" s="76"/>
      <c r="USF46" s="76"/>
      <c r="USG46" s="76"/>
      <c r="USH46" s="76"/>
      <c r="USI46" s="76"/>
      <c r="USJ46" s="76"/>
      <c r="USK46" s="76"/>
      <c r="USL46" s="76"/>
      <c r="USM46" s="76"/>
      <c r="USN46" s="76"/>
      <c r="USO46" s="76"/>
      <c r="USP46" s="76"/>
      <c r="USQ46" s="76"/>
      <c r="USR46" s="76"/>
      <c r="USS46" s="76"/>
      <c r="UST46" s="76"/>
      <c r="USU46" s="76"/>
      <c r="USV46" s="76"/>
      <c r="USW46" s="76"/>
      <c r="USX46" s="76"/>
      <c r="USY46" s="76"/>
      <c r="USZ46" s="76"/>
      <c r="UTA46" s="76"/>
      <c r="UTB46" s="76"/>
      <c r="UTC46" s="76"/>
      <c r="UTD46" s="76"/>
      <c r="UTE46" s="76"/>
      <c r="UTF46" s="76"/>
      <c r="UTG46" s="76"/>
      <c r="UTH46" s="76"/>
      <c r="UTI46" s="76"/>
      <c r="UTJ46" s="76"/>
      <c r="UTK46" s="76"/>
      <c r="UTL46" s="76"/>
      <c r="UTM46" s="76"/>
      <c r="UTN46" s="76"/>
      <c r="UTO46" s="76"/>
      <c r="UTP46" s="76"/>
      <c r="UTQ46" s="76"/>
      <c r="UTR46" s="76"/>
      <c r="UTS46" s="76"/>
      <c r="UTT46" s="76"/>
      <c r="UTU46" s="76"/>
      <c r="UTV46" s="76"/>
      <c r="UTW46" s="76"/>
      <c r="UTX46" s="76"/>
      <c r="UTY46" s="76"/>
      <c r="UTZ46" s="76"/>
      <c r="UUA46" s="76"/>
      <c r="UUB46" s="76"/>
      <c r="UUC46" s="76"/>
      <c r="UUD46" s="76"/>
      <c r="UUE46" s="76"/>
      <c r="UUF46" s="76"/>
      <c r="UUG46" s="76"/>
      <c r="UUH46" s="76"/>
      <c r="UUI46" s="76"/>
      <c r="UUJ46" s="76"/>
      <c r="UUK46" s="76"/>
      <c r="UUL46" s="76"/>
      <c r="UUM46" s="76"/>
      <c r="UUN46" s="76"/>
      <c r="UUO46" s="76"/>
      <c r="UUP46" s="76"/>
      <c r="UUQ46" s="76"/>
      <c r="UUR46" s="76"/>
      <c r="UUS46" s="76"/>
      <c r="UUT46" s="76"/>
      <c r="UUU46" s="76"/>
      <c r="UUV46" s="76"/>
      <c r="UUW46" s="76"/>
      <c r="UUX46" s="76"/>
      <c r="UUY46" s="76"/>
      <c r="UUZ46" s="76"/>
      <c r="UVA46" s="76"/>
      <c r="UVB46" s="76"/>
      <c r="UVC46" s="76"/>
      <c r="UVD46" s="76"/>
      <c r="UVE46" s="76"/>
      <c r="UVF46" s="76"/>
      <c r="UVG46" s="76"/>
      <c r="UVH46" s="76"/>
      <c r="UVI46" s="76"/>
      <c r="UVJ46" s="76"/>
      <c r="UVK46" s="76"/>
      <c r="UVL46" s="76"/>
      <c r="UVM46" s="76"/>
      <c r="UVN46" s="76"/>
      <c r="UVO46" s="76"/>
      <c r="UVP46" s="76"/>
      <c r="UVQ46" s="76"/>
      <c r="UVR46" s="76"/>
      <c r="UVS46" s="76"/>
      <c r="UVT46" s="76"/>
      <c r="UVU46" s="76"/>
      <c r="UVV46" s="76"/>
      <c r="UVW46" s="76"/>
      <c r="UVX46" s="76"/>
      <c r="UVY46" s="76"/>
      <c r="UVZ46" s="76"/>
      <c r="UWA46" s="76"/>
      <c r="UWB46" s="76"/>
      <c r="UWC46" s="76"/>
      <c r="UWD46" s="76"/>
      <c r="UWE46" s="76"/>
      <c r="UWF46" s="76"/>
      <c r="UWG46" s="76"/>
      <c r="UWH46" s="76"/>
      <c r="UWI46" s="76"/>
      <c r="UWJ46" s="76"/>
      <c r="UWK46" s="76"/>
      <c r="UWL46" s="76"/>
      <c r="UWM46" s="76"/>
      <c r="UWN46" s="76"/>
      <c r="UWO46" s="76"/>
      <c r="UWP46" s="76"/>
      <c r="UWQ46" s="76"/>
      <c r="UWR46" s="76"/>
      <c r="UWS46" s="76"/>
      <c r="UWT46" s="76"/>
      <c r="UWU46" s="76"/>
      <c r="UWV46" s="76"/>
      <c r="UWW46" s="76"/>
      <c r="UWX46" s="76"/>
      <c r="UWY46" s="76"/>
      <c r="UWZ46" s="76"/>
      <c r="UXA46" s="76"/>
      <c r="UXB46" s="76"/>
      <c r="UXC46" s="76"/>
      <c r="UXD46" s="76"/>
      <c r="UXE46" s="76"/>
      <c r="UXF46" s="76"/>
      <c r="UXG46" s="76"/>
      <c r="UXH46" s="76"/>
      <c r="UXI46" s="76"/>
      <c r="UXJ46" s="76"/>
      <c r="UXK46" s="76"/>
      <c r="UXL46" s="76"/>
      <c r="UXM46" s="76"/>
      <c r="UXN46" s="76"/>
      <c r="UXO46" s="76"/>
      <c r="UXP46" s="76"/>
      <c r="UXQ46" s="76"/>
      <c r="UXR46" s="76"/>
      <c r="UXS46" s="76"/>
      <c r="UXT46" s="76"/>
      <c r="UXU46" s="76"/>
      <c r="UXV46" s="76"/>
      <c r="UXW46" s="76"/>
      <c r="UXX46" s="76"/>
      <c r="UXY46" s="76"/>
      <c r="UXZ46" s="76"/>
      <c r="UYA46" s="76"/>
      <c r="UYB46" s="76"/>
      <c r="UYC46" s="76"/>
      <c r="UYD46" s="76"/>
      <c r="UYE46" s="76"/>
      <c r="UYF46" s="76"/>
      <c r="UYG46" s="76"/>
      <c r="UYH46" s="76"/>
      <c r="UYI46" s="76"/>
      <c r="UYJ46" s="76"/>
      <c r="UYK46" s="76"/>
      <c r="UYL46" s="76"/>
      <c r="UYM46" s="76"/>
      <c r="UYN46" s="76"/>
      <c r="UYO46" s="76"/>
      <c r="UYP46" s="76"/>
      <c r="UYQ46" s="76"/>
      <c r="UYR46" s="76"/>
      <c r="UYS46" s="76"/>
      <c r="UYT46" s="76"/>
      <c r="UYU46" s="76"/>
      <c r="UYV46" s="76"/>
      <c r="UYW46" s="76"/>
      <c r="UYX46" s="76"/>
      <c r="UYY46" s="76"/>
      <c r="UYZ46" s="76"/>
      <c r="UZA46" s="76"/>
      <c r="UZB46" s="76"/>
      <c r="UZC46" s="76"/>
      <c r="UZD46" s="76"/>
      <c r="UZE46" s="76"/>
      <c r="UZF46" s="76"/>
      <c r="UZG46" s="76"/>
      <c r="UZH46" s="76"/>
      <c r="UZI46" s="76"/>
      <c r="UZJ46" s="76"/>
      <c r="UZK46" s="76"/>
      <c r="UZL46" s="76"/>
      <c r="UZM46" s="76"/>
      <c r="UZN46" s="76"/>
      <c r="UZO46" s="76"/>
      <c r="UZP46" s="76"/>
      <c r="UZQ46" s="76"/>
      <c r="UZR46" s="76"/>
      <c r="UZS46" s="76"/>
      <c r="UZT46" s="76"/>
      <c r="UZU46" s="76"/>
      <c r="UZV46" s="76"/>
      <c r="UZW46" s="76"/>
      <c r="UZX46" s="76"/>
      <c r="UZY46" s="76"/>
      <c r="UZZ46" s="76"/>
      <c r="VAA46" s="76"/>
      <c r="VAB46" s="76"/>
      <c r="VAC46" s="76"/>
      <c r="VAD46" s="76"/>
      <c r="VAE46" s="76"/>
      <c r="VAF46" s="76"/>
      <c r="VAG46" s="76"/>
      <c r="VAH46" s="76"/>
      <c r="VAI46" s="76"/>
      <c r="VAJ46" s="76"/>
      <c r="VAK46" s="76"/>
      <c r="VAL46" s="76"/>
      <c r="VAM46" s="76"/>
      <c r="VAN46" s="76"/>
      <c r="VAO46" s="76"/>
      <c r="VAP46" s="76"/>
      <c r="VAQ46" s="76"/>
      <c r="VAR46" s="76"/>
      <c r="VAS46" s="76"/>
      <c r="VAT46" s="76"/>
      <c r="VAU46" s="76"/>
      <c r="VAV46" s="76"/>
      <c r="VAW46" s="76"/>
      <c r="VAX46" s="76"/>
      <c r="VAY46" s="76"/>
      <c r="VAZ46" s="76"/>
      <c r="VBA46" s="76"/>
      <c r="VBB46" s="76"/>
      <c r="VBC46" s="76"/>
      <c r="VBD46" s="76"/>
      <c r="VBE46" s="76"/>
      <c r="VBF46" s="76"/>
      <c r="VBG46" s="76"/>
      <c r="VBH46" s="76"/>
      <c r="VBI46" s="76"/>
      <c r="VBJ46" s="76"/>
      <c r="VBK46" s="76"/>
      <c r="VBL46" s="76"/>
      <c r="VBM46" s="76"/>
      <c r="VBN46" s="76"/>
      <c r="VBO46" s="76"/>
      <c r="VBP46" s="76"/>
      <c r="VBQ46" s="76"/>
      <c r="VBR46" s="76"/>
      <c r="VBS46" s="76"/>
      <c r="VBT46" s="76"/>
      <c r="VBU46" s="76"/>
      <c r="VBV46" s="76"/>
      <c r="VBW46" s="76"/>
      <c r="VBX46" s="76"/>
      <c r="VBY46" s="76"/>
      <c r="VBZ46" s="76"/>
      <c r="VCA46" s="76"/>
      <c r="VCB46" s="76"/>
      <c r="VCC46" s="76"/>
      <c r="VCD46" s="76"/>
      <c r="VCE46" s="76"/>
      <c r="VCF46" s="76"/>
      <c r="VCG46" s="76"/>
      <c r="VCH46" s="76"/>
      <c r="VCI46" s="76"/>
      <c r="VCJ46" s="76"/>
      <c r="VCK46" s="76"/>
      <c r="VCL46" s="76"/>
      <c r="VCM46" s="76"/>
      <c r="VCN46" s="76"/>
      <c r="VCO46" s="76"/>
      <c r="VCP46" s="76"/>
      <c r="VCQ46" s="76"/>
      <c r="VCR46" s="76"/>
      <c r="VCS46" s="76"/>
      <c r="VCT46" s="76"/>
      <c r="VCU46" s="76"/>
      <c r="VCV46" s="76"/>
      <c r="VCW46" s="76"/>
      <c r="VCX46" s="76"/>
      <c r="VCY46" s="76"/>
      <c r="VCZ46" s="76"/>
      <c r="VDA46" s="76"/>
      <c r="VDB46" s="76"/>
      <c r="VDC46" s="76"/>
      <c r="VDD46" s="76"/>
      <c r="VDE46" s="76"/>
      <c r="VDF46" s="76"/>
      <c r="VDG46" s="76"/>
      <c r="VDH46" s="76"/>
      <c r="VDI46" s="76"/>
      <c r="VDJ46" s="76"/>
      <c r="VDK46" s="76"/>
      <c r="VDL46" s="76"/>
      <c r="VDM46" s="76"/>
      <c r="VDN46" s="76"/>
      <c r="VDO46" s="76"/>
      <c r="VDP46" s="76"/>
      <c r="VDQ46" s="76"/>
      <c r="VDR46" s="76"/>
      <c r="VDS46" s="76"/>
      <c r="VDT46" s="76"/>
      <c r="VDU46" s="76"/>
      <c r="VDV46" s="76"/>
      <c r="VDW46" s="76"/>
      <c r="VDX46" s="76"/>
      <c r="VDY46" s="76"/>
      <c r="VDZ46" s="76"/>
      <c r="VEA46" s="76"/>
      <c r="VEB46" s="76"/>
      <c r="VEC46" s="76"/>
      <c r="VED46" s="76"/>
      <c r="VEE46" s="76"/>
      <c r="VEF46" s="76"/>
      <c r="VEG46" s="76"/>
      <c r="VEH46" s="76"/>
      <c r="VEI46" s="76"/>
      <c r="VEJ46" s="76"/>
      <c r="VEK46" s="76"/>
      <c r="VEL46" s="76"/>
      <c r="VEM46" s="76"/>
      <c r="VEN46" s="76"/>
      <c r="VEO46" s="76"/>
      <c r="VEP46" s="76"/>
      <c r="VEQ46" s="76"/>
      <c r="VER46" s="76"/>
      <c r="VES46" s="76"/>
      <c r="VET46" s="76"/>
      <c r="VEU46" s="76"/>
      <c r="VEV46" s="76"/>
      <c r="VEW46" s="76"/>
      <c r="VEX46" s="76"/>
      <c r="VEY46" s="76"/>
      <c r="VEZ46" s="76"/>
      <c r="VFA46" s="76"/>
      <c r="VFB46" s="76"/>
      <c r="VFC46" s="76"/>
      <c r="VFD46" s="76"/>
      <c r="VFE46" s="76"/>
      <c r="VFF46" s="76"/>
      <c r="VFG46" s="76"/>
      <c r="VFH46" s="76"/>
      <c r="VFI46" s="76"/>
      <c r="VFJ46" s="76"/>
      <c r="VFK46" s="76"/>
      <c r="VFL46" s="76"/>
      <c r="VFM46" s="76"/>
      <c r="VFN46" s="76"/>
      <c r="VFO46" s="76"/>
      <c r="VFP46" s="76"/>
      <c r="VFQ46" s="76"/>
      <c r="VFR46" s="76"/>
      <c r="VFS46" s="76"/>
      <c r="VFT46" s="76"/>
      <c r="VFU46" s="76"/>
      <c r="VFV46" s="76"/>
      <c r="VFW46" s="76"/>
      <c r="VFX46" s="76"/>
      <c r="VFY46" s="76"/>
      <c r="VFZ46" s="76"/>
      <c r="VGA46" s="76"/>
      <c r="VGB46" s="76"/>
      <c r="VGC46" s="76"/>
      <c r="VGD46" s="76"/>
      <c r="VGE46" s="76"/>
      <c r="VGF46" s="76"/>
      <c r="VGG46" s="76"/>
      <c r="VGH46" s="76"/>
      <c r="VGI46" s="76"/>
      <c r="VGJ46" s="76"/>
      <c r="VGK46" s="76"/>
      <c r="VGL46" s="76"/>
      <c r="VGM46" s="76"/>
      <c r="VGN46" s="76"/>
      <c r="VGO46" s="76"/>
      <c r="VGP46" s="76"/>
      <c r="VGQ46" s="76"/>
      <c r="VGR46" s="76"/>
      <c r="VGS46" s="76"/>
      <c r="VGT46" s="76"/>
      <c r="VGU46" s="76"/>
      <c r="VGV46" s="76"/>
      <c r="VGW46" s="76"/>
      <c r="VGX46" s="76"/>
      <c r="VGY46" s="76"/>
      <c r="VGZ46" s="76"/>
      <c r="VHA46" s="76"/>
      <c r="VHB46" s="76"/>
      <c r="VHC46" s="76"/>
      <c r="VHD46" s="76"/>
      <c r="VHE46" s="76"/>
      <c r="VHF46" s="76"/>
      <c r="VHG46" s="76"/>
      <c r="VHH46" s="76"/>
      <c r="VHI46" s="76"/>
      <c r="VHJ46" s="76"/>
      <c r="VHK46" s="76"/>
      <c r="VHL46" s="76"/>
      <c r="VHM46" s="76"/>
      <c r="VHN46" s="76"/>
      <c r="VHO46" s="76"/>
      <c r="VHP46" s="76"/>
      <c r="VHQ46" s="76"/>
      <c r="VHR46" s="76"/>
      <c r="VHS46" s="76"/>
      <c r="VHT46" s="76"/>
      <c r="VHU46" s="76"/>
      <c r="VHV46" s="76"/>
      <c r="VHW46" s="76"/>
      <c r="VHX46" s="76"/>
      <c r="VHY46" s="76"/>
      <c r="VHZ46" s="76"/>
      <c r="VIA46" s="76"/>
      <c r="VIB46" s="76"/>
      <c r="VIC46" s="76"/>
      <c r="VID46" s="76"/>
      <c r="VIE46" s="76"/>
      <c r="VIF46" s="76"/>
      <c r="VIG46" s="76"/>
      <c r="VIH46" s="76"/>
      <c r="VII46" s="76"/>
      <c r="VIJ46" s="76"/>
      <c r="VIK46" s="76"/>
      <c r="VIL46" s="76"/>
      <c r="VIM46" s="76"/>
      <c r="VIN46" s="76"/>
      <c r="VIO46" s="76"/>
      <c r="VIP46" s="76"/>
      <c r="VIQ46" s="76"/>
      <c r="VIR46" s="76"/>
      <c r="VIS46" s="76"/>
      <c r="VIT46" s="76"/>
      <c r="VIU46" s="76"/>
      <c r="VIV46" s="76"/>
      <c r="VIW46" s="76"/>
      <c r="VIX46" s="76"/>
      <c r="VIY46" s="76"/>
      <c r="VIZ46" s="76"/>
      <c r="VJA46" s="76"/>
      <c r="VJB46" s="76"/>
      <c r="VJC46" s="76"/>
      <c r="VJD46" s="76"/>
      <c r="VJE46" s="76"/>
      <c r="VJF46" s="76"/>
      <c r="VJG46" s="76"/>
      <c r="VJH46" s="76"/>
      <c r="VJI46" s="76"/>
      <c r="VJJ46" s="76"/>
      <c r="VJK46" s="76"/>
      <c r="VJL46" s="76"/>
      <c r="VJM46" s="76"/>
      <c r="VJN46" s="76"/>
      <c r="VJO46" s="76"/>
      <c r="VJP46" s="76"/>
      <c r="VJQ46" s="76"/>
      <c r="VJR46" s="76"/>
      <c r="VJS46" s="76"/>
      <c r="VJT46" s="76"/>
      <c r="VJU46" s="76"/>
      <c r="VJV46" s="76"/>
      <c r="VJW46" s="76"/>
      <c r="VJX46" s="76"/>
      <c r="VJY46" s="76"/>
      <c r="VJZ46" s="76"/>
      <c r="VKA46" s="76"/>
      <c r="VKB46" s="76"/>
      <c r="VKC46" s="76"/>
      <c r="VKD46" s="76"/>
      <c r="VKE46" s="76"/>
      <c r="VKF46" s="76"/>
      <c r="VKG46" s="76"/>
      <c r="VKH46" s="76"/>
      <c r="VKI46" s="76"/>
      <c r="VKJ46" s="76"/>
      <c r="VKK46" s="76"/>
      <c r="VKL46" s="76"/>
      <c r="VKM46" s="76"/>
      <c r="VKN46" s="76"/>
      <c r="VKO46" s="76"/>
      <c r="VKP46" s="76"/>
      <c r="VKQ46" s="76"/>
      <c r="VKR46" s="76"/>
      <c r="VKS46" s="76"/>
      <c r="VKT46" s="76"/>
      <c r="VKU46" s="76"/>
      <c r="VKV46" s="76"/>
      <c r="VKW46" s="76"/>
      <c r="VKX46" s="76"/>
      <c r="VKY46" s="76"/>
      <c r="VKZ46" s="76"/>
      <c r="VLA46" s="76"/>
      <c r="VLB46" s="76"/>
      <c r="VLC46" s="76"/>
      <c r="VLD46" s="76"/>
      <c r="VLE46" s="76"/>
      <c r="VLF46" s="76"/>
      <c r="VLG46" s="76"/>
      <c r="VLH46" s="76"/>
      <c r="VLI46" s="76"/>
      <c r="VLJ46" s="76"/>
      <c r="VLK46" s="76"/>
      <c r="VLL46" s="76"/>
      <c r="VLM46" s="76"/>
      <c r="VLN46" s="76"/>
      <c r="VLO46" s="76"/>
      <c r="VLP46" s="76"/>
      <c r="VLQ46" s="76"/>
      <c r="VLR46" s="76"/>
      <c r="VLS46" s="76"/>
      <c r="VLT46" s="76"/>
      <c r="VLU46" s="76"/>
      <c r="VLV46" s="76"/>
      <c r="VLW46" s="76"/>
      <c r="VLX46" s="76"/>
      <c r="VLY46" s="76"/>
      <c r="VLZ46" s="76"/>
      <c r="VMA46" s="76"/>
      <c r="VMB46" s="76"/>
      <c r="VMC46" s="76"/>
      <c r="VMD46" s="76"/>
      <c r="VME46" s="76"/>
      <c r="VMF46" s="76"/>
      <c r="VMG46" s="76"/>
      <c r="VMH46" s="76"/>
      <c r="VMI46" s="76"/>
      <c r="VMJ46" s="76"/>
      <c r="VMK46" s="76"/>
      <c r="VML46" s="76"/>
      <c r="VMM46" s="76"/>
      <c r="VMN46" s="76"/>
      <c r="VMO46" s="76"/>
      <c r="VMP46" s="76"/>
      <c r="VMQ46" s="76"/>
      <c r="VMR46" s="76"/>
      <c r="VMS46" s="76"/>
      <c r="VMT46" s="76"/>
      <c r="VMU46" s="76"/>
      <c r="VMV46" s="76"/>
      <c r="VMW46" s="76"/>
      <c r="VMX46" s="76"/>
      <c r="VMY46" s="76"/>
      <c r="VMZ46" s="76"/>
      <c r="VNA46" s="76"/>
      <c r="VNB46" s="76"/>
      <c r="VNC46" s="76"/>
      <c r="VND46" s="76"/>
      <c r="VNE46" s="76"/>
      <c r="VNF46" s="76"/>
      <c r="VNG46" s="76"/>
      <c r="VNH46" s="76"/>
      <c r="VNI46" s="76"/>
      <c r="VNJ46" s="76"/>
      <c r="VNK46" s="76"/>
      <c r="VNL46" s="76"/>
      <c r="VNM46" s="76"/>
      <c r="VNN46" s="76"/>
      <c r="VNO46" s="76"/>
      <c r="VNP46" s="76"/>
      <c r="VNQ46" s="76"/>
      <c r="VNR46" s="76"/>
      <c r="VNS46" s="76"/>
      <c r="VNT46" s="76"/>
      <c r="VNU46" s="76"/>
      <c r="VNV46" s="76"/>
      <c r="VNW46" s="76"/>
      <c r="VNX46" s="76"/>
      <c r="VNY46" s="76"/>
      <c r="VNZ46" s="76"/>
      <c r="VOA46" s="76"/>
      <c r="VOB46" s="76"/>
      <c r="VOC46" s="76"/>
      <c r="VOD46" s="76"/>
      <c r="VOE46" s="76"/>
      <c r="VOF46" s="76"/>
      <c r="VOG46" s="76"/>
      <c r="VOH46" s="76"/>
      <c r="VOI46" s="76"/>
      <c r="VOJ46" s="76"/>
      <c r="VOK46" s="76"/>
      <c r="VOL46" s="76"/>
      <c r="VOM46" s="76"/>
      <c r="VON46" s="76"/>
      <c r="VOO46" s="76"/>
      <c r="VOP46" s="76"/>
      <c r="VOQ46" s="76"/>
      <c r="VOR46" s="76"/>
      <c r="VOS46" s="76"/>
      <c r="VOT46" s="76"/>
      <c r="VOU46" s="76"/>
      <c r="VOV46" s="76"/>
      <c r="VOW46" s="76"/>
      <c r="VOX46" s="76"/>
      <c r="VOY46" s="76"/>
      <c r="VOZ46" s="76"/>
      <c r="VPA46" s="76"/>
      <c r="VPB46" s="76"/>
      <c r="VPC46" s="76"/>
      <c r="VPD46" s="76"/>
      <c r="VPE46" s="76"/>
      <c r="VPF46" s="76"/>
      <c r="VPG46" s="76"/>
      <c r="VPH46" s="76"/>
      <c r="VPI46" s="76"/>
      <c r="VPJ46" s="76"/>
      <c r="VPK46" s="76"/>
      <c r="VPL46" s="76"/>
      <c r="VPM46" s="76"/>
      <c r="VPN46" s="76"/>
      <c r="VPO46" s="76"/>
      <c r="VPP46" s="76"/>
      <c r="VPQ46" s="76"/>
      <c r="VPR46" s="76"/>
      <c r="VPS46" s="76"/>
      <c r="VPT46" s="76"/>
      <c r="VPU46" s="76"/>
      <c r="VPV46" s="76"/>
      <c r="VPW46" s="76"/>
      <c r="VPX46" s="76"/>
      <c r="VPY46" s="76"/>
      <c r="VPZ46" s="76"/>
      <c r="VQA46" s="76"/>
      <c r="VQB46" s="76"/>
      <c r="VQC46" s="76"/>
      <c r="VQD46" s="76"/>
      <c r="VQE46" s="76"/>
      <c r="VQF46" s="76"/>
      <c r="VQG46" s="76"/>
      <c r="VQH46" s="76"/>
      <c r="VQI46" s="76"/>
      <c r="VQJ46" s="76"/>
      <c r="VQK46" s="76"/>
      <c r="VQL46" s="76"/>
      <c r="VQM46" s="76"/>
      <c r="VQN46" s="76"/>
      <c r="VQO46" s="76"/>
      <c r="VQP46" s="76"/>
      <c r="VQQ46" s="76"/>
      <c r="VQR46" s="76"/>
      <c r="VQS46" s="76"/>
      <c r="VQT46" s="76"/>
      <c r="VQU46" s="76"/>
      <c r="VQV46" s="76"/>
      <c r="VQW46" s="76"/>
      <c r="VQX46" s="76"/>
      <c r="VQY46" s="76"/>
      <c r="VQZ46" s="76"/>
      <c r="VRA46" s="76"/>
      <c r="VRB46" s="76"/>
      <c r="VRC46" s="76"/>
      <c r="VRD46" s="76"/>
      <c r="VRE46" s="76"/>
      <c r="VRF46" s="76"/>
      <c r="VRG46" s="76"/>
      <c r="VRH46" s="76"/>
      <c r="VRI46" s="76"/>
      <c r="VRJ46" s="76"/>
      <c r="VRK46" s="76"/>
      <c r="VRL46" s="76"/>
      <c r="VRM46" s="76"/>
      <c r="VRN46" s="76"/>
      <c r="VRO46" s="76"/>
      <c r="VRP46" s="76"/>
      <c r="VRQ46" s="76"/>
      <c r="VRR46" s="76"/>
      <c r="VRS46" s="76"/>
      <c r="VRT46" s="76"/>
      <c r="VRU46" s="76"/>
      <c r="VRV46" s="76"/>
      <c r="VRW46" s="76"/>
      <c r="VRX46" s="76"/>
      <c r="VRY46" s="76"/>
      <c r="VRZ46" s="76"/>
      <c r="VSA46" s="76"/>
      <c r="VSB46" s="76"/>
      <c r="VSC46" s="76"/>
      <c r="VSD46" s="76"/>
      <c r="VSE46" s="76"/>
      <c r="VSF46" s="76"/>
      <c r="VSG46" s="76"/>
      <c r="VSH46" s="76"/>
      <c r="VSI46" s="76"/>
      <c r="VSJ46" s="76"/>
      <c r="VSK46" s="76"/>
      <c r="VSL46" s="76"/>
      <c r="VSM46" s="76"/>
      <c r="VSN46" s="76"/>
      <c r="VSO46" s="76"/>
      <c r="VSP46" s="76"/>
      <c r="VSQ46" s="76"/>
      <c r="VSR46" s="76"/>
      <c r="VSS46" s="76"/>
      <c r="VST46" s="76"/>
      <c r="VSU46" s="76"/>
      <c r="VSV46" s="76"/>
      <c r="VSW46" s="76"/>
      <c r="VSX46" s="76"/>
      <c r="VSY46" s="76"/>
      <c r="VSZ46" s="76"/>
      <c r="VTA46" s="76"/>
      <c r="VTB46" s="76"/>
      <c r="VTC46" s="76"/>
      <c r="VTD46" s="76"/>
      <c r="VTE46" s="76"/>
      <c r="VTF46" s="76"/>
      <c r="VTG46" s="76"/>
      <c r="VTH46" s="76"/>
      <c r="VTI46" s="76"/>
      <c r="VTJ46" s="76"/>
      <c r="VTK46" s="76"/>
      <c r="VTL46" s="76"/>
      <c r="VTM46" s="76"/>
      <c r="VTN46" s="76"/>
      <c r="VTO46" s="76"/>
      <c r="VTP46" s="76"/>
      <c r="VTQ46" s="76"/>
      <c r="VTR46" s="76"/>
      <c r="VTS46" s="76"/>
      <c r="VTT46" s="76"/>
      <c r="VTU46" s="76"/>
      <c r="VTV46" s="76"/>
      <c r="VTW46" s="76"/>
      <c r="VTX46" s="76"/>
      <c r="VTY46" s="76"/>
      <c r="VTZ46" s="76"/>
      <c r="VUA46" s="76"/>
      <c r="VUB46" s="76"/>
      <c r="VUC46" s="76"/>
      <c r="VUD46" s="76"/>
      <c r="VUE46" s="76"/>
      <c r="VUF46" s="76"/>
      <c r="VUG46" s="76"/>
      <c r="VUH46" s="76"/>
      <c r="VUI46" s="76"/>
      <c r="VUJ46" s="76"/>
      <c r="VUK46" s="76"/>
      <c r="VUL46" s="76"/>
      <c r="VUM46" s="76"/>
      <c r="VUN46" s="76"/>
      <c r="VUO46" s="76"/>
      <c r="VUP46" s="76"/>
      <c r="VUQ46" s="76"/>
      <c r="VUR46" s="76"/>
      <c r="VUS46" s="76"/>
      <c r="VUT46" s="76"/>
      <c r="VUU46" s="76"/>
      <c r="VUV46" s="76"/>
      <c r="VUW46" s="76"/>
      <c r="VUX46" s="76"/>
      <c r="VUY46" s="76"/>
      <c r="VUZ46" s="76"/>
      <c r="VVA46" s="76"/>
      <c r="VVB46" s="76"/>
      <c r="VVC46" s="76"/>
      <c r="VVD46" s="76"/>
      <c r="VVE46" s="76"/>
      <c r="VVF46" s="76"/>
      <c r="VVG46" s="76"/>
      <c r="VVH46" s="76"/>
      <c r="VVI46" s="76"/>
      <c r="VVJ46" s="76"/>
      <c r="VVK46" s="76"/>
      <c r="VVL46" s="76"/>
      <c r="VVM46" s="76"/>
      <c r="VVN46" s="76"/>
      <c r="VVO46" s="76"/>
      <c r="VVP46" s="76"/>
      <c r="VVQ46" s="76"/>
      <c r="VVR46" s="76"/>
      <c r="VVS46" s="76"/>
      <c r="VVT46" s="76"/>
      <c r="VVU46" s="76"/>
      <c r="VVV46" s="76"/>
      <c r="VVW46" s="76"/>
      <c r="VVX46" s="76"/>
      <c r="VVY46" s="76"/>
      <c r="VVZ46" s="76"/>
      <c r="VWA46" s="76"/>
      <c r="VWB46" s="76"/>
      <c r="VWC46" s="76"/>
      <c r="VWD46" s="76"/>
      <c r="VWE46" s="76"/>
      <c r="VWF46" s="76"/>
      <c r="VWG46" s="76"/>
      <c r="VWH46" s="76"/>
      <c r="VWI46" s="76"/>
      <c r="VWJ46" s="76"/>
      <c r="VWK46" s="76"/>
      <c r="VWL46" s="76"/>
      <c r="VWM46" s="76"/>
      <c r="VWN46" s="76"/>
      <c r="VWO46" s="76"/>
      <c r="VWP46" s="76"/>
      <c r="VWQ46" s="76"/>
      <c r="VWR46" s="76"/>
      <c r="VWS46" s="76"/>
      <c r="VWT46" s="76"/>
      <c r="VWU46" s="76"/>
      <c r="VWV46" s="76"/>
      <c r="VWW46" s="76"/>
      <c r="VWX46" s="76"/>
      <c r="VWY46" s="76"/>
      <c r="VWZ46" s="76"/>
      <c r="VXA46" s="76"/>
      <c r="VXB46" s="76"/>
      <c r="VXC46" s="76"/>
      <c r="VXD46" s="76"/>
      <c r="VXE46" s="76"/>
      <c r="VXF46" s="76"/>
      <c r="VXG46" s="76"/>
      <c r="VXH46" s="76"/>
      <c r="VXI46" s="76"/>
      <c r="VXJ46" s="76"/>
      <c r="VXK46" s="76"/>
      <c r="VXL46" s="76"/>
      <c r="VXM46" s="76"/>
      <c r="VXN46" s="76"/>
      <c r="VXO46" s="76"/>
      <c r="VXP46" s="76"/>
      <c r="VXQ46" s="76"/>
      <c r="VXR46" s="76"/>
      <c r="VXS46" s="76"/>
      <c r="VXT46" s="76"/>
      <c r="VXU46" s="76"/>
      <c r="VXV46" s="76"/>
      <c r="VXW46" s="76"/>
      <c r="VXX46" s="76"/>
      <c r="VXY46" s="76"/>
      <c r="VXZ46" s="76"/>
      <c r="VYA46" s="76"/>
      <c r="VYB46" s="76"/>
      <c r="VYC46" s="76"/>
      <c r="VYD46" s="76"/>
      <c r="VYE46" s="76"/>
      <c r="VYF46" s="76"/>
      <c r="VYG46" s="76"/>
      <c r="VYH46" s="76"/>
      <c r="VYI46" s="76"/>
      <c r="VYJ46" s="76"/>
      <c r="VYK46" s="76"/>
      <c r="VYL46" s="76"/>
      <c r="VYM46" s="76"/>
      <c r="VYN46" s="76"/>
      <c r="VYO46" s="76"/>
      <c r="VYP46" s="76"/>
      <c r="VYQ46" s="76"/>
      <c r="VYR46" s="76"/>
      <c r="VYS46" s="76"/>
      <c r="VYT46" s="76"/>
      <c r="VYU46" s="76"/>
      <c r="VYV46" s="76"/>
      <c r="VYW46" s="76"/>
      <c r="VYX46" s="76"/>
      <c r="VYY46" s="76"/>
      <c r="VYZ46" s="76"/>
      <c r="VZA46" s="76"/>
      <c r="VZB46" s="76"/>
      <c r="VZC46" s="76"/>
      <c r="VZD46" s="76"/>
      <c r="VZE46" s="76"/>
      <c r="VZF46" s="76"/>
      <c r="VZG46" s="76"/>
      <c r="VZH46" s="76"/>
      <c r="VZI46" s="76"/>
      <c r="VZJ46" s="76"/>
      <c r="VZK46" s="76"/>
      <c r="VZL46" s="76"/>
      <c r="VZM46" s="76"/>
      <c r="VZN46" s="76"/>
      <c r="VZO46" s="76"/>
      <c r="VZP46" s="76"/>
      <c r="VZQ46" s="76"/>
      <c r="VZR46" s="76"/>
      <c r="VZS46" s="76"/>
      <c r="VZT46" s="76"/>
      <c r="VZU46" s="76"/>
      <c r="VZV46" s="76"/>
      <c r="VZW46" s="76"/>
      <c r="VZX46" s="76"/>
      <c r="VZY46" s="76"/>
      <c r="VZZ46" s="76"/>
      <c r="WAA46" s="76"/>
      <c r="WAB46" s="76"/>
      <c r="WAC46" s="76"/>
      <c r="WAD46" s="76"/>
      <c r="WAE46" s="76"/>
      <c r="WAF46" s="76"/>
      <c r="WAG46" s="76"/>
      <c r="WAH46" s="76"/>
      <c r="WAI46" s="76"/>
      <c r="WAJ46" s="76"/>
      <c r="WAK46" s="76"/>
      <c r="WAL46" s="76"/>
      <c r="WAM46" s="76"/>
      <c r="WAN46" s="76"/>
      <c r="WAO46" s="76"/>
      <c r="WAP46" s="76"/>
      <c r="WAQ46" s="76"/>
      <c r="WAR46" s="76"/>
      <c r="WAS46" s="76"/>
      <c r="WAT46" s="76"/>
      <c r="WAU46" s="76"/>
      <c r="WAV46" s="76"/>
      <c r="WAW46" s="76"/>
      <c r="WAX46" s="76"/>
      <c r="WAY46" s="76"/>
      <c r="WAZ46" s="76"/>
      <c r="WBA46" s="76"/>
      <c r="WBB46" s="76"/>
      <c r="WBC46" s="76"/>
      <c r="WBD46" s="76"/>
      <c r="WBE46" s="76"/>
      <c r="WBF46" s="76"/>
      <c r="WBG46" s="76"/>
      <c r="WBH46" s="76"/>
      <c r="WBI46" s="76"/>
      <c r="WBJ46" s="76"/>
      <c r="WBK46" s="76"/>
      <c r="WBL46" s="76"/>
      <c r="WBM46" s="76"/>
      <c r="WBN46" s="76"/>
      <c r="WBO46" s="76"/>
      <c r="WBP46" s="76"/>
      <c r="WBQ46" s="76"/>
      <c r="WBR46" s="76"/>
      <c r="WBS46" s="76"/>
      <c r="WBT46" s="76"/>
      <c r="WBU46" s="76"/>
      <c r="WBV46" s="76"/>
      <c r="WBW46" s="76"/>
      <c r="WBX46" s="76"/>
      <c r="WBY46" s="76"/>
      <c r="WBZ46" s="76"/>
      <c r="WCA46" s="76"/>
      <c r="WCB46" s="76"/>
      <c r="WCC46" s="76"/>
      <c r="WCD46" s="76"/>
      <c r="WCE46" s="76"/>
      <c r="WCF46" s="76"/>
      <c r="WCG46" s="76"/>
      <c r="WCH46" s="76"/>
      <c r="WCI46" s="76"/>
      <c r="WCJ46" s="76"/>
      <c r="WCK46" s="76"/>
      <c r="WCL46" s="76"/>
      <c r="WCM46" s="76"/>
      <c r="WCN46" s="76"/>
      <c r="WCO46" s="76"/>
      <c r="WCP46" s="76"/>
      <c r="WCQ46" s="76"/>
      <c r="WCR46" s="76"/>
      <c r="WCS46" s="76"/>
      <c r="WCT46" s="76"/>
      <c r="WCU46" s="76"/>
      <c r="WCV46" s="76"/>
      <c r="WCW46" s="76"/>
      <c r="WCX46" s="76"/>
      <c r="WCY46" s="76"/>
      <c r="WCZ46" s="76"/>
      <c r="WDA46" s="76"/>
      <c r="WDB46" s="76"/>
      <c r="WDC46" s="76"/>
      <c r="WDD46" s="76"/>
      <c r="WDE46" s="76"/>
      <c r="WDF46" s="76"/>
      <c r="WDG46" s="76"/>
      <c r="WDH46" s="76"/>
      <c r="WDI46" s="76"/>
      <c r="WDJ46" s="76"/>
      <c r="WDK46" s="76"/>
      <c r="WDL46" s="76"/>
      <c r="WDM46" s="76"/>
      <c r="WDN46" s="76"/>
      <c r="WDO46" s="76"/>
      <c r="WDP46" s="76"/>
      <c r="WDQ46" s="76"/>
      <c r="WDR46" s="76"/>
      <c r="WDS46" s="76"/>
      <c r="WDT46" s="76"/>
      <c r="WDU46" s="76"/>
      <c r="WDV46" s="76"/>
      <c r="WDW46" s="76"/>
      <c r="WDX46" s="76"/>
      <c r="WDY46" s="76"/>
      <c r="WDZ46" s="76"/>
      <c r="WEA46" s="76"/>
      <c r="WEB46" s="76"/>
      <c r="WEC46" s="76"/>
      <c r="WED46" s="76"/>
      <c r="WEE46" s="76"/>
      <c r="WEF46" s="76"/>
      <c r="WEG46" s="76"/>
      <c r="WEH46" s="76"/>
      <c r="WEI46" s="76"/>
      <c r="WEJ46" s="76"/>
      <c r="WEK46" s="76"/>
      <c r="WEL46" s="76"/>
      <c r="WEM46" s="76"/>
      <c r="WEN46" s="76"/>
      <c r="WEO46" s="76"/>
      <c r="WEP46" s="76"/>
      <c r="WEQ46" s="76"/>
      <c r="WER46" s="76"/>
      <c r="WES46" s="76"/>
      <c r="WET46" s="76"/>
      <c r="WEU46" s="76"/>
      <c r="WEV46" s="76"/>
      <c r="WEW46" s="76"/>
      <c r="WEX46" s="76"/>
      <c r="WEY46" s="76"/>
      <c r="WEZ46" s="76"/>
      <c r="WFA46" s="76"/>
      <c r="WFB46" s="76"/>
      <c r="WFC46" s="76"/>
      <c r="WFD46" s="76"/>
      <c r="WFE46" s="76"/>
      <c r="WFF46" s="76"/>
      <c r="WFG46" s="76"/>
      <c r="WFH46" s="76"/>
      <c r="WFI46" s="76"/>
      <c r="WFJ46" s="76"/>
      <c r="WFK46" s="76"/>
      <c r="WFL46" s="76"/>
      <c r="WFM46" s="76"/>
      <c r="WFN46" s="76"/>
      <c r="WFO46" s="76"/>
      <c r="WFP46" s="76"/>
      <c r="WFQ46" s="76"/>
      <c r="WFR46" s="76"/>
      <c r="WFS46" s="76"/>
      <c r="WFT46" s="76"/>
      <c r="WFU46" s="76"/>
      <c r="WFV46" s="76"/>
      <c r="WFW46" s="76"/>
      <c r="WFX46" s="76"/>
      <c r="WFY46" s="76"/>
      <c r="WFZ46" s="76"/>
      <c r="WGA46" s="76"/>
      <c r="WGB46" s="76"/>
      <c r="WGC46" s="76"/>
      <c r="WGD46" s="76"/>
      <c r="WGE46" s="76"/>
      <c r="WGF46" s="76"/>
      <c r="WGG46" s="76"/>
      <c r="WGH46" s="76"/>
      <c r="WGI46" s="76"/>
      <c r="WGJ46" s="76"/>
      <c r="WGK46" s="76"/>
      <c r="WGL46" s="76"/>
      <c r="WGM46" s="76"/>
      <c r="WGN46" s="76"/>
      <c r="WGO46" s="76"/>
      <c r="WGP46" s="76"/>
      <c r="WGQ46" s="76"/>
      <c r="WGR46" s="76"/>
      <c r="WGS46" s="76"/>
      <c r="WGT46" s="76"/>
      <c r="WGU46" s="76"/>
      <c r="WGV46" s="76"/>
      <c r="WGW46" s="76"/>
      <c r="WGX46" s="76"/>
      <c r="WGY46" s="76"/>
      <c r="WGZ46" s="76"/>
      <c r="WHA46" s="76"/>
      <c r="WHB46" s="76"/>
      <c r="WHC46" s="76"/>
      <c r="WHD46" s="76"/>
      <c r="WHE46" s="76"/>
      <c r="WHF46" s="76"/>
      <c r="WHG46" s="76"/>
      <c r="WHH46" s="76"/>
      <c r="WHI46" s="76"/>
      <c r="WHJ46" s="76"/>
      <c r="WHK46" s="76"/>
      <c r="WHL46" s="76"/>
      <c r="WHM46" s="76"/>
      <c r="WHN46" s="76"/>
      <c r="WHO46" s="76"/>
      <c r="WHP46" s="76"/>
      <c r="WHQ46" s="76"/>
      <c r="WHR46" s="76"/>
      <c r="WHS46" s="76"/>
      <c r="WHT46" s="76"/>
      <c r="WHU46" s="76"/>
      <c r="WHV46" s="76"/>
      <c r="WHW46" s="76"/>
      <c r="WHX46" s="76"/>
      <c r="WHY46" s="76"/>
      <c r="WHZ46" s="76"/>
      <c r="WIA46" s="76"/>
      <c r="WIB46" s="76"/>
      <c r="WIC46" s="76"/>
      <c r="WID46" s="76"/>
      <c r="WIE46" s="76"/>
      <c r="WIF46" s="76"/>
      <c r="WIG46" s="76"/>
      <c r="WIH46" s="76"/>
      <c r="WII46" s="76"/>
      <c r="WIJ46" s="76"/>
      <c r="WIK46" s="76"/>
      <c r="WIL46" s="76"/>
      <c r="WIM46" s="76"/>
      <c r="WIN46" s="76"/>
      <c r="WIO46" s="76"/>
      <c r="WIP46" s="76"/>
      <c r="WIQ46" s="76"/>
      <c r="WIR46" s="76"/>
      <c r="WIS46" s="76"/>
      <c r="WIT46" s="76"/>
      <c r="WIU46" s="76"/>
      <c r="WIV46" s="76"/>
      <c r="WIW46" s="76"/>
      <c r="WIX46" s="76"/>
      <c r="WIY46" s="76"/>
      <c r="WIZ46" s="76"/>
      <c r="WJA46" s="76"/>
      <c r="WJB46" s="76"/>
      <c r="WJC46" s="76"/>
      <c r="WJD46" s="76"/>
      <c r="WJE46" s="76"/>
      <c r="WJF46" s="76"/>
      <c r="WJG46" s="76"/>
      <c r="WJH46" s="76"/>
      <c r="WJI46" s="76"/>
      <c r="WJJ46" s="76"/>
      <c r="WJK46" s="76"/>
      <c r="WJL46" s="76"/>
      <c r="WJM46" s="76"/>
      <c r="WJN46" s="76"/>
      <c r="WJO46" s="76"/>
      <c r="WJP46" s="76"/>
      <c r="WJQ46" s="76"/>
      <c r="WJR46" s="76"/>
      <c r="WJS46" s="76"/>
      <c r="WJT46" s="76"/>
      <c r="WJU46" s="76"/>
      <c r="WJV46" s="76"/>
      <c r="WJW46" s="76"/>
      <c r="WJX46" s="76"/>
      <c r="WJY46" s="76"/>
      <c r="WJZ46" s="76"/>
      <c r="WKA46" s="76"/>
      <c r="WKB46" s="76"/>
      <c r="WKC46" s="76"/>
      <c r="WKD46" s="76"/>
      <c r="WKE46" s="76"/>
      <c r="WKF46" s="76"/>
      <c r="WKG46" s="76"/>
      <c r="WKH46" s="76"/>
      <c r="WKI46" s="76"/>
      <c r="WKJ46" s="76"/>
      <c r="WKK46" s="76"/>
      <c r="WKL46" s="76"/>
      <c r="WKM46" s="76"/>
      <c r="WKN46" s="76"/>
      <c r="WKO46" s="76"/>
      <c r="WKP46" s="76"/>
      <c r="WKQ46" s="76"/>
      <c r="WKR46" s="76"/>
      <c r="WKS46" s="76"/>
      <c r="WKT46" s="76"/>
      <c r="WKU46" s="76"/>
      <c r="WKV46" s="76"/>
      <c r="WKW46" s="76"/>
      <c r="WKX46" s="76"/>
      <c r="WKY46" s="76"/>
      <c r="WKZ46" s="76"/>
      <c r="WLA46" s="76"/>
      <c r="WLB46" s="76"/>
      <c r="WLC46" s="76"/>
      <c r="WLD46" s="76"/>
      <c r="WLE46" s="76"/>
      <c r="WLF46" s="76"/>
      <c r="WLG46" s="76"/>
      <c r="WLH46" s="76"/>
      <c r="WLI46" s="76"/>
      <c r="WLJ46" s="76"/>
      <c r="WLK46" s="76"/>
      <c r="WLL46" s="76"/>
      <c r="WLM46" s="76"/>
      <c r="WLN46" s="76"/>
      <c r="WLO46" s="76"/>
      <c r="WLP46" s="76"/>
      <c r="WLQ46" s="76"/>
      <c r="WLR46" s="76"/>
      <c r="WLS46" s="76"/>
      <c r="WLT46" s="76"/>
      <c r="WLU46" s="76"/>
      <c r="WLV46" s="76"/>
      <c r="WLW46" s="76"/>
      <c r="WLX46" s="76"/>
      <c r="WLY46" s="76"/>
      <c r="WLZ46" s="76"/>
      <c r="WMA46" s="76"/>
      <c r="WMB46" s="76"/>
      <c r="WMC46" s="76"/>
      <c r="WMD46" s="76"/>
      <c r="WME46" s="76"/>
      <c r="WMF46" s="76"/>
      <c r="WMG46" s="76"/>
      <c r="WMH46" s="76"/>
      <c r="WMI46" s="76"/>
      <c r="WMJ46" s="76"/>
      <c r="WMK46" s="76"/>
      <c r="WML46" s="76"/>
      <c r="WMM46" s="76"/>
      <c r="WMN46" s="76"/>
      <c r="WMO46" s="76"/>
      <c r="WMP46" s="76"/>
      <c r="WMQ46" s="76"/>
      <c r="WMR46" s="76"/>
      <c r="WMS46" s="76"/>
      <c r="WMT46" s="76"/>
      <c r="WMU46" s="76"/>
      <c r="WMV46" s="76"/>
      <c r="WMW46" s="76"/>
      <c r="WMX46" s="76"/>
      <c r="WMY46" s="76"/>
      <c r="WMZ46" s="76"/>
      <c r="WNA46" s="76"/>
      <c r="WNB46" s="76"/>
      <c r="WNC46" s="76"/>
      <c r="WND46" s="76"/>
      <c r="WNE46" s="76"/>
      <c r="WNF46" s="76"/>
      <c r="WNG46" s="76"/>
      <c r="WNH46" s="76"/>
      <c r="WNI46" s="76"/>
      <c r="WNJ46" s="76"/>
      <c r="WNK46" s="76"/>
      <c r="WNL46" s="76"/>
      <c r="WNM46" s="76"/>
      <c r="WNN46" s="76"/>
      <c r="WNO46" s="76"/>
      <c r="WNP46" s="76"/>
      <c r="WNQ46" s="76"/>
      <c r="WNR46" s="76"/>
      <c r="WNS46" s="76"/>
      <c r="WNT46" s="76"/>
      <c r="WNU46" s="76"/>
      <c r="WNV46" s="76"/>
      <c r="WNW46" s="76"/>
      <c r="WNX46" s="76"/>
      <c r="WNY46" s="76"/>
      <c r="WNZ46" s="76"/>
      <c r="WOA46" s="76"/>
      <c r="WOB46" s="76"/>
      <c r="WOC46" s="76"/>
      <c r="WOD46" s="76"/>
      <c r="WOE46" s="76"/>
      <c r="WOF46" s="76"/>
      <c r="WOG46" s="76"/>
      <c r="WOH46" s="76"/>
      <c r="WOI46" s="76"/>
      <c r="WOJ46" s="76"/>
      <c r="WOK46" s="76"/>
      <c r="WOL46" s="76"/>
      <c r="WOM46" s="76"/>
      <c r="WON46" s="76"/>
      <c r="WOO46" s="76"/>
      <c r="WOP46" s="76"/>
      <c r="WOQ46" s="76"/>
      <c r="WOR46" s="76"/>
      <c r="WOS46" s="76"/>
      <c r="WOT46" s="76"/>
      <c r="WOU46" s="76"/>
      <c r="WOV46" s="76"/>
      <c r="WOW46" s="76"/>
      <c r="WOX46" s="76"/>
      <c r="WOY46" s="76"/>
      <c r="WOZ46" s="76"/>
      <c r="WPA46" s="76"/>
      <c r="WPB46" s="76"/>
      <c r="WPC46" s="76"/>
      <c r="WPD46" s="76"/>
      <c r="WPE46" s="76"/>
      <c r="WPF46" s="76"/>
      <c r="WPG46" s="76"/>
      <c r="WPH46" s="76"/>
      <c r="WPI46" s="76"/>
      <c r="WPJ46" s="76"/>
      <c r="WPK46" s="76"/>
      <c r="WPL46" s="76"/>
      <c r="WPM46" s="76"/>
      <c r="WPN46" s="76"/>
      <c r="WPO46" s="76"/>
      <c r="WPP46" s="76"/>
      <c r="WPQ46" s="76"/>
      <c r="WPR46" s="76"/>
      <c r="WPS46" s="76"/>
      <c r="WPT46" s="76"/>
      <c r="WPU46" s="76"/>
      <c r="WPV46" s="76"/>
      <c r="WPW46" s="76"/>
      <c r="WPX46" s="76"/>
      <c r="WPY46" s="76"/>
      <c r="WPZ46" s="76"/>
      <c r="WQA46" s="76"/>
      <c r="WQB46" s="76"/>
      <c r="WQC46" s="76"/>
      <c r="WQD46" s="76"/>
      <c r="WQE46" s="76"/>
      <c r="WQF46" s="76"/>
      <c r="WQG46" s="76"/>
      <c r="WQH46" s="76"/>
      <c r="WQI46" s="76"/>
      <c r="WQJ46" s="76"/>
      <c r="WQK46" s="76"/>
      <c r="WQL46" s="76"/>
      <c r="WQM46" s="76"/>
      <c r="WQN46" s="76"/>
      <c r="WQO46" s="76"/>
      <c r="WQP46" s="76"/>
      <c r="WQQ46" s="76"/>
      <c r="WQR46" s="76"/>
      <c r="WQS46" s="76"/>
      <c r="WQT46" s="76"/>
      <c r="WQU46" s="76"/>
      <c r="WQV46" s="76"/>
      <c r="WQW46" s="76"/>
      <c r="WQX46" s="76"/>
      <c r="WQY46" s="76"/>
      <c r="WQZ46" s="76"/>
      <c r="WRA46" s="76"/>
      <c r="WRB46" s="76"/>
      <c r="WRC46" s="76"/>
      <c r="WRD46" s="76"/>
      <c r="WRE46" s="76"/>
      <c r="WRF46" s="76"/>
      <c r="WRG46" s="76"/>
      <c r="WRH46" s="76"/>
      <c r="WRI46" s="76"/>
      <c r="WRJ46" s="76"/>
      <c r="WRK46" s="76"/>
      <c r="WRL46" s="76"/>
      <c r="WRM46" s="76"/>
      <c r="WRN46" s="76"/>
      <c r="WRO46" s="76"/>
      <c r="WRP46" s="76"/>
      <c r="WRQ46" s="76"/>
      <c r="WRR46" s="76"/>
      <c r="WRS46" s="76"/>
      <c r="WRT46" s="76"/>
      <c r="WRU46" s="76"/>
      <c r="WRV46" s="76"/>
      <c r="WRW46" s="76"/>
      <c r="WRX46" s="76"/>
      <c r="WRY46" s="76"/>
      <c r="WRZ46" s="76"/>
      <c r="WSA46" s="76"/>
      <c r="WSB46" s="76"/>
      <c r="WSC46" s="76"/>
      <c r="WSD46" s="76"/>
      <c r="WSE46" s="76"/>
      <c r="WSF46" s="76"/>
      <c r="WSG46" s="76"/>
      <c r="WSH46" s="76"/>
      <c r="WSI46" s="76"/>
      <c r="WSJ46" s="76"/>
      <c r="WSK46" s="76"/>
      <c r="WSL46" s="76"/>
      <c r="WSM46" s="76"/>
      <c r="WSN46" s="76"/>
      <c r="WSO46" s="76"/>
      <c r="WSP46" s="76"/>
      <c r="WSQ46" s="76"/>
      <c r="WSR46" s="76"/>
      <c r="WSS46" s="76"/>
      <c r="WST46" s="76"/>
      <c r="WSU46" s="76"/>
      <c r="WSV46" s="76"/>
      <c r="WSW46" s="76"/>
      <c r="WSX46" s="76"/>
      <c r="WSY46" s="76"/>
      <c r="WSZ46" s="76"/>
      <c r="WTA46" s="76"/>
      <c r="WTB46" s="76"/>
      <c r="WTC46" s="76"/>
      <c r="WTD46" s="76"/>
      <c r="WTE46" s="76"/>
      <c r="WTF46" s="76"/>
      <c r="WTG46" s="76"/>
      <c r="WTH46" s="76"/>
      <c r="WTI46" s="76"/>
      <c r="WTJ46" s="76"/>
      <c r="WTK46" s="76"/>
      <c r="WTL46" s="76"/>
      <c r="WTM46" s="76"/>
      <c r="WTN46" s="76"/>
      <c r="WTO46" s="76"/>
      <c r="WTP46" s="76"/>
      <c r="WTQ46" s="76"/>
      <c r="WTR46" s="76"/>
      <c r="WTS46" s="76"/>
      <c r="WTT46" s="76"/>
      <c r="WTU46" s="76"/>
      <c r="WTV46" s="76"/>
      <c r="WTW46" s="76"/>
      <c r="WTX46" s="76"/>
      <c r="WTY46" s="76"/>
      <c r="WTZ46" s="76"/>
      <c r="WUA46" s="76"/>
      <c r="WUB46" s="76"/>
      <c r="WUC46" s="76"/>
      <c r="WUD46" s="76"/>
      <c r="WUE46" s="76"/>
      <c r="WUF46" s="76"/>
      <c r="WUG46" s="76"/>
      <c r="WUH46" s="76"/>
      <c r="WUI46" s="76"/>
      <c r="WUJ46" s="76"/>
      <c r="WUK46" s="76"/>
      <c r="WUL46" s="76"/>
      <c r="WUM46" s="76"/>
      <c r="WUN46" s="76"/>
      <c r="WUO46" s="76"/>
      <c r="WUP46" s="76"/>
      <c r="WUQ46" s="76"/>
      <c r="WUR46" s="76"/>
      <c r="WUS46" s="76"/>
      <c r="WUT46" s="76"/>
      <c r="WUU46" s="76"/>
      <c r="WUV46" s="76"/>
      <c r="WUW46" s="76"/>
      <c r="WUX46" s="76"/>
      <c r="WUY46" s="76"/>
      <c r="WUZ46" s="76"/>
      <c r="WVA46" s="76"/>
      <c r="WVB46" s="76"/>
      <c r="WVC46" s="76"/>
      <c r="WVD46" s="76"/>
      <c r="WVE46" s="76"/>
      <c r="WVF46" s="76"/>
      <c r="WVG46" s="76"/>
      <c r="WVH46" s="76"/>
      <c r="WVI46" s="76"/>
      <c r="WVJ46" s="76"/>
      <c r="WVK46" s="76"/>
      <c r="WVL46" s="76"/>
      <c r="WVM46" s="76"/>
      <c r="WVN46" s="76"/>
      <c r="WVO46" s="76"/>
      <c r="WVP46" s="76"/>
      <c r="WVQ46" s="76"/>
      <c r="WVR46" s="76"/>
      <c r="WVS46" s="76"/>
      <c r="WVT46" s="76"/>
      <c r="WVU46" s="76"/>
      <c r="WVV46" s="76"/>
      <c r="WVW46" s="76"/>
      <c r="WVX46" s="76"/>
      <c r="WVY46" s="76"/>
      <c r="WVZ46" s="76"/>
      <c r="WWA46" s="76"/>
      <c r="WWB46" s="76"/>
      <c r="WWC46" s="76"/>
      <c r="WWD46" s="76"/>
      <c r="WWE46" s="76"/>
      <c r="WWF46" s="76"/>
      <c r="WWG46" s="76"/>
      <c r="WWH46" s="76"/>
      <c r="WWI46" s="76"/>
      <c r="WWJ46" s="76"/>
      <c r="WWK46" s="76"/>
      <c r="WWL46" s="76"/>
      <c r="WWM46" s="76"/>
      <c r="WWN46" s="76"/>
      <c r="WWO46" s="76"/>
      <c r="WWP46" s="76"/>
      <c r="WWQ46" s="76"/>
      <c r="WWR46" s="76"/>
      <c r="WWS46" s="76"/>
      <c r="WWT46" s="76"/>
      <c r="WWU46" s="76"/>
      <c r="WWV46" s="76"/>
      <c r="WWW46" s="76"/>
      <c r="WWX46" s="76"/>
      <c r="WWY46" s="76"/>
      <c r="WWZ46" s="76"/>
      <c r="WXA46" s="76"/>
    </row>
    <row r="47" spans="1:16173" s="77" customFormat="1" ht="34" customHeight="1" x14ac:dyDescent="0.55000000000000004">
      <c r="A47" s="76"/>
      <c r="B47" s="76"/>
      <c r="C47" s="8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  <c r="CC47" s="76"/>
      <c r="CD47" s="76"/>
      <c r="CE47" s="76"/>
      <c r="CF47" s="76"/>
      <c r="CG47" s="76"/>
      <c r="CH47" s="76"/>
      <c r="CI47" s="76"/>
      <c r="CJ47" s="76"/>
      <c r="CK47" s="76"/>
      <c r="CL47" s="76"/>
      <c r="CM47" s="76"/>
      <c r="CN47" s="76"/>
      <c r="CO47" s="76"/>
      <c r="CP47" s="76"/>
      <c r="CQ47" s="76"/>
      <c r="CR47" s="76"/>
      <c r="CS47" s="76"/>
      <c r="CT47" s="76"/>
      <c r="CU47" s="76"/>
      <c r="CV47" s="76"/>
      <c r="CW47" s="76"/>
      <c r="CX47" s="76"/>
      <c r="CY47" s="76"/>
      <c r="CZ47" s="76"/>
      <c r="DA47" s="76"/>
      <c r="DB47" s="76"/>
      <c r="DC47" s="76"/>
      <c r="DD47" s="76"/>
      <c r="DE47" s="76"/>
      <c r="DF47" s="76"/>
      <c r="DG47" s="76"/>
      <c r="DH47" s="76"/>
      <c r="DI47" s="76"/>
      <c r="DJ47" s="76"/>
      <c r="DK47" s="76"/>
      <c r="DL47" s="76"/>
      <c r="DM47" s="76"/>
      <c r="DN47" s="76"/>
      <c r="DO47" s="76"/>
      <c r="DP47" s="76"/>
      <c r="DQ47" s="76"/>
      <c r="DR47" s="76"/>
      <c r="DS47" s="76"/>
      <c r="DT47" s="76"/>
      <c r="DU47" s="76"/>
      <c r="DV47" s="76"/>
      <c r="DW47" s="76"/>
      <c r="DX47" s="76"/>
      <c r="DY47" s="76"/>
      <c r="DZ47" s="76"/>
      <c r="EA47" s="76"/>
      <c r="EB47" s="76"/>
      <c r="EC47" s="76"/>
      <c r="ED47" s="76"/>
      <c r="EE47" s="76"/>
      <c r="EF47" s="76"/>
      <c r="EG47" s="76"/>
      <c r="EH47" s="76"/>
      <c r="EI47" s="76"/>
      <c r="EJ47" s="76"/>
      <c r="EK47" s="76"/>
      <c r="EL47" s="76"/>
      <c r="EM47" s="76"/>
      <c r="EN47" s="76"/>
      <c r="EO47" s="76"/>
      <c r="EP47" s="76"/>
      <c r="EQ47" s="76"/>
      <c r="ER47" s="76"/>
      <c r="ES47" s="76"/>
      <c r="ET47" s="76"/>
      <c r="EU47" s="76"/>
      <c r="EV47" s="76"/>
      <c r="EW47" s="76"/>
      <c r="EX47" s="76"/>
      <c r="EY47" s="76"/>
      <c r="EZ47" s="76"/>
      <c r="FA47" s="76"/>
      <c r="FB47" s="76"/>
      <c r="FC47" s="76"/>
      <c r="FD47" s="76"/>
      <c r="FE47" s="76"/>
      <c r="FF47" s="76"/>
      <c r="FG47" s="76"/>
      <c r="FH47" s="76"/>
      <c r="FI47" s="76"/>
      <c r="FJ47" s="76"/>
      <c r="FK47" s="76"/>
      <c r="FL47" s="76"/>
      <c r="FM47" s="76"/>
      <c r="FN47" s="76"/>
      <c r="FO47" s="76"/>
      <c r="FP47" s="76"/>
      <c r="FQ47" s="76"/>
      <c r="FR47" s="76"/>
      <c r="FS47" s="76"/>
      <c r="FT47" s="76"/>
      <c r="FU47" s="76"/>
      <c r="FV47" s="76"/>
      <c r="FW47" s="76"/>
      <c r="FX47" s="76"/>
      <c r="FY47" s="76"/>
      <c r="FZ47" s="76"/>
      <c r="GA47" s="76"/>
      <c r="GB47" s="76"/>
      <c r="GC47" s="76"/>
      <c r="GD47" s="76"/>
      <c r="GE47" s="76"/>
      <c r="GF47" s="76"/>
      <c r="GG47" s="76"/>
      <c r="GH47" s="76"/>
      <c r="GI47" s="76"/>
      <c r="GJ47" s="76"/>
      <c r="GK47" s="76"/>
      <c r="GL47" s="76"/>
      <c r="GM47" s="76"/>
      <c r="GN47" s="76"/>
      <c r="GO47" s="76"/>
      <c r="GP47" s="76"/>
      <c r="GQ47" s="76"/>
      <c r="GR47" s="76"/>
      <c r="GS47" s="76"/>
      <c r="GT47" s="76"/>
      <c r="GU47" s="76"/>
      <c r="GV47" s="76"/>
      <c r="GW47" s="76"/>
      <c r="GX47" s="76"/>
      <c r="GY47" s="76"/>
      <c r="GZ47" s="76"/>
      <c r="HA47" s="76"/>
      <c r="HB47" s="76"/>
      <c r="HC47" s="76"/>
      <c r="HD47" s="76"/>
      <c r="HE47" s="76"/>
      <c r="HF47" s="76"/>
      <c r="HG47" s="76"/>
      <c r="HH47" s="76"/>
      <c r="HI47" s="76"/>
      <c r="HJ47" s="76"/>
      <c r="HK47" s="76"/>
      <c r="HL47" s="76"/>
      <c r="HM47" s="76"/>
      <c r="HN47" s="76"/>
      <c r="HO47" s="76"/>
      <c r="HP47" s="76"/>
      <c r="HQ47" s="76"/>
      <c r="HR47" s="76"/>
      <c r="HS47" s="76"/>
      <c r="HT47" s="76"/>
      <c r="HU47" s="76"/>
      <c r="HV47" s="76"/>
      <c r="HW47" s="76"/>
      <c r="HX47" s="76"/>
      <c r="HY47" s="76"/>
      <c r="HZ47" s="76"/>
      <c r="IA47" s="76"/>
      <c r="IB47" s="76"/>
      <c r="IC47" s="76"/>
      <c r="ID47" s="76"/>
      <c r="IE47" s="76"/>
      <c r="IF47" s="76"/>
      <c r="IG47" s="76"/>
      <c r="IH47" s="76"/>
      <c r="II47" s="76"/>
      <c r="IJ47" s="76"/>
      <c r="IK47" s="76"/>
      <c r="IL47" s="76"/>
      <c r="IM47" s="76"/>
      <c r="IN47" s="76"/>
      <c r="IO47" s="76"/>
      <c r="IP47" s="76"/>
      <c r="IQ47" s="76"/>
      <c r="IR47" s="76"/>
      <c r="IS47" s="76"/>
      <c r="IT47" s="76"/>
      <c r="IU47" s="76"/>
      <c r="IV47" s="76"/>
      <c r="IW47" s="76"/>
      <c r="IX47" s="76"/>
      <c r="IY47" s="76"/>
      <c r="IZ47" s="76"/>
      <c r="JA47" s="76"/>
      <c r="JB47" s="76"/>
      <c r="JC47" s="76"/>
      <c r="JD47" s="76"/>
      <c r="JE47" s="76"/>
      <c r="JF47" s="76"/>
      <c r="JG47" s="76"/>
      <c r="JH47" s="76"/>
      <c r="JI47" s="76"/>
      <c r="JJ47" s="76"/>
      <c r="JK47" s="76"/>
      <c r="JL47" s="76"/>
      <c r="JM47" s="76"/>
      <c r="JN47" s="76"/>
      <c r="JO47" s="76"/>
      <c r="JP47" s="76"/>
      <c r="JQ47" s="76"/>
      <c r="JR47" s="76"/>
      <c r="JS47" s="76"/>
      <c r="JT47" s="76"/>
      <c r="JU47" s="76"/>
      <c r="JV47" s="76"/>
      <c r="JW47" s="76"/>
      <c r="JX47" s="76"/>
      <c r="JY47" s="76"/>
      <c r="JZ47" s="76"/>
      <c r="KA47" s="76"/>
      <c r="KB47" s="76"/>
      <c r="KC47" s="76"/>
      <c r="KD47" s="76"/>
      <c r="KE47" s="76"/>
      <c r="KF47" s="76"/>
      <c r="KG47" s="76"/>
      <c r="KH47" s="76"/>
      <c r="KI47" s="76"/>
      <c r="KJ47" s="76"/>
      <c r="KK47" s="76"/>
      <c r="KL47" s="76"/>
      <c r="KM47" s="76"/>
      <c r="KN47" s="76"/>
      <c r="KO47" s="76"/>
      <c r="KP47" s="76"/>
      <c r="KQ47" s="76"/>
      <c r="KR47" s="76"/>
      <c r="KS47" s="76"/>
      <c r="KT47" s="76"/>
      <c r="KU47" s="76"/>
      <c r="KV47" s="76"/>
      <c r="KW47" s="76"/>
      <c r="KX47" s="76"/>
      <c r="KY47" s="76"/>
      <c r="KZ47" s="76"/>
      <c r="LA47" s="76"/>
      <c r="LB47" s="76"/>
      <c r="LC47" s="76"/>
      <c r="LD47" s="76"/>
      <c r="LE47" s="76"/>
      <c r="LF47" s="76"/>
      <c r="LG47" s="76"/>
      <c r="LH47" s="76"/>
      <c r="LI47" s="76"/>
      <c r="LJ47" s="76"/>
      <c r="LK47" s="76"/>
      <c r="LL47" s="76"/>
      <c r="LM47" s="76"/>
      <c r="LN47" s="76"/>
      <c r="LO47" s="76"/>
      <c r="LP47" s="76"/>
      <c r="LQ47" s="76"/>
      <c r="LR47" s="76"/>
      <c r="LS47" s="76"/>
      <c r="LT47" s="76"/>
      <c r="LU47" s="76"/>
      <c r="LV47" s="76"/>
      <c r="LW47" s="76"/>
      <c r="LX47" s="76"/>
      <c r="LY47" s="76"/>
      <c r="LZ47" s="76"/>
      <c r="MA47" s="76"/>
      <c r="MB47" s="76"/>
      <c r="MC47" s="76"/>
      <c r="MD47" s="76"/>
      <c r="ME47" s="76"/>
      <c r="MF47" s="76"/>
      <c r="MG47" s="76"/>
      <c r="MH47" s="76"/>
      <c r="MI47" s="76"/>
      <c r="MJ47" s="76"/>
      <c r="MK47" s="76"/>
      <c r="ML47" s="76"/>
      <c r="MM47" s="76"/>
      <c r="MN47" s="76"/>
      <c r="MO47" s="76"/>
      <c r="MP47" s="76"/>
      <c r="MQ47" s="76"/>
      <c r="MR47" s="76"/>
      <c r="MS47" s="76"/>
      <c r="MT47" s="76"/>
      <c r="MU47" s="76"/>
      <c r="MV47" s="76"/>
      <c r="MW47" s="76"/>
      <c r="MX47" s="76"/>
      <c r="MY47" s="76"/>
      <c r="MZ47" s="76"/>
      <c r="NA47" s="76"/>
      <c r="NB47" s="76"/>
      <c r="NC47" s="76"/>
      <c r="ND47" s="76"/>
      <c r="NE47" s="76"/>
      <c r="NF47" s="76"/>
      <c r="NG47" s="76"/>
      <c r="NH47" s="76"/>
      <c r="NI47" s="76"/>
      <c r="NJ47" s="76"/>
      <c r="NK47" s="76"/>
      <c r="NL47" s="76"/>
      <c r="NM47" s="76"/>
      <c r="NN47" s="76"/>
      <c r="NO47" s="76"/>
      <c r="NP47" s="76"/>
      <c r="NQ47" s="76"/>
      <c r="NR47" s="76"/>
      <c r="NS47" s="76"/>
      <c r="NT47" s="76"/>
      <c r="NU47" s="76"/>
      <c r="NV47" s="76"/>
      <c r="NW47" s="76"/>
      <c r="NX47" s="76"/>
      <c r="NY47" s="76"/>
      <c r="NZ47" s="76"/>
      <c r="OA47" s="76"/>
      <c r="OB47" s="76"/>
      <c r="OC47" s="76"/>
      <c r="OD47" s="76"/>
      <c r="OE47" s="76"/>
      <c r="OF47" s="76"/>
      <c r="OG47" s="76"/>
      <c r="OH47" s="76"/>
      <c r="OI47" s="76"/>
      <c r="OJ47" s="76"/>
      <c r="OK47" s="76"/>
      <c r="OL47" s="76"/>
      <c r="OM47" s="76"/>
      <c r="ON47" s="76"/>
      <c r="OO47" s="76"/>
      <c r="OP47" s="76"/>
      <c r="OQ47" s="76"/>
      <c r="OR47" s="76"/>
      <c r="OS47" s="76"/>
      <c r="OT47" s="76"/>
      <c r="OU47" s="76"/>
      <c r="OV47" s="76"/>
      <c r="OW47" s="76"/>
      <c r="OX47" s="76"/>
      <c r="OY47" s="76"/>
      <c r="OZ47" s="76"/>
      <c r="PA47" s="76"/>
      <c r="PB47" s="76"/>
      <c r="PC47" s="76"/>
      <c r="PD47" s="76"/>
      <c r="PE47" s="76"/>
      <c r="PF47" s="76"/>
      <c r="PG47" s="76"/>
      <c r="PH47" s="76"/>
      <c r="PI47" s="76"/>
      <c r="PJ47" s="76"/>
      <c r="PK47" s="76"/>
      <c r="PL47" s="76"/>
      <c r="PM47" s="76"/>
      <c r="PN47" s="76"/>
      <c r="PO47" s="76"/>
      <c r="PP47" s="76"/>
      <c r="PQ47" s="76"/>
      <c r="PR47" s="76"/>
      <c r="PS47" s="76"/>
      <c r="PT47" s="76"/>
      <c r="PU47" s="76"/>
      <c r="PV47" s="76"/>
      <c r="PW47" s="76"/>
      <c r="PX47" s="76"/>
      <c r="PY47" s="76"/>
      <c r="PZ47" s="76"/>
      <c r="QA47" s="76"/>
      <c r="QB47" s="76"/>
      <c r="QC47" s="76"/>
      <c r="QD47" s="76"/>
      <c r="QE47" s="76"/>
      <c r="QF47" s="76"/>
      <c r="QG47" s="76"/>
      <c r="QH47" s="76"/>
      <c r="QI47" s="76"/>
      <c r="QJ47" s="76"/>
      <c r="QK47" s="76"/>
      <c r="QL47" s="76"/>
      <c r="QM47" s="76"/>
      <c r="QN47" s="76"/>
      <c r="QO47" s="76"/>
      <c r="QP47" s="76"/>
      <c r="QQ47" s="76"/>
      <c r="QR47" s="76"/>
      <c r="QS47" s="76"/>
      <c r="QT47" s="76"/>
      <c r="QU47" s="76"/>
      <c r="QV47" s="76"/>
      <c r="QW47" s="76"/>
      <c r="QX47" s="76"/>
      <c r="QY47" s="76"/>
      <c r="QZ47" s="76"/>
      <c r="RA47" s="76"/>
      <c r="RB47" s="76"/>
      <c r="RC47" s="76"/>
      <c r="RD47" s="76"/>
      <c r="RE47" s="76"/>
      <c r="RF47" s="76"/>
      <c r="RG47" s="76"/>
      <c r="RH47" s="76"/>
      <c r="RI47" s="76"/>
      <c r="RJ47" s="76"/>
      <c r="RK47" s="76"/>
      <c r="RL47" s="76"/>
      <c r="RM47" s="76"/>
      <c r="RN47" s="76"/>
      <c r="RO47" s="76"/>
      <c r="RP47" s="76"/>
      <c r="RQ47" s="76"/>
      <c r="RR47" s="76"/>
      <c r="RS47" s="76"/>
      <c r="RT47" s="76"/>
      <c r="RU47" s="76"/>
      <c r="RV47" s="76"/>
      <c r="RW47" s="76"/>
      <c r="RX47" s="76"/>
      <c r="RY47" s="76"/>
      <c r="RZ47" s="76"/>
      <c r="SA47" s="76"/>
      <c r="SB47" s="76"/>
      <c r="SC47" s="76"/>
      <c r="SD47" s="76"/>
      <c r="SE47" s="76"/>
      <c r="SF47" s="76"/>
      <c r="SG47" s="76"/>
      <c r="SH47" s="76"/>
      <c r="SI47" s="76"/>
      <c r="SJ47" s="76"/>
      <c r="SK47" s="76"/>
      <c r="SL47" s="76"/>
      <c r="SM47" s="76"/>
      <c r="SN47" s="76"/>
      <c r="SO47" s="76"/>
      <c r="SP47" s="76"/>
      <c r="SQ47" s="76"/>
      <c r="SR47" s="76"/>
      <c r="SS47" s="76"/>
      <c r="ST47" s="76"/>
      <c r="SU47" s="76"/>
      <c r="SV47" s="76"/>
      <c r="SW47" s="76"/>
      <c r="SX47" s="76"/>
      <c r="SY47" s="76"/>
      <c r="SZ47" s="76"/>
      <c r="TA47" s="76"/>
      <c r="TB47" s="76"/>
      <c r="TC47" s="76"/>
      <c r="TD47" s="76"/>
      <c r="TE47" s="76"/>
      <c r="TF47" s="76"/>
      <c r="TG47" s="76"/>
      <c r="TH47" s="76"/>
      <c r="TI47" s="76"/>
      <c r="TJ47" s="76"/>
      <c r="TK47" s="76"/>
      <c r="TL47" s="76"/>
      <c r="TM47" s="76"/>
      <c r="TN47" s="76"/>
      <c r="TO47" s="76"/>
      <c r="TP47" s="76"/>
      <c r="TQ47" s="76"/>
      <c r="TR47" s="76"/>
      <c r="TS47" s="76"/>
      <c r="TT47" s="76"/>
      <c r="TU47" s="76"/>
      <c r="TV47" s="76"/>
      <c r="TW47" s="76"/>
      <c r="TX47" s="76"/>
      <c r="TY47" s="76"/>
      <c r="TZ47" s="76"/>
      <c r="UA47" s="76"/>
      <c r="UB47" s="76"/>
      <c r="UC47" s="76"/>
      <c r="UD47" s="76"/>
      <c r="UE47" s="76"/>
      <c r="UF47" s="76"/>
      <c r="UG47" s="76"/>
      <c r="UH47" s="76"/>
      <c r="UI47" s="76"/>
      <c r="UJ47" s="76"/>
      <c r="UK47" s="76"/>
      <c r="UL47" s="76"/>
      <c r="UM47" s="76"/>
      <c r="UN47" s="76"/>
      <c r="UO47" s="76"/>
      <c r="UP47" s="76"/>
      <c r="UQ47" s="76"/>
      <c r="UR47" s="76"/>
      <c r="US47" s="76"/>
      <c r="UT47" s="76"/>
      <c r="UU47" s="76"/>
      <c r="UV47" s="76"/>
      <c r="UW47" s="76"/>
      <c r="UX47" s="76"/>
      <c r="UY47" s="76"/>
      <c r="UZ47" s="76"/>
      <c r="VA47" s="76"/>
      <c r="VB47" s="76"/>
      <c r="VC47" s="76"/>
      <c r="VD47" s="76"/>
      <c r="VE47" s="76"/>
      <c r="VF47" s="76"/>
      <c r="VG47" s="76"/>
      <c r="VH47" s="76"/>
      <c r="VI47" s="76"/>
      <c r="VJ47" s="76"/>
      <c r="VK47" s="76"/>
      <c r="VL47" s="76"/>
      <c r="VM47" s="76"/>
      <c r="VN47" s="76"/>
      <c r="VO47" s="76"/>
      <c r="VP47" s="76"/>
      <c r="VQ47" s="76"/>
      <c r="VR47" s="76"/>
      <c r="VS47" s="76"/>
      <c r="VT47" s="76"/>
      <c r="VU47" s="76"/>
      <c r="VV47" s="76"/>
      <c r="VW47" s="76"/>
      <c r="VX47" s="76"/>
      <c r="VY47" s="76"/>
      <c r="VZ47" s="76"/>
      <c r="WA47" s="76"/>
      <c r="WB47" s="76"/>
      <c r="WC47" s="76"/>
      <c r="WD47" s="76"/>
      <c r="WE47" s="76"/>
      <c r="WF47" s="76"/>
      <c r="WG47" s="76"/>
      <c r="WH47" s="76"/>
      <c r="WI47" s="76"/>
      <c r="WJ47" s="76"/>
      <c r="WK47" s="76"/>
      <c r="WL47" s="76"/>
      <c r="WM47" s="76"/>
      <c r="WN47" s="76"/>
      <c r="WO47" s="76"/>
      <c r="WP47" s="76"/>
      <c r="WQ47" s="76"/>
      <c r="WR47" s="76"/>
      <c r="WS47" s="76"/>
      <c r="WT47" s="76"/>
      <c r="WU47" s="76"/>
      <c r="WV47" s="76"/>
      <c r="WW47" s="76"/>
      <c r="WX47" s="76"/>
      <c r="WY47" s="76"/>
      <c r="WZ47" s="76"/>
      <c r="XA47" s="76"/>
      <c r="XB47" s="76"/>
      <c r="XC47" s="76"/>
      <c r="XD47" s="76"/>
      <c r="XE47" s="76"/>
      <c r="XF47" s="76"/>
      <c r="XG47" s="76"/>
      <c r="XH47" s="76"/>
      <c r="XI47" s="76"/>
      <c r="XJ47" s="76"/>
      <c r="XK47" s="76"/>
      <c r="XL47" s="76"/>
      <c r="XM47" s="76"/>
      <c r="XN47" s="76"/>
      <c r="XO47" s="76"/>
      <c r="XP47" s="76"/>
      <c r="XQ47" s="76"/>
      <c r="XR47" s="76"/>
      <c r="XS47" s="76"/>
      <c r="XT47" s="76"/>
      <c r="XU47" s="76"/>
      <c r="XV47" s="76"/>
      <c r="XW47" s="76"/>
      <c r="XX47" s="76"/>
      <c r="XY47" s="76"/>
      <c r="XZ47" s="76"/>
      <c r="YA47" s="76"/>
      <c r="YB47" s="76"/>
      <c r="YC47" s="76"/>
      <c r="YD47" s="76"/>
      <c r="YE47" s="76"/>
      <c r="YF47" s="76"/>
      <c r="YG47" s="76"/>
      <c r="YH47" s="76"/>
      <c r="YI47" s="76"/>
      <c r="YJ47" s="76"/>
      <c r="YK47" s="76"/>
      <c r="YL47" s="76"/>
      <c r="YM47" s="76"/>
      <c r="YN47" s="76"/>
      <c r="YO47" s="76"/>
      <c r="YP47" s="76"/>
      <c r="YQ47" s="76"/>
      <c r="YR47" s="76"/>
      <c r="YS47" s="76"/>
      <c r="YT47" s="76"/>
      <c r="YU47" s="76"/>
      <c r="YV47" s="76"/>
      <c r="YW47" s="76"/>
      <c r="YX47" s="76"/>
      <c r="YY47" s="76"/>
      <c r="YZ47" s="76"/>
      <c r="ZA47" s="76"/>
      <c r="ZB47" s="76"/>
      <c r="ZC47" s="76"/>
      <c r="ZD47" s="76"/>
      <c r="ZE47" s="76"/>
      <c r="ZF47" s="76"/>
      <c r="ZG47" s="76"/>
      <c r="ZH47" s="76"/>
      <c r="ZI47" s="76"/>
      <c r="ZJ47" s="76"/>
      <c r="ZK47" s="76"/>
      <c r="ZL47" s="76"/>
      <c r="ZM47" s="76"/>
      <c r="ZN47" s="76"/>
      <c r="ZO47" s="76"/>
      <c r="ZP47" s="76"/>
      <c r="ZQ47" s="76"/>
      <c r="ZR47" s="76"/>
      <c r="ZS47" s="76"/>
      <c r="ZT47" s="76"/>
      <c r="ZU47" s="76"/>
      <c r="ZV47" s="76"/>
      <c r="ZW47" s="76"/>
      <c r="ZX47" s="76"/>
      <c r="ZY47" s="76"/>
      <c r="ZZ47" s="76"/>
      <c r="AAA47" s="76"/>
      <c r="AAB47" s="76"/>
      <c r="AAC47" s="76"/>
      <c r="AAD47" s="76"/>
      <c r="AAE47" s="76"/>
      <c r="AAF47" s="76"/>
      <c r="AAG47" s="76"/>
      <c r="AAH47" s="76"/>
      <c r="AAI47" s="76"/>
      <c r="AAJ47" s="76"/>
      <c r="AAK47" s="76"/>
      <c r="AAL47" s="76"/>
      <c r="AAM47" s="76"/>
      <c r="AAN47" s="76"/>
      <c r="AAO47" s="76"/>
      <c r="AAP47" s="76"/>
      <c r="AAQ47" s="76"/>
      <c r="AAR47" s="76"/>
      <c r="AAS47" s="76"/>
      <c r="AAT47" s="76"/>
      <c r="AAU47" s="76"/>
      <c r="AAV47" s="76"/>
      <c r="AAW47" s="76"/>
      <c r="AAX47" s="76"/>
      <c r="AAY47" s="76"/>
      <c r="AAZ47" s="76"/>
      <c r="ABA47" s="76"/>
      <c r="ABB47" s="76"/>
      <c r="ABC47" s="76"/>
      <c r="ABD47" s="76"/>
      <c r="ABE47" s="76"/>
      <c r="ABF47" s="76"/>
      <c r="ABG47" s="76"/>
      <c r="ABH47" s="76"/>
      <c r="ABI47" s="76"/>
      <c r="ABJ47" s="76"/>
      <c r="ABK47" s="76"/>
      <c r="ABL47" s="76"/>
      <c r="ABM47" s="76"/>
      <c r="ABN47" s="76"/>
      <c r="ABO47" s="76"/>
      <c r="ABP47" s="76"/>
      <c r="ABQ47" s="76"/>
      <c r="ABR47" s="76"/>
      <c r="ABS47" s="76"/>
      <c r="ABT47" s="76"/>
      <c r="ABU47" s="76"/>
      <c r="ABV47" s="76"/>
      <c r="ABW47" s="76"/>
      <c r="ABX47" s="76"/>
      <c r="ABY47" s="76"/>
      <c r="ABZ47" s="76"/>
      <c r="ACA47" s="76"/>
      <c r="ACB47" s="76"/>
      <c r="ACC47" s="76"/>
      <c r="ACD47" s="76"/>
      <c r="ACE47" s="76"/>
      <c r="ACF47" s="76"/>
      <c r="ACG47" s="76"/>
      <c r="ACH47" s="76"/>
      <c r="ACI47" s="76"/>
      <c r="ACJ47" s="76"/>
      <c r="ACK47" s="76"/>
      <c r="ACL47" s="76"/>
      <c r="ACM47" s="76"/>
      <c r="ACN47" s="76"/>
      <c r="ACO47" s="76"/>
      <c r="ACP47" s="76"/>
      <c r="ACQ47" s="76"/>
      <c r="ACR47" s="76"/>
      <c r="ACS47" s="76"/>
      <c r="ACT47" s="76"/>
      <c r="ACU47" s="76"/>
      <c r="ACV47" s="76"/>
      <c r="ACW47" s="76"/>
      <c r="ACX47" s="76"/>
      <c r="ACY47" s="76"/>
      <c r="ACZ47" s="76"/>
      <c r="ADA47" s="76"/>
      <c r="ADB47" s="76"/>
      <c r="ADC47" s="76"/>
      <c r="ADD47" s="76"/>
      <c r="ADE47" s="76"/>
      <c r="ADF47" s="76"/>
      <c r="ADG47" s="76"/>
      <c r="ADH47" s="76"/>
      <c r="ADI47" s="76"/>
      <c r="ADJ47" s="76"/>
      <c r="ADK47" s="76"/>
      <c r="ADL47" s="76"/>
      <c r="ADM47" s="76"/>
      <c r="ADN47" s="76"/>
      <c r="ADO47" s="76"/>
      <c r="ADP47" s="76"/>
      <c r="ADQ47" s="76"/>
      <c r="ADR47" s="76"/>
      <c r="ADS47" s="76"/>
      <c r="ADT47" s="76"/>
      <c r="ADU47" s="76"/>
      <c r="ADV47" s="76"/>
      <c r="ADW47" s="76"/>
      <c r="ADX47" s="76"/>
      <c r="ADY47" s="76"/>
      <c r="ADZ47" s="76"/>
      <c r="AEA47" s="76"/>
      <c r="AEB47" s="76"/>
      <c r="AEC47" s="76"/>
      <c r="AED47" s="76"/>
      <c r="AEE47" s="76"/>
      <c r="AEF47" s="76"/>
      <c r="AEG47" s="76"/>
      <c r="AEH47" s="76"/>
      <c r="AEI47" s="76"/>
      <c r="AEJ47" s="76"/>
      <c r="AEK47" s="76"/>
      <c r="AEL47" s="76"/>
      <c r="AEM47" s="76"/>
      <c r="AEN47" s="76"/>
      <c r="AEO47" s="76"/>
      <c r="AEP47" s="76"/>
      <c r="AEQ47" s="76"/>
      <c r="AER47" s="76"/>
      <c r="AES47" s="76"/>
      <c r="AET47" s="76"/>
      <c r="AEU47" s="76"/>
      <c r="AEV47" s="76"/>
      <c r="AEW47" s="76"/>
      <c r="AEX47" s="76"/>
      <c r="AEY47" s="76"/>
      <c r="AEZ47" s="76"/>
      <c r="AFA47" s="76"/>
      <c r="AFB47" s="76"/>
      <c r="AFC47" s="76"/>
      <c r="AFD47" s="76"/>
      <c r="AFE47" s="76"/>
      <c r="AFF47" s="76"/>
      <c r="AFG47" s="76"/>
      <c r="AFH47" s="76"/>
      <c r="AFI47" s="76"/>
      <c r="AFJ47" s="76"/>
      <c r="AFK47" s="76"/>
      <c r="AFL47" s="76"/>
      <c r="AFM47" s="76"/>
      <c r="AFN47" s="76"/>
      <c r="AFO47" s="76"/>
      <c r="AFP47" s="76"/>
      <c r="AFQ47" s="76"/>
      <c r="AFR47" s="76"/>
      <c r="AFS47" s="76"/>
      <c r="AFT47" s="76"/>
      <c r="AFU47" s="76"/>
      <c r="AFV47" s="76"/>
      <c r="AFW47" s="76"/>
      <c r="AFX47" s="76"/>
      <c r="AFY47" s="76"/>
      <c r="AFZ47" s="76"/>
      <c r="AGA47" s="76"/>
      <c r="AGB47" s="76"/>
      <c r="AGC47" s="76"/>
      <c r="AGD47" s="76"/>
      <c r="AGE47" s="76"/>
      <c r="AGF47" s="76"/>
      <c r="AGG47" s="76"/>
      <c r="AGH47" s="76"/>
      <c r="AGI47" s="76"/>
      <c r="AGJ47" s="76"/>
      <c r="AGK47" s="76"/>
      <c r="AGL47" s="76"/>
      <c r="AGM47" s="76"/>
      <c r="AGN47" s="76"/>
      <c r="AGO47" s="76"/>
      <c r="AGP47" s="76"/>
      <c r="AGQ47" s="76"/>
      <c r="AGR47" s="76"/>
      <c r="AGS47" s="76"/>
      <c r="AGT47" s="76"/>
      <c r="AGU47" s="76"/>
      <c r="AGV47" s="76"/>
      <c r="AGW47" s="76"/>
      <c r="AGX47" s="76"/>
      <c r="AGY47" s="76"/>
      <c r="AGZ47" s="76"/>
      <c r="AHA47" s="76"/>
      <c r="AHB47" s="76"/>
      <c r="AHC47" s="76"/>
      <c r="AHD47" s="76"/>
      <c r="AHE47" s="76"/>
      <c r="AHF47" s="76"/>
      <c r="AHG47" s="76"/>
      <c r="AHH47" s="76"/>
      <c r="AHI47" s="76"/>
      <c r="AHJ47" s="76"/>
      <c r="AHK47" s="76"/>
      <c r="AHL47" s="76"/>
      <c r="AHM47" s="76"/>
      <c r="AHN47" s="76"/>
      <c r="AHO47" s="76"/>
      <c r="AHP47" s="76"/>
      <c r="AHQ47" s="76"/>
      <c r="AHR47" s="76"/>
      <c r="AHS47" s="76"/>
      <c r="AHT47" s="76"/>
      <c r="AHU47" s="76"/>
      <c r="AHV47" s="76"/>
      <c r="AHW47" s="76"/>
      <c r="AHX47" s="76"/>
      <c r="AHY47" s="76"/>
      <c r="AHZ47" s="76"/>
      <c r="AIA47" s="76"/>
      <c r="AIB47" s="76"/>
      <c r="AIC47" s="76"/>
      <c r="AID47" s="76"/>
      <c r="AIE47" s="76"/>
      <c r="AIF47" s="76"/>
      <c r="AIG47" s="76"/>
      <c r="AIH47" s="76"/>
      <c r="AII47" s="76"/>
      <c r="AIJ47" s="76"/>
      <c r="AIK47" s="76"/>
      <c r="AIL47" s="76"/>
      <c r="AIM47" s="76"/>
      <c r="AIN47" s="76"/>
      <c r="AIO47" s="76"/>
      <c r="AIP47" s="76"/>
      <c r="AIQ47" s="76"/>
      <c r="AIR47" s="76"/>
      <c r="AIS47" s="76"/>
      <c r="AIT47" s="76"/>
      <c r="AIU47" s="76"/>
      <c r="AIV47" s="76"/>
      <c r="AIW47" s="76"/>
      <c r="AIX47" s="76"/>
      <c r="AIY47" s="76"/>
      <c r="AIZ47" s="76"/>
      <c r="AJA47" s="76"/>
      <c r="AJB47" s="76"/>
      <c r="AJC47" s="76"/>
      <c r="AJD47" s="76"/>
      <c r="AJE47" s="76"/>
      <c r="AJF47" s="76"/>
      <c r="AJG47" s="76"/>
      <c r="AJH47" s="76"/>
      <c r="AJI47" s="76"/>
      <c r="AJJ47" s="76"/>
      <c r="AJK47" s="76"/>
      <c r="AJL47" s="76"/>
      <c r="AJM47" s="76"/>
      <c r="AJN47" s="76"/>
      <c r="AJO47" s="76"/>
      <c r="AJP47" s="76"/>
      <c r="AJQ47" s="76"/>
      <c r="AJR47" s="76"/>
      <c r="AJS47" s="76"/>
      <c r="AJT47" s="76"/>
      <c r="AJU47" s="76"/>
      <c r="AJV47" s="76"/>
      <c r="AJW47" s="76"/>
      <c r="AJX47" s="76"/>
      <c r="AJY47" s="76"/>
      <c r="AJZ47" s="76"/>
      <c r="AKA47" s="76"/>
      <c r="AKB47" s="76"/>
      <c r="AKC47" s="76"/>
      <c r="AKD47" s="76"/>
      <c r="AKE47" s="76"/>
      <c r="AKF47" s="76"/>
      <c r="AKG47" s="76"/>
      <c r="AKH47" s="76"/>
      <c r="AKI47" s="76"/>
      <c r="AKJ47" s="76"/>
      <c r="AKK47" s="76"/>
      <c r="AKL47" s="76"/>
      <c r="AKM47" s="76"/>
      <c r="AKN47" s="76"/>
      <c r="AKO47" s="76"/>
      <c r="AKP47" s="76"/>
      <c r="AKQ47" s="76"/>
      <c r="AKR47" s="76"/>
      <c r="AKS47" s="76"/>
      <c r="AKT47" s="76"/>
      <c r="AKU47" s="76"/>
      <c r="AKV47" s="76"/>
      <c r="AKW47" s="76"/>
      <c r="AKX47" s="76"/>
      <c r="AKY47" s="76"/>
      <c r="AKZ47" s="76"/>
      <c r="ALA47" s="76"/>
      <c r="ALB47" s="76"/>
      <c r="ALC47" s="76"/>
      <c r="ALD47" s="76"/>
      <c r="ALE47" s="76"/>
      <c r="ALF47" s="76"/>
      <c r="ALG47" s="76"/>
      <c r="ALH47" s="76"/>
      <c r="ALI47" s="76"/>
      <c r="ALJ47" s="76"/>
      <c r="ALK47" s="76"/>
      <c r="ALL47" s="76"/>
      <c r="ALM47" s="76"/>
      <c r="ALN47" s="76"/>
      <c r="ALO47" s="76"/>
      <c r="ALP47" s="76"/>
      <c r="ALQ47" s="76"/>
      <c r="ALR47" s="76"/>
      <c r="ALS47" s="76"/>
      <c r="ALT47" s="76"/>
      <c r="ALU47" s="76"/>
      <c r="ALV47" s="76"/>
      <c r="ALW47" s="76"/>
      <c r="ALX47" s="76"/>
      <c r="ALY47" s="76"/>
      <c r="ALZ47" s="76"/>
      <c r="AMA47" s="76"/>
      <c r="AMB47" s="76"/>
      <c r="AMC47" s="76"/>
      <c r="AMD47" s="76"/>
      <c r="AME47" s="76"/>
      <c r="AMF47" s="76"/>
      <c r="AMG47" s="76"/>
      <c r="AMH47" s="76"/>
      <c r="AMI47" s="76"/>
      <c r="AMJ47" s="76"/>
      <c r="AMK47" s="76"/>
      <c r="AML47" s="76"/>
      <c r="AMM47" s="76"/>
      <c r="AMN47" s="76"/>
      <c r="AMO47" s="76"/>
      <c r="AMP47" s="76"/>
      <c r="AMQ47" s="76"/>
      <c r="AMR47" s="76"/>
      <c r="AMS47" s="76"/>
      <c r="AMT47" s="76"/>
      <c r="AMU47" s="76"/>
      <c r="AMV47" s="76"/>
      <c r="AMW47" s="76"/>
      <c r="AMX47" s="76"/>
      <c r="AMY47" s="76"/>
      <c r="AMZ47" s="76"/>
      <c r="ANA47" s="76"/>
      <c r="ANB47" s="76"/>
      <c r="ANC47" s="76"/>
      <c r="AND47" s="76"/>
      <c r="ANE47" s="76"/>
      <c r="ANF47" s="76"/>
      <c r="ANG47" s="76"/>
      <c r="ANH47" s="76"/>
      <c r="ANI47" s="76"/>
      <c r="ANJ47" s="76"/>
      <c r="ANK47" s="76"/>
      <c r="ANL47" s="76"/>
      <c r="ANM47" s="76"/>
      <c r="ANN47" s="76"/>
      <c r="ANO47" s="76"/>
      <c r="ANP47" s="76"/>
      <c r="ANQ47" s="76"/>
      <c r="ANR47" s="76"/>
      <c r="ANS47" s="76"/>
      <c r="ANT47" s="76"/>
      <c r="ANU47" s="76"/>
      <c r="ANV47" s="76"/>
      <c r="ANW47" s="76"/>
      <c r="ANX47" s="76"/>
      <c r="ANY47" s="76"/>
      <c r="ANZ47" s="76"/>
      <c r="AOA47" s="76"/>
      <c r="AOB47" s="76"/>
      <c r="AOC47" s="76"/>
      <c r="AOD47" s="76"/>
      <c r="AOE47" s="76"/>
      <c r="AOF47" s="76"/>
      <c r="AOG47" s="76"/>
      <c r="AOH47" s="76"/>
      <c r="AOI47" s="76"/>
      <c r="AOJ47" s="76"/>
      <c r="AOK47" s="76"/>
      <c r="AOL47" s="76"/>
      <c r="AOM47" s="76"/>
      <c r="AON47" s="76"/>
      <c r="AOO47" s="76"/>
      <c r="AOP47" s="76"/>
      <c r="AOQ47" s="76"/>
      <c r="AOR47" s="76"/>
      <c r="AOS47" s="76"/>
      <c r="AOT47" s="76"/>
      <c r="AOU47" s="76"/>
      <c r="AOV47" s="76"/>
      <c r="AOW47" s="76"/>
      <c r="AOX47" s="76"/>
      <c r="AOY47" s="76"/>
      <c r="AOZ47" s="76"/>
      <c r="APA47" s="76"/>
      <c r="APB47" s="76"/>
      <c r="APC47" s="76"/>
      <c r="APD47" s="76"/>
      <c r="APE47" s="76"/>
      <c r="APF47" s="76"/>
      <c r="APG47" s="76"/>
      <c r="APH47" s="76"/>
      <c r="API47" s="76"/>
      <c r="APJ47" s="76"/>
      <c r="APK47" s="76"/>
      <c r="APL47" s="76"/>
      <c r="APM47" s="76"/>
      <c r="APN47" s="76"/>
      <c r="APO47" s="76"/>
      <c r="APP47" s="76"/>
      <c r="APQ47" s="76"/>
      <c r="APR47" s="76"/>
      <c r="APS47" s="76"/>
      <c r="APT47" s="76"/>
      <c r="APU47" s="76"/>
      <c r="APV47" s="76"/>
      <c r="APW47" s="76"/>
      <c r="APX47" s="76"/>
      <c r="APY47" s="76"/>
      <c r="APZ47" s="76"/>
      <c r="AQA47" s="76"/>
      <c r="AQB47" s="76"/>
      <c r="AQC47" s="76"/>
      <c r="AQD47" s="76"/>
      <c r="AQE47" s="76"/>
      <c r="AQF47" s="76"/>
      <c r="AQG47" s="76"/>
      <c r="AQH47" s="76"/>
      <c r="AQI47" s="76"/>
      <c r="AQJ47" s="76"/>
      <c r="AQK47" s="76"/>
      <c r="AQL47" s="76"/>
      <c r="AQM47" s="76"/>
      <c r="AQN47" s="76"/>
      <c r="AQO47" s="76"/>
      <c r="AQP47" s="76"/>
      <c r="AQQ47" s="76"/>
      <c r="AQR47" s="76"/>
      <c r="AQS47" s="76"/>
      <c r="AQT47" s="76"/>
      <c r="AQU47" s="76"/>
      <c r="AQV47" s="76"/>
      <c r="AQW47" s="76"/>
      <c r="AQX47" s="76"/>
      <c r="AQY47" s="76"/>
      <c r="AQZ47" s="76"/>
      <c r="ARA47" s="76"/>
      <c r="ARB47" s="76"/>
      <c r="ARC47" s="76"/>
      <c r="ARD47" s="76"/>
      <c r="ARE47" s="76"/>
      <c r="ARF47" s="76"/>
      <c r="ARG47" s="76"/>
      <c r="ARH47" s="76"/>
      <c r="ARI47" s="76"/>
      <c r="ARJ47" s="76"/>
      <c r="ARK47" s="76"/>
      <c r="ARL47" s="76"/>
      <c r="ARM47" s="76"/>
      <c r="ARN47" s="76"/>
      <c r="ARO47" s="76"/>
      <c r="ARP47" s="76"/>
      <c r="ARQ47" s="76"/>
      <c r="ARR47" s="76"/>
      <c r="ARS47" s="76"/>
      <c r="ART47" s="76"/>
      <c r="ARU47" s="76"/>
      <c r="ARV47" s="76"/>
      <c r="ARW47" s="76"/>
      <c r="ARX47" s="76"/>
      <c r="ARY47" s="76"/>
      <c r="ARZ47" s="76"/>
      <c r="ASA47" s="76"/>
      <c r="ASB47" s="76"/>
      <c r="ASC47" s="76"/>
      <c r="ASD47" s="76"/>
      <c r="ASE47" s="76"/>
      <c r="ASF47" s="76"/>
      <c r="ASG47" s="76"/>
      <c r="ASH47" s="76"/>
      <c r="ASI47" s="76"/>
      <c r="ASJ47" s="76"/>
      <c r="ASK47" s="76"/>
      <c r="ASL47" s="76"/>
      <c r="ASM47" s="76"/>
      <c r="ASN47" s="76"/>
      <c r="ASO47" s="76"/>
      <c r="ASP47" s="76"/>
      <c r="ASQ47" s="76"/>
      <c r="ASR47" s="76"/>
      <c r="ASS47" s="76"/>
      <c r="AST47" s="76"/>
      <c r="ASU47" s="76"/>
      <c r="ASV47" s="76"/>
      <c r="ASW47" s="76"/>
      <c r="ASX47" s="76"/>
      <c r="ASY47" s="76"/>
      <c r="ASZ47" s="76"/>
      <c r="ATA47" s="76"/>
      <c r="ATB47" s="76"/>
      <c r="ATC47" s="76"/>
      <c r="ATD47" s="76"/>
      <c r="ATE47" s="76"/>
      <c r="ATF47" s="76"/>
      <c r="ATG47" s="76"/>
      <c r="ATH47" s="76"/>
      <c r="ATI47" s="76"/>
      <c r="ATJ47" s="76"/>
      <c r="ATK47" s="76"/>
      <c r="ATL47" s="76"/>
      <c r="ATM47" s="76"/>
      <c r="ATN47" s="76"/>
      <c r="ATO47" s="76"/>
      <c r="ATP47" s="76"/>
      <c r="ATQ47" s="76"/>
      <c r="ATR47" s="76"/>
      <c r="ATS47" s="76"/>
      <c r="ATT47" s="76"/>
      <c r="ATU47" s="76"/>
      <c r="ATV47" s="76"/>
      <c r="ATW47" s="76"/>
      <c r="ATX47" s="76"/>
      <c r="ATY47" s="76"/>
      <c r="ATZ47" s="76"/>
      <c r="AUA47" s="76"/>
      <c r="AUB47" s="76"/>
      <c r="AUC47" s="76"/>
      <c r="AUD47" s="76"/>
      <c r="AUE47" s="76"/>
      <c r="AUF47" s="76"/>
      <c r="AUG47" s="76"/>
      <c r="AUH47" s="76"/>
      <c r="AUI47" s="76"/>
      <c r="AUJ47" s="76"/>
      <c r="AUK47" s="76"/>
      <c r="AUL47" s="76"/>
      <c r="AUM47" s="76"/>
      <c r="AUN47" s="76"/>
      <c r="AUO47" s="76"/>
      <c r="AUP47" s="76"/>
      <c r="AUQ47" s="76"/>
      <c r="AUR47" s="76"/>
      <c r="AUS47" s="76"/>
      <c r="AUT47" s="76"/>
      <c r="AUU47" s="76"/>
      <c r="AUV47" s="76"/>
      <c r="AUW47" s="76"/>
      <c r="AUX47" s="76"/>
      <c r="AUY47" s="76"/>
      <c r="AUZ47" s="76"/>
      <c r="AVA47" s="76"/>
      <c r="AVB47" s="76"/>
      <c r="AVC47" s="76"/>
      <c r="AVD47" s="76"/>
      <c r="AVE47" s="76"/>
      <c r="AVF47" s="76"/>
      <c r="AVG47" s="76"/>
      <c r="AVH47" s="76"/>
      <c r="AVI47" s="76"/>
      <c r="AVJ47" s="76"/>
      <c r="AVK47" s="76"/>
      <c r="AVL47" s="76"/>
      <c r="AVM47" s="76"/>
      <c r="AVN47" s="76"/>
      <c r="AVO47" s="76"/>
      <c r="AVP47" s="76"/>
      <c r="AVQ47" s="76"/>
      <c r="AVR47" s="76"/>
      <c r="AVS47" s="76"/>
      <c r="AVT47" s="76"/>
      <c r="AVU47" s="76"/>
      <c r="AVV47" s="76"/>
      <c r="AVW47" s="76"/>
      <c r="AVX47" s="76"/>
      <c r="AVY47" s="76"/>
      <c r="AVZ47" s="76"/>
      <c r="AWA47" s="76"/>
      <c r="AWB47" s="76"/>
      <c r="AWC47" s="76"/>
      <c r="AWD47" s="76"/>
      <c r="AWE47" s="76"/>
      <c r="AWF47" s="76"/>
      <c r="AWG47" s="76"/>
      <c r="AWH47" s="76"/>
      <c r="AWI47" s="76"/>
      <c r="AWJ47" s="76"/>
      <c r="AWK47" s="76"/>
      <c r="AWL47" s="76"/>
      <c r="AWM47" s="76"/>
      <c r="AWN47" s="76"/>
      <c r="AWO47" s="76"/>
      <c r="AWP47" s="76"/>
      <c r="AWQ47" s="76"/>
      <c r="AWR47" s="76"/>
      <c r="AWS47" s="76"/>
      <c r="AWT47" s="76"/>
      <c r="AWU47" s="76"/>
      <c r="AWV47" s="76"/>
      <c r="AWW47" s="76"/>
      <c r="AWX47" s="76"/>
      <c r="AWY47" s="76"/>
      <c r="AWZ47" s="76"/>
      <c r="AXA47" s="76"/>
      <c r="AXB47" s="76"/>
      <c r="AXC47" s="76"/>
      <c r="AXD47" s="76"/>
      <c r="AXE47" s="76"/>
      <c r="AXF47" s="76"/>
      <c r="AXG47" s="76"/>
      <c r="AXH47" s="76"/>
      <c r="AXI47" s="76"/>
      <c r="AXJ47" s="76"/>
      <c r="AXK47" s="76"/>
      <c r="AXL47" s="76"/>
      <c r="AXM47" s="76"/>
      <c r="AXN47" s="76"/>
      <c r="AXO47" s="76"/>
      <c r="AXP47" s="76"/>
      <c r="AXQ47" s="76"/>
      <c r="AXR47" s="76"/>
      <c r="AXS47" s="76"/>
      <c r="AXT47" s="76"/>
      <c r="AXU47" s="76"/>
      <c r="AXV47" s="76"/>
      <c r="AXW47" s="76"/>
      <c r="AXX47" s="76"/>
      <c r="AXY47" s="76"/>
      <c r="AXZ47" s="76"/>
      <c r="AYA47" s="76"/>
      <c r="AYB47" s="76"/>
      <c r="AYC47" s="76"/>
      <c r="AYD47" s="76"/>
      <c r="AYE47" s="76"/>
      <c r="AYF47" s="76"/>
      <c r="AYG47" s="76"/>
      <c r="AYH47" s="76"/>
      <c r="AYI47" s="76"/>
      <c r="AYJ47" s="76"/>
      <c r="AYK47" s="76"/>
      <c r="AYL47" s="76"/>
      <c r="AYM47" s="76"/>
      <c r="AYN47" s="76"/>
      <c r="AYO47" s="76"/>
      <c r="AYP47" s="76"/>
      <c r="AYQ47" s="76"/>
      <c r="AYR47" s="76"/>
      <c r="AYS47" s="76"/>
      <c r="AYT47" s="76"/>
      <c r="AYU47" s="76"/>
      <c r="AYV47" s="76"/>
      <c r="AYW47" s="76"/>
      <c r="AYX47" s="76"/>
      <c r="AYY47" s="76"/>
      <c r="AYZ47" s="76"/>
      <c r="AZA47" s="76"/>
      <c r="AZB47" s="76"/>
      <c r="AZC47" s="76"/>
      <c r="AZD47" s="76"/>
      <c r="AZE47" s="76"/>
      <c r="AZF47" s="76"/>
      <c r="AZG47" s="76"/>
      <c r="AZH47" s="76"/>
      <c r="AZI47" s="76"/>
      <c r="AZJ47" s="76"/>
      <c r="AZK47" s="76"/>
      <c r="AZL47" s="76"/>
      <c r="AZM47" s="76"/>
      <c r="AZN47" s="76"/>
      <c r="AZO47" s="76"/>
      <c r="AZP47" s="76"/>
      <c r="AZQ47" s="76"/>
      <c r="AZR47" s="76"/>
      <c r="AZS47" s="76"/>
      <c r="AZT47" s="76"/>
      <c r="AZU47" s="76"/>
      <c r="AZV47" s="76"/>
      <c r="AZW47" s="76"/>
      <c r="AZX47" s="76"/>
      <c r="AZY47" s="76"/>
      <c r="AZZ47" s="76"/>
      <c r="BAA47" s="76"/>
      <c r="BAB47" s="76"/>
      <c r="BAC47" s="76"/>
      <c r="BAD47" s="76"/>
      <c r="BAE47" s="76"/>
      <c r="BAF47" s="76"/>
      <c r="BAG47" s="76"/>
      <c r="BAH47" s="76"/>
      <c r="BAI47" s="76"/>
      <c r="BAJ47" s="76"/>
      <c r="BAK47" s="76"/>
      <c r="BAL47" s="76"/>
      <c r="BAM47" s="76"/>
      <c r="BAN47" s="76"/>
      <c r="BAO47" s="76"/>
      <c r="BAP47" s="76"/>
      <c r="BAQ47" s="76"/>
      <c r="BAR47" s="76"/>
      <c r="BAS47" s="76"/>
      <c r="BAT47" s="76"/>
      <c r="BAU47" s="76"/>
      <c r="BAV47" s="76"/>
      <c r="BAW47" s="76"/>
      <c r="BAX47" s="76"/>
      <c r="BAY47" s="76"/>
      <c r="BAZ47" s="76"/>
      <c r="BBA47" s="76"/>
      <c r="BBB47" s="76"/>
      <c r="BBC47" s="76"/>
      <c r="BBD47" s="76"/>
      <c r="BBE47" s="76"/>
      <c r="BBF47" s="76"/>
      <c r="BBG47" s="76"/>
      <c r="BBH47" s="76"/>
      <c r="BBI47" s="76"/>
      <c r="BBJ47" s="76"/>
      <c r="BBK47" s="76"/>
      <c r="BBL47" s="76"/>
      <c r="BBM47" s="76"/>
      <c r="BBN47" s="76"/>
      <c r="BBO47" s="76"/>
      <c r="BBP47" s="76"/>
      <c r="BBQ47" s="76"/>
      <c r="BBR47" s="76"/>
      <c r="BBS47" s="76"/>
      <c r="BBT47" s="76"/>
      <c r="BBU47" s="76"/>
      <c r="BBV47" s="76"/>
      <c r="BBW47" s="76"/>
      <c r="BBX47" s="76"/>
      <c r="BBY47" s="76"/>
      <c r="BBZ47" s="76"/>
      <c r="BCA47" s="76"/>
      <c r="BCB47" s="76"/>
      <c r="BCC47" s="76"/>
      <c r="BCD47" s="76"/>
      <c r="BCE47" s="76"/>
      <c r="BCF47" s="76"/>
      <c r="BCG47" s="76"/>
      <c r="BCH47" s="76"/>
      <c r="BCI47" s="76"/>
      <c r="BCJ47" s="76"/>
      <c r="BCK47" s="76"/>
      <c r="BCL47" s="76"/>
      <c r="BCM47" s="76"/>
      <c r="BCN47" s="76"/>
      <c r="BCO47" s="76"/>
      <c r="BCP47" s="76"/>
      <c r="BCQ47" s="76"/>
      <c r="BCR47" s="76"/>
      <c r="BCS47" s="76"/>
      <c r="BCT47" s="76"/>
      <c r="BCU47" s="76"/>
      <c r="BCV47" s="76"/>
      <c r="BCW47" s="76"/>
      <c r="BCX47" s="76"/>
      <c r="BCY47" s="76"/>
      <c r="BCZ47" s="76"/>
      <c r="BDA47" s="76"/>
      <c r="BDB47" s="76"/>
      <c r="BDC47" s="76"/>
      <c r="BDD47" s="76"/>
      <c r="BDE47" s="76"/>
      <c r="BDF47" s="76"/>
      <c r="BDG47" s="76"/>
      <c r="BDH47" s="76"/>
      <c r="BDI47" s="76"/>
      <c r="BDJ47" s="76"/>
      <c r="BDK47" s="76"/>
      <c r="BDL47" s="76"/>
      <c r="BDM47" s="76"/>
      <c r="BDN47" s="76"/>
      <c r="BDO47" s="76"/>
      <c r="BDP47" s="76"/>
      <c r="BDQ47" s="76"/>
      <c r="BDR47" s="76"/>
      <c r="BDS47" s="76"/>
      <c r="BDT47" s="76"/>
      <c r="BDU47" s="76"/>
      <c r="BDV47" s="76"/>
      <c r="BDW47" s="76"/>
      <c r="BDX47" s="76"/>
      <c r="BDY47" s="76"/>
      <c r="BDZ47" s="76"/>
      <c r="BEA47" s="76"/>
      <c r="BEB47" s="76"/>
      <c r="BEC47" s="76"/>
      <c r="BED47" s="76"/>
      <c r="BEE47" s="76"/>
      <c r="BEF47" s="76"/>
      <c r="BEG47" s="76"/>
      <c r="BEH47" s="76"/>
      <c r="BEI47" s="76"/>
      <c r="BEJ47" s="76"/>
      <c r="BEK47" s="76"/>
      <c r="BEL47" s="76"/>
      <c r="BEM47" s="76"/>
      <c r="BEN47" s="76"/>
      <c r="BEO47" s="76"/>
      <c r="BEP47" s="76"/>
      <c r="BEQ47" s="76"/>
      <c r="BER47" s="76"/>
      <c r="BES47" s="76"/>
      <c r="BET47" s="76"/>
      <c r="BEU47" s="76"/>
      <c r="BEV47" s="76"/>
      <c r="BEW47" s="76"/>
      <c r="BEX47" s="76"/>
      <c r="BEY47" s="76"/>
      <c r="BEZ47" s="76"/>
      <c r="BFA47" s="76"/>
      <c r="BFB47" s="76"/>
      <c r="BFC47" s="76"/>
      <c r="BFD47" s="76"/>
      <c r="BFE47" s="76"/>
      <c r="BFF47" s="76"/>
      <c r="BFG47" s="76"/>
      <c r="BFH47" s="76"/>
      <c r="BFI47" s="76"/>
      <c r="BFJ47" s="76"/>
      <c r="BFK47" s="76"/>
      <c r="BFL47" s="76"/>
      <c r="BFM47" s="76"/>
      <c r="BFN47" s="76"/>
      <c r="BFO47" s="76"/>
      <c r="BFP47" s="76"/>
      <c r="BFQ47" s="76"/>
      <c r="BFR47" s="76"/>
      <c r="BFS47" s="76"/>
      <c r="BFT47" s="76"/>
      <c r="BFU47" s="76"/>
      <c r="BFV47" s="76"/>
      <c r="BFW47" s="76"/>
      <c r="BFX47" s="76"/>
      <c r="BFY47" s="76"/>
      <c r="BFZ47" s="76"/>
      <c r="BGA47" s="76"/>
      <c r="BGB47" s="76"/>
      <c r="BGC47" s="76"/>
      <c r="BGD47" s="76"/>
      <c r="BGE47" s="76"/>
      <c r="BGF47" s="76"/>
      <c r="BGG47" s="76"/>
      <c r="BGH47" s="76"/>
      <c r="BGI47" s="76"/>
      <c r="BGJ47" s="76"/>
      <c r="BGK47" s="76"/>
      <c r="BGL47" s="76"/>
      <c r="BGM47" s="76"/>
      <c r="BGN47" s="76"/>
      <c r="BGO47" s="76"/>
      <c r="BGP47" s="76"/>
      <c r="BGQ47" s="76"/>
      <c r="BGR47" s="76"/>
      <c r="BGS47" s="76"/>
      <c r="BGT47" s="76"/>
      <c r="BGU47" s="76"/>
      <c r="BGV47" s="76"/>
      <c r="BGW47" s="76"/>
      <c r="BGX47" s="76"/>
      <c r="BGY47" s="76"/>
      <c r="BGZ47" s="76"/>
      <c r="BHA47" s="76"/>
      <c r="BHB47" s="76"/>
      <c r="BHC47" s="76"/>
      <c r="BHD47" s="76"/>
      <c r="BHE47" s="76"/>
      <c r="BHF47" s="76"/>
      <c r="BHG47" s="76"/>
      <c r="BHH47" s="76"/>
      <c r="BHI47" s="76"/>
      <c r="BHJ47" s="76"/>
      <c r="BHK47" s="76"/>
      <c r="BHL47" s="76"/>
      <c r="BHM47" s="76"/>
      <c r="BHN47" s="76"/>
      <c r="BHO47" s="76"/>
      <c r="BHP47" s="76"/>
      <c r="BHQ47" s="76"/>
      <c r="BHR47" s="76"/>
      <c r="BHS47" s="76"/>
      <c r="BHT47" s="76"/>
      <c r="BHU47" s="76"/>
      <c r="BHV47" s="76"/>
      <c r="BHW47" s="76"/>
      <c r="BHX47" s="76"/>
      <c r="BHY47" s="76"/>
      <c r="BHZ47" s="76"/>
      <c r="BIA47" s="76"/>
      <c r="BIB47" s="76"/>
      <c r="BIC47" s="76"/>
      <c r="BID47" s="76"/>
      <c r="BIE47" s="76"/>
      <c r="BIF47" s="76"/>
      <c r="BIG47" s="76"/>
      <c r="BIH47" s="76"/>
      <c r="BII47" s="76"/>
      <c r="BIJ47" s="76"/>
      <c r="BIK47" s="76"/>
      <c r="BIL47" s="76"/>
      <c r="BIM47" s="76"/>
      <c r="BIN47" s="76"/>
      <c r="BIO47" s="76"/>
      <c r="BIP47" s="76"/>
      <c r="BIQ47" s="76"/>
      <c r="BIR47" s="76"/>
      <c r="BIS47" s="76"/>
      <c r="BIT47" s="76"/>
      <c r="BIU47" s="76"/>
      <c r="BIV47" s="76"/>
      <c r="BIW47" s="76"/>
      <c r="BIX47" s="76"/>
      <c r="BIY47" s="76"/>
      <c r="BIZ47" s="76"/>
      <c r="BJA47" s="76"/>
      <c r="BJB47" s="76"/>
      <c r="BJC47" s="76"/>
      <c r="BJD47" s="76"/>
      <c r="BJE47" s="76"/>
      <c r="BJF47" s="76"/>
      <c r="BJG47" s="76"/>
      <c r="BJH47" s="76"/>
      <c r="BJI47" s="76"/>
      <c r="BJJ47" s="76"/>
      <c r="BJK47" s="76"/>
      <c r="BJL47" s="76"/>
      <c r="BJM47" s="76"/>
      <c r="BJN47" s="76"/>
      <c r="BJO47" s="76"/>
      <c r="BJP47" s="76"/>
      <c r="BJQ47" s="76"/>
      <c r="BJR47" s="76"/>
      <c r="BJS47" s="76"/>
      <c r="BJT47" s="76"/>
      <c r="BJU47" s="76"/>
      <c r="BJV47" s="76"/>
      <c r="BJW47" s="76"/>
      <c r="BJX47" s="76"/>
      <c r="BJY47" s="76"/>
      <c r="BJZ47" s="76"/>
      <c r="BKA47" s="76"/>
      <c r="BKB47" s="76"/>
      <c r="BKC47" s="76"/>
      <c r="BKD47" s="76"/>
      <c r="BKE47" s="76"/>
      <c r="BKF47" s="76"/>
      <c r="BKG47" s="76"/>
      <c r="BKH47" s="76"/>
      <c r="BKI47" s="76"/>
      <c r="BKJ47" s="76"/>
      <c r="BKK47" s="76"/>
      <c r="BKL47" s="76"/>
      <c r="BKM47" s="76"/>
      <c r="BKN47" s="76"/>
      <c r="BKO47" s="76"/>
      <c r="BKP47" s="76"/>
      <c r="BKQ47" s="76"/>
      <c r="BKR47" s="76"/>
      <c r="BKS47" s="76"/>
      <c r="BKT47" s="76"/>
      <c r="BKU47" s="76"/>
      <c r="BKV47" s="76"/>
      <c r="BKW47" s="76"/>
      <c r="BKX47" s="76"/>
      <c r="BKY47" s="76"/>
      <c r="BKZ47" s="76"/>
      <c r="BLA47" s="76"/>
      <c r="BLB47" s="76"/>
      <c r="BLC47" s="76"/>
      <c r="BLD47" s="76"/>
      <c r="BLE47" s="76"/>
      <c r="BLF47" s="76"/>
      <c r="BLG47" s="76"/>
      <c r="BLH47" s="76"/>
      <c r="BLI47" s="76"/>
      <c r="BLJ47" s="76"/>
      <c r="BLK47" s="76"/>
      <c r="BLL47" s="76"/>
      <c r="BLM47" s="76"/>
      <c r="BLN47" s="76"/>
      <c r="BLO47" s="76"/>
      <c r="BLP47" s="76"/>
      <c r="BLQ47" s="76"/>
      <c r="BLR47" s="76"/>
      <c r="BLS47" s="76"/>
      <c r="BLT47" s="76"/>
      <c r="BLU47" s="76"/>
      <c r="BLV47" s="76"/>
      <c r="BLW47" s="76"/>
      <c r="BLX47" s="76"/>
      <c r="BLY47" s="76"/>
      <c r="BLZ47" s="76"/>
      <c r="BMA47" s="76"/>
      <c r="BMB47" s="76"/>
      <c r="BMC47" s="76"/>
      <c r="BMD47" s="76"/>
      <c r="BME47" s="76"/>
      <c r="BMF47" s="76"/>
      <c r="BMG47" s="76"/>
      <c r="BMH47" s="76"/>
      <c r="BMI47" s="76"/>
      <c r="BMJ47" s="76"/>
      <c r="BMK47" s="76"/>
      <c r="BML47" s="76"/>
      <c r="BMM47" s="76"/>
      <c r="BMN47" s="76"/>
      <c r="BMO47" s="76"/>
      <c r="BMP47" s="76"/>
      <c r="BMQ47" s="76"/>
      <c r="BMR47" s="76"/>
      <c r="BMS47" s="76"/>
      <c r="BMT47" s="76"/>
      <c r="BMU47" s="76"/>
      <c r="BMV47" s="76"/>
      <c r="BMW47" s="76"/>
      <c r="BMX47" s="76"/>
      <c r="BMY47" s="76"/>
      <c r="BMZ47" s="76"/>
      <c r="BNA47" s="76"/>
      <c r="BNB47" s="76"/>
      <c r="BNC47" s="76"/>
      <c r="BND47" s="76"/>
      <c r="BNE47" s="76"/>
      <c r="BNF47" s="76"/>
      <c r="BNG47" s="76"/>
      <c r="BNH47" s="76"/>
      <c r="BNI47" s="76"/>
      <c r="BNJ47" s="76"/>
      <c r="BNK47" s="76"/>
      <c r="BNL47" s="76"/>
      <c r="BNM47" s="76"/>
      <c r="BNN47" s="76"/>
      <c r="BNO47" s="76"/>
      <c r="BNP47" s="76"/>
      <c r="BNQ47" s="76"/>
      <c r="BNR47" s="76"/>
      <c r="BNS47" s="76"/>
      <c r="BNT47" s="76"/>
      <c r="BNU47" s="76"/>
      <c r="BNV47" s="76"/>
      <c r="BNW47" s="76"/>
      <c r="BNX47" s="76"/>
      <c r="BNY47" s="76"/>
      <c r="BNZ47" s="76"/>
      <c r="BOA47" s="76"/>
      <c r="BOB47" s="76"/>
      <c r="BOC47" s="76"/>
      <c r="BOD47" s="76"/>
      <c r="BOE47" s="76"/>
      <c r="BOF47" s="76"/>
      <c r="BOG47" s="76"/>
      <c r="BOH47" s="76"/>
      <c r="BOI47" s="76"/>
      <c r="BOJ47" s="76"/>
      <c r="BOK47" s="76"/>
      <c r="BOL47" s="76"/>
      <c r="BOM47" s="76"/>
      <c r="BON47" s="76"/>
      <c r="BOO47" s="76"/>
      <c r="BOP47" s="76"/>
      <c r="BOQ47" s="76"/>
      <c r="BOR47" s="76"/>
      <c r="BOS47" s="76"/>
      <c r="BOT47" s="76"/>
      <c r="BOU47" s="76"/>
      <c r="BOV47" s="76"/>
      <c r="BOW47" s="76"/>
      <c r="BOX47" s="76"/>
      <c r="BOY47" s="76"/>
      <c r="BOZ47" s="76"/>
      <c r="BPA47" s="76"/>
      <c r="BPB47" s="76"/>
      <c r="BPC47" s="76"/>
      <c r="BPD47" s="76"/>
      <c r="BPE47" s="76"/>
      <c r="BPF47" s="76"/>
      <c r="BPG47" s="76"/>
      <c r="BPH47" s="76"/>
      <c r="BPI47" s="76"/>
      <c r="BPJ47" s="76"/>
      <c r="BPK47" s="76"/>
      <c r="BPL47" s="76"/>
      <c r="BPM47" s="76"/>
      <c r="BPN47" s="76"/>
      <c r="BPO47" s="76"/>
      <c r="BPP47" s="76"/>
      <c r="BPQ47" s="76"/>
      <c r="BPR47" s="76"/>
      <c r="BPS47" s="76"/>
      <c r="BPT47" s="76"/>
      <c r="BPU47" s="76"/>
      <c r="BPV47" s="76"/>
      <c r="BPW47" s="76"/>
      <c r="BPX47" s="76"/>
      <c r="BPY47" s="76"/>
      <c r="BPZ47" s="76"/>
      <c r="BQA47" s="76"/>
      <c r="BQB47" s="76"/>
      <c r="BQC47" s="76"/>
      <c r="BQD47" s="76"/>
      <c r="BQE47" s="76"/>
      <c r="BQF47" s="76"/>
      <c r="BQG47" s="76"/>
      <c r="BQH47" s="76"/>
      <c r="BQI47" s="76"/>
      <c r="BQJ47" s="76"/>
      <c r="BQK47" s="76"/>
      <c r="BQL47" s="76"/>
      <c r="BQM47" s="76"/>
      <c r="BQN47" s="76"/>
      <c r="BQO47" s="76"/>
      <c r="BQP47" s="76"/>
      <c r="BQQ47" s="76"/>
      <c r="BQR47" s="76"/>
      <c r="BQS47" s="76"/>
      <c r="BQT47" s="76"/>
      <c r="BQU47" s="76"/>
      <c r="BQV47" s="76"/>
      <c r="BQW47" s="76"/>
      <c r="BQX47" s="76"/>
      <c r="BQY47" s="76"/>
      <c r="BQZ47" s="76"/>
      <c r="BRA47" s="76"/>
      <c r="BRB47" s="76"/>
      <c r="BRC47" s="76"/>
      <c r="BRD47" s="76"/>
      <c r="BRE47" s="76"/>
      <c r="BRF47" s="76"/>
      <c r="BRG47" s="76"/>
      <c r="BRH47" s="76"/>
      <c r="BRI47" s="76"/>
      <c r="BRJ47" s="76"/>
      <c r="BRK47" s="76"/>
      <c r="BRL47" s="76"/>
      <c r="BRM47" s="76"/>
      <c r="BRN47" s="76"/>
      <c r="BRO47" s="76"/>
      <c r="BRP47" s="76"/>
      <c r="BRQ47" s="76"/>
      <c r="BRR47" s="76"/>
      <c r="BRS47" s="76"/>
      <c r="BRT47" s="76"/>
      <c r="BRU47" s="76"/>
      <c r="BRV47" s="76"/>
      <c r="BRW47" s="76"/>
      <c r="BRX47" s="76"/>
      <c r="BRY47" s="76"/>
      <c r="BRZ47" s="76"/>
      <c r="BSA47" s="76"/>
      <c r="BSB47" s="76"/>
      <c r="BSC47" s="76"/>
      <c r="BSD47" s="76"/>
      <c r="BSE47" s="76"/>
      <c r="BSF47" s="76"/>
      <c r="BSG47" s="76"/>
      <c r="BSH47" s="76"/>
      <c r="BSI47" s="76"/>
      <c r="BSJ47" s="76"/>
      <c r="BSK47" s="76"/>
      <c r="BSL47" s="76"/>
      <c r="BSM47" s="76"/>
      <c r="BSN47" s="76"/>
      <c r="BSO47" s="76"/>
      <c r="BSP47" s="76"/>
      <c r="BSQ47" s="76"/>
      <c r="BSR47" s="76"/>
      <c r="BSS47" s="76"/>
      <c r="BST47" s="76"/>
      <c r="BSU47" s="76"/>
      <c r="BSV47" s="76"/>
      <c r="BSW47" s="76"/>
      <c r="BSX47" s="76"/>
      <c r="BSY47" s="76"/>
      <c r="BSZ47" s="76"/>
      <c r="BTA47" s="76"/>
      <c r="BTB47" s="76"/>
      <c r="BTC47" s="76"/>
      <c r="BTD47" s="76"/>
      <c r="BTE47" s="76"/>
      <c r="BTF47" s="76"/>
      <c r="BTG47" s="76"/>
      <c r="BTH47" s="76"/>
      <c r="BTI47" s="76"/>
      <c r="BTJ47" s="76"/>
      <c r="BTK47" s="76"/>
      <c r="BTL47" s="76"/>
      <c r="BTM47" s="76"/>
      <c r="BTN47" s="76"/>
      <c r="BTO47" s="76"/>
      <c r="BTP47" s="76"/>
      <c r="BTQ47" s="76"/>
      <c r="BTR47" s="76"/>
      <c r="BTS47" s="76"/>
      <c r="BTT47" s="76"/>
      <c r="BTU47" s="76"/>
      <c r="BTV47" s="76"/>
      <c r="BTW47" s="76"/>
      <c r="BTX47" s="76"/>
      <c r="BTY47" s="76"/>
      <c r="BTZ47" s="76"/>
      <c r="BUA47" s="76"/>
      <c r="BUB47" s="76"/>
      <c r="BUC47" s="76"/>
      <c r="BUD47" s="76"/>
      <c r="BUE47" s="76"/>
      <c r="BUF47" s="76"/>
      <c r="BUG47" s="76"/>
      <c r="BUH47" s="76"/>
      <c r="BUI47" s="76"/>
      <c r="BUJ47" s="76"/>
      <c r="BUK47" s="76"/>
      <c r="BUL47" s="76"/>
      <c r="BUM47" s="76"/>
      <c r="BUN47" s="76"/>
      <c r="BUO47" s="76"/>
      <c r="BUP47" s="76"/>
      <c r="BUQ47" s="76"/>
      <c r="BUR47" s="76"/>
      <c r="BUS47" s="76"/>
      <c r="BUT47" s="76"/>
      <c r="BUU47" s="76"/>
      <c r="BUV47" s="76"/>
      <c r="BUW47" s="76"/>
      <c r="BUX47" s="76"/>
      <c r="BUY47" s="76"/>
      <c r="BUZ47" s="76"/>
      <c r="BVA47" s="76"/>
      <c r="BVB47" s="76"/>
      <c r="BVC47" s="76"/>
      <c r="BVD47" s="76"/>
      <c r="BVE47" s="76"/>
      <c r="BVF47" s="76"/>
      <c r="BVG47" s="76"/>
      <c r="BVH47" s="76"/>
      <c r="BVI47" s="76"/>
      <c r="BVJ47" s="76"/>
      <c r="BVK47" s="76"/>
      <c r="BVL47" s="76"/>
      <c r="BVM47" s="76"/>
      <c r="BVN47" s="76"/>
      <c r="BVO47" s="76"/>
      <c r="BVP47" s="76"/>
      <c r="BVQ47" s="76"/>
      <c r="BVR47" s="76"/>
      <c r="BVS47" s="76"/>
      <c r="BVT47" s="76"/>
      <c r="BVU47" s="76"/>
      <c r="BVV47" s="76"/>
      <c r="BVW47" s="76"/>
      <c r="BVX47" s="76"/>
      <c r="BVY47" s="76"/>
      <c r="BVZ47" s="76"/>
      <c r="BWA47" s="76"/>
      <c r="BWB47" s="76"/>
      <c r="BWC47" s="76"/>
      <c r="BWD47" s="76"/>
      <c r="BWE47" s="76"/>
      <c r="BWF47" s="76"/>
      <c r="BWG47" s="76"/>
      <c r="BWH47" s="76"/>
      <c r="BWI47" s="76"/>
      <c r="BWJ47" s="76"/>
      <c r="BWK47" s="76"/>
      <c r="BWL47" s="76"/>
      <c r="BWM47" s="76"/>
      <c r="BWN47" s="76"/>
      <c r="BWO47" s="76"/>
      <c r="BWP47" s="76"/>
      <c r="BWQ47" s="76"/>
      <c r="BWR47" s="76"/>
      <c r="BWS47" s="76"/>
      <c r="BWT47" s="76"/>
      <c r="BWU47" s="76"/>
      <c r="BWV47" s="76"/>
      <c r="BWW47" s="76"/>
      <c r="BWX47" s="76"/>
      <c r="BWY47" s="76"/>
      <c r="BWZ47" s="76"/>
      <c r="BXA47" s="76"/>
      <c r="BXB47" s="76"/>
      <c r="BXC47" s="76"/>
      <c r="BXD47" s="76"/>
      <c r="BXE47" s="76"/>
      <c r="BXF47" s="76"/>
      <c r="BXG47" s="76"/>
      <c r="BXH47" s="76"/>
      <c r="BXI47" s="76"/>
      <c r="BXJ47" s="76"/>
      <c r="BXK47" s="76"/>
      <c r="BXL47" s="76"/>
      <c r="BXM47" s="76"/>
      <c r="BXN47" s="76"/>
      <c r="BXO47" s="76"/>
      <c r="BXP47" s="76"/>
      <c r="BXQ47" s="76"/>
      <c r="BXR47" s="76"/>
      <c r="BXS47" s="76"/>
      <c r="BXT47" s="76"/>
      <c r="BXU47" s="76"/>
      <c r="BXV47" s="76"/>
      <c r="BXW47" s="76"/>
      <c r="BXX47" s="76"/>
      <c r="BXY47" s="76"/>
      <c r="BXZ47" s="76"/>
      <c r="BYA47" s="76"/>
      <c r="BYB47" s="76"/>
      <c r="BYC47" s="76"/>
      <c r="BYD47" s="76"/>
      <c r="BYE47" s="76"/>
      <c r="BYF47" s="76"/>
      <c r="BYG47" s="76"/>
      <c r="BYH47" s="76"/>
      <c r="BYI47" s="76"/>
      <c r="BYJ47" s="76"/>
      <c r="BYK47" s="76"/>
      <c r="BYL47" s="76"/>
      <c r="BYM47" s="76"/>
      <c r="BYN47" s="76"/>
      <c r="BYO47" s="76"/>
      <c r="BYP47" s="76"/>
      <c r="BYQ47" s="76"/>
      <c r="BYR47" s="76"/>
      <c r="BYS47" s="76"/>
      <c r="BYT47" s="76"/>
      <c r="BYU47" s="76"/>
      <c r="BYV47" s="76"/>
      <c r="BYW47" s="76"/>
      <c r="BYX47" s="76"/>
      <c r="BYY47" s="76"/>
      <c r="BYZ47" s="76"/>
      <c r="BZA47" s="76"/>
      <c r="BZB47" s="76"/>
      <c r="BZC47" s="76"/>
      <c r="BZD47" s="76"/>
      <c r="BZE47" s="76"/>
      <c r="BZF47" s="76"/>
      <c r="BZG47" s="76"/>
      <c r="BZH47" s="76"/>
      <c r="BZI47" s="76"/>
      <c r="BZJ47" s="76"/>
      <c r="BZK47" s="76"/>
      <c r="BZL47" s="76"/>
      <c r="BZM47" s="76"/>
      <c r="BZN47" s="76"/>
      <c r="BZO47" s="76"/>
      <c r="BZP47" s="76"/>
      <c r="BZQ47" s="76"/>
      <c r="BZR47" s="76"/>
      <c r="BZS47" s="76"/>
      <c r="BZT47" s="76"/>
      <c r="BZU47" s="76"/>
      <c r="BZV47" s="76"/>
      <c r="BZW47" s="76"/>
      <c r="BZX47" s="76"/>
      <c r="BZY47" s="76"/>
      <c r="BZZ47" s="76"/>
      <c r="CAA47" s="76"/>
      <c r="CAB47" s="76"/>
      <c r="CAC47" s="76"/>
      <c r="CAD47" s="76"/>
      <c r="CAE47" s="76"/>
      <c r="CAF47" s="76"/>
      <c r="CAG47" s="76"/>
      <c r="CAH47" s="76"/>
      <c r="CAI47" s="76"/>
      <c r="CAJ47" s="76"/>
      <c r="CAK47" s="76"/>
      <c r="CAL47" s="76"/>
      <c r="CAM47" s="76"/>
      <c r="CAN47" s="76"/>
      <c r="CAO47" s="76"/>
      <c r="CAP47" s="76"/>
      <c r="CAQ47" s="76"/>
      <c r="CAR47" s="76"/>
      <c r="CAS47" s="76"/>
      <c r="CAT47" s="76"/>
      <c r="CAU47" s="76"/>
      <c r="CAV47" s="76"/>
      <c r="CAW47" s="76"/>
      <c r="CAX47" s="76"/>
      <c r="CAY47" s="76"/>
      <c r="CAZ47" s="76"/>
      <c r="CBA47" s="76"/>
      <c r="CBB47" s="76"/>
      <c r="CBC47" s="76"/>
      <c r="CBD47" s="76"/>
      <c r="CBE47" s="76"/>
      <c r="CBF47" s="76"/>
      <c r="CBG47" s="76"/>
      <c r="CBH47" s="76"/>
      <c r="CBI47" s="76"/>
      <c r="CBJ47" s="76"/>
      <c r="CBK47" s="76"/>
      <c r="CBL47" s="76"/>
      <c r="CBM47" s="76"/>
      <c r="CBN47" s="76"/>
      <c r="CBO47" s="76"/>
      <c r="CBP47" s="76"/>
      <c r="CBQ47" s="76"/>
      <c r="CBR47" s="76"/>
      <c r="CBS47" s="76"/>
      <c r="CBT47" s="76"/>
      <c r="CBU47" s="76"/>
      <c r="CBV47" s="76"/>
      <c r="CBW47" s="76"/>
      <c r="CBX47" s="76"/>
      <c r="CBY47" s="76"/>
      <c r="CBZ47" s="76"/>
      <c r="CCA47" s="76"/>
      <c r="CCB47" s="76"/>
      <c r="CCC47" s="76"/>
      <c r="CCD47" s="76"/>
      <c r="CCE47" s="76"/>
      <c r="CCF47" s="76"/>
      <c r="CCG47" s="76"/>
      <c r="CCH47" s="76"/>
      <c r="CCI47" s="76"/>
      <c r="CCJ47" s="76"/>
      <c r="CCK47" s="76"/>
      <c r="CCL47" s="76"/>
      <c r="CCM47" s="76"/>
      <c r="CCN47" s="76"/>
      <c r="CCO47" s="76"/>
      <c r="CCP47" s="76"/>
      <c r="CCQ47" s="76"/>
      <c r="CCR47" s="76"/>
      <c r="CCS47" s="76"/>
      <c r="CCT47" s="76"/>
      <c r="CCU47" s="76"/>
      <c r="CCV47" s="76"/>
      <c r="CCW47" s="76"/>
      <c r="CCX47" s="76"/>
      <c r="CCY47" s="76"/>
      <c r="CCZ47" s="76"/>
      <c r="CDA47" s="76"/>
      <c r="CDB47" s="76"/>
      <c r="CDC47" s="76"/>
      <c r="CDD47" s="76"/>
      <c r="CDE47" s="76"/>
      <c r="CDF47" s="76"/>
      <c r="CDG47" s="76"/>
      <c r="CDH47" s="76"/>
      <c r="CDI47" s="76"/>
      <c r="CDJ47" s="76"/>
      <c r="CDK47" s="76"/>
      <c r="CDL47" s="76"/>
      <c r="CDM47" s="76"/>
      <c r="CDN47" s="76"/>
      <c r="CDO47" s="76"/>
      <c r="CDP47" s="76"/>
      <c r="CDQ47" s="76"/>
      <c r="CDR47" s="76"/>
      <c r="CDS47" s="76"/>
      <c r="CDT47" s="76"/>
      <c r="CDU47" s="76"/>
      <c r="CDV47" s="76"/>
      <c r="CDW47" s="76"/>
      <c r="CDX47" s="76"/>
      <c r="CDY47" s="76"/>
      <c r="CDZ47" s="76"/>
      <c r="CEA47" s="76"/>
      <c r="CEB47" s="76"/>
      <c r="CEC47" s="76"/>
      <c r="CED47" s="76"/>
      <c r="CEE47" s="76"/>
      <c r="CEF47" s="76"/>
      <c r="CEG47" s="76"/>
      <c r="CEH47" s="76"/>
      <c r="CEI47" s="76"/>
      <c r="CEJ47" s="76"/>
      <c r="CEK47" s="76"/>
      <c r="CEL47" s="76"/>
      <c r="CEM47" s="76"/>
      <c r="CEN47" s="76"/>
      <c r="CEO47" s="76"/>
      <c r="CEP47" s="76"/>
      <c r="CEQ47" s="76"/>
      <c r="CER47" s="76"/>
      <c r="CES47" s="76"/>
      <c r="CET47" s="76"/>
      <c r="CEU47" s="76"/>
      <c r="CEV47" s="76"/>
      <c r="CEW47" s="76"/>
      <c r="CEX47" s="76"/>
      <c r="CEY47" s="76"/>
      <c r="CEZ47" s="76"/>
      <c r="CFA47" s="76"/>
      <c r="CFB47" s="76"/>
      <c r="CFC47" s="76"/>
      <c r="CFD47" s="76"/>
      <c r="CFE47" s="76"/>
      <c r="CFF47" s="76"/>
      <c r="CFG47" s="76"/>
      <c r="CFH47" s="76"/>
      <c r="CFI47" s="76"/>
      <c r="CFJ47" s="76"/>
      <c r="CFK47" s="76"/>
      <c r="CFL47" s="76"/>
      <c r="CFM47" s="76"/>
      <c r="CFN47" s="76"/>
      <c r="CFO47" s="76"/>
      <c r="CFP47" s="76"/>
      <c r="CFQ47" s="76"/>
      <c r="CFR47" s="76"/>
      <c r="CFS47" s="76"/>
      <c r="CFT47" s="76"/>
      <c r="CFU47" s="76"/>
      <c r="CFV47" s="76"/>
      <c r="CFW47" s="76"/>
      <c r="CFX47" s="76"/>
      <c r="CFY47" s="76"/>
      <c r="CFZ47" s="76"/>
      <c r="CGA47" s="76"/>
      <c r="CGB47" s="76"/>
      <c r="CGC47" s="76"/>
      <c r="CGD47" s="76"/>
      <c r="CGE47" s="76"/>
      <c r="CGF47" s="76"/>
      <c r="CGG47" s="76"/>
      <c r="CGH47" s="76"/>
      <c r="CGI47" s="76"/>
      <c r="CGJ47" s="76"/>
      <c r="CGK47" s="76"/>
      <c r="CGL47" s="76"/>
      <c r="CGM47" s="76"/>
      <c r="CGN47" s="76"/>
      <c r="CGO47" s="76"/>
      <c r="CGP47" s="76"/>
      <c r="CGQ47" s="76"/>
      <c r="CGR47" s="76"/>
      <c r="CGS47" s="76"/>
      <c r="CGT47" s="76"/>
      <c r="CGU47" s="76"/>
      <c r="CGV47" s="76"/>
      <c r="CGW47" s="76"/>
      <c r="CGX47" s="76"/>
      <c r="CGY47" s="76"/>
      <c r="CGZ47" s="76"/>
      <c r="CHA47" s="76"/>
      <c r="CHB47" s="76"/>
      <c r="CHC47" s="76"/>
      <c r="CHD47" s="76"/>
      <c r="CHE47" s="76"/>
      <c r="CHF47" s="76"/>
      <c r="CHG47" s="76"/>
      <c r="CHH47" s="76"/>
      <c r="CHI47" s="76"/>
      <c r="CHJ47" s="76"/>
      <c r="CHK47" s="76"/>
      <c r="CHL47" s="76"/>
      <c r="CHM47" s="76"/>
      <c r="CHN47" s="76"/>
      <c r="CHO47" s="76"/>
      <c r="CHP47" s="76"/>
      <c r="CHQ47" s="76"/>
      <c r="CHR47" s="76"/>
      <c r="CHS47" s="76"/>
      <c r="CHT47" s="76"/>
      <c r="CHU47" s="76"/>
      <c r="CHV47" s="76"/>
      <c r="CHW47" s="76"/>
      <c r="CHX47" s="76"/>
      <c r="CHY47" s="76"/>
      <c r="CHZ47" s="76"/>
      <c r="CIA47" s="76"/>
      <c r="CIB47" s="76"/>
      <c r="CIC47" s="76"/>
      <c r="CID47" s="76"/>
      <c r="CIE47" s="76"/>
      <c r="CIF47" s="76"/>
      <c r="CIG47" s="76"/>
      <c r="CIH47" s="76"/>
      <c r="CII47" s="76"/>
      <c r="CIJ47" s="76"/>
      <c r="CIK47" s="76"/>
      <c r="CIL47" s="76"/>
      <c r="CIM47" s="76"/>
      <c r="CIN47" s="76"/>
      <c r="CIO47" s="76"/>
      <c r="CIP47" s="76"/>
      <c r="CIQ47" s="76"/>
      <c r="CIR47" s="76"/>
      <c r="CIS47" s="76"/>
      <c r="CIT47" s="76"/>
      <c r="CIU47" s="76"/>
      <c r="CIV47" s="76"/>
      <c r="CIW47" s="76"/>
      <c r="CIX47" s="76"/>
      <c r="CIY47" s="76"/>
      <c r="CIZ47" s="76"/>
      <c r="CJA47" s="76"/>
      <c r="CJB47" s="76"/>
      <c r="CJC47" s="76"/>
      <c r="CJD47" s="76"/>
      <c r="CJE47" s="76"/>
      <c r="CJF47" s="76"/>
      <c r="CJG47" s="76"/>
      <c r="CJH47" s="76"/>
      <c r="CJI47" s="76"/>
      <c r="CJJ47" s="76"/>
      <c r="CJK47" s="76"/>
      <c r="CJL47" s="76"/>
      <c r="CJM47" s="76"/>
      <c r="CJN47" s="76"/>
      <c r="CJO47" s="76"/>
      <c r="CJP47" s="76"/>
      <c r="CJQ47" s="76"/>
      <c r="CJR47" s="76"/>
      <c r="CJS47" s="76"/>
      <c r="CJT47" s="76"/>
      <c r="CJU47" s="76"/>
      <c r="CJV47" s="76"/>
      <c r="CJW47" s="76"/>
      <c r="CJX47" s="76"/>
      <c r="CJY47" s="76"/>
      <c r="CJZ47" s="76"/>
      <c r="CKA47" s="76"/>
      <c r="CKB47" s="76"/>
      <c r="CKC47" s="76"/>
      <c r="CKD47" s="76"/>
      <c r="CKE47" s="76"/>
      <c r="CKF47" s="76"/>
      <c r="CKG47" s="76"/>
      <c r="CKH47" s="76"/>
      <c r="CKI47" s="76"/>
      <c r="CKJ47" s="76"/>
      <c r="CKK47" s="76"/>
      <c r="CKL47" s="76"/>
      <c r="CKM47" s="76"/>
      <c r="CKN47" s="76"/>
      <c r="CKO47" s="76"/>
      <c r="CKP47" s="76"/>
      <c r="CKQ47" s="76"/>
      <c r="CKR47" s="76"/>
      <c r="CKS47" s="76"/>
      <c r="CKT47" s="76"/>
      <c r="CKU47" s="76"/>
      <c r="CKV47" s="76"/>
      <c r="CKW47" s="76"/>
      <c r="CKX47" s="76"/>
      <c r="CKY47" s="76"/>
      <c r="CKZ47" s="76"/>
      <c r="CLA47" s="76"/>
      <c r="CLB47" s="76"/>
      <c r="CLC47" s="76"/>
      <c r="CLD47" s="76"/>
      <c r="CLE47" s="76"/>
      <c r="CLF47" s="76"/>
      <c r="CLG47" s="76"/>
      <c r="CLH47" s="76"/>
      <c r="CLI47" s="76"/>
      <c r="CLJ47" s="76"/>
      <c r="CLK47" s="76"/>
      <c r="CLL47" s="76"/>
      <c r="CLM47" s="76"/>
      <c r="CLN47" s="76"/>
      <c r="CLO47" s="76"/>
      <c r="CLP47" s="76"/>
      <c r="CLQ47" s="76"/>
      <c r="CLR47" s="76"/>
      <c r="CLS47" s="76"/>
      <c r="CLT47" s="76"/>
      <c r="CLU47" s="76"/>
      <c r="CLV47" s="76"/>
      <c r="CLW47" s="76"/>
      <c r="CLX47" s="76"/>
      <c r="CLY47" s="76"/>
      <c r="CLZ47" s="76"/>
      <c r="CMA47" s="76"/>
      <c r="CMB47" s="76"/>
      <c r="CMC47" s="76"/>
      <c r="CMD47" s="76"/>
      <c r="CME47" s="76"/>
      <c r="CMF47" s="76"/>
      <c r="CMG47" s="76"/>
      <c r="CMH47" s="76"/>
      <c r="CMI47" s="76"/>
      <c r="CMJ47" s="76"/>
      <c r="CMK47" s="76"/>
      <c r="CML47" s="76"/>
      <c r="CMM47" s="76"/>
      <c r="CMN47" s="76"/>
      <c r="CMO47" s="76"/>
      <c r="CMP47" s="76"/>
      <c r="CMQ47" s="76"/>
      <c r="CMR47" s="76"/>
      <c r="CMS47" s="76"/>
      <c r="CMT47" s="76"/>
      <c r="CMU47" s="76"/>
      <c r="CMV47" s="76"/>
      <c r="CMW47" s="76"/>
      <c r="CMX47" s="76"/>
      <c r="CMY47" s="76"/>
      <c r="CMZ47" s="76"/>
      <c r="CNA47" s="76"/>
      <c r="CNB47" s="76"/>
      <c r="CNC47" s="76"/>
      <c r="CND47" s="76"/>
      <c r="CNE47" s="76"/>
      <c r="CNF47" s="76"/>
      <c r="CNG47" s="76"/>
      <c r="CNH47" s="76"/>
      <c r="CNI47" s="76"/>
      <c r="CNJ47" s="76"/>
      <c r="CNK47" s="76"/>
      <c r="CNL47" s="76"/>
      <c r="CNM47" s="76"/>
      <c r="CNN47" s="76"/>
      <c r="CNO47" s="76"/>
      <c r="CNP47" s="76"/>
      <c r="CNQ47" s="76"/>
      <c r="CNR47" s="76"/>
      <c r="CNS47" s="76"/>
      <c r="CNT47" s="76"/>
      <c r="CNU47" s="76"/>
      <c r="CNV47" s="76"/>
      <c r="CNW47" s="76"/>
      <c r="CNX47" s="76"/>
      <c r="CNY47" s="76"/>
      <c r="CNZ47" s="76"/>
      <c r="COA47" s="76"/>
      <c r="COB47" s="76"/>
      <c r="COC47" s="76"/>
      <c r="COD47" s="76"/>
      <c r="COE47" s="76"/>
      <c r="COF47" s="76"/>
      <c r="COG47" s="76"/>
      <c r="COH47" s="76"/>
      <c r="COI47" s="76"/>
      <c r="COJ47" s="76"/>
      <c r="COK47" s="76"/>
      <c r="COL47" s="76"/>
      <c r="COM47" s="76"/>
      <c r="CON47" s="76"/>
      <c r="COO47" s="76"/>
      <c r="COP47" s="76"/>
      <c r="COQ47" s="76"/>
      <c r="COR47" s="76"/>
      <c r="COS47" s="76"/>
      <c r="COT47" s="76"/>
      <c r="COU47" s="76"/>
      <c r="COV47" s="76"/>
      <c r="COW47" s="76"/>
      <c r="COX47" s="76"/>
      <c r="COY47" s="76"/>
      <c r="COZ47" s="76"/>
      <c r="CPA47" s="76"/>
      <c r="CPB47" s="76"/>
      <c r="CPC47" s="76"/>
      <c r="CPD47" s="76"/>
      <c r="CPE47" s="76"/>
      <c r="CPF47" s="76"/>
      <c r="CPG47" s="76"/>
      <c r="CPH47" s="76"/>
      <c r="CPI47" s="76"/>
      <c r="CPJ47" s="76"/>
      <c r="CPK47" s="76"/>
      <c r="CPL47" s="76"/>
      <c r="CPM47" s="76"/>
      <c r="CPN47" s="76"/>
      <c r="CPO47" s="76"/>
      <c r="CPP47" s="76"/>
      <c r="CPQ47" s="76"/>
      <c r="CPR47" s="76"/>
      <c r="CPS47" s="76"/>
      <c r="CPT47" s="76"/>
      <c r="CPU47" s="76"/>
      <c r="CPV47" s="76"/>
      <c r="CPW47" s="76"/>
      <c r="CPX47" s="76"/>
      <c r="CPY47" s="76"/>
      <c r="CPZ47" s="76"/>
      <c r="CQA47" s="76"/>
      <c r="CQB47" s="76"/>
      <c r="CQC47" s="76"/>
      <c r="CQD47" s="76"/>
      <c r="CQE47" s="76"/>
      <c r="CQF47" s="76"/>
      <c r="CQG47" s="76"/>
      <c r="CQH47" s="76"/>
      <c r="CQI47" s="76"/>
      <c r="CQJ47" s="76"/>
      <c r="CQK47" s="76"/>
      <c r="CQL47" s="76"/>
      <c r="CQM47" s="76"/>
      <c r="CQN47" s="76"/>
      <c r="CQO47" s="76"/>
      <c r="CQP47" s="76"/>
      <c r="CQQ47" s="76"/>
      <c r="CQR47" s="76"/>
      <c r="CQS47" s="76"/>
      <c r="CQT47" s="76"/>
      <c r="CQU47" s="76"/>
      <c r="CQV47" s="76"/>
      <c r="CQW47" s="76"/>
      <c r="CQX47" s="76"/>
      <c r="CQY47" s="76"/>
      <c r="CQZ47" s="76"/>
      <c r="CRA47" s="76"/>
      <c r="CRB47" s="76"/>
      <c r="CRC47" s="76"/>
      <c r="CRD47" s="76"/>
      <c r="CRE47" s="76"/>
      <c r="CRF47" s="76"/>
      <c r="CRG47" s="76"/>
      <c r="CRH47" s="76"/>
      <c r="CRI47" s="76"/>
      <c r="CRJ47" s="76"/>
      <c r="CRK47" s="76"/>
      <c r="CRL47" s="76"/>
      <c r="CRM47" s="76"/>
      <c r="CRN47" s="76"/>
      <c r="CRO47" s="76"/>
      <c r="CRP47" s="76"/>
      <c r="CRQ47" s="76"/>
      <c r="CRR47" s="76"/>
      <c r="CRS47" s="76"/>
      <c r="CRT47" s="76"/>
      <c r="CRU47" s="76"/>
      <c r="CRV47" s="76"/>
      <c r="CRW47" s="76"/>
      <c r="CRX47" s="76"/>
      <c r="CRY47" s="76"/>
      <c r="CRZ47" s="76"/>
      <c r="CSA47" s="76"/>
      <c r="CSB47" s="76"/>
      <c r="CSC47" s="76"/>
      <c r="CSD47" s="76"/>
      <c r="CSE47" s="76"/>
      <c r="CSF47" s="76"/>
      <c r="CSG47" s="76"/>
      <c r="CSH47" s="76"/>
      <c r="CSI47" s="76"/>
      <c r="CSJ47" s="76"/>
      <c r="CSK47" s="76"/>
      <c r="CSL47" s="76"/>
      <c r="CSM47" s="76"/>
      <c r="CSN47" s="76"/>
      <c r="CSO47" s="76"/>
      <c r="CSP47" s="76"/>
      <c r="CSQ47" s="76"/>
      <c r="CSR47" s="76"/>
      <c r="CSS47" s="76"/>
      <c r="CST47" s="76"/>
      <c r="CSU47" s="76"/>
      <c r="CSV47" s="76"/>
      <c r="CSW47" s="76"/>
      <c r="CSX47" s="76"/>
      <c r="CSY47" s="76"/>
      <c r="CSZ47" s="76"/>
      <c r="CTA47" s="76"/>
      <c r="CTB47" s="76"/>
      <c r="CTC47" s="76"/>
      <c r="CTD47" s="76"/>
      <c r="CTE47" s="76"/>
      <c r="CTF47" s="76"/>
      <c r="CTG47" s="76"/>
      <c r="CTH47" s="76"/>
      <c r="CTI47" s="76"/>
      <c r="CTJ47" s="76"/>
      <c r="CTK47" s="76"/>
      <c r="CTL47" s="76"/>
      <c r="CTM47" s="76"/>
      <c r="CTN47" s="76"/>
      <c r="CTO47" s="76"/>
      <c r="CTP47" s="76"/>
      <c r="CTQ47" s="76"/>
      <c r="CTR47" s="76"/>
      <c r="CTS47" s="76"/>
      <c r="CTT47" s="76"/>
      <c r="CTU47" s="76"/>
      <c r="CTV47" s="76"/>
      <c r="CTW47" s="76"/>
      <c r="CTX47" s="76"/>
      <c r="CTY47" s="76"/>
      <c r="CTZ47" s="76"/>
      <c r="CUA47" s="76"/>
      <c r="CUB47" s="76"/>
      <c r="CUC47" s="76"/>
      <c r="CUD47" s="76"/>
      <c r="CUE47" s="76"/>
      <c r="CUF47" s="76"/>
      <c r="CUG47" s="76"/>
      <c r="CUH47" s="76"/>
      <c r="CUI47" s="76"/>
      <c r="CUJ47" s="76"/>
      <c r="CUK47" s="76"/>
      <c r="CUL47" s="76"/>
      <c r="CUM47" s="76"/>
      <c r="CUN47" s="76"/>
      <c r="CUO47" s="76"/>
      <c r="CUP47" s="76"/>
      <c r="CUQ47" s="76"/>
      <c r="CUR47" s="76"/>
      <c r="CUS47" s="76"/>
      <c r="CUT47" s="76"/>
      <c r="CUU47" s="76"/>
      <c r="CUV47" s="76"/>
      <c r="CUW47" s="76"/>
      <c r="CUX47" s="76"/>
      <c r="CUY47" s="76"/>
      <c r="CUZ47" s="76"/>
      <c r="CVA47" s="76"/>
      <c r="CVB47" s="76"/>
      <c r="CVC47" s="76"/>
      <c r="CVD47" s="76"/>
      <c r="CVE47" s="76"/>
      <c r="CVF47" s="76"/>
      <c r="CVG47" s="76"/>
      <c r="CVH47" s="76"/>
      <c r="CVI47" s="76"/>
      <c r="CVJ47" s="76"/>
      <c r="CVK47" s="76"/>
      <c r="CVL47" s="76"/>
      <c r="CVM47" s="76"/>
      <c r="CVN47" s="76"/>
      <c r="CVO47" s="76"/>
      <c r="CVP47" s="76"/>
      <c r="CVQ47" s="76"/>
      <c r="CVR47" s="76"/>
      <c r="CVS47" s="76"/>
      <c r="CVT47" s="76"/>
      <c r="CVU47" s="76"/>
      <c r="CVV47" s="76"/>
      <c r="CVW47" s="76"/>
      <c r="CVX47" s="76"/>
      <c r="CVY47" s="76"/>
      <c r="CVZ47" s="76"/>
      <c r="CWA47" s="76"/>
      <c r="CWB47" s="76"/>
      <c r="CWC47" s="76"/>
      <c r="CWD47" s="76"/>
      <c r="CWE47" s="76"/>
      <c r="CWF47" s="76"/>
      <c r="CWG47" s="76"/>
      <c r="CWH47" s="76"/>
      <c r="CWI47" s="76"/>
      <c r="CWJ47" s="76"/>
      <c r="CWK47" s="76"/>
      <c r="CWL47" s="76"/>
      <c r="CWM47" s="76"/>
      <c r="CWN47" s="76"/>
      <c r="CWO47" s="76"/>
      <c r="CWP47" s="76"/>
      <c r="CWQ47" s="76"/>
      <c r="CWR47" s="76"/>
      <c r="CWS47" s="76"/>
      <c r="CWT47" s="76"/>
      <c r="CWU47" s="76"/>
      <c r="CWV47" s="76"/>
      <c r="CWW47" s="76"/>
      <c r="CWX47" s="76"/>
      <c r="CWY47" s="76"/>
      <c r="CWZ47" s="76"/>
      <c r="CXA47" s="76"/>
      <c r="CXB47" s="76"/>
      <c r="CXC47" s="76"/>
      <c r="CXD47" s="76"/>
      <c r="CXE47" s="76"/>
      <c r="CXF47" s="76"/>
      <c r="CXG47" s="76"/>
      <c r="CXH47" s="76"/>
      <c r="CXI47" s="76"/>
      <c r="CXJ47" s="76"/>
      <c r="CXK47" s="76"/>
      <c r="CXL47" s="76"/>
      <c r="CXM47" s="76"/>
      <c r="CXN47" s="76"/>
      <c r="CXO47" s="76"/>
      <c r="CXP47" s="76"/>
      <c r="CXQ47" s="76"/>
      <c r="CXR47" s="76"/>
      <c r="CXS47" s="76"/>
      <c r="CXT47" s="76"/>
      <c r="CXU47" s="76"/>
      <c r="CXV47" s="76"/>
      <c r="CXW47" s="76"/>
      <c r="CXX47" s="76"/>
      <c r="CXY47" s="76"/>
      <c r="CXZ47" s="76"/>
      <c r="CYA47" s="76"/>
      <c r="CYB47" s="76"/>
      <c r="CYC47" s="76"/>
      <c r="CYD47" s="76"/>
      <c r="CYE47" s="76"/>
      <c r="CYF47" s="76"/>
      <c r="CYG47" s="76"/>
      <c r="CYH47" s="76"/>
      <c r="CYI47" s="76"/>
      <c r="CYJ47" s="76"/>
      <c r="CYK47" s="76"/>
      <c r="CYL47" s="76"/>
      <c r="CYM47" s="76"/>
      <c r="CYN47" s="76"/>
      <c r="CYO47" s="76"/>
      <c r="CYP47" s="76"/>
      <c r="CYQ47" s="76"/>
      <c r="CYR47" s="76"/>
      <c r="CYS47" s="76"/>
      <c r="CYT47" s="76"/>
      <c r="CYU47" s="76"/>
      <c r="CYV47" s="76"/>
      <c r="CYW47" s="76"/>
      <c r="CYX47" s="76"/>
      <c r="CYY47" s="76"/>
      <c r="CYZ47" s="76"/>
      <c r="CZA47" s="76"/>
      <c r="CZB47" s="76"/>
      <c r="CZC47" s="76"/>
      <c r="CZD47" s="76"/>
      <c r="CZE47" s="76"/>
      <c r="CZF47" s="76"/>
      <c r="CZG47" s="76"/>
      <c r="CZH47" s="76"/>
      <c r="CZI47" s="76"/>
      <c r="CZJ47" s="76"/>
      <c r="CZK47" s="76"/>
      <c r="CZL47" s="76"/>
      <c r="CZM47" s="76"/>
      <c r="CZN47" s="76"/>
      <c r="CZO47" s="76"/>
      <c r="CZP47" s="76"/>
      <c r="CZQ47" s="76"/>
      <c r="CZR47" s="76"/>
      <c r="CZS47" s="76"/>
      <c r="CZT47" s="76"/>
      <c r="CZU47" s="76"/>
      <c r="CZV47" s="76"/>
      <c r="CZW47" s="76"/>
      <c r="CZX47" s="76"/>
      <c r="CZY47" s="76"/>
      <c r="CZZ47" s="76"/>
      <c r="DAA47" s="76"/>
      <c r="DAB47" s="76"/>
      <c r="DAC47" s="76"/>
      <c r="DAD47" s="76"/>
      <c r="DAE47" s="76"/>
      <c r="DAF47" s="76"/>
      <c r="DAG47" s="76"/>
      <c r="DAH47" s="76"/>
      <c r="DAI47" s="76"/>
      <c r="DAJ47" s="76"/>
      <c r="DAK47" s="76"/>
      <c r="DAL47" s="76"/>
      <c r="DAM47" s="76"/>
      <c r="DAN47" s="76"/>
      <c r="DAO47" s="76"/>
      <c r="DAP47" s="76"/>
      <c r="DAQ47" s="76"/>
      <c r="DAR47" s="76"/>
      <c r="DAS47" s="76"/>
      <c r="DAT47" s="76"/>
      <c r="DAU47" s="76"/>
      <c r="DAV47" s="76"/>
      <c r="DAW47" s="76"/>
      <c r="DAX47" s="76"/>
      <c r="DAY47" s="76"/>
      <c r="DAZ47" s="76"/>
      <c r="DBA47" s="76"/>
      <c r="DBB47" s="76"/>
      <c r="DBC47" s="76"/>
      <c r="DBD47" s="76"/>
      <c r="DBE47" s="76"/>
      <c r="DBF47" s="76"/>
      <c r="DBG47" s="76"/>
      <c r="DBH47" s="76"/>
      <c r="DBI47" s="76"/>
      <c r="DBJ47" s="76"/>
      <c r="DBK47" s="76"/>
      <c r="DBL47" s="76"/>
      <c r="DBM47" s="76"/>
      <c r="DBN47" s="76"/>
      <c r="DBO47" s="76"/>
      <c r="DBP47" s="76"/>
      <c r="DBQ47" s="76"/>
      <c r="DBR47" s="76"/>
      <c r="DBS47" s="76"/>
      <c r="DBT47" s="76"/>
      <c r="DBU47" s="76"/>
      <c r="DBV47" s="76"/>
      <c r="DBW47" s="76"/>
      <c r="DBX47" s="76"/>
      <c r="DBY47" s="76"/>
      <c r="DBZ47" s="76"/>
      <c r="DCA47" s="76"/>
      <c r="DCB47" s="76"/>
      <c r="DCC47" s="76"/>
      <c r="DCD47" s="76"/>
      <c r="DCE47" s="76"/>
      <c r="DCF47" s="76"/>
      <c r="DCG47" s="76"/>
      <c r="DCH47" s="76"/>
      <c r="DCI47" s="76"/>
      <c r="DCJ47" s="76"/>
      <c r="DCK47" s="76"/>
      <c r="DCL47" s="76"/>
      <c r="DCM47" s="76"/>
      <c r="DCN47" s="76"/>
      <c r="DCO47" s="76"/>
      <c r="DCP47" s="76"/>
      <c r="DCQ47" s="76"/>
      <c r="DCR47" s="76"/>
      <c r="DCS47" s="76"/>
      <c r="DCT47" s="76"/>
      <c r="DCU47" s="76"/>
      <c r="DCV47" s="76"/>
      <c r="DCW47" s="76"/>
      <c r="DCX47" s="76"/>
      <c r="DCY47" s="76"/>
      <c r="DCZ47" s="76"/>
      <c r="DDA47" s="76"/>
      <c r="DDB47" s="76"/>
      <c r="DDC47" s="76"/>
      <c r="DDD47" s="76"/>
      <c r="DDE47" s="76"/>
      <c r="DDF47" s="76"/>
      <c r="DDG47" s="76"/>
      <c r="DDH47" s="76"/>
      <c r="DDI47" s="76"/>
      <c r="DDJ47" s="76"/>
      <c r="DDK47" s="76"/>
      <c r="DDL47" s="76"/>
      <c r="DDM47" s="76"/>
      <c r="DDN47" s="76"/>
      <c r="DDO47" s="76"/>
      <c r="DDP47" s="76"/>
      <c r="DDQ47" s="76"/>
      <c r="DDR47" s="76"/>
      <c r="DDS47" s="76"/>
      <c r="DDT47" s="76"/>
      <c r="DDU47" s="76"/>
      <c r="DDV47" s="76"/>
      <c r="DDW47" s="76"/>
      <c r="DDX47" s="76"/>
      <c r="DDY47" s="76"/>
      <c r="DDZ47" s="76"/>
      <c r="DEA47" s="76"/>
      <c r="DEB47" s="76"/>
      <c r="DEC47" s="76"/>
      <c r="DED47" s="76"/>
      <c r="DEE47" s="76"/>
      <c r="DEF47" s="76"/>
      <c r="DEG47" s="76"/>
      <c r="DEH47" s="76"/>
      <c r="DEI47" s="76"/>
      <c r="DEJ47" s="76"/>
      <c r="DEK47" s="76"/>
      <c r="DEL47" s="76"/>
      <c r="DEM47" s="76"/>
      <c r="DEN47" s="76"/>
      <c r="DEO47" s="76"/>
      <c r="DEP47" s="76"/>
      <c r="DEQ47" s="76"/>
      <c r="DER47" s="76"/>
      <c r="DES47" s="76"/>
      <c r="DET47" s="76"/>
      <c r="DEU47" s="76"/>
      <c r="DEV47" s="76"/>
      <c r="DEW47" s="76"/>
      <c r="DEX47" s="76"/>
      <c r="DEY47" s="76"/>
      <c r="DEZ47" s="76"/>
      <c r="DFA47" s="76"/>
      <c r="DFB47" s="76"/>
      <c r="DFC47" s="76"/>
      <c r="DFD47" s="76"/>
      <c r="DFE47" s="76"/>
      <c r="DFF47" s="76"/>
      <c r="DFG47" s="76"/>
      <c r="DFH47" s="76"/>
      <c r="DFI47" s="76"/>
      <c r="DFJ47" s="76"/>
      <c r="DFK47" s="76"/>
      <c r="DFL47" s="76"/>
      <c r="DFM47" s="76"/>
      <c r="DFN47" s="76"/>
      <c r="DFO47" s="76"/>
      <c r="DFP47" s="76"/>
      <c r="DFQ47" s="76"/>
      <c r="DFR47" s="76"/>
      <c r="DFS47" s="76"/>
      <c r="DFT47" s="76"/>
      <c r="DFU47" s="76"/>
      <c r="DFV47" s="76"/>
      <c r="DFW47" s="76"/>
      <c r="DFX47" s="76"/>
      <c r="DFY47" s="76"/>
      <c r="DFZ47" s="76"/>
      <c r="DGA47" s="76"/>
      <c r="DGB47" s="76"/>
      <c r="DGC47" s="76"/>
      <c r="DGD47" s="76"/>
      <c r="DGE47" s="76"/>
      <c r="DGF47" s="76"/>
      <c r="DGG47" s="76"/>
      <c r="DGH47" s="76"/>
      <c r="DGI47" s="76"/>
      <c r="DGJ47" s="76"/>
      <c r="DGK47" s="76"/>
      <c r="DGL47" s="76"/>
      <c r="DGM47" s="76"/>
      <c r="DGN47" s="76"/>
      <c r="DGO47" s="76"/>
      <c r="DGP47" s="76"/>
      <c r="DGQ47" s="76"/>
      <c r="DGR47" s="76"/>
      <c r="DGS47" s="76"/>
      <c r="DGT47" s="76"/>
      <c r="DGU47" s="76"/>
      <c r="DGV47" s="76"/>
      <c r="DGW47" s="76"/>
      <c r="DGX47" s="76"/>
      <c r="DGY47" s="76"/>
      <c r="DGZ47" s="76"/>
      <c r="DHA47" s="76"/>
      <c r="DHB47" s="76"/>
      <c r="DHC47" s="76"/>
      <c r="DHD47" s="76"/>
      <c r="DHE47" s="76"/>
      <c r="DHF47" s="76"/>
      <c r="DHG47" s="76"/>
      <c r="DHH47" s="76"/>
      <c r="DHI47" s="76"/>
      <c r="DHJ47" s="76"/>
      <c r="DHK47" s="76"/>
      <c r="DHL47" s="76"/>
      <c r="DHM47" s="76"/>
      <c r="DHN47" s="76"/>
      <c r="DHO47" s="76"/>
      <c r="DHP47" s="76"/>
      <c r="DHQ47" s="76"/>
      <c r="DHR47" s="76"/>
      <c r="DHS47" s="76"/>
      <c r="DHT47" s="76"/>
      <c r="DHU47" s="76"/>
      <c r="DHV47" s="76"/>
      <c r="DHW47" s="76"/>
      <c r="DHX47" s="76"/>
      <c r="DHY47" s="76"/>
      <c r="DHZ47" s="76"/>
      <c r="DIA47" s="76"/>
      <c r="DIB47" s="76"/>
      <c r="DIC47" s="76"/>
      <c r="DID47" s="76"/>
      <c r="DIE47" s="76"/>
      <c r="DIF47" s="76"/>
      <c r="DIG47" s="76"/>
      <c r="DIH47" s="76"/>
      <c r="DII47" s="76"/>
      <c r="DIJ47" s="76"/>
      <c r="DIK47" s="76"/>
      <c r="DIL47" s="76"/>
      <c r="DIM47" s="76"/>
      <c r="DIN47" s="76"/>
      <c r="DIO47" s="76"/>
      <c r="DIP47" s="76"/>
      <c r="DIQ47" s="76"/>
      <c r="DIR47" s="76"/>
      <c r="DIS47" s="76"/>
      <c r="DIT47" s="76"/>
      <c r="DIU47" s="76"/>
      <c r="DIV47" s="76"/>
      <c r="DIW47" s="76"/>
      <c r="DIX47" s="76"/>
      <c r="DIY47" s="76"/>
      <c r="DIZ47" s="76"/>
      <c r="DJA47" s="76"/>
      <c r="DJB47" s="76"/>
      <c r="DJC47" s="76"/>
      <c r="DJD47" s="76"/>
      <c r="DJE47" s="76"/>
      <c r="DJF47" s="76"/>
      <c r="DJG47" s="76"/>
      <c r="DJH47" s="76"/>
      <c r="DJI47" s="76"/>
      <c r="DJJ47" s="76"/>
      <c r="DJK47" s="76"/>
      <c r="DJL47" s="76"/>
      <c r="DJM47" s="76"/>
      <c r="DJN47" s="76"/>
      <c r="DJO47" s="76"/>
      <c r="DJP47" s="76"/>
      <c r="DJQ47" s="76"/>
      <c r="DJR47" s="76"/>
      <c r="DJS47" s="76"/>
      <c r="DJT47" s="76"/>
      <c r="DJU47" s="76"/>
      <c r="DJV47" s="76"/>
      <c r="DJW47" s="76"/>
      <c r="DJX47" s="76"/>
      <c r="DJY47" s="76"/>
      <c r="DJZ47" s="76"/>
      <c r="DKA47" s="76"/>
      <c r="DKB47" s="76"/>
      <c r="DKC47" s="76"/>
      <c r="DKD47" s="76"/>
      <c r="DKE47" s="76"/>
      <c r="DKF47" s="76"/>
      <c r="DKG47" s="76"/>
      <c r="DKH47" s="76"/>
      <c r="DKI47" s="76"/>
      <c r="DKJ47" s="76"/>
      <c r="DKK47" s="76"/>
      <c r="DKL47" s="76"/>
      <c r="DKM47" s="76"/>
      <c r="DKN47" s="76"/>
      <c r="DKO47" s="76"/>
      <c r="DKP47" s="76"/>
      <c r="DKQ47" s="76"/>
      <c r="DKR47" s="76"/>
      <c r="DKS47" s="76"/>
      <c r="DKT47" s="76"/>
      <c r="DKU47" s="76"/>
      <c r="DKV47" s="76"/>
      <c r="DKW47" s="76"/>
      <c r="DKX47" s="76"/>
      <c r="DKY47" s="76"/>
      <c r="DKZ47" s="76"/>
      <c r="DLA47" s="76"/>
      <c r="DLB47" s="76"/>
      <c r="DLC47" s="76"/>
      <c r="DLD47" s="76"/>
      <c r="DLE47" s="76"/>
      <c r="DLF47" s="76"/>
      <c r="DLG47" s="76"/>
      <c r="DLH47" s="76"/>
      <c r="DLI47" s="76"/>
      <c r="DLJ47" s="76"/>
      <c r="DLK47" s="76"/>
      <c r="DLL47" s="76"/>
      <c r="DLM47" s="76"/>
      <c r="DLN47" s="76"/>
      <c r="DLO47" s="76"/>
      <c r="DLP47" s="76"/>
      <c r="DLQ47" s="76"/>
      <c r="DLR47" s="76"/>
      <c r="DLS47" s="76"/>
      <c r="DLT47" s="76"/>
      <c r="DLU47" s="76"/>
      <c r="DLV47" s="76"/>
      <c r="DLW47" s="76"/>
      <c r="DLX47" s="76"/>
      <c r="DLY47" s="76"/>
      <c r="DLZ47" s="76"/>
      <c r="DMA47" s="76"/>
      <c r="DMB47" s="76"/>
      <c r="DMC47" s="76"/>
      <c r="DMD47" s="76"/>
      <c r="DME47" s="76"/>
      <c r="DMF47" s="76"/>
      <c r="DMG47" s="76"/>
      <c r="DMH47" s="76"/>
      <c r="DMI47" s="76"/>
      <c r="DMJ47" s="76"/>
      <c r="DMK47" s="76"/>
      <c r="DML47" s="76"/>
      <c r="DMM47" s="76"/>
      <c r="DMN47" s="76"/>
      <c r="DMO47" s="76"/>
      <c r="DMP47" s="76"/>
      <c r="DMQ47" s="76"/>
      <c r="DMR47" s="76"/>
      <c r="DMS47" s="76"/>
      <c r="DMT47" s="76"/>
      <c r="DMU47" s="76"/>
      <c r="DMV47" s="76"/>
      <c r="DMW47" s="76"/>
      <c r="DMX47" s="76"/>
      <c r="DMY47" s="76"/>
      <c r="DMZ47" s="76"/>
      <c r="DNA47" s="76"/>
      <c r="DNB47" s="76"/>
      <c r="DNC47" s="76"/>
      <c r="DND47" s="76"/>
      <c r="DNE47" s="76"/>
      <c r="DNF47" s="76"/>
      <c r="DNG47" s="76"/>
      <c r="DNH47" s="76"/>
      <c r="DNI47" s="76"/>
      <c r="DNJ47" s="76"/>
      <c r="DNK47" s="76"/>
      <c r="DNL47" s="76"/>
      <c r="DNM47" s="76"/>
      <c r="DNN47" s="76"/>
      <c r="DNO47" s="76"/>
      <c r="DNP47" s="76"/>
      <c r="DNQ47" s="76"/>
      <c r="DNR47" s="76"/>
      <c r="DNS47" s="76"/>
      <c r="DNT47" s="76"/>
      <c r="DNU47" s="76"/>
      <c r="DNV47" s="76"/>
      <c r="DNW47" s="76"/>
      <c r="DNX47" s="76"/>
      <c r="DNY47" s="76"/>
      <c r="DNZ47" s="76"/>
      <c r="DOA47" s="76"/>
      <c r="DOB47" s="76"/>
      <c r="DOC47" s="76"/>
      <c r="DOD47" s="76"/>
      <c r="DOE47" s="76"/>
      <c r="DOF47" s="76"/>
      <c r="DOG47" s="76"/>
      <c r="DOH47" s="76"/>
      <c r="DOI47" s="76"/>
      <c r="DOJ47" s="76"/>
      <c r="DOK47" s="76"/>
      <c r="DOL47" s="76"/>
      <c r="DOM47" s="76"/>
      <c r="DON47" s="76"/>
      <c r="DOO47" s="76"/>
      <c r="DOP47" s="76"/>
      <c r="DOQ47" s="76"/>
      <c r="DOR47" s="76"/>
      <c r="DOS47" s="76"/>
      <c r="DOT47" s="76"/>
      <c r="DOU47" s="76"/>
      <c r="DOV47" s="76"/>
      <c r="DOW47" s="76"/>
      <c r="DOX47" s="76"/>
      <c r="DOY47" s="76"/>
      <c r="DOZ47" s="76"/>
      <c r="DPA47" s="76"/>
      <c r="DPB47" s="76"/>
      <c r="DPC47" s="76"/>
      <c r="DPD47" s="76"/>
      <c r="DPE47" s="76"/>
      <c r="DPF47" s="76"/>
      <c r="DPG47" s="76"/>
      <c r="DPH47" s="76"/>
      <c r="DPI47" s="76"/>
      <c r="DPJ47" s="76"/>
      <c r="DPK47" s="76"/>
      <c r="DPL47" s="76"/>
      <c r="DPM47" s="76"/>
      <c r="DPN47" s="76"/>
      <c r="DPO47" s="76"/>
      <c r="DPP47" s="76"/>
      <c r="DPQ47" s="76"/>
      <c r="DPR47" s="76"/>
      <c r="DPS47" s="76"/>
      <c r="DPT47" s="76"/>
      <c r="DPU47" s="76"/>
      <c r="DPV47" s="76"/>
      <c r="DPW47" s="76"/>
      <c r="DPX47" s="76"/>
      <c r="DPY47" s="76"/>
      <c r="DPZ47" s="76"/>
      <c r="DQA47" s="76"/>
      <c r="DQB47" s="76"/>
      <c r="DQC47" s="76"/>
      <c r="DQD47" s="76"/>
      <c r="DQE47" s="76"/>
      <c r="DQF47" s="76"/>
      <c r="DQG47" s="76"/>
      <c r="DQH47" s="76"/>
      <c r="DQI47" s="76"/>
      <c r="DQJ47" s="76"/>
      <c r="DQK47" s="76"/>
      <c r="DQL47" s="76"/>
      <c r="DQM47" s="76"/>
      <c r="DQN47" s="76"/>
      <c r="DQO47" s="76"/>
      <c r="DQP47" s="76"/>
      <c r="DQQ47" s="76"/>
      <c r="DQR47" s="76"/>
      <c r="DQS47" s="76"/>
      <c r="DQT47" s="76"/>
      <c r="DQU47" s="76"/>
      <c r="DQV47" s="76"/>
      <c r="DQW47" s="76"/>
      <c r="DQX47" s="76"/>
      <c r="DQY47" s="76"/>
      <c r="DQZ47" s="76"/>
      <c r="DRA47" s="76"/>
      <c r="DRB47" s="76"/>
      <c r="DRC47" s="76"/>
      <c r="DRD47" s="76"/>
      <c r="DRE47" s="76"/>
      <c r="DRF47" s="76"/>
      <c r="DRG47" s="76"/>
      <c r="DRH47" s="76"/>
      <c r="DRI47" s="76"/>
      <c r="DRJ47" s="76"/>
      <c r="DRK47" s="76"/>
      <c r="DRL47" s="76"/>
      <c r="DRM47" s="76"/>
      <c r="DRN47" s="76"/>
      <c r="DRO47" s="76"/>
      <c r="DRP47" s="76"/>
      <c r="DRQ47" s="76"/>
      <c r="DRR47" s="76"/>
      <c r="DRS47" s="76"/>
      <c r="DRT47" s="76"/>
      <c r="DRU47" s="76"/>
      <c r="DRV47" s="76"/>
      <c r="DRW47" s="76"/>
      <c r="DRX47" s="76"/>
      <c r="DRY47" s="76"/>
      <c r="DRZ47" s="76"/>
      <c r="DSA47" s="76"/>
      <c r="DSB47" s="76"/>
      <c r="DSC47" s="76"/>
      <c r="DSD47" s="76"/>
      <c r="DSE47" s="76"/>
      <c r="DSF47" s="76"/>
      <c r="DSG47" s="76"/>
      <c r="DSH47" s="76"/>
      <c r="DSI47" s="76"/>
      <c r="DSJ47" s="76"/>
      <c r="DSK47" s="76"/>
      <c r="DSL47" s="76"/>
      <c r="DSM47" s="76"/>
      <c r="DSN47" s="76"/>
      <c r="DSO47" s="76"/>
      <c r="DSP47" s="76"/>
      <c r="DSQ47" s="76"/>
      <c r="DSR47" s="76"/>
      <c r="DSS47" s="76"/>
      <c r="DST47" s="76"/>
      <c r="DSU47" s="76"/>
      <c r="DSV47" s="76"/>
      <c r="DSW47" s="76"/>
      <c r="DSX47" s="76"/>
      <c r="DSY47" s="76"/>
      <c r="DSZ47" s="76"/>
      <c r="DTA47" s="76"/>
      <c r="DTB47" s="76"/>
      <c r="DTC47" s="76"/>
      <c r="DTD47" s="76"/>
      <c r="DTE47" s="76"/>
      <c r="DTF47" s="76"/>
      <c r="DTG47" s="76"/>
      <c r="DTH47" s="76"/>
      <c r="DTI47" s="76"/>
      <c r="DTJ47" s="76"/>
      <c r="DTK47" s="76"/>
      <c r="DTL47" s="76"/>
      <c r="DTM47" s="76"/>
      <c r="DTN47" s="76"/>
      <c r="DTO47" s="76"/>
      <c r="DTP47" s="76"/>
      <c r="DTQ47" s="76"/>
      <c r="DTR47" s="76"/>
      <c r="DTS47" s="76"/>
      <c r="DTT47" s="76"/>
      <c r="DTU47" s="76"/>
      <c r="DTV47" s="76"/>
      <c r="DTW47" s="76"/>
      <c r="DTX47" s="76"/>
      <c r="DTY47" s="76"/>
      <c r="DTZ47" s="76"/>
      <c r="DUA47" s="76"/>
      <c r="DUB47" s="76"/>
      <c r="DUC47" s="76"/>
      <c r="DUD47" s="76"/>
      <c r="DUE47" s="76"/>
      <c r="DUF47" s="76"/>
      <c r="DUG47" s="76"/>
      <c r="DUH47" s="76"/>
      <c r="DUI47" s="76"/>
      <c r="DUJ47" s="76"/>
      <c r="DUK47" s="76"/>
      <c r="DUL47" s="76"/>
      <c r="DUM47" s="76"/>
      <c r="DUN47" s="76"/>
      <c r="DUO47" s="76"/>
      <c r="DUP47" s="76"/>
      <c r="DUQ47" s="76"/>
      <c r="DUR47" s="76"/>
      <c r="DUS47" s="76"/>
      <c r="DUT47" s="76"/>
      <c r="DUU47" s="76"/>
      <c r="DUV47" s="76"/>
      <c r="DUW47" s="76"/>
      <c r="DUX47" s="76"/>
      <c r="DUY47" s="76"/>
      <c r="DUZ47" s="76"/>
      <c r="DVA47" s="76"/>
      <c r="DVB47" s="76"/>
      <c r="DVC47" s="76"/>
      <c r="DVD47" s="76"/>
      <c r="DVE47" s="76"/>
      <c r="DVF47" s="76"/>
      <c r="DVG47" s="76"/>
      <c r="DVH47" s="76"/>
      <c r="DVI47" s="76"/>
      <c r="DVJ47" s="76"/>
      <c r="DVK47" s="76"/>
      <c r="DVL47" s="76"/>
      <c r="DVM47" s="76"/>
      <c r="DVN47" s="76"/>
      <c r="DVO47" s="76"/>
      <c r="DVP47" s="76"/>
      <c r="DVQ47" s="76"/>
      <c r="DVR47" s="76"/>
      <c r="DVS47" s="76"/>
      <c r="DVT47" s="76"/>
      <c r="DVU47" s="76"/>
      <c r="DVV47" s="76"/>
      <c r="DVW47" s="76"/>
      <c r="DVX47" s="76"/>
      <c r="DVY47" s="76"/>
      <c r="DVZ47" s="76"/>
      <c r="DWA47" s="76"/>
      <c r="DWB47" s="76"/>
      <c r="DWC47" s="76"/>
      <c r="DWD47" s="76"/>
      <c r="DWE47" s="76"/>
      <c r="DWF47" s="76"/>
      <c r="DWG47" s="76"/>
      <c r="DWH47" s="76"/>
      <c r="DWI47" s="76"/>
      <c r="DWJ47" s="76"/>
      <c r="DWK47" s="76"/>
      <c r="DWL47" s="76"/>
      <c r="DWM47" s="76"/>
      <c r="DWN47" s="76"/>
      <c r="DWO47" s="76"/>
      <c r="DWP47" s="76"/>
      <c r="DWQ47" s="76"/>
      <c r="DWR47" s="76"/>
      <c r="DWS47" s="76"/>
      <c r="DWT47" s="76"/>
      <c r="DWU47" s="76"/>
      <c r="DWV47" s="76"/>
      <c r="DWW47" s="76"/>
      <c r="DWX47" s="76"/>
      <c r="DWY47" s="76"/>
      <c r="DWZ47" s="76"/>
      <c r="DXA47" s="76"/>
      <c r="DXB47" s="76"/>
      <c r="DXC47" s="76"/>
      <c r="DXD47" s="76"/>
      <c r="DXE47" s="76"/>
      <c r="DXF47" s="76"/>
      <c r="DXG47" s="76"/>
      <c r="DXH47" s="76"/>
      <c r="DXI47" s="76"/>
      <c r="DXJ47" s="76"/>
      <c r="DXK47" s="76"/>
      <c r="DXL47" s="76"/>
      <c r="DXM47" s="76"/>
      <c r="DXN47" s="76"/>
      <c r="DXO47" s="76"/>
      <c r="DXP47" s="76"/>
      <c r="DXQ47" s="76"/>
      <c r="DXR47" s="76"/>
      <c r="DXS47" s="76"/>
      <c r="DXT47" s="76"/>
      <c r="DXU47" s="76"/>
      <c r="DXV47" s="76"/>
      <c r="DXW47" s="76"/>
      <c r="DXX47" s="76"/>
      <c r="DXY47" s="76"/>
      <c r="DXZ47" s="76"/>
      <c r="DYA47" s="76"/>
      <c r="DYB47" s="76"/>
      <c r="DYC47" s="76"/>
      <c r="DYD47" s="76"/>
      <c r="DYE47" s="76"/>
      <c r="DYF47" s="76"/>
      <c r="DYG47" s="76"/>
      <c r="DYH47" s="76"/>
      <c r="DYI47" s="76"/>
      <c r="DYJ47" s="76"/>
      <c r="DYK47" s="76"/>
      <c r="DYL47" s="76"/>
      <c r="DYM47" s="76"/>
      <c r="DYN47" s="76"/>
      <c r="DYO47" s="76"/>
      <c r="DYP47" s="76"/>
      <c r="DYQ47" s="76"/>
      <c r="DYR47" s="76"/>
      <c r="DYS47" s="76"/>
      <c r="DYT47" s="76"/>
      <c r="DYU47" s="76"/>
      <c r="DYV47" s="76"/>
      <c r="DYW47" s="76"/>
      <c r="DYX47" s="76"/>
      <c r="DYY47" s="76"/>
      <c r="DYZ47" s="76"/>
      <c r="DZA47" s="76"/>
      <c r="DZB47" s="76"/>
      <c r="DZC47" s="76"/>
      <c r="DZD47" s="76"/>
      <c r="DZE47" s="76"/>
      <c r="DZF47" s="76"/>
      <c r="DZG47" s="76"/>
      <c r="DZH47" s="76"/>
      <c r="DZI47" s="76"/>
      <c r="DZJ47" s="76"/>
      <c r="DZK47" s="76"/>
      <c r="DZL47" s="76"/>
      <c r="DZM47" s="76"/>
      <c r="DZN47" s="76"/>
      <c r="DZO47" s="76"/>
      <c r="DZP47" s="76"/>
      <c r="DZQ47" s="76"/>
      <c r="DZR47" s="76"/>
      <c r="DZS47" s="76"/>
      <c r="DZT47" s="76"/>
      <c r="DZU47" s="76"/>
      <c r="DZV47" s="76"/>
      <c r="DZW47" s="76"/>
      <c r="DZX47" s="76"/>
      <c r="DZY47" s="76"/>
      <c r="DZZ47" s="76"/>
      <c r="EAA47" s="76"/>
      <c r="EAB47" s="76"/>
      <c r="EAC47" s="76"/>
      <c r="EAD47" s="76"/>
      <c r="EAE47" s="76"/>
      <c r="EAF47" s="76"/>
      <c r="EAG47" s="76"/>
      <c r="EAH47" s="76"/>
      <c r="EAI47" s="76"/>
      <c r="EAJ47" s="76"/>
      <c r="EAK47" s="76"/>
      <c r="EAL47" s="76"/>
      <c r="EAM47" s="76"/>
      <c r="EAN47" s="76"/>
      <c r="EAO47" s="76"/>
      <c r="EAP47" s="76"/>
      <c r="EAQ47" s="76"/>
      <c r="EAR47" s="76"/>
      <c r="EAS47" s="76"/>
      <c r="EAT47" s="76"/>
      <c r="EAU47" s="76"/>
      <c r="EAV47" s="76"/>
      <c r="EAW47" s="76"/>
      <c r="EAX47" s="76"/>
      <c r="EAY47" s="76"/>
      <c r="EAZ47" s="76"/>
      <c r="EBA47" s="76"/>
      <c r="EBB47" s="76"/>
      <c r="EBC47" s="76"/>
      <c r="EBD47" s="76"/>
      <c r="EBE47" s="76"/>
      <c r="EBF47" s="76"/>
      <c r="EBG47" s="76"/>
      <c r="EBH47" s="76"/>
      <c r="EBI47" s="76"/>
      <c r="EBJ47" s="76"/>
      <c r="EBK47" s="76"/>
      <c r="EBL47" s="76"/>
      <c r="EBM47" s="76"/>
      <c r="EBN47" s="76"/>
      <c r="EBO47" s="76"/>
      <c r="EBP47" s="76"/>
      <c r="EBQ47" s="76"/>
      <c r="EBR47" s="76"/>
      <c r="EBS47" s="76"/>
      <c r="EBT47" s="76"/>
      <c r="EBU47" s="76"/>
      <c r="EBV47" s="76"/>
      <c r="EBW47" s="76"/>
      <c r="EBX47" s="76"/>
      <c r="EBY47" s="76"/>
      <c r="EBZ47" s="76"/>
      <c r="ECA47" s="76"/>
      <c r="ECB47" s="76"/>
      <c r="ECC47" s="76"/>
      <c r="ECD47" s="76"/>
      <c r="ECE47" s="76"/>
      <c r="ECF47" s="76"/>
      <c r="ECG47" s="76"/>
      <c r="ECH47" s="76"/>
      <c r="ECI47" s="76"/>
      <c r="ECJ47" s="76"/>
      <c r="ECK47" s="76"/>
      <c r="ECL47" s="76"/>
      <c r="ECM47" s="76"/>
      <c r="ECN47" s="76"/>
      <c r="ECO47" s="76"/>
      <c r="ECP47" s="76"/>
      <c r="ECQ47" s="76"/>
      <c r="ECR47" s="76"/>
      <c r="ECS47" s="76"/>
      <c r="ECT47" s="76"/>
      <c r="ECU47" s="76"/>
      <c r="ECV47" s="76"/>
      <c r="ECW47" s="76"/>
      <c r="ECX47" s="76"/>
      <c r="ECY47" s="76"/>
      <c r="ECZ47" s="76"/>
      <c r="EDA47" s="76"/>
      <c r="EDB47" s="76"/>
      <c r="EDC47" s="76"/>
      <c r="EDD47" s="76"/>
      <c r="EDE47" s="76"/>
      <c r="EDF47" s="76"/>
      <c r="EDG47" s="76"/>
      <c r="EDH47" s="76"/>
      <c r="EDI47" s="76"/>
      <c r="EDJ47" s="76"/>
      <c r="EDK47" s="76"/>
      <c r="EDL47" s="76"/>
      <c r="EDM47" s="76"/>
      <c r="EDN47" s="76"/>
      <c r="EDO47" s="76"/>
      <c r="EDP47" s="76"/>
      <c r="EDQ47" s="76"/>
      <c r="EDR47" s="76"/>
      <c r="EDS47" s="76"/>
      <c r="EDT47" s="76"/>
      <c r="EDU47" s="76"/>
      <c r="EDV47" s="76"/>
      <c r="EDW47" s="76"/>
      <c r="EDX47" s="76"/>
      <c r="EDY47" s="76"/>
      <c r="EDZ47" s="76"/>
      <c r="EEA47" s="76"/>
      <c r="EEB47" s="76"/>
      <c r="EEC47" s="76"/>
      <c r="EED47" s="76"/>
      <c r="EEE47" s="76"/>
      <c r="EEF47" s="76"/>
      <c r="EEG47" s="76"/>
      <c r="EEH47" s="76"/>
      <c r="EEI47" s="76"/>
      <c r="EEJ47" s="76"/>
      <c r="EEK47" s="76"/>
      <c r="EEL47" s="76"/>
      <c r="EEM47" s="76"/>
      <c r="EEN47" s="76"/>
      <c r="EEO47" s="76"/>
      <c r="EEP47" s="76"/>
      <c r="EEQ47" s="76"/>
      <c r="EER47" s="76"/>
      <c r="EES47" s="76"/>
      <c r="EET47" s="76"/>
      <c r="EEU47" s="76"/>
      <c r="EEV47" s="76"/>
      <c r="EEW47" s="76"/>
      <c r="EEX47" s="76"/>
      <c r="EEY47" s="76"/>
      <c r="EEZ47" s="76"/>
      <c r="EFA47" s="76"/>
      <c r="EFB47" s="76"/>
      <c r="EFC47" s="76"/>
      <c r="EFD47" s="76"/>
      <c r="EFE47" s="76"/>
      <c r="EFF47" s="76"/>
      <c r="EFG47" s="76"/>
      <c r="EFH47" s="76"/>
      <c r="EFI47" s="76"/>
      <c r="EFJ47" s="76"/>
      <c r="EFK47" s="76"/>
      <c r="EFL47" s="76"/>
      <c r="EFM47" s="76"/>
      <c r="EFN47" s="76"/>
      <c r="EFO47" s="76"/>
      <c r="EFP47" s="76"/>
      <c r="EFQ47" s="76"/>
      <c r="EFR47" s="76"/>
      <c r="EFS47" s="76"/>
      <c r="EFT47" s="76"/>
      <c r="EFU47" s="76"/>
      <c r="EFV47" s="76"/>
      <c r="EFW47" s="76"/>
      <c r="EFX47" s="76"/>
      <c r="EFY47" s="76"/>
      <c r="EFZ47" s="76"/>
      <c r="EGA47" s="76"/>
      <c r="EGB47" s="76"/>
      <c r="EGC47" s="76"/>
      <c r="EGD47" s="76"/>
      <c r="EGE47" s="76"/>
      <c r="EGF47" s="76"/>
      <c r="EGG47" s="76"/>
      <c r="EGH47" s="76"/>
      <c r="EGI47" s="76"/>
      <c r="EGJ47" s="76"/>
      <c r="EGK47" s="76"/>
      <c r="EGL47" s="76"/>
      <c r="EGM47" s="76"/>
      <c r="EGN47" s="76"/>
      <c r="EGO47" s="76"/>
      <c r="EGP47" s="76"/>
      <c r="EGQ47" s="76"/>
      <c r="EGR47" s="76"/>
      <c r="EGS47" s="76"/>
      <c r="EGT47" s="76"/>
      <c r="EGU47" s="76"/>
      <c r="EGV47" s="76"/>
      <c r="EGW47" s="76"/>
      <c r="EGX47" s="76"/>
      <c r="EGY47" s="76"/>
      <c r="EGZ47" s="76"/>
      <c r="EHA47" s="76"/>
      <c r="EHB47" s="76"/>
      <c r="EHC47" s="76"/>
      <c r="EHD47" s="76"/>
      <c r="EHE47" s="76"/>
      <c r="EHF47" s="76"/>
      <c r="EHG47" s="76"/>
      <c r="EHH47" s="76"/>
      <c r="EHI47" s="76"/>
      <c r="EHJ47" s="76"/>
      <c r="EHK47" s="76"/>
      <c r="EHL47" s="76"/>
      <c r="EHM47" s="76"/>
      <c r="EHN47" s="76"/>
      <c r="EHO47" s="76"/>
      <c r="EHP47" s="76"/>
      <c r="EHQ47" s="76"/>
      <c r="EHR47" s="76"/>
      <c r="EHS47" s="76"/>
      <c r="EHT47" s="76"/>
      <c r="EHU47" s="76"/>
      <c r="EHV47" s="76"/>
      <c r="EHW47" s="76"/>
      <c r="EHX47" s="76"/>
      <c r="EHY47" s="76"/>
      <c r="EHZ47" s="76"/>
      <c r="EIA47" s="76"/>
      <c r="EIB47" s="76"/>
      <c r="EIC47" s="76"/>
      <c r="EID47" s="76"/>
      <c r="EIE47" s="76"/>
      <c r="EIF47" s="76"/>
      <c r="EIG47" s="76"/>
      <c r="EIH47" s="76"/>
      <c r="EII47" s="76"/>
      <c r="EIJ47" s="76"/>
      <c r="EIK47" s="76"/>
      <c r="EIL47" s="76"/>
      <c r="EIM47" s="76"/>
      <c r="EIN47" s="76"/>
      <c r="EIO47" s="76"/>
      <c r="EIP47" s="76"/>
      <c r="EIQ47" s="76"/>
      <c r="EIR47" s="76"/>
      <c r="EIS47" s="76"/>
      <c r="EIT47" s="76"/>
      <c r="EIU47" s="76"/>
      <c r="EIV47" s="76"/>
      <c r="EIW47" s="76"/>
      <c r="EIX47" s="76"/>
      <c r="EIY47" s="76"/>
      <c r="EIZ47" s="76"/>
      <c r="EJA47" s="76"/>
      <c r="EJB47" s="76"/>
      <c r="EJC47" s="76"/>
      <c r="EJD47" s="76"/>
      <c r="EJE47" s="76"/>
      <c r="EJF47" s="76"/>
      <c r="EJG47" s="76"/>
      <c r="EJH47" s="76"/>
      <c r="EJI47" s="76"/>
      <c r="EJJ47" s="76"/>
      <c r="EJK47" s="76"/>
      <c r="EJL47" s="76"/>
      <c r="EJM47" s="76"/>
      <c r="EJN47" s="76"/>
      <c r="EJO47" s="76"/>
      <c r="EJP47" s="76"/>
      <c r="EJQ47" s="76"/>
      <c r="EJR47" s="76"/>
      <c r="EJS47" s="76"/>
      <c r="EJT47" s="76"/>
      <c r="EJU47" s="76"/>
      <c r="EJV47" s="76"/>
      <c r="EJW47" s="76"/>
      <c r="EJX47" s="76"/>
      <c r="EJY47" s="76"/>
      <c r="EJZ47" s="76"/>
      <c r="EKA47" s="76"/>
      <c r="EKB47" s="76"/>
      <c r="EKC47" s="76"/>
      <c r="EKD47" s="76"/>
      <c r="EKE47" s="76"/>
      <c r="EKF47" s="76"/>
      <c r="EKG47" s="76"/>
      <c r="EKH47" s="76"/>
      <c r="EKI47" s="76"/>
      <c r="EKJ47" s="76"/>
      <c r="EKK47" s="76"/>
      <c r="EKL47" s="76"/>
      <c r="EKM47" s="76"/>
      <c r="EKN47" s="76"/>
      <c r="EKO47" s="76"/>
      <c r="EKP47" s="76"/>
      <c r="EKQ47" s="76"/>
      <c r="EKR47" s="76"/>
      <c r="EKS47" s="76"/>
      <c r="EKT47" s="76"/>
      <c r="EKU47" s="76"/>
      <c r="EKV47" s="76"/>
      <c r="EKW47" s="76"/>
      <c r="EKX47" s="76"/>
      <c r="EKY47" s="76"/>
      <c r="EKZ47" s="76"/>
      <c r="ELA47" s="76"/>
      <c r="ELB47" s="76"/>
      <c r="ELC47" s="76"/>
      <c r="ELD47" s="76"/>
      <c r="ELE47" s="76"/>
      <c r="ELF47" s="76"/>
      <c r="ELG47" s="76"/>
      <c r="ELH47" s="76"/>
      <c r="ELI47" s="76"/>
      <c r="ELJ47" s="76"/>
      <c r="ELK47" s="76"/>
      <c r="ELL47" s="76"/>
      <c r="ELM47" s="76"/>
      <c r="ELN47" s="76"/>
      <c r="ELO47" s="76"/>
      <c r="ELP47" s="76"/>
      <c r="ELQ47" s="76"/>
      <c r="ELR47" s="76"/>
      <c r="ELS47" s="76"/>
      <c r="ELT47" s="76"/>
      <c r="ELU47" s="76"/>
      <c r="ELV47" s="76"/>
      <c r="ELW47" s="76"/>
      <c r="ELX47" s="76"/>
      <c r="ELY47" s="76"/>
      <c r="ELZ47" s="76"/>
      <c r="EMA47" s="76"/>
      <c r="EMB47" s="76"/>
      <c r="EMC47" s="76"/>
      <c r="EMD47" s="76"/>
      <c r="EME47" s="76"/>
      <c r="EMF47" s="76"/>
      <c r="EMG47" s="76"/>
      <c r="EMH47" s="76"/>
      <c r="EMI47" s="76"/>
      <c r="EMJ47" s="76"/>
      <c r="EMK47" s="76"/>
      <c r="EML47" s="76"/>
      <c r="EMM47" s="76"/>
      <c r="EMN47" s="76"/>
      <c r="EMO47" s="76"/>
      <c r="EMP47" s="76"/>
      <c r="EMQ47" s="76"/>
      <c r="EMR47" s="76"/>
      <c r="EMS47" s="76"/>
      <c r="EMT47" s="76"/>
      <c r="EMU47" s="76"/>
      <c r="EMV47" s="76"/>
      <c r="EMW47" s="76"/>
      <c r="EMX47" s="76"/>
      <c r="EMY47" s="76"/>
      <c r="EMZ47" s="76"/>
      <c r="ENA47" s="76"/>
      <c r="ENB47" s="76"/>
      <c r="ENC47" s="76"/>
      <c r="END47" s="76"/>
      <c r="ENE47" s="76"/>
      <c r="ENF47" s="76"/>
      <c r="ENG47" s="76"/>
      <c r="ENH47" s="76"/>
      <c r="ENI47" s="76"/>
      <c r="ENJ47" s="76"/>
      <c r="ENK47" s="76"/>
      <c r="ENL47" s="76"/>
      <c r="ENM47" s="76"/>
      <c r="ENN47" s="76"/>
      <c r="ENO47" s="76"/>
      <c r="ENP47" s="76"/>
      <c r="ENQ47" s="76"/>
      <c r="ENR47" s="76"/>
      <c r="ENS47" s="76"/>
      <c r="ENT47" s="76"/>
      <c r="ENU47" s="76"/>
      <c r="ENV47" s="76"/>
      <c r="ENW47" s="76"/>
      <c r="ENX47" s="76"/>
      <c r="ENY47" s="76"/>
      <c r="ENZ47" s="76"/>
      <c r="EOA47" s="76"/>
      <c r="EOB47" s="76"/>
      <c r="EOC47" s="76"/>
      <c r="EOD47" s="76"/>
      <c r="EOE47" s="76"/>
      <c r="EOF47" s="76"/>
      <c r="EOG47" s="76"/>
      <c r="EOH47" s="76"/>
      <c r="EOI47" s="76"/>
      <c r="EOJ47" s="76"/>
      <c r="EOK47" s="76"/>
      <c r="EOL47" s="76"/>
      <c r="EOM47" s="76"/>
      <c r="EON47" s="76"/>
      <c r="EOO47" s="76"/>
      <c r="EOP47" s="76"/>
      <c r="EOQ47" s="76"/>
      <c r="EOR47" s="76"/>
      <c r="EOS47" s="76"/>
      <c r="EOT47" s="76"/>
      <c r="EOU47" s="76"/>
      <c r="EOV47" s="76"/>
      <c r="EOW47" s="76"/>
      <c r="EOX47" s="76"/>
      <c r="EOY47" s="76"/>
      <c r="EOZ47" s="76"/>
      <c r="EPA47" s="76"/>
      <c r="EPB47" s="76"/>
      <c r="EPC47" s="76"/>
      <c r="EPD47" s="76"/>
      <c r="EPE47" s="76"/>
      <c r="EPF47" s="76"/>
      <c r="EPG47" s="76"/>
      <c r="EPH47" s="76"/>
      <c r="EPI47" s="76"/>
      <c r="EPJ47" s="76"/>
      <c r="EPK47" s="76"/>
      <c r="EPL47" s="76"/>
      <c r="EPM47" s="76"/>
      <c r="EPN47" s="76"/>
      <c r="EPO47" s="76"/>
      <c r="EPP47" s="76"/>
      <c r="EPQ47" s="76"/>
      <c r="EPR47" s="76"/>
      <c r="EPS47" s="76"/>
      <c r="EPT47" s="76"/>
      <c r="EPU47" s="76"/>
      <c r="EPV47" s="76"/>
      <c r="EPW47" s="76"/>
      <c r="EPX47" s="76"/>
      <c r="EPY47" s="76"/>
      <c r="EPZ47" s="76"/>
      <c r="EQA47" s="76"/>
      <c r="EQB47" s="76"/>
      <c r="EQC47" s="76"/>
      <c r="EQD47" s="76"/>
      <c r="EQE47" s="76"/>
      <c r="EQF47" s="76"/>
      <c r="EQG47" s="76"/>
      <c r="EQH47" s="76"/>
      <c r="EQI47" s="76"/>
      <c r="EQJ47" s="76"/>
      <c r="EQK47" s="76"/>
      <c r="EQL47" s="76"/>
      <c r="EQM47" s="76"/>
      <c r="EQN47" s="76"/>
      <c r="EQO47" s="76"/>
      <c r="EQP47" s="76"/>
      <c r="EQQ47" s="76"/>
      <c r="EQR47" s="76"/>
      <c r="EQS47" s="76"/>
      <c r="EQT47" s="76"/>
      <c r="EQU47" s="76"/>
      <c r="EQV47" s="76"/>
      <c r="EQW47" s="76"/>
      <c r="EQX47" s="76"/>
      <c r="EQY47" s="76"/>
      <c r="EQZ47" s="76"/>
      <c r="ERA47" s="76"/>
      <c r="ERB47" s="76"/>
      <c r="ERC47" s="76"/>
      <c r="ERD47" s="76"/>
      <c r="ERE47" s="76"/>
      <c r="ERF47" s="76"/>
      <c r="ERG47" s="76"/>
      <c r="ERH47" s="76"/>
      <c r="ERI47" s="76"/>
      <c r="ERJ47" s="76"/>
      <c r="ERK47" s="76"/>
      <c r="ERL47" s="76"/>
      <c r="ERM47" s="76"/>
      <c r="ERN47" s="76"/>
      <c r="ERO47" s="76"/>
      <c r="ERP47" s="76"/>
      <c r="ERQ47" s="76"/>
      <c r="ERR47" s="76"/>
      <c r="ERS47" s="76"/>
      <c r="ERT47" s="76"/>
      <c r="ERU47" s="76"/>
      <c r="ERV47" s="76"/>
      <c r="ERW47" s="76"/>
      <c r="ERX47" s="76"/>
      <c r="ERY47" s="76"/>
      <c r="ERZ47" s="76"/>
      <c r="ESA47" s="76"/>
      <c r="ESB47" s="76"/>
      <c r="ESC47" s="76"/>
      <c r="ESD47" s="76"/>
      <c r="ESE47" s="76"/>
      <c r="ESF47" s="76"/>
      <c r="ESG47" s="76"/>
      <c r="ESH47" s="76"/>
      <c r="ESI47" s="76"/>
      <c r="ESJ47" s="76"/>
      <c r="ESK47" s="76"/>
      <c r="ESL47" s="76"/>
      <c r="ESM47" s="76"/>
      <c r="ESN47" s="76"/>
      <c r="ESO47" s="76"/>
      <c r="ESP47" s="76"/>
      <c r="ESQ47" s="76"/>
      <c r="ESR47" s="76"/>
      <c r="ESS47" s="76"/>
      <c r="EST47" s="76"/>
      <c r="ESU47" s="76"/>
      <c r="ESV47" s="76"/>
      <c r="ESW47" s="76"/>
      <c r="ESX47" s="76"/>
      <c r="ESY47" s="76"/>
      <c r="ESZ47" s="76"/>
      <c r="ETA47" s="76"/>
      <c r="ETB47" s="76"/>
      <c r="ETC47" s="76"/>
      <c r="ETD47" s="76"/>
      <c r="ETE47" s="76"/>
      <c r="ETF47" s="76"/>
      <c r="ETG47" s="76"/>
      <c r="ETH47" s="76"/>
      <c r="ETI47" s="76"/>
      <c r="ETJ47" s="76"/>
      <c r="ETK47" s="76"/>
      <c r="ETL47" s="76"/>
      <c r="ETM47" s="76"/>
      <c r="ETN47" s="76"/>
      <c r="ETO47" s="76"/>
      <c r="ETP47" s="76"/>
      <c r="ETQ47" s="76"/>
      <c r="ETR47" s="76"/>
      <c r="ETS47" s="76"/>
      <c r="ETT47" s="76"/>
      <c r="ETU47" s="76"/>
      <c r="ETV47" s="76"/>
      <c r="ETW47" s="76"/>
      <c r="ETX47" s="76"/>
      <c r="ETY47" s="76"/>
      <c r="ETZ47" s="76"/>
      <c r="EUA47" s="76"/>
      <c r="EUB47" s="76"/>
      <c r="EUC47" s="76"/>
      <c r="EUD47" s="76"/>
      <c r="EUE47" s="76"/>
      <c r="EUF47" s="76"/>
      <c r="EUG47" s="76"/>
      <c r="EUH47" s="76"/>
      <c r="EUI47" s="76"/>
      <c r="EUJ47" s="76"/>
      <c r="EUK47" s="76"/>
      <c r="EUL47" s="76"/>
      <c r="EUM47" s="76"/>
      <c r="EUN47" s="76"/>
      <c r="EUO47" s="76"/>
      <c r="EUP47" s="76"/>
      <c r="EUQ47" s="76"/>
      <c r="EUR47" s="76"/>
      <c r="EUS47" s="76"/>
      <c r="EUT47" s="76"/>
      <c r="EUU47" s="76"/>
      <c r="EUV47" s="76"/>
      <c r="EUW47" s="76"/>
      <c r="EUX47" s="76"/>
      <c r="EUY47" s="76"/>
      <c r="EUZ47" s="76"/>
      <c r="EVA47" s="76"/>
      <c r="EVB47" s="76"/>
      <c r="EVC47" s="76"/>
      <c r="EVD47" s="76"/>
      <c r="EVE47" s="76"/>
      <c r="EVF47" s="76"/>
      <c r="EVG47" s="76"/>
      <c r="EVH47" s="76"/>
      <c r="EVI47" s="76"/>
      <c r="EVJ47" s="76"/>
      <c r="EVK47" s="76"/>
      <c r="EVL47" s="76"/>
      <c r="EVM47" s="76"/>
      <c r="EVN47" s="76"/>
      <c r="EVO47" s="76"/>
      <c r="EVP47" s="76"/>
      <c r="EVQ47" s="76"/>
      <c r="EVR47" s="76"/>
      <c r="EVS47" s="76"/>
      <c r="EVT47" s="76"/>
      <c r="EVU47" s="76"/>
      <c r="EVV47" s="76"/>
      <c r="EVW47" s="76"/>
      <c r="EVX47" s="76"/>
      <c r="EVY47" s="76"/>
      <c r="EVZ47" s="76"/>
      <c r="EWA47" s="76"/>
      <c r="EWB47" s="76"/>
      <c r="EWC47" s="76"/>
      <c r="EWD47" s="76"/>
      <c r="EWE47" s="76"/>
      <c r="EWF47" s="76"/>
      <c r="EWG47" s="76"/>
      <c r="EWH47" s="76"/>
      <c r="EWI47" s="76"/>
      <c r="EWJ47" s="76"/>
      <c r="EWK47" s="76"/>
      <c r="EWL47" s="76"/>
      <c r="EWM47" s="76"/>
      <c r="EWN47" s="76"/>
      <c r="EWO47" s="76"/>
      <c r="EWP47" s="76"/>
      <c r="EWQ47" s="76"/>
      <c r="EWR47" s="76"/>
      <c r="EWS47" s="76"/>
      <c r="EWT47" s="76"/>
      <c r="EWU47" s="76"/>
      <c r="EWV47" s="76"/>
      <c r="EWW47" s="76"/>
      <c r="EWX47" s="76"/>
      <c r="EWY47" s="76"/>
      <c r="EWZ47" s="76"/>
      <c r="EXA47" s="76"/>
      <c r="EXB47" s="76"/>
      <c r="EXC47" s="76"/>
      <c r="EXD47" s="76"/>
      <c r="EXE47" s="76"/>
      <c r="EXF47" s="76"/>
      <c r="EXG47" s="76"/>
      <c r="EXH47" s="76"/>
      <c r="EXI47" s="76"/>
      <c r="EXJ47" s="76"/>
      <c r="EXK47" s="76"/>
      <c r="EXL47" s="76"/>
      <c r="EXM47" s="76"/>
      <c r="EXN47" s="76"/>
      <c r="EXO47" s="76"/>
      <c r="EXP47" s="76"/>
      <c r="EXQ47" s="76"/>
      <c r="EXR47" s="76"/>
      <c r="EXS47" s="76"/>
      <c r="EXT47" s="76"/>
      <c r="EXU47" s="76"/>
      <c r="EXV47" s="76"/>
      <c r="EXW47" s="76"/>
      <c r="EXX47" s="76"/>
      <c r="EXY47" s="76"/>
      <c r="EXZ47" s="76"/>
      <c r="EYA47" s="76"/>
      <c r="EYB47" s="76"/>
      <c r="EYC47" s="76"/>
      <c r="EYD47" s="76"/>
      <c r="EYE47" s="76"/>
      <c r="EYF47" s="76"/>
      <c r="EYG47" s="76"/>
      <c r="EYH47" s="76"/>
      <c r="EYI47" s="76"/>
      <c r="EYJ47" s="76"/>
      <c r="EYK47" s="76"/>
      <c r="EYL47" s="76"/>
      <c r="EYM47" s="76"/>
      <c r="EYN47" s="76"/>
      <c r="EYO47" s="76"/>
      <c r="EYP47" s="76"/>
      <c r="EYQ47" s="76"/>
      <c r="EYR47" s="76"/>
      <c r="EYS47" s="76"/>
      <c r="EYT47" s="76"/>
      <c r="EYU47" s="76"/>
      <c r="EYV47" s="76"/>
      <c r="EYW47" s="76"/>
      <c r="EYX47" s="76"/>
      <c r="EYY47" s="76"/>
      <c r="EYZ47" s="76"/>
      <c r="EZA47" s="76"/>
      <c r="EZB47" s="76"/>
      <c r="EZC47" s="76"/>
      <c r="EZD47" s="76"/>
      <c r="EZE47" s="76"/>
      <c r="EZF47" s="76"/>
      <c r="EZG47" s="76"/>
      <c r="EZH47" s="76"/>
      <c r="EZI47" s="76"/>
      <c r="EZJ47" s="76"/>
      <c r="EZK47" s="76"/>
      <c r="EZL47" s="76"/>
      <c r="EZM47" s="76"/>
      <c r="EZN47" s="76"/>
      <c r="EZO47" s="76"/>
      <c r="EZP47" s="76"/>
      <c r="EZQ47" s="76"/>
      <c r="EZR47" s="76"/>
      <c r="EZS47" s="76"/>
      <c r="EZT47" s="76"/>
      <c r="EZU47" s="76"/>
      <c r="EZV47" s="76"/>
      <c r="EZW47" s="76"/>
      <c r="EZX47" s="76"/>
      <c r="EZY47" s="76"/>
      <c r="EZZ47" s="76"/>
      <c r="FAA47" s="76"/>
      <c r="FAB47" s="76"/>
      <c r="FAC47" s="76"/>
      <c r="FAD47" s="76"/>
      <c r="FAE47" s="76"/>
      <c r="FAF47" s="76"/>
      <c r="FAG47" s="76"/>
      <c r="FAH47" s="76"/>
      <c r="FAI47" s="76"/>
      <c r="FAJ47" s="76"/>
      <c r="FAK47" s="76"/>
      <c r="FAL47" s="76"/>
      <c r="FAM47" s="76"/>
      <c r="FAN47" s="76"/>
      <c r="FAO47" s="76"/>
      <c r="FAP47" s="76"/>
      <c r="FAQ47" s="76"/>
      <c r="FAR47" s="76"/>
      <c r="FAS47" s="76"/>
      <c r="FAT47" s="76"/>
      <c r="FAU47" s="76"/>
      <c r="FAV47" s="76"/>
      <c r="FAW47" s="76"/>
      <c r="FAX47" s="76"/>
      <c r="FAY47" s="76"/>
      <c r="FAZ47" s="76"/>
      <c r="FBA47" s="76"/>
      <c r="FBB47" s="76"/>
      <c r="FBC47" s="76"/>
      <c r="FBD47" s="76"/>
      <c r="FBE47" s="76"/>
      <c r="FBF47" s="76"/>
      <c r="FBG47" s="76"/>
      <c r="FBH47" s="76"/>
      <c r="FBI47" s="76"/>
      <c r="FBJ47" s="76"/>
      <c r="FBK47" s="76"/>
      <c r="FBL47" s="76"/>
      <c r="FBM47" s="76"/>
      <c r="FBN47" s="76"/>
      <c r="FBO47" s="76"/>
      <c r="FBP47" s="76"/>
      <c r="FBQ47" s="76"/>
      <c r="FBR47" s="76"/>
      <c r="FBS47" s="76"/>
      <c r="FBT47" s="76"/>
      <c r="FBU47" s="76"/>
      <c r="FBV47" s="76"/>
      <c r="FBW47" s="76"/>
      <c r="FBX47" s="76"/>
      <c r="FBY47" s="76"/>
      <c r="FBZ47" s="76"/>
      <c r="FCA47" s="76"/>
      <c r="FCB47" s="76"/>
      <c r="FCC47" s="76"/>
      <c r="FCD47" s="76"/>
      <c r="FCE47" s="76"/>
      <c r="FCF47" s="76"/>
      <c r="FCG47" s="76"/>
      <c r="FCH47" s="76"/>
      <c r="FCI47" s="76"/>
      <c r="FCJ47" s="76"/>
      <c r="FCK47" s="76"/>
      <c r="FCL47" s="76"/>
      <c r="FCM47" s="76"/>
      <c r="FCN47" s="76"/>
      <c r="FCO47" s="76"/>
      <c r="FCP47" s="76"/>
      <c r="FCQ47" s="76"/>
      <c r="FCR47" s="76"/>
      <c r="FCS47" s="76"/>
      <c r="FCT47" s="76"/>
      <c r="FCU47" s="76"/>
      <c r="FCV47" s="76"/>
      <c r="FCW47" s="76"/>
      <c r="FCX47" s="76"/>
      <c r="FCY47" s="76"/>
      <c r="FCZ47" s="76"/>
      <c r="FDA47" s="76"/>
      <c r="FDB47" s="76"/>
      <c r="FDC47" s="76"/>
      <c r="FDD47" s="76"/>
      <c r="FDE47" s="76"/>
      <c r="FDF47" s="76"/>
      <c r="FDG47" s="76"/>
      <c r="FDH47" s="76"/>
      <c r="FDI47" s="76"/>
      <c r="FDJ47" s="76"/>
      <c r="FDK47" s="76"/>
      <c r="FDL47" s="76"/>
      <c r="FDM47" s="76"/>
      <c r="FDN47" s="76"/>
      <c r="FDO47" s="76"/>
      <c r="FDP47" s="76"/>
      <c r="FDQ47" s="76"/>
      <c r="FDR47" s="76"/>
      <c r="FDS47" s="76"/>
      <c r="FDT47" s="76"/>
      <c r="FDU47" s="76"/>
      <c r="FDV47" s="76"/>
      <c r="FDW47" s="76"/>
      <c r="FDX47" s="76"/>
      <c r="FDY47" s="76"/>
      <c r="FDZ47" s="76"/>
      <c r="FEA47" s="76"/>
      <c r="FEB47" s="76"/>
      <c r="FEC47" s="76"/>
      <c r="FED47" s="76"/>
      <c r="FEE47" s="76"/>
      <c r="FEF47" s="76"/>
      <c r="FEG47" s="76"/>
      <c r="FEH47" s="76"/>
      <c r="FEI47" s="76"/>
      <c r="FEJ47" s="76"/>
      <c r="FEK47" s="76"/>
      <c r="FEL47" s="76"/>
      <c r="FEM47" s="76"/>
      <c r="FEN47" s="76"/>
      <c r="FEO47" s="76"/>
      <c r="FEP47" s="76"/>
      <c r="FEQ47" s="76"/>
      <c r="FER47" s="76"/>
      <c r="FES47" s="76"/>
      <c r="FET47" s="76"/>
      <c r="FEU47" s="76"/>
      <c r="FEV47" s="76"/>
      <c r="FEW47" s="76"/>
      <c r="FEX47" s="76"/>
      <c r="FEY47" s="76"/>
      <c r="FEZ47" s="76"/>
      <c r="FFA47" s="76"/>
      <c r="FFB47" s="76"/>
      <c r="FFC47" s="76"/>
      <c r="FFD47" s="76"/>
      <c r="FFE47" s="76"/>
      <c r="FFF47" s="76"/>
      <c r="FFG47" s="76"/>
      <c r="FFH47" s="76"/>
      <c r="FFI47" s="76"/>
      <c r="FFJ47" s="76"/>
      <c r="FFK47" s="76"/>
      <c r="FFL47" s="76"/>
      <c r="FFM47" s="76"/>
      <c r="FFN47" s="76"/>
      <c r="FFO47" s="76"/>
      <c r="FFP47" s="76"/>
      <c r="FFQ47" s="76"/>
      <c r="FFR47" s="76"/>
      <c r="FFS47" s="76"/>
      <c r="FFT47" s="76"/>
      <c r="FFU47" s="76"/>
      <c r="FFV47" s="76"/>
      <c r="FFW47" s="76"/>
      <c r="FFX47" s="76"/>
      <c r="FFY47" s="76"/>
      <c r="FFZ47" s="76"/>
      <c r="FGA47" s="76"/>
      <c r="FGB47" s="76"/>
      <c r="FGC47" s="76"/>
      <c r="FGD47" s="76"/>
      <c r="FGE47" s="76"/>
      <c r="FGF47" s="76"/>
      <c r="FGG47" s="76"/>
      <c r="FGH47" s="76"/>
      <c r="FGI47" s="76"/>
      <c r="FGJ47" s="76"/>
      <c r="FGK47" s="76"/>
      <c r="FGL47" s="76"/>
      <c r="FGM47" s="76"/>
      <c r="FGN47" s="76"/>
      <c r="FGO47" s="76"/>
      <c r="FGP47" s="76"/>
      <c r="FGQ47" s="76"/>
      <c r="FGR47" s="76"/>
      <c r="FGS47" s="76"/>
      <c r="FGT47" s="76"/>
      <c r="FGU47" s="76"/>
      <c r="FGV47" s="76"/>
      <c r="FGW47" s="76"/>
      <c r="FGX47" s="76"/>
      <c r="FGY47" s="76"/>
      <c r="FGZ47" s="76"/>
      <c r="FHA47" s="76"/>
      <c r="FHB47" s="76"/>
      <c r="FHC47" s="76"/>
      <c r="FHD47" s="76"/>
      <c r="FHE47" s="76"/>
      <c r="FHF47" s="76"/>
      <c r="FHG47" s="76"/>
      <c r="FHH47" s="76"/>
      <c r="FHI47" s="76"/>
      <c r="FHJ47" s="76"/>
      <c r="FHK47" s="76"/>
      <c r="FHL47" s="76"/>
      <c r="FHM47" s="76"/>
      <c r="FHN47" s="76"/>
      <c r="FHO47" s="76"/>
      <c r="FHP47" s="76"/>
      <c r="FHQ47" s="76"/>
      <c r="FHR47" s="76"/>
      <c r="FHS47" s="76"/>
      <c r="FHT47" s="76"/>
      <c r="FHU47" s="76"/>
      <c r="FHV47" s="76"/>
      <c r="FHW47" s="76"/>
      <c r="FHX47" s="76"/>
      <c r="FHY47" s="76"/>
      <c r="FHZ47" s="76"/>
      <c r="FIA47" s="76"/>
      <c r="FIB47" s="76"/>
      <c r="FIC47" s="76"/>
      <c r="FID47" s="76"/>
      <c r="FIE47" s="76"/>
      <c r="FIF47" s="76"/>
      <c r="FIG47" s="76"/>
      <c r="FIH47" s="76"/>
      <c r="FII47" s="76"/>
      <c r="FIJ47" s="76"/>
      <c r="FIK47" s="76"/>
      <c r="FIL47" s="76"/>
      <c r="FIM47" s="76"/>
      <c r="FIN47" s="76"/>
      <c r="FIO47" s="76"/>
      <c r="FIP47" s="76"/>
      <c r="FIQ47" s="76"/>
      <c r="FIR47" s="76"/>
      <c r="FIS47" s="76"/>
      <c r="FIT47" s="76"/>
      <c r="FIU47" s="76"/>
      <c r="FIV47" s="76"/>
      <c r="FIW47" s="76"/>
      <c r="FIX47" s="76"/>
      <c r="FIY47" s="76"/>
      <c r="FIZ47" s="76"/>
      <c r="FJA47" s="76"/>
      <c r="FJB47" s="76"/>
      <c r="FJC47" s="76"/>
      <c r="FJD47" s="76"/>
      <c r="FJE47" s="76"/>
      <c r="FJF47" s="76"/>
      <c r="FJG47" s="76"/>
      <c r="FJH47" s="76"/>
      <c r="FJI47" s="76"/>
      <c r="FJJ47" s="76"/>
      <c r="FJK47" s="76"/>
      <c r="FJL47" s="76"/>
      <c r="FJM47" s="76"/>
      <c r="FJN47" s="76"/>
      <c r="FJO47" s="76"/>
      <c r="FJP47" s="76"/>
      <c r="FJQ47" s="76"/>
      <c r="FJR47" s="76"/>
      <c r="FJS47" s="76"/>
      <c r="FJT47" s="76"/>
      <c r="FJU47" s="76"/>
      <c r="FJV47" s="76"/>
      <c r="FJW47" s="76"/>
      <c r="FJX47" s="76"/>
      <c r="FJY47" s="76"/>
      <c r="FJZ47" s="76"/>
      <c r="FKA47" s="76"/>
      <c r="FKB47" s="76"/>
      <c r="FKC47" s="76"/>
      <c r="FKD47" s="76"/>
      <c r="FKE47" s="76"/>
      <c r="FKF47" s="76"/>
      <c r="FKG47" s="76"/>
      <c r="FKH47" s="76"/>
      <c r="FKI47" s="76"/>
      <c r="FKJ47" s="76"/>
      <c r="FKK47" s="76"/>
      <c r="FKL47" s="76"/>
      <c r="FKM47" s="76"/>
      <c r="FKN47" s="76"/>
      <c r="FKO47" s="76"/>
      <c r="FKP47" s="76"/>
      <c r="FKQ47" s="76"/>
      <c r="FKR47" s="76"/>
      <c r="FKS47" s="76"/>
      <c r="FKT47" s="76"/>
      <c r="FKU47" s="76"/>
      <c r="FKV47" s="76"/>
      <c r="FKW47" s="76"/>
      <c r="FKX47" s="76"/>
      <c r="FKY47" s="76"/>
      <c r="FKZ47" s="76"/>
      <c r="FLA47" s="76"/>
      <c r="FLB47" s="76"/>
      <c r="FLC47" s="76"/>
      <c r="FLD47" s="76"/>
      <c r="FLE47" s="76"/>
      <c r="FLF47" s="76"/>
      <c r="FLG47" s="76"/>
      <c r="FLH47" s="76"/>
      <c r="FLI47" s="76"/>
      <c r="FLJ47" s="76"/>
      <c r="FLK47" s="76"/>
      <c r="FLL47" s="76"/>
      <c r="FLM47" s="76"/>
      <c r="FLN47" s="76"/>
      <c r="FLO47" s="76"/>
      <c r="FLP47" s="76"/>
      <c r="FLQ47" s="76"/>
      <c r="FLR47" s="76"/>
      <c r="FLS47" s="76"/>
      <c r="FLT47" s="76"/>
      <c r="FLU47" s="76"/>
      <c r="FLV47" s="76"/>
      <c r="FLW47" s="76"/>
      <c r="FLX47" s="76"/>
      <c r="FLY47" s="76"/>
      <c r="FLZ47" s="76"/>
      <c r="FMA47" s="76"/>
      <c r="FMB47" s="76"/>
      <c r="FMC47" s="76"/>
      <c r="FMD47" s="76"/>
      <c r="FME47" s="76"/>
      <c r="FMF47" s="76"/>
      <c r="FMG47" s="76"/>
      <c r="FMH47" s="76"/>
      <c r="FMI47" s="76"/>
      <c r="FMJ47" s="76"/>
      <c r="FMK47" s="76"/>
      <c r="FML47" s="76"/>
      <c r="FMM47" s="76"/>
      <c r="FMN47" s="76"/>
      <c r="FMO47" s="76"/>
      <c r="FMP47" s="76"/>
      <c r="FMQ47" s="76"/>
      <c r="FMR47" s="76"/>
      <c r="FMS47" s="76"/>
      <c r="FMT47" s="76"/>
      <c r="FMU47" s="76"/>
      <c r="FMV47" s="76"/>
      <c r="FMW47" s="76"/>
      <c r="FMX47" s="76"/>
      <c r="FMY47" s="76"/>
      <c r="FMZ47" s="76"/>
      <c r="FNA47" s="76"/>
      <c r="FNB47" s="76"/>
      <c r="FNC47" s="76"/>
      <c r="FND47" s="76"/>
      <c r="FNE47" s="76"/>
      <c r="FNF47" s="76"/>
      <c r="FNG47" s="76"/>
      <c r="FNH47" s="76"/>
      <c r="FNI47" s="76"/>
      <c r="FNJ47" s="76"/>
      <c r="FNK47" s="76"/>
      <c r="FNL47" s="76"/>
      <c r="FNM47" s="76"/>
      <c r="FNN47" s="76"/>
      <c r="FNO47" s="76"/>
      <c r="FNP47" s="76"/>
      <c r="FNQ47" s="76"/>
      <c r="FNR47" s="76"/>
      <c r="FNS47" s="76"/>
      <c r="FNT47" s="76"/>
      <c r="FNU47" s="76"/>
      <c r="FNV47" s="76"/>
      <c r="FNW47" s="76"/>
      <c r="FNX47" s="76"/>
      <c r="FNY47" s="76"/>
      <c r="FNZ47" s="76"/>
      <c r="FOA47" s="76"/>
      <c r="FOB47" s="76"/>
      <c r="FOC47" s="76"/>
      <c r="FOD47" s="76"/>
      <c r="FOE47" s="76"/>
      <c r="FOF47" s="76"/>
      <c r="FOG47" s="76"/>
      <c r="FOH47" s="76"/>
      <c r="FOI47" s="76"/>
      <c r="FOJ47" s="76"/>
      <c r="FOK47" s="76"/>
      <c r="FOL47" s="76"/>
      <c r="FOM47" s="76"/>
      <c r="FON47" s="76"/>
      <c r="FOO47" s="76"/>
      <c r="FOP47" s="76"/>
      <c r="FOQ47" s="76"/>
      <c r="FOR47" s="76"/>
      <c r="FOS47" s="76"/>
      <c r="FOT47" s="76"/>
      <c r="FOU47" s="76"/>
      <c r="FOV47" s="76"/>
      <c r="FOW47" s="76"/>
      <c r="FOX47" s="76"/>
      <c r="FOY47" s="76"/>
      <c r="FOZ47" s="76"/>
      <c r="FPA47" s="76"/>
      <c r="FPB47" s="76"/>
      <c r="FPC47" s="76"/>
      <c r="FPD47" s="76"/>
      <c r="FPE47" s="76"/>
      <c r="FPF47" s="76"/>
      <c r="FPG47" s="76"/>
      <c r="FPH47" s="76"/>
      <c r="FPI47" s="76"/>
      <c r="FPJ47" s="76"/>
      <c r="FPK47" s="76"/>
      <c r="FPL47" s="76"/>
      <c r="FPM47" s="76"/>
      <c r="FPN47" s="76"/>
      <c r="FPO47" s="76"/>
      <c r="FPP47" s="76"/>
      <c r="FPQ47" s="76"/>
      <c r="FPR47" s="76"/>
      <c r="FPS47" s="76"/>
      <c r="FPT47" s="76"/>
      <c r="FPU47" s="76"/>
      <c r="FPV47" s="76"/>
      <c r="FPW47" s="76"/>
      <c r="FPX47" s="76"/>
      <c r="FPY47" s="76"/>
      <c r="FPZ47" s="76"/>
      <c r="FQA47" s="76"/>
      <c r="FQB47" s="76"/>
      <c r="FQC47" s="76"/>
      <c r="FQD47" s="76"/>
      <c r="FQE47" s="76"/>
      <c r="FQF47" s="76"/>
      <c r="FQG47" s="76"/>
      <c r="FQH47" s="76"/>
      <c r="FQI47" s="76"/>
      <c r="FQJ47" s="76"/>
      <c r="FQK47" s="76"/>
      <c r="FQL47" s="76"/>
      <c r="FQM47" s="76"/>
      <c r="FQN47" s="76"/>
      <c r="FQO47" s="76"/>
      <c r="FQP47" s="76"/>
      <c r="FQQ47" s="76"/>
      <c r="FQR47" s="76"/>
      <c r="FQS47" s="76"/>
      <c r="FQT47" s="76"/>
      <c r="FQU47" s="76"/>
      <c r="FQV47" s="76"/>
      <c r="FQW47" s="76"/>
      <c r="FQX47" s="76"/>
      <c r="FQY47" s="76"/>
      <c r="FQZ47" s="76"/>
      <c r="FRA47" s="76"/>
      <c r="FRB47" s="76"/>
      <c r="FRC47" s="76"/>
      <c r="FRD47" s="76"/>
      <c r="FRE47" s="76"/>
      <c r="FRF47" s="76"/>
      <c r="FRG47" s="76"/>
      <c r="FRH47" s="76"/>
      <c r="FRI47" s="76"/>
      <c r="FRJ47" s="76"/>
      <c r="FRK47" s="76"/>
      <c r="FRL47" s="76"/>
      <c r="FRM47" s="76"/>
      <c r="FRN47" s="76"/>
      <c r="FRO47" s="76"/>
      <c r="FRP47" s="76"/>
      <c r="FRQ47" s="76"/>
      <c r="FRR47" s="76"/>
      <c r="FRS47" s="76"/>
      <c r="FRT47" s="76"/>
      <c r="FRU47" s="76"/>
      <c r="FRV47" s="76"/>
      <c r="FRW47" s="76"/>
      <c r="FRX47" s="76"/>
      <c r="FRY47" s="76"/>
      <c r="FRZ47" s="76"/>
      <c r="FSA47" s="76"/>
      <c r="FSB47" s="76"/>
      <c r="FSC47" s="76"/>
      <c r="FSD47" s="76"/>
      <c r="FSE47" s="76"/>
      <c r="FSF47" s="76"/>
      <c r="FSG47" s="76"/>
      <c r="FSH47" s="76"/>
      <c r="FSI47" s="76"/>
      <c r="FSJ47" s="76"/>
      <c r="FSK47" s="76"/>
      <c r="FSL47" s="76"/>
      <c r="FSM47" s="76"/>
      <c r="FSN47" s="76"/>
      <c r="FSO47" s="76"/>
      <c r="FSP47" s="76"/>
      <c r="FSQ47" s="76"/>
      <c r="FSR47" s="76"/>
      <c r="FSS47" s="76"/>
      <c r="FST47" s="76"/>
      <c r="FSU47" s="76"/>
      <c r="FSV47" s="76"/>
      <c r="FSW47" s="76"/>
      <c r="FSX47" s="76"/>
      <c r="FSY47" s="76"/>
      <c r="FSZ47" s="76"/>
      <c r="FTA47" s="76"/>
      <c r="FTB47" s="76"/>
      <c r="FTC47" s="76"/>
      <c r="FTD47" s="76"/>
      <c r="FTE47" s="76"/>
      <c r="FTF47" s="76"/>
      <c r="FTG47" s="76"/>
      <c r="FTH47" s="76"/>
      <c r="FTI47" s="76"/>
      <c r="FTJ47" s="76"/>
      <c r="FTK47" s="76"/>
      <c r="FTL47" s="76"/>
      <c r="FTM47" s="76"/>
      <c r="FTN47" s="76"/>
      <c r="FTO47" s="76"/>
      <c r="FTP47" s="76"/>
      <c r="FTQ47" s="76"/>
      <c r="FTR47" s="76"/>
      <c r="FTS47" s="76"/>
      <c r="FTT47" s="76"/>
      <c r="FTU47" s="76"/>
      <c r="FTV47" s="76"/>
      <c r="FTW47" s="76"/>
      <c r="FTX47" s="76"/>
      <c r="FTY47" s="76"/>
      <c r="FTZ47" s="76"/>
      <c r="FUA47" s="76"/>
      <c r="FUB47" s="76"/>
      <c r="FUC47" s="76"/>
      <c r="FUD47" s="76"/>
      <c r="FUE47" s="76"/>
      <c r="FUF47" s="76"/>
      <c r="FUG47" s="76"/>
      <c r="FUH47" s="76"/>
      <c r="FUI47" s="76"/>
      <c r="FUJ47" s="76"/>
      <c r="FUK47" s="76"/>
      <c r="FUL47" s="76"/>
      <c r="FUM47" s="76"/>
      <c r="FUN47" s="76"/>
      <c r="FUO47" s="76"/>
      <c r="FUP47" s="76"/>
      <c r="FUQ47" s="76"/>
      <c r="FUR47" s="76"/>
      <c r="FUS47" s="76"/>
      <c r="FUT47" s="76"/>
      <c r="FUU47" s="76"/>
      <c r="FUV47" s="76"/>
      <c r="FUW47" s="76"/>
      <c r="FUX47" s="76"/>
      <c r="FUY47" s="76"/>
      <c r="FUZ47" s="76"/>
      <c r="FVA47" s="76"/>
      <c r="FVB47" s="76"/>
      <c r="FVC47" s="76"/>
      <c r="FVD47" s="76"/>
      <c r="FVE47" s="76"/>
      <c r="FVF47" s="76"/>
      <c r="FVG47" s="76"/>
      <c r="FVH47" s="76"/>
      <c r="FVI47" s="76"/>
      <c r="FVJ47" s="76"/>
      <c r="FVK47" s="76"/>
      <c r="FVL47" s="76"/>
      <c r="FVM47" s="76"/>
      <c r="FVN47" s="76"/>
      <c r="FVO47" s="76"/>
      <c r="FVP47" s="76"/>
      <c r="FVQ47" s="76"/>
      <c r="FVR47" s="76"/>
      <c r="FVS47" s="76"/>
      <c r="FVT47" s="76"/>
      <c r="FVU47" s="76"/>
      <c r="FVV47" s="76"/>
      <c r="FVW47" s="76"/>
      <c r="FVX47" s="76"/>
      <c r="FVY47" s="76"/>
      <c r="FVZ47" s="76"/>
      <c r="FWA47" s="76"/>
      <c r="FWB47" s="76"/>
      <c r="FWC47" s="76"/>
      <c r="FWD47" s="76"/>
      <c r="FWE47" s="76"/>
      <c r="FWF47" s="76"/>
      <c r="FWG47" s="76"/>
      <c r="FWH47" s="76"/>
      <c r="FWI47" s="76"/>
      <c r="FWJ47" s="76"/>
      <c r="FWK47" s="76"/>
      <c r="FWL47" s="76"/>
      <c r="FWM47" s="76"/>
      <c r="FWN47" s="76"/>
      <c r="FWO47" s="76"/>
      <c r="FWP47" s="76"/>
      <c r="FWQ47" s="76"/>
      <c r="FWR47" s="76"/>
      <c r="FWS47" s="76"/>
      <c r="FWT47" s="76"/>
      <c r="FWU47" s="76"/>
      <c r="FWV47" s="76"/>
      <c r="FWW47" s="76"/>
      <c r="FWX47" s="76"/>
      <c r="FWY47" s="76"/>
      <c r="FWZ47" s="76"/>
      <c r="FXA47" s="76"/>
      <c r="FXB47" s="76"/>
      <c r="FXC47" s="76"/>
      <c r="FXD47" s="76"/>
      <c r="FXE47" s="76"/>
      <c r="FXF47" s="76"/>
      <c r="FXG47" s="76"/>
      <c r="FXH47" s="76"/>
      <c r="FXI47" s="76"/>
      <c r="FXJ47" s="76"/>
      <c r="FXK47" s="76"/>
      <c r="FXL47" s="76"/>
      <c r="FXM47" s="76"/>
      <c r="FXN47" s="76"/>
      <c r="FXO47" s="76"/>
      <c r="FXP47" s="76"/>
      <c r="FXQ47" s="76"/>
      <c r="FXR47" s="76"/>
      <c r="FXS47" s="76"/>
      <c r="FXT47" s="76"/>
      <c r="FXU47" s="76"/>
      <c r="FXV47" s="76"/>
      <c r="FXW47" s="76"/>
      <c r="FXX47" s="76"/>
      <c r="FXY47" s="76"/>
      <c r="FXZ47" s="76"/>
      <c r="FYA47" s="76"/>
      <c r="FYB47" s="76"/>
      <c r="FYC47" s="76"/>
      <c r="FYD47" s="76"/>
      <c r="FYE47" s="76"/>
      <c r="FYF47" s="76"/>
      <c r="FYG47" s="76"/>
      <c r="FYH47" s="76"/>
      <c r="FYI47" s="76"/>
      <c r="FYJ47" s="76"/>
      <c r="FYK47" s="76"/>
      <c r="FYL47" s="76"/>
      <c r="FYM47" s="76"/>
      <c r="FYN47" s="76"/>
      <c r="FYO47" s="76"/>
      <c r="FYP47" s="76"/>
      <c r="FYQ47" s="76"/>
      <c r="FYR47" s="76"/>
      <c r="FYS47" s="76"/>
      <c r="FYT47" s="76"/>
      <c r="FYU47" s="76"/>
      <c r="FYV47" s="76"/>
      <c r="FYW47" s="76"/>
      <c r="FYX47" s="76"/>
      <c r="FYY47" s="76"/>
      <c r="FYZ47" s="76"/>
      <c r="FZA47" s="76"/>
      <c r="FZB47" s="76"/>
      <c r="FZC47" s="76"/>
      <c r="FZD47" s="76"/>
      <c r="FZE47" s="76"/>
      <c r="FZF47" s="76"/>
      <c r="FZG47" s="76"/>
      <c r="FZH47" s="76"/>
      <c r="FZI47" s="76"/>
      <c r="FZJ47" s="76"/>
      <c r="FZK47" s="76"/>
      <c r="FZL47" s="76"/>
      <c r="FZM47" s="76"/>
      <c r="FZN47" s="76"/>
      <c r="FZO47" s="76"/>
      <c r="FZP47" s="76"/>
      <c r="FZQ47" s="76"/>
      <c r="FZR47" s="76"/>
      <c r="FZS47" s="76"/>
      <c r="FZT47" s="76"/>
      <c r="FZU47" s="76"/>
      <c r="FZV47" s="76"/>
      <c r="FZW47" s="76"/>
      <c r="FZX47" s="76"/>
      <c r="FZY47" s="76"/>
      <c r="FZZ47" s="76"/>
      <c r="GAA47" s="76"/>
      <c r="GAB47" s="76"/>
      <c r="GAC47" s="76"/>
      <c r="GAD47" s="76"/>
      <c r="GAE47" s="76"/>
      <c r="GAF47" s="76"/>
      <c r="GAG47" s="76"/>
      <c r="GAH47" s="76"/>
      <c r="GAI47" s="76"/>
      <c r="GAJ47" s="76"/>
      <c r="GAK47" s="76"/>
      <c r="GAL47" s="76"/>
      <c r="GAM47" s="76"/>
      <c r="GAN47" s="76"/>
      <c r="GAO47" s="76"/>
      <c r="GAP47" s="76"/>
      <c r="GAQ47" s="76"/>
      <c r="GAR47" s="76"/>
      <c r="GAS47" s="76"/>
      <c r="GAT47" s="76"/>
      <c r="GAU47" s="76"/>
      <c r="GAV47" s="76"/>
      <c r="GAW47" s="76"/>
      <c r="GAX47" s="76"/>
      <c r="GAY47" s="76"/>
      <c r="GAZ47" s="76"/>
      <c r="GBA47" s="76"/>
      <c r="GBB47" s="76"/>
      <c r="GBC47" s="76"/>
      <c r="GBD47" s="76"/>
      <c r="GBE47" s="76"/>
      <c r="GBF47" s="76"/>
      <c r="GBG47" s="76"/>
      <c r="GBH47" s="76"/>
      <c r="GBI47" s="76"/>
      <c r="GBJ47" s="76"/>
      <c r="GBK47" s="76"/>
      <c r="GBL47" s="76"/>
      <c r="GBM47" s="76"/>
      <c r="GBN47" s="76"/>
      <c r="GBO47" s="76"/>
      <c r="GBP47" s="76"/>
      <c r="GBQ47" s="76"/>
      <c r="GBR47" s="76"/>
      <c r="GBS47" s="76"/>
      <c r="GBT47" s="76"/>
      <c r="GBU47" s="76"/>
      <c r="GBV47" s="76"/>
      <c r="GBW47" s="76"/>
      <c r="GBX47" s="76"/>
      <c r="GBY47" s="76"/>
      <c r="GBZ47" s="76"/>
      <c r="GCA47" s="76"/>
      <c r="GCB47" s="76"/>
      <c r="GCC47" s="76"/>
      <c r="GCD47" s="76"/>
      <c r="GCE47" s="76"/>
      <c r="GCF47" s="76"/>
      <c r="GCG47" s="76"/>
      <c r="GCH47" s="76"/>
      <c r="GCI47" s="76"/>
      <c r="GCJ47" s="76"/>
      <c r="GCK47" s="76"/>
      <c r="GCL47" s="76"/>
      <c r="GCM47" s="76"/>
      <c r="GCN47" s="76"/>
      <c r="GCO47" s="76"/>
      <c r="GCP47" s="76"/>
      <c r="GCQ47" s="76"/>
      <c r="GCR47" s="76"/>
      <c r="GCS47" s="76"/>
      <c r="GCT47" s="76"/>
      <c r="GCU47" s="76"/>
      <c r="GCV47" s="76"/>
      <c r="GCW47" s="76"/>
      <c r="GCX47" s="76"/>
      <c r="GCY47" s="76"/>
      <c r="GCZ47" s="76"/>
      <c r="GDA47" s="76"/>
      <c r="GDB47" s="76"/>
      <c r="GDC47" s="76"/>
      <c r="GDD47" s="76"/>
      <c r="GDE47" s="76"/>
      <c r="GDF47" s="76"/>
      <c r="GDG47" s="76"/>
      <c r="GDH47" s="76"/>
      <c r="GDI47" s="76"/>
      <c r="GDJ47" s="76"/>
      <c r="GDK47" s="76"/>
      <c r="GDL47" s="76"/>
      <c r="GDM47" s="76"/>
      <c r="GDN47" s="76"/>
      <c r="GDO47" s="76"/>
      <c r="GDP47" s="76"/>
      <c r="GDQ47" s="76"/>
      <c r="GDR47" s="76"/>
      <c r="GDS47" s="76"/>
      <c r="GDT47" s="76"/>
      <c r="GDU47" s="76"/>
      <c r="GDV47" s="76"/>
      <c r="GDW47" s="76"/>
      <c r="GDX47" s="76"/>
      <c r="GDY47" s="76"/>
      <c r="GDZ47" s="76"/>
      <c r="GEA47" s="76"/>
      <c r="GEB47" s="76"/>
      <c r="GEC47" s="76"/>
      <c r="GED47" s="76"/>
      <c r="GEE47" s="76"/>
      <c r="GEF47" s="76"/>
      <c r="GEG47" s="76"/>
      <c r="GEH47" s="76"/>
      <c r="GEI47" s="76"/>
      <c r="GEJ47" s="76"/>
      <c r="GEK47" s="76"/>
      <c r="GEL47" s="76"/>
      <c r="GEM47" s="76"/>
      <c r="GEN47" s="76"/>
      <c r="GEO47" s="76"/>
      <c r="GEP47" s="76"/>
      <c r="GEQ47" s="76"/>
      <c r="GER47" s="76"/>
      <c r="GES47" s="76"/>
      <c r="GET47" s="76"/>
      <c r="GEU47" s="76"/>
      <c r="GEV47" s="76"/>
      <c r="GEW47" s="76"/>
      <c r="GEX47" s="76"/>
      <c r="GEY47" s="76"/>
      <c r="GEZ47" s="76"/>
      <c r="GFA47" s="76"/>
      <c r="GFB47" s="76"/>
      <c r="GFC47" s="76"/>
      <c r="GFD47" s="76"/>
      <c r="GFE47" s="76"/>
      <c r="GFF47" s="76"/>
      <c r="GFG47" s="76"/>
      <c r="GFH47" s="76"/>
      <c r="GFI47" s="76"/>
      <c r="GFJ47" s="76"/>
      <c r="GFK47" s="76"/>
      <c r="GFL47" s="76"/>
      <c r="GFM47" s="76"/>
      <c r="GFN47" s="76"/>
      <c r="GFO47" s="76"/>
      <c r="GFP47" s="76"/>
      <c r="GFQ47" s="76"/>
      <c r="GFR47" s="76"/>
      <c r="GFS47" s="76"/>
      <c r="GFT47" s="76"/>
      <c r="GFU47" s="76"/>
      <c r="GFV47" s="76"/>
      <c r="GFW47" s="76"/>
      <c r="GFX47" s="76"/>
      <c r="GFY47" s="76"/>
      <c r="GFZ47" s="76"/>
      <c r="GGA47" s="76"/>
      <c r="GGB47" s="76"/>
      <c r="GGC47" s="76"/>
      <c r="GGD47" s="76"/>
      <c r="GGE47" s="76"/>
      <c r="GGF47" s="76"/>
      <c r="GGG47" s="76"/>
      <c r="GGH47" s="76"/>
      <c r="GGI47" s="76"/>
      <c r="GGJ47" s="76"/>
      <c r="GGK47" s="76"/>
      <c r="GGL47" s="76"/>
      <c r="GGM47" s="76"/>
      <c r="GGN47" s="76"/>
      <c r="GGO47" s="76"/>
      <c r="GGP47" s="76"/>
      <c r="GGQ47" s="76"/>
      <c r="GGR47" s="76"/>
      <c r="GGS47" s="76"/>
      <c r="GGT47" s="76"/>
      <c r="GGU47" s="76"/>
      <c r="GGV47" s="76"/>
      <c r="GGW47" s="76"/>
      <c r="GGX47" s="76"/>
      <c r="GGY47" s="76"/>
      <c r="GGZ47" s="76"/>
      <c r="GHA47" s="76"/>
      <c r="GHB47" s="76"/>
      <c r="GHC47" s="76"/>
      <c r="GHD47" s="76"/>
      <c r="GHE47" s="76"/>
      <c r="GHF47" s="76"/>
      <c r="GHG47" s="76"/>
      <c r="GHH47" s="76"/>
      <c r="GHI47" s="76"/>
      <c r="GHJ47" s="76"/>
      <c r="GHK47" s="76"/>
      <c r="GHL47" s="76"/>
      <c r="GHM47" s="76"/>
      <c r="GHN47" s="76"/>
      <c r="GHO47" s="76"/>
      <c r="GHP47" s="76"/>
      <c r="GHQ47" s="76"/>
      <c r="GHR47" s="76"/>
      <c r="GHS47" s="76"/>
      <c r="GHT47" s="76"/>
      <c r="GHU47" s="76"/>
      <c r="GHV47" s="76"/>
      <c r="GHW47" s="76"/>
      <c r="GHX47" s="76"/>
      <c r="GHY47" s="76"/>
      <c r="GHZ47" s="76"/>
      <c r="GIA47" s="76"/>
      <c r="GIB47" s="76"/>
      <c r="GIC47" s="76"/>
      <c r="GID47" s="76"/>
      <c r="GIE47" s="76"/>
      <c r="GIF47" s="76"/>
      <c r="GIG47" s="76"/>
      <c r="GIH47" s="76"/>
      <c r="GII47" s="76"/>
      <c r="GIJ47" s="76"/>
      <c r="GIK47" s="76"/>
      <c r="GIL47" s="76"/>
      <c r="GIM47" s="76"/>
      <c r="GIN47" s="76"/>
      <c r="GIO47" s="76"/>
      <c r="GIP47" s="76"/>
      <c r="GIQ47" s="76"/>
      <c r="GIR47" s="76"/>
      <c r="GIS47" s="76"/>
      <c r="GIT47" s="76"/>
      <c r="GIU47" s="76"/>
      <c r="GIV47" s="76"/>
      <c r="GIW47" s="76"/>
      <c r="GIX47" s="76"/>
      <c r="GIY47" s="76"/>
      <c r="GIZ47" s="76"/>
      <c r="GJA47" s="76"/>
      <c r="GJB47" s="76"/>
      <c r="GJC47" s="76"/>
      <c r="GJD47" s="76"/>
      <c r="GJE47" s="76"/>
      <c r="GJF47" s="76"/>
      <c r="GJG47" s="76"/>
      <c r="GJH47" s="76"/>
      <c r="GJI47" s="76"/>
      <c r="GJJ47" s="76"/>
      <c r="GJK47" s="76"/>
      <c r="GJL47" s="76"/>
      <c r="GJM47" s="76"/>
      <c r="GJN47" s="76"/>
      <c r="GJO47" s="76"/>
      <c r="GJP47" s="76"/>
      <c r="GJQ47" s="76"/>
      <c r="GJR47" s="76"/>
      <c r="GJS47" s="76"/>
      <c r="GJT47" s="76"/>
      <c r="GJU47" s="76"/>
      <c r="GJV47" s="76"/>
      <c r="GJW47" s="76"/>
      <c r="GJX47" s="76"/>
      <c r="GJY47" s="76"/>
      <c r="GJZ47" s="76"/>
      <c r="GKA47" s="76"/>
      <c r="GKB47" s="76"/>
      <c r="GKC47" s="76"/>
      <c r="GKD47" s="76"/>
      <c r="GKE47" s="76"/>
      <c r="GKF47" s="76"/>
      <c r="GKG47" s="76"/>
      <c r="GKH47" s="76"/>
      <c r="GKI47" s="76"/>
      <c r="GKJ47" s="76"/>
      <c r="GKK47" s="76"/>
      <c r="GKL47" s="76"/>
      <c r="GKM47" s="76"/>
      <c r="GKN47" s="76"/>
      <c r="GKO47" s="76"/>
      <c r="GKP47" s="76"/>
      <c r="GKQ47" s="76"/>
      <c r="GKR47" s="76"/>
      <c r="GKS47" s="76"/>
      <c r="GKT47" s="76"/>
      <c r="GKU47" s="76"/>
      <c r="GKV47" s="76"/>
      <c r="GKW47" s="76"/>
      <c r="GKX47" s="76"/>
      <c r="GKY47" s="76"/>
      <c r="GKZ47" s="76"/>
      <c r="GLA47" s="76"/>
      <c r="GLB47" s="76"/>
      <c r="GLC47" s="76"/>
      <c r="GLD47" s="76"/>
      <c r="GLE47" s="76"/>
      <c r="GLF47" s="76"/>
      <c r="GLG47" s="76"/>
      <c r="GLH47" s="76"/>
      <c r="GLI47" s="76"/>
      <c r="GLJ47" s="76"/>
      <c r="GLK47" s="76"/>
      <c r="GLL47" s="76"/>
      <c r="GLM47" s="76"/>
      <c r="GLN47" s="76"/>
      <c r="GLO47" s="76"/>
      <c r="GLP47" s="76"/>
      <c r="GLQ47" s="76"/>
      <c r="GLR47" s="76"/>
      <c r="GLS47" s="76"/>
      <c r="GLT47" s="76"/>
      <c r="GLU47" s="76"/>
      <c r="GLV47" s="76"/>
      <c r="GLW47" s="76"/>
      <c r="GLX47" s="76"/>
      <c r="GLY47" s="76"/>
      <c r="GLZ47" s="76"/>
      <c r="GMA47" s="76"/>
      <c r="GMB47" s="76"/>
      <c r="GMC47" s="76"/>
      <c r="GMD47" s="76"/>
      <c r="GME47" s="76"/>
      <c r="GMF47" s="76"/>
      <c r="GMG47" s="76"/>
      <c r="GMH47" s="76"/>
      <c r="GMI47" s="76"/>
      <c r="GMJ47" s="76"/>
      <c r="GMK47" s="76"/>
      <c r="GML47" s="76"/>
      <c r="GMM47" s="76"/>
      <c r="GMN47" s="76"/>
      <c r="GMO47" s="76"/>
      <c r="GMP47" s="76"/>
      <c r="GMQ47" s="76"/>
      <c r="GMR47" s="76"/>
      <c r="GMS47" s="76"/>
      <c r="GMT47" s="76"/>
      <c r="GMU47" s="76"/>
      <c r="GMV47" s="76"/>
      <c r="GMW47" s="76"/>
      <c r="GMX47" s="76"/>
      <c r="GMY47" s="76"/>
      <c r="GMZ47" s="76"/>
      <c r="GNA47" s="76"/>
      <c r="GNB47" s="76"/>
      <c r="GNC47" s="76"/>
      <c r="GND47" s="76"/>
      <c r="GNE47" s="76"/>
      <c r="GNF47" s="76"/>
      <c r="GNG47" s="76"/>
      <c r="GNH47" s="76"/>
      <c r="GNI47" s="76"/>
      <c r="GNJ47" s="76"/>
      <c r="GNK47" s="76"/>
      <c r="GNL47" s="76"/>
      <c r="GNM47" s="76"/>
      <c r="GNN47" s="76"/>
      <c r="GNO47" s="76"/>
      <c r="GNP47" s="76"/>
      <c r="GNQ47" s="76"/>
      <c r="GNR47" s="76"/>
      <c r="GNS47" s="76"/>
      <c r="GNT47" s="76"/>
      <c r="GNU47" s="76"/>
      <c r="GNV47" s="76"/>
      <c r="GNW47" s="76"/>
      <c r="GNX47" s="76"/>
      <c r="GNY47" s="76"/>
      <c r="GNZ47" s="76"/>
      <c r="GOA47" s="76"/>
      <c r="GOB47" s="76"/>
      <c r="GOC47" s="76"/>
      <c r="GOD47" s="76"/>
      <c r="GOE47" s="76"/>
      <c r="GOF47" s="76"/>
      <c r="GOG47" s="76"/>
      <c r="GOH47" s="76"/>
      <c r="GOI47" s="76"/>
      <c r="GOJ47" s="76"/>
      <c r="GOK47" s="76"/>
      <c r="GOL47" s="76"/>
      <c r="GOM47" s="76"/>
      <c r="GON47" s="76"/>
      <c r="GOO47" s="76"/>
      <c r="GOP47" s="76"/>
      <c r="GOQ47" s="76"/>
      <c r="GOR47" s="76"/>
      <c r="GOS47" s="76"/>
      <c r="GOT47" s="76"/>
      <c r="GOU47" s="76"/>
      <c r="GOV47" s="76"/>
      <c r="GOW47" s="76"/>
      <c r="GOX47" s="76"/>
      <c r="GOY47" s="76"/>
      <c r="GOZ47" s="76"/>
      <c r="GPA47" s="76"/>
      <c r="GPB47" s="76"/>
      <c r="GPC47" s="76"/>
      <c r="GPD47" s="76"/>
      <c r="GPE47" s="76"/>
      <c r="GPF47" s="76"/>
      <c r="GPG47" s="76"/>
      <c r="GPH47" s="76"/>
      <c r="GPI47" s="76"/>
      <c r="GPJ47" s="76"/>
      <c r="GPK47" s="76"/>
      <c r="GPL47" s="76"/>
      <c r="GPM47" s="76"/>
      <c r="GPN47" s="76"/>
      <c r="GPO47" s="76"/>
      <c r="GPP47" s="76"/>
      <c r="GPQ47" s="76"/>
      <c r="GPR47" s="76"/>
      <c r="GPS47" s="76"/>
      <c r="GPT47" s="76"/>
      <c r="GPU47" s="76"/>
      <c r="GPV47" s="76"/>
      <c r="GPW47" s="76"/>
      <c r="GPX47" s="76"/>
      <c r="GPY47" s="76"/>
      <c r="GPZ47" s="76"/>
      <c r="GQA47" s="76"/>
      <c r="GQB47" s="76"/>
      <c r="GQC47" s="76"/>
      <c r="GQD47" s="76"/>
      <c r="GQE47" s="76"/>
      <c r="GQF47" s="76"/>
      <c r="GQG47" s="76"/>
      <c r="GQH47" s="76"/>
      <c r="GQI47" s="76"/>
      <c r="GQJ47" s="76"/>
      <c r="GQK47" s="76"/>
      <c r="GQL47" s="76"/>
      <c r="GQM47" s="76"/>
      <c r="GQN47" s="76"/>
      <c r="GQO47" s="76"/>
      <c r="GQP47" s="76"/>
      <c r="GQQ47" s="76"/>
      <c r="GQR47" s="76"/>
      <c r="GQS47" s="76"/>
      <c r="GQT47" s="76"/>
      <c r="GQU47" s="76"/>
      <c r="GQV47" s="76"/>
      <c r="GQW47" s="76"/>
      <c r="GQX47" s="76"/>
      <c r="GQY47" s="76"/>
      <c r="GQZ47" s="76"/>
      <c r="GRA47" s="76"/>
      <c r="GRB47" s="76"/>
      <c r="GRC47" s="76"/>
      <c r="GRD47" s="76"/>
      <c r="GRE47" s="76"/>
      <c r="GRF47" s="76"/>
      <c r="GRG47" s="76"/>
      <c r="GRH47" s="76"/>
      <c r="GRI47" s="76"/>
      <c r="GRJ47" s="76"/>
      <c r="GRK47" s="76"/>
      <c r="GRL47" s="76"/>
      <c r="GRM47" s="76"/>
      <c r="GRN47" s="76"/>
      <c r="GRO47" s="76"/>
      <c r="GRP47" s="76"/>
      <c r="GRQ47" s="76"/>
      <c r="GRR47" s="76"/>
      <c r="GRS47" s="76"/>
      <c r="GRT47" s="76"/>
      <c r="GRU47" s="76"/>
      <c r="GRV47" s="76"/>
      <c r="GRW47" s="76"/>
      <c r="GRX47" s="76"/>
      <c r="GRY47" s="76"/>
      <c r="GRZ47" s="76"/>
      <c r="GSA47" s="76"/>
      <c r="GSB47" s="76"/>
      <c r="GSC47" s="76"/>
      <c r="GSD47" s="76"/>
      <c r="GSE47" s="76"/>
      <c r="GSF47" s="76"/>
      <c r="GSG47" s="76"/>
      <c r="GSH47" s="76"/>
      <c r="GSI47" s="76"/>
      <c r="GSJ47" s="76"/>
      <c r="GSK47" s="76"/>
      <c r="GSL47" s="76"/>
      <c r="GSM47" s="76"/>
      <c r="GSN47" s="76"/>
      <c r="GSO47" s="76"/>
      <c r="GSP47" s="76"/>
      <c r="GSQ47" s="76"/>
      <c r="GSR47" s="76"/>
      <c r="GSS47" s="76"/>
      <c r="GST47" s="76"/>
      <c r="GSU47" s="76"/>
      <c r="GSV47" s="76"/>
      <c r="GSW47" s="76"/>
      <c r="GSX47" s="76"/>
      <c r="GSY47" s="76"/>
      <c r="GSZ47" s="76"/>
      <c r="GTA47" s="76"/>
      <c r="GTB47" s="76"/>
      <c r="GTC47" s="76"/>
      <c r="GTD47" s="76"/>
      <c r="GTE47" s="76"/>
      <c r="GTF47" s="76"/>
      <c r="GTG47" s="76"/>
      <c r="GTH47" s="76"/>
      <c r="GTI47" s="76"/>
      <c r="GTJ47" s="76"/>
      <c r="GTK47" s="76"/>
      <c r="GTL47" s="76"/>
      <c r="GTM47" s="76"/>
      <c r="GTN47" s="76"/>
      <c r="GTO47" s="76"/>
      <c r="GTP47" s="76"/>
      <c r="GTQ47" s="76"/>
      <c r="GTR47" s="76"/>
      <c r="GTS47" s="76"/>
      <c r="GTT47" s="76"/>
      <c r="GTU47" s="76"/>
      <c r="GTV47" s="76"/>
      <c r="GTW47" s="76"/>
      <c r="GTX47" s="76"/>
      <c r="GTY47" s="76"/>
      <c r="GTZ47" s="76"/>
      <c r="GUA47" s="76"/>
      <c r="GUB47" s="76"/>
      <c r="GUC47" s="76"/>
      <c r="GUD47" s="76"/>
      <c r="GUE47" s="76"/>
      <c r="GUF47" s="76"/>
      <c r="GUG47" s="76"/>
      <c r="GUH47" s="76"/>
      <c r="GUI47" s="76"/>
      <c r="GUJ47" s="76"/>
      <c r="GUK47" s="76"/>
      <c r="GUL47" s="76"/>
      <c r="GUM47" s="76"/>
      <c r="GUN47" s="76"/>
      <c r="GUO47" s="76"/>
      <c r="GUP47" s="76"/>
      <c r="GUQ47" s="76"/>
      <c r="GUR47" s="76"/>
      <c r="GUS47" s="76"/>
      <c r="GUT47" s="76"/>
      <c r="GUU47" s="76"/>
      <c r="GUV47" s="76"/>
      <c r="GUW47" s="76"/>
      <c r="GUX47" s="76"/>
      <c r="GUY47" s="76"/>
      <c r="GUZ47" s="76"/>
      <c r="GVA47" s="76"/>
      <c r="GVB47" s="76"/>
      <c r="GVC47" s="76"/>
      <c r="GVD47" s="76"/>
      <c r="GVE47" s="76"/>
      <c r="GVF47" s="76"/>
      <c r="GVG47" s="76"/>
      <c r="GVH47" s="76"/>
      <c r="GVI47" s="76"/>
      <c r="GVJ47" s="76"/>
      <c r="GVK47" s="76"/>
      <c r="GVL47" s="76"/>
      <c r="GVM47" s="76"/>
      <c r="GVN47" s="76"/>
      <c r="GVO47" s="76"/>
      <c r="GVP47" s="76"/>
      <c r="GVQ47" s="76"/>
      <c r="GVR47" s="76"/>
      <c r="GVS47" s="76"/>
      <c r="GVT47" s="76"/>
      <c r="GVU47" s="76"/>
      <c r="GVV47" s="76"/>
      <c r="GVW47" s="76"/>
      <c r="GVX47" s="76"/>
      <c r="GVY47" s="76"/>
      <c r="GVZ47" s="76"/>
      <c r="GWA47" s="76"/>
      <c r="GWB47" s="76"/>
      <c r="GWC47" s="76"/>
      <c r="GWD47" s="76"/>
      <c r="GWE47" s="76"/>
      <c r="GWF47" s="76"/>
      <c r="GWG47" s="76"/>
      <c r="GWH47" s="76"/>
      <c r="GWI47" s="76"/>
      <c r="GWJ47" s="76"/>
      <c r="GWK47" s="76"/>
      <c r="GWL47" s="76"/>
      <c r="GWM47" s="76"/>
      <c r="GWN47" s="76"/>
      <c r="GWO47" s="76"/>
      <c r="GWP47" s="76"/>
      <c r="GWQ47" s="76"/>
      <c r="GWR47" s="76"/>
      <c r="GWS47" s="76"/>
      <c r="GWT47" s="76"/>
      <c r="GWU47" s="76"/>
      <c r="GWV47" s="76"/>
      <c r="GWW47" s="76"/>
      <c r="GWX47" s="76"/>
      <c r="GWY47" s="76"/>
      <c r="GWZ47" s="76"/>
      <c r="GXA47" s="76"/>
      <c r="GXB47" s="76"/>
      <c r="GXC47" s="76"/>
      <c r="GXD47" s="76"/>
      <c r="GXE47" s="76"/>
      <c r="GXF47" s="76"/>
      <c r="GXG47" s="76"/>
      <c r="GXH47" s="76"/>
      <c r="GXI47" s="76"/>
      <c r="GXJ47" s="76"/>
      <c r="GXK47" s="76"/>
      <c r="GXL47" s="76"/>
      <c r="GXM47" s="76"/>
      <c r="GXN47" s="76"/>
      <c r="GXO47" s="76"/>
      <c r="GXP47" s="76"/>
      <c r="GXQ47" s="76"/>
      <c r="GXR47" s="76"/>
      <c r="GXS47" s="76"/>
      <c r="GXT47" s="76"/>
      <c r="GXU47" s="76"/>
      <c r="GXV47" s="76"/>
      <c r="GXW47" s="76"/>
      <c r="GXX47" s="76"/>
      <c r="GXY47" s="76"/>
      <c r="GXZ47" s="76"/>
      <c r="GYA47" s="76"/>
      <c r="GYB47" s="76"/>
      <c r="GYC47" s="76"/>
      <c r="GYD47" s="76"/>
      <c r="GYE47" s="76"/>
      <c r="GYF47" s="76"/>
      <c r="GYG47" s="76"/>
      <c r="GYH47" s="76"/>
      <c r="GYI47" s="76"/>
      <c r="GYJ47" s="76"/>
      <c r="GYK47" s="76"/>
      <c r="GYL47" s="76"/>
      <c r="GYM47" s="76"/>
      <c r="GYN47" s="76"/>
      <c r="GYO47" s="76"/>
      <c r="GYP47" s="76"/>
      <c r="GYQ47" s="76"/>
      <c r="GYR47" s="76"/>
      <c r="GYS47" s="76"/>
      <c r="GYT47" s="76"/>
      <c r="GYU47" s="76"/>
      <c r="GYV47" s="76"/>
      <c r="GYW47" s="76"/>
      <c r="GYX47" s="76"/>
      <c r="GYY47" s="76"/>
      <c r="GYZ47" s="76"/>
      <c r="GZA47" s="76"/>
      <c r="GZB47" s="76"/>
      <c r="GZC47" s="76"/>
      <c r="GZD47" s="76"/>
      <c r="GZE47" s="76"/>
      <c r="GZF47" s="76"/>
      <c r="GZG47" s="76"/>
      <c r="GZH47" s="76"/>
      <c r="GZI47" s="76"/>
      <c r="GZJ47" s="76"/>
      <c r="GZK47" s="76"/>
      <c r="GZL47" s="76"/>
      <c r="GZM47" s="76"/>
      <c r="GZN47" s="76"/>
      <c r="GZO47" s="76"/>
      <c r="GZP47" s="76"/>
      <c r="GZQ47" s="76"/>
      <c r="GZR47" s="76"/>
      <c r="GZS47" s="76"/>
      <c r="GZT47" s="76"/>
      <c r="GZU47" s="76"/>
      <c r="GZV47" s="76"/>
      <c r="GZW47" s="76"/>
      <c r="GZX47" s="76"/>
      <c r="GZY47" s="76"/>
      <c r="GZZ47" s="76"/>
      <c r="HAA47" s="76"/>
      <c r="HAB47" s="76"/>
      <c r="HAC47" s="76"/>
      <c r="HAD47" s="76"/>
      <c r="HAE47" s="76"/>
      <c r="HAF47" s="76"/>
      <c r="HAG47" s="76"/>
      <c r="HAH47" s="76"/>
      <c r="HAI47" s="76"/>
      <c r="HAJ47" s="76"/>
      <c r="HAK47" s="76"/>
      <c r="HAL47" s="76"/>
      <c r="HAM47" s="76"/>
      <c r="HAN47" s="76"/>
      <c r="HAO47" s="76"/>
      <c r="HAP47" s="76"/>
      <c r="HAQ47" s="76"/>
      <c r="HAR47" s="76"/>
      <c r="HAS47" s="76"/>
      <c r="HAT47" s="76"/>
      <c r="HAU47" s="76"/>
      <c r="HAV47" s="76"/>
      <c r="HAW47" s="76"/>
      <c r="HAX47" s="76"/>
      <c r="HAY47" s="76"/>
      <c r="HAZ47" s="76"/>
      <c r="HBA47" s="76"/>
      <c r="HBB47" s="76"/>
      <c r="HBC47" s="76"/>
      <c r="HBD47" s="76"/>
      <c r="HBE47" s="76"/>
      <c r="HBF47" s="76"/>
      <c r="HBG47" s="76"/>
      <c r="HBH47" s="76"/>
      <c r="HBI47" s="76"/>
      <c r="HBJ47" s="76"/>
      <c r="HBK47" s="76"/>
      <c r="HBL47" s="76"/>
      <c r="HBM47" s="76"/>
      <c r="HBN47" s="76"/>
      <c r="HBO47" s="76"/>
      <c r="HBP47" s="76"/>
      <c r="HBQ47" s="76"/>
      <c r="HBR47" s="76"/>
      <c r="HBS47" s="76"/>
      <c r="HBT47" s="76"/>
      <c r="HBU47" s="76"/>
      <c r="HBV47" s="76"/>
      <c r="HBW47" s="76"/>
      <c r="HBX47" s="76"/>
      <c r="HBY47" s="76"/>
      <c r="HBZ47" s="76"/>
      <c r="HCA47" s="76"/>
      <c r="HCB47" s="76"/>
      <c r="HCC47" s="76"/>
      <c r="HCD47" s="76"/>
      <c r="HCE47" s="76"/>
      <c r="HCF47" s="76"/>
      <c r="HCG47" s="76"/>
      <c r="HCH47" s="76"/>
      <c r="HCI47" s="76"/>
      <c r="HCJ47" s="76"/>
      <c r="HCK47" s="76"/>
      <c r="HCL47" s="76"/>
      <c r="HCM47" s="76"/>
      <c r="HCN47" s="76"/>
      <c r="HCO47" s="76"/>
      <c r="HCP47" s="76"/>
      <c r="HCQ47" s="76"/>
      <c r="HCR47" s="76"/>
      <c r="HCS47" s="76"/>
      <c r="HCT47" s="76"/>
      <c r="HCU47" s="76"/>
      <c r="HCV47" s="76"/>
      <c r="HCW47" s="76"/>
      <c r="HCX47" s="76"/>
      <c r="HCY47" s="76"/>
      <c r="HCZ47" s="76"/>
      <c r="HDA47" s="76"/>
      <c r="HDB47" s="76"/>
      <c r="HDC47" s="76"/>
      <c r="HDD47" s="76"/>
      <c r="HDE47" s="76"/>
      <c r="HDF47" s="76"/>
      <c r="HDG47" s="76"/>
      <c r="HDH47" s="76"/>
      <c r="HDI47" s="76"/>
      <c r="HDJ47" s="76"/>
      <c r="HDK47" s="76"/>
      <c r="HDL47" s="76"/>
      <c r="HDM47" s="76"/>
      <c r="HDN47" s="76"/>
      <c r="HDO47" s="76"/>
      <c r="HDP47" s="76"/>
      <c r="HDQ47" s="76"/>
      <c r="HDR47" s="76"/>
      <c r="HDS47" s="76"/>
      <c r="HDT47" s="76"/>
      <c r="HDU47" s="76"/>
      <c r="HDV47" s="76"/>
      <c r="HDW47" s="76"/>
      <c r="HDX47" s="76"/>
      <c r="HDY47" s="76"/>
      <c r="HDZ47" s="76"/>
      <c r="HEA47" s="76"/>
      <c r="HEB47" s="76"/>
      <c r="HEC47" s="76"/>
      <c r="HED47" s="76"/>
      <c r="HEE47" s="76"/>
      <c r="HEF47" s="76"/>
      <c r="HEG47" s="76"/>
      <c r="HEH47" s="76"/>
      <c r="HEI47" s="76"/>
      <c r="HEJ47" s="76"/>
      <c r="HEK47" s="76"/>
      <c r="HEL47" s="76"/>
      <c r="HEM47" s="76"/>
      <c r="HEN47" s="76"/>
      <c r="HEO47" s="76"/>
      <c r="HEP47" s="76"/>
      <c r="HEQ47" s="76"/>
      <c r="HER47" s="76"/>
      <c r="HES47" s="76"/>
      <c r="HET47" s="76"/>
      <c r="HEU47" s="76"/>
      <c r="HEV47" s="76"/>
      <c r="HEW47" s="76"/>
      <c r="HEX47" s="76"/>
      <c r="HEY47" s="76"/>
      <c r="HEZ47" s="76"/>
      <c r="HFA47" s="76"/>
      <c r="HFB47" s="76"/>
      <c r="HFC47" s="76"/>
      <c r="HFD47" s="76"/>
      <c r="HFE47" s="76"/>
      <c r="HFF47" s="76"/>
      <c r="HFG47" s="76"/>
      <c r="HFH47" s="76"/>
      <c r="HFI47" s="76"/>
      <c r="HFJ47" s="76"/>
      <c r="HFK47" s="76"/>
      <c r="HFL47" s="76"/>
      <c r="HFM47" s="76"/>
      <c r="HFN47" s="76"/>
      <c r="HFO47" s="76"/>
      <c r="HFP47" s="76"/>
      <c r="HFQ47" s="76"/>
      <c r="HFR47" s="76"/>
      <c r="HFS47" s="76"/>
      <c r="HFT47" s="76"/>
      <c r="HFU47" s="76"/>
      <c r="HFV47" s="76"/>
      <c r="HFW47" s="76"/>
      <c r="HFX47" s="76"/>
      <c r="HFY47" s="76"/>
      <c r="HFZ47" s="76"/>
      <c r="HGA47" s="76"/>
      <c r="HGB47" s="76"/>
      <c r="HGC47" s="76"/>
      <c r="HGD47" s="76"/>
      <c r="HGE47" s="76"/>
      <c r="HGF47" s="76"/>
      <c r="HGG47" s="76"/>
      <c r="HGH47" s="76"/>
      <c r="HGI47" s="76"/>
      <c r="HGJ47" s="76"/>
      <c r="HGK47" s="76"/>
      <c r="HGL47" s="76"/>
      <c r="HGM47" s="76"/>
      <c r="HGN47" s="76"/>
      <c r="HGO47" s="76"/>
      <c r="HGP47" s="76"/>
      <c r="HGQ47" s="76"/>
      <c r="HGR47" s="76"/>
      <c r="HGS47" s="76"/>
      <c r="HGT47" s="76"/>
      <c r="HGU47" s="76"/>
      <c r="HGV47" s="76"/>
      <c r="HGW47" s="76"/>
      <c r="HGX47" s="76"/>
      <c r="HGY47" s="76"/>
      <c r="HGZ47" s="76"/>
      <c r="HHA47" s="76"/>
      <c r="HHB47" s="76"/>
      <c r="HHC47" s="76"/>
      <c r="HHD47" s="76"/>
      <c r="HHE47" s="76"/>
      <c r="HHF47" s="76"/>
      <c r="HHG47" s="76"/>
      <c r="HHH47" s="76"/>
      <c r="HHI47" s="76"/>
      <c r="HHJ47" s="76"/>
      <c r="HHK47" s="76"/>
      <c r="HHL47" s="76"/>
      <c r="HHM47" s="76"/>
      <c r="HHN47" s="76"/>
      <c r="HHO47" s="76"/>
      <c r="HHP47" s="76"/>
      <c r="HHQ47" s="76"/>
      <c r="HHR47" s="76"/>
      <c r="HHS47" s="76"/>
      <c r="HHT47" s="76"/>
      <c r="HHU47" s="76"/>
      <c r="HHV47" s="76"/>
      <c r="HHW47" s="76"/>
      <c r="HHX47" s="76"/>
      <c r="HHY47" s="76"/>
      <c r="HHZ47" s="76"/>
      <c r="HIA47" s="76"/>
      <c r="HIB47" s="76"/>
      <c r="HIC47" s="76"/>
      <c r="HID47" s="76"/>
      <c r="HIE47" s="76"/>
      <c r="HIF47" s="76"/>
      <c r="HIG47" s="76"/>
      <c r="HIH47" s="76"/>
      <c r="HII47" s="76"/>
      <c r="HIJ47" s="76"/>
      <c r="HIK47" s="76"/>
      <c r="HIL47" s="76"/>
      <c r="HIM47" s="76"/>
      <c r="HIN47" s="76"/>
      <c r="HIO47" s="76"/>
      <c r="HIP47" s="76"/>
      <c r="HIQ47" s="76"/>
      <c r="HIR47" s="76"/>
      <c r="HIS47" s="76"/>
      <c r="HIT47" s="76"/>
      <c r="HIU47" s="76"/>
      <c r="HIV47" s="76"/>
      <c r="HIW47" s="76"/>
      <c r="HIX47" s="76"/>
      <c r="HIY47" s="76"/>
      <c r="HIZ47" s="76"/>
      <c r="HJA47" s="76"/>
      <c r="HJB47" s="76"/>
      <c r="HJC47" s="76"/>
      <c r="HJD47" s="76"/>
      <c r="HJE47" s="76"/>
      <c r="HJF47" s="76"/>
      <c r="HJG47" s="76"/>
      <c r="HJH47" s="76"/>
      <c r="HJI47" s="76"/>
      <c r="HJJ47" s="76"/>
      <c r="HJK47" s="76"/>
      <c r="HJL47" s="76"/>
      <c r="HJM47" s="76"/>
      <c r="HJN47" s="76"/>
      <c r="HJO47" s="76"/>
      <c r="HJP47" s="76"/>
      <c r="HJQ47" s="76"/>
      <c r="HJR47" s="76"/>
      <c r="HJS47" s="76"/>
      <c r="HJT47" s="76"/>
      <c r="HJU47" s="76"/>
      <c r="HJV47" s="76"/>
      <c r="HJW47" s="76"/>
      <c r="HJX47" s="76"/>
      <c r="HJY47" s="76"/>
      <c r="HJZ47" s="76"/>
      <c r="HKA47" s="76"/>
      <c r="HKB47" s="76"/>
      <c r="HKC47" s="76"/>
      <c r="HKD47" s="76"/>
      <c r="HKE47" s="76"/>
      <c r="HKF47" s="76"/>
      <c r="HKG47" s="76"/>
      <c r="HKH47" s="76"/>
      <c r="HKI47" s="76"/>
      <c r="HKJ47" s="76"/>
      <c r="HKK47" s="76"/>
      <c r="HKL47" s="76"/>
      <c r="HKM47" s="76"/>
      <c r="HKN47" s="76"/>
      <c r="HKO47" s="76"/>
      <c r="HKP47" s="76"/>
      <c r="HKQ47" s="76"/>
      <c r="HKR47" s="76"/>
      <c r="HKS47" s="76"/>
      <c r="HKT47" s="76"/>
      <c r="HKU47" s="76"/>
      <c r="HKV47" s="76"/>
      <c r="HKW47" s="76"/>
      <c r="HKX47" s="76"/>
      <c r="HKY47" s="76"/>
      <c r="HKZ47" s="76"/>
      <c r="HLA47" s="76"/>
      <c r="HLB47" s="76"/>
      <c r="HLC47" s="76"/>
      <c r="HLD47" s="76"/>
      <c r="HLE47" s="76"/>
      <c r="HLF47" s="76"/>
      <c r="HLG47" s="76"/>
      <c r="HLH47" s="76"/>
      <c r="HLI47" s="76"/>
      <c r="HLJ47" s="76"/>
      <c r="HLK47" s="76"/>
      <c r="HLL47" s="76"/>
      <c r="HLM47" s="76"/>
      <c r="HLN47" s="76"/>
      <c r="HLO47" s="76"/>
      <c r="HLP47" s="76"/>
      <c r="HLQ47" s="76"/>
      <c r="HLR47" s="76"/>
      <c r="HLS47" s="76"/>
      <c r="HLT47" s="76"/>
      <c r="HLU47" s="76"/>
      <c r="HLV47" s="76"/>
      <c r="HLW47" s="76"/>
      <c r="HLX47" s="76"/>
      <c r="HLY47" s="76"/>
      <c r="HLZ47" s="76"/>
      <c r="HMA47" s="76"/>
      <c r="HMB47" s="76"/>
      <c r="HMC47" s="76"/>
      <c r="HMD47" s="76"/>
      <c r="HME47" s="76"/>
      <c r="HMF47" s="76"/>
      <c r="HMG47" s="76"/>
      <c r="HMH47" s="76"/>
      <c r="HMI47" s="76"/>
      <c r="HMJ47" s="76"/>
      <c r="HMK47" s="76"/>
      <c r="HML47" s="76"/>
      <c r="HMM47" s="76"/>
      <c r="HMN47" s="76"/>
      <c r="HMO47" s="76"/>
      <c r="HMP47" s="76"/>
      <c r="HMQ47" s="76"/>
      <c r="HMR47" s="76"/>
      <c r="HMS47" s="76"/>
      <c r="HMT47" s="76"/>
      <c r="HMU47" s="76"/>
      <c r="HMV47" s="76"/>
      <c r="HMW47" s="76"/>
      <c r="HMX47" s="76"/>
      <c r="HMY47" s="76"/>
      <c r="HMZ47" s="76"/>
      <c r="HNA47" s="76"/>
      <c r="HNB47" s="76"/>
      <c r="HNC47" s="76"/>
      <c r="HND47" s="76"/>
      <c r="HNE47" s="76"/>
      <c r="HNF47" s="76"/>
      <c r="HNG47" s="76"/>
      <c r="HNH47" s="76"/>
      <c r="HNI47" s="76"/>
      <c r="HNJ47" s="76"/>
      <c r="HNK47" s="76"/>
      <c r="HNL47" s="76"/>
      <c r="HNM47" s="76"/>
      <c r="HNN47" s="76"/>
      <c r="HNO47" s="76"/>
      <c r="HNP47" s="76"/>
      <c r="HNQ47" s="76"/>
      <c r="HNR47" s="76"/>
      <c r="HNS47" s="76"/>
      <c r="HNT47" s="76"/>
      <c r="HNU47" s="76"/>
      <c r="HNV47" s="76"/>
      <c r="HNW47" s="76"/>
      <c r="HNX47" s="76"/>
      <c r="HNY47" s="76"/>
      <c r="HNZ47" s="76"/>
      <c r="HOA47" s="76"/>
      <c r="HOB47" s="76"/>
      <c r="HOC47" s="76"/>
      <c r="HOD47" s="76"/>
      <c r="HOE47" s="76"/>
      <c r="HOF47" s="76"/>
      <c r="HOG47" s="76"/>
      <c r="HOH47" s="76"/>
      <c r="HOI47" s="76"/>
      <c r="HOJ47" s="76"/>
      <c r="HOK47" s="76"/>
      <c r="HOL47" s="76"/>
      <c r="HOM47" s="76"/>
      <c r="HON47" s="76"/>
      <c r="HOO47" s="76"/>
      <c r="HOP47" s="76"/>
      <c r="HOQ47" s="76"/>
      <c r="HOR47" s="76"/>
      <c r="HOS47" s="76"/>
      <c r="HOT47" s="76"/>
      <c r="HOU47" s="76"/>
      <c r="HOV47" s="76"/>
      <c r="HOW47" s="76"/>
      <c r="HOX47" s="76"/>
      <c r="HOY47" s="76"/>
      <c r="HOZ47" s="76"/>
      <c r="HPA47" s="76"/>
      <c r="HPB47" s="76"/>
      <c r="HPC47" s="76"/>
      <c r="HPD47" s="76"/>
      <c r="HPE47" s="76"/>
      <c r="HPF47" s="76"/>
      <c r="HPG47" s="76"/>
      <c r="HPH47" s="76"/>
      <c r="HPI47" s="76"/>
      <c r="HPJ47" s="76"/>
      <c r="HPK47" s="76"/>
      <c r="HPL47" s="76"/>
      <c r="HPM47" s="76"/>
      <c r="HPN47" s="76"/>
      <c r="HPO47" s="76"/>
      <c r="HPP47" s="76"/>
      <c r="HPQ47" s="76"/>
      <c r="HPR47" s="76"/>
      <c r="HPS47" s="76"/>
      <c r="HPT47" s="76"/>
      <c r="HPU47" s="76"/>
      <c r="HPV47" s="76"/>
      <c r="HPW47" s="76"/>
      <c r="HPX47" s="76"/>
      <c r="HPY47" s="76"/>
      <c r="HPZ47" s="76"/>
      <c r="HQA47" s="76"/>
      <c r="HQB47" s="76"/>
      <c r="HQC47" s="76"/>
      <c r="HQD47" s="76"/>
      <c r="HQE47" s="76"/>
      <c r="HQF47" s="76"/>
      <c r="HQG47" s="76"/>
      <c r="HQH47" s="76"/>
      <c r="HQI47" s="76"/>
      <c r="HQJ47" s="76"/>
      <c r="HQK47" s="76"/>
      <c r="HQL47" s="76"/>
      <c r="HQM47" s="76"/>
      <c r="HQN47" s="76"/>
      <c r="HQO47" s="76"/>
      <c r="HQP47" s="76"/>
      <c r="HQQ47" s="76"/>
      <c r="HQR47" s="76"/>
      <c r="HQS47" s="76"/>
      <c r="HQT47" s="76"/>
      <c r="HQU47" s="76"/>
      <c r="HQV47" s="76"/>
      <c r="HQW47" s="76"/>
      <c r="HQX47" s="76"/>
      <c r="HQY47" s="76"/>
      <c r="HQZ47" s="76"/>
      <c r="HRA47" s="76"/>
      <c r="HRB47" s="76"/>
      <c r="HRC47" s="76"/>
      <c r="HRD47" s="76"/>
      <c r="HRE47" s="76"/>
      <c r="HRF47" s="76"/>
      <c r="HRG47" s="76"/>
      <c r="HRH47" s="76"/>
      <c r="HRI47" s="76"/>
      <c r="HRJ47" s="76"/>
      <c r="HRK47" s="76"/>
      <c r="HRL47" s="76"/>
      <c r="HRM47" s="76"/>
      <c r="HRN47" s="76"/>
      <c r="HRO47" s="76"/>
      <c r="HRP47" s="76"/>
      <c r="HRQ47" s="76"/>
      <c r="HRR47" s="76"/>
      <c r="HRS47" s="76"/>
      <c r="HRT47" s="76"/>
      <c r="HRU47" s="76"/>
      <c r="HRV47" s="76"/>
      <c r="HRW47" s="76"/>
      <c r="HRX47" s="76"/>
      <c r="HRY47" s="76"/>
      <c r="HRZ47" s="76"/>
      <c r="HSA47" s="76"/>
      <c r="HSB47" s="76"/>
      <c r="HSC47" s="76"/>
      <c r="HSD47" s="76"/>
      <c r="HSE47" s="76"/>
      <c r="HSF47" s="76"/>
      <c r="HSG47" s="76"/>
      <c r="HSH47" s="76"/>
      <c r="HSI47" s="76"/>
      <c r="HSJ47" s="76"/>
      <c r="HSK47" s="76"/>
      <c r="HSL47" s="76"/>
      <c r="HSM47" s="76"/>
      <c r="HSN47" s="76"/>
      <c r="HSO47" s="76"/>
      <c r="HSP47" s="76"/>
      <c r="HSQ47" s="76"/>
      <c r="HSR47" s="76"/>
      <c r="HSS47" s="76"/>
      <c r="HST47" s="76"/>
      <c r="HSU47" s="76"/>
      <c r="HSV47" s="76"/>
      <c r="HSW47" s="76"/>
      <c r="HSX47" s="76"/>
      <c r="HSY47" s="76"/>
      <c r="HSZ47" s="76"/>
      <c r="HTA47" s="76"/>
      <c r="HTB47" s="76"/>
      <c r="HTC47" s="76"/>
      <c r="HTD47" s="76"/>
      <c r="HTE47" s="76"/>
      <c r="HTF47" s="76"/>
      <c r="HTG47" s="76"/>
      <c r="HTH47" s="76"/>
      <c r="HTI47" s="76"/>
      <c r="HTJ47" s="76"/>
      <c r="HTK47" s="76"/>
      <c r="HTL47" s="76"/>
      <c r="HTM47" s="76"/>
      <c r="HTN47" s="76"/>
      <c r="HTO47" s="76"/>
      <c r="HTP47" s="76"/>
      <c r="HTQ47" s="76"/>
      <c r="HTR47" s="76"/>
      <c r="HTS47" s="76"/>
      <c r="HTT47" s="76"/>
      <c r="HTU47" s="76"/>
      <c r="HTV47" s="76"/>
      <c r="HTW47" s="76"/>
      <c r="HTX47" s="76"/>
      <c r="HTY47" s="76"/>
      <c r="HTZ47" s="76"/>
      <c r="HUA47" s="76"/>
      <c r="HUB47" s="76"/>
      <c r="HUC47" s="76"/>
      <c r="HUD47" s="76"/>
      <c r="HUE47" s="76"/>
      <c r="HUF47" s="76"/>
      <c r="HUG47" s="76"/>
      <c r="HUH47" s="76"/>
      <c r="HUI47" s="76"/>
      <c r="HUJ47" s="76"/>
      <c r="HUK47" s="76"/>
      <c r="HUL47" s="76"/>
      <c r="HUM47" s="76"/>
      <c r="HUN47" s="76"/>
      <c r="HUO47" s="76"/>
      <c r="HUP47" s="76"/>
      <c r="HUQ47" s="76"/>
      <c r="HUR47" s="76"/>
      <c r="HUS47" s="76"/>
      <c r="HUT47" s="76"/>
      <c r="HUU47" s="76"/>
      <c r="HUV47" s="76"/>
      <c r="HUW47" s="76"/>
      <c r="HUX47" s="76"/>
      <c r="HUY47" s="76"/>
      <c r="HUZ47" s="76"/>
      <c r="HVA47" s="76"/>
      <c r="HVB47" s="76"/>
      <c r="HVC47" s="76"/>
      <c r="HVD47" s="76"/>
      <c r="HVE47" s="76"/>
      <c r="HVF47" s="76"/>
      <c r="HVG47" s="76"/>
      <c r="HVH47" s="76"/>
      <c r="HVI47" s="76"/>
      <c r="HVJ47" s="76"/>
      <c r="HVK47" s="76"/>
      <c r="HVL47" s="76"/>
      <c r="HVM47" s="76"/>
      <c r="HVN47" s="76"/>
      <c r="HVO47" s="76"/>
      <c r="HVP47" s="76"/>
      <c r="HVQ47" s="76"/>
      <c r="HVR47" s="76"/>
      <c r="HVS47" s="76"/>
      <c r="HVT47" s="76"/>
      <c r="HVU47" s="76"/>
      <c r="HVV47" s="76"/>
      <c r="HVW47" s="76"/>
      <c r="HVX47" s="76"/>
      <c r="HVY47" s="76"/>
      <c r="HVZ47" s="76"/>
      <c r="HWA47" s="76"/>
      <c r="HWB47" s="76"/>
      <c r="HWC47" s="76"/>
      <c r="HWD47" s="76"/>
      <c r="HWE47" s="76"/>
      <c r="HWF47" s="76"/>
      <c r="HWG47" s="76"/>
      <c r="HWH47" s="76"/>
      <c r="HWI47" s="76"/>
      <c r="HWJ47" s="76"/>
      <c r="HWK47" s="76"/>
      <c r="HWL47" s="76"/>
      <c r="HWM47" s="76"/>
      <c r="HWN47" s="76"/>
      <c r="HWO47" s="76"/>
      <c r="HWP47" s="76"/>
      <c r="HWQ47" s="76"/>
      <c r="HWR47" s="76"/>
      <c r="HWS47" s="76"/>
      <c r="HWT47" s="76"/>
      <c r="HWU47" s="76"/>
      <c r="HWV47" s="76"/>
      <c r="HWW47" s="76"/>
      <c r="HWX47" s="76"/>
      <c r="HWY47" s="76"/>
      <c r="HWZ47" s="76"/>
      <c r="HXA47" s="76"/>
      <c r="HXB47" s="76"/>
      <c r="HXC47" s="76"/>
      <c r="HXD47" s="76"/>
      <c r="HXE47" s="76"/>
      <c r="HXF47" s="76"/>
      <c r="HXG47" s="76"/>
      <c r="HXH47" s="76"/>
      <c r="HXI47" s="76"/>
      <c r="HXJ47" s="76"/>
      <c r="HXK47" s="76"/>
      <c r="HXL47" s="76"/>
      <c r="HXM47" s="76"/>
      <c r="HXN47" s="76"/>
      <c r="HXO47" s="76"/>
      <c r="HXP47" s="76"/>
      <c r="HXQ47" s="76"/>
      <c r="HXR47" s="76"/>
      <c r="HXS47" s="76"/>
      <c r="HXT47" s="76"/>
      <c r="HXU47" s="76"/>
      <c r="HXV47" s="76"/>
      <c r="HXW47" s="76"/>
      <c r="HXX47" s="76"/>
      <c r="HXY47" s="76"/>
      <c r="HXZ47" s="76"/>
      <c r="HYA47" s="76"/>
      <c r="HYB47" s="76"/>
      <c r="HYC47" s="76"/>
      <c r="HYD47" s="76"/>
      <c r="HYE47" s="76"/>
      <c r="HYF47" s="76"/>
      <c r="HYG47" s="76"/>
      <c r="HYH47" s="76"/>
      <c r="HYI47" s="76"/>
      <c r="HYJ47" s="76"/>
      <c r="HYK47" s="76"/>
      <c r="HYL47" s="76"/>
      <c r="HYM47" s="76"/>
      <c r="HYN47" s="76"/>
      <c r="HYO47" s="76"/>
      <c r="HYP47" s="76"/>
      <c r="HYQ47" s="76"/>
      <c r="HYR47" s="76"/>
      <c r="HYS47" s="76"/>
      <c r="HYT47" s="76"/>
      <c r="HYU47" s="76"/>
      <c r="HYV47" s="76"/>
      <c r="HYW47" s="76"/>
      <c r="HYX47" s="76"/>
      <c r="HYY47" s="76"/>
      <c r="HYZ47" s="76"/>
      <c r="HZA47" s="76"/>
      <c r="HZB47" s="76"/>
      <c r="HZC47" s="76"/>
      <c r="HZD47" s="76"/>
      <c r="HZE47" s="76"/>
      <c r="HZF47" s="76"/>
      <c r="HZG47" s="76"/>
      <c r="HZH47" s="76"/>
      <c r="HZI47" s="76"/>
      <c r="HZJ47" s="76"/>
      <c r="HZK47" s="76"/>
      <c r="HZL47" s="76"/>
      <c r="HZM47" s="76"/>
      <c r="HZN47" s="76"/>
      <c r="HZO47" s="76"/>
      <c r="HZP47" s="76"/>
      <c r="HZQ47" s="76"/>
      <c r="HZR47" s="76"/>
      <c r="HZS47" s="76"/>
      <c r="HZT47" s="76"/>
      <c r="HZU47" s="76"/>
      <c r="HZV47" s="76"/>
      <c r="HZW47" s="76"/>
      <c r="HZX47" s="76"/>
      <c r="HZY47" s="76"/>
      <c r="HZZ47" s="76"/>
      <c r="IAA47" s="76"/>
      <c r="IAB47" s="76"/>
      <c r="IAC47" s="76"/>
      <c r="IAD47" s="76"/>
      <c r="IAE47" s="76"/>
      <c r="IAF47" s="76"/>
      <c r="IAG47" s="76"/>
      <c r="IAH47" s="76"/>
      <c r="IAI47" s="76"/>
      <c r="IAJ47" s="76"/>
      <c r="IAK47" s="76"/>
      <c r="IAL47" s="76"/>
      <c r="IAM47" s="76"/>
      <c r="IAN47" s="76"/>
      <c r="IAO47" s="76"/>
      <c r="IAP47" s="76"/>
      <c r="IAQ47" s="76"/>
      <c r="IAR47" s="76"/>
      <c r="IAS47" s="76"/>
      <c r="IAT47" s="76"/>
      <c r="IAU47" s="76"/>
      <c r="IAV47" s="76"/>
      <c r="IAW47" s="76"/>
      <c r="IAX47" s="76"/>
      <c r="IAY47" s="76"/>
      <c r="IAZ47" s="76"/>
      <c r="IBA47" s="76"/>
      <c r="IBB47" s="76"/>
      <c r="IBC47" s="76"/>
      <c r="IBD47" s="76"/>
      <c r="IBE47" s="76"/>
      <c r="IBF47" s="76"/>
      <c r="IBG47" s="76"/>
      <c r="IBH47" s="76"/>
      <c r="IBI47" s="76"/>
      <c r="IBJ47" s="76"/>
      <c r="IBK47" s="76"/>
      <c r="IBL47" s="76"/>
      <c r="IBM47" s="76"/>
      <c r="IBN47" s="76"/>
      <c r="IBO47" s="76"/>
      <c r="IBP47" s="76"/>
      <c r="IBQ47" s="76"/>
      <c r="IBR47" s="76"/>
      <c r="IBS47" s="76"/>
      <c r="IBT47" s="76"/>
      <c r="IBU47" s="76"/>
      <c r="IBV47" s="76"/>
      <c r="IBW47" s="76"/>
      <c r="IBX47" s="76"/>
      <c r="IBY47" s="76"/>
      <c r="IBZ47" s="76"/>
      <c r="ICA47" s="76"/>
      <c r="ICB47" s="76"/>
      <c r="ICC47" s="76"/>
      <c r="ICD47" s="76"/>
      <c r="ICE47" s="76"/>
      <c r="ICF47" s="76"/>
      <c r="ICG47" s="76"/>
      <c r="ICH47" s="76"/>
      <c r="ICI47" s="76"/>
      <c r="ICJ47" s="76"/>
      <c r="ICK47" s="76"/>
      <c r="ICL47" s="76"/>
      <c r="ICM47" s="76"/>
      <c r="ICN47" s="76"/>
      <c r="ICO47" s="76"/>
      <c r="ICP47" s="76"/>
      <c r="ICQ47" s="76"/>
      <c r="ICR47" s="76"/>
      <c r="ICS47" s="76"/>
      <c r="ICT47" s="76"/>
      <c r="ICU47" s="76"/>
      <c r="ICV47" s="76"/>
      <c r="ICW47" s="76"/>
      <c r="ICX47" s="76"/>
      <c r="ICY47" s="76"/>
      <c r="ICZ47" s="76"/>
      <c r="IDA47" s="76"/>
      <c r="IDB47" s="76"/>
      <c r="IDC47" s="76"/>
      <c r="IDD47" s="76"/>
      <c r="IDE47" s="76"/>
      <c r="IDF47" s="76"/>
      <c r="IDG47" s="76"/>
      <c r="IDH47" s="76"/>
      <c r="IDI47" s="76"/>
      <c r="IDJ47" s="76"/>
      <c r="IDK47" s="76"/>
      <c r="IDL47" s="76"/>
      <c r="IDM47" s="76"/>
      <c r="IDN47" s="76"/>
      <c r="IDO47" s="76"/>
      <c r="IDP47" s="76"/>
      <c r="IDQ47" s="76"/>
      <c r="IDR47" s="76"/>
      <c r="IDS47" s="76"/>
      <c r="IDT47" s="76"/>
      <c r="IDU47" s="76"/>
      <c r="IDV47" s="76"/>
      <c r="IDW47" s="76"/>
      <c r="IDX47" s="76"/>
      <c r="IDY47" s="76"/>
      <c r="IDZ47" s="76"/>
      <c r="IEA47" s="76"/>
      <c r="IEB47" s="76"/>
      <c r="IEC47" s="76"/>
      <c r="IED47" s="76"/>
      <c r="IEE47" s="76"/>
      <c r="IEF47" s="76"/>
      <c r="IEG47" s="76"/>
      <c r="IEH47" s="76"/>
      <c r="IEI47" s="76"/>
      <c r="IEJ47" s="76"/>
      <c r="IEK47" s="76"/>
      <c r="IEL47" s="76"/>
      <c r="IEM47" s="76"/>
      <c r="IEN47" s="76"/>
      <c r="IEO47" s="76"/>
      <c r="IEP47" s="76"/>
      <c r="IEQ47" s="76"/>
      <c r="IER47" s="76"/>
      <c r="IES47" s="76"/>
      <c r="IET47" s="76"/>
      <c r="IEU47" s="76"/>
      <c r="IEV47" s="76"/>
      <c r="IEW47" s="76"/>
      <c r="IEX47" s="76"/>
      <c r="IEY47" s="76"/>
      <c r="IEZ47" s="76"/>
      <c r="IFA47" s="76"/>
      <c r="IFB47" s="76"/>
      <c r="IFC47" s="76"/>
      <c r="IFD47" s="76"/>
      <c r="IFE47" s="76"/>
      <c r="IFF47" s="76"/>
      <c r="IFG47" s="76"/>
      <c r="IFH47" s="76"/>
      <c r="IFI47" s="76"/>
      <c r="IFJ47" s="76"/>
      <c r="IFK47" s="76"/>
      <c r="IFL47" s="76"/>
      <c r="IFM47" s="76"/>
      <c r="IFN47" s="76"/>
      <c r="IFO47" s="76"/>
      <c r="IFP47" s="76"/>
      <c r="IFQ47" s="76"/>
      <c r="IFR47" s="76"/>
      <c r="IFS47" s="76"/>
      <c r="IFT47" s="76"/>
      <c r="IFU47" s="76"/>
      <c r="IFV47" s="76"/>
      <c r="IFW47" s="76"/>
      <c r="IFX47" s="76"/>
      <c r="IFY47" s="76"/>
      <c r="IFZ47" s="76"/>
      <c r="IGA47" s="76"/>
      <c r="IGB47" s="76"/>
      <c r="IGC47" s="76"/>
      <c r="IGD47" s="76"/>
      <c r="IGE47" s="76"/>
      <c r="IGF47" s="76"/>
      <c r="IGG47" s="76"/>
      <c r="IGH47" s="76"/>
      <c r="IGI47" s="76"/>
      <c r="IGJ47" s="76"/>
      <c r="IGK47" s="76"/>
      <c r="IGL47" s="76"/>
      <c r="IGM47" s="76"/>
      <c r="IGN47" s="76"/>
      <c r="IGO47" s="76"/>
      <c r="IGP47" s="76"/>
      <c r="IGQ47" s="76"/>
      <c r="IGR47" s="76"/>
      <c r="IGS47" s="76"/>
      <c r="IGT47" s="76"/>
      <c r="IGU47" s="76"/>
      <c r="IGV47" s="76"/>
      <c r="IGW47" s="76"/>
      <c r="IGX47" s="76"/>
      <c r="IGY47" s="76"/>
      <c r="IGZ47" s="76"/>
      <c r="IHA47" s="76"/>
      <c r="IHB47" s="76"/>
      <c r="IHC47" s="76"/>
      <c r="IHD47" s="76"/>
      <c r="IHE47" s="76"/>
      <c r="IHF47" s="76"/>
      <c r="IHG47" s="76"/>
      <c r="IHH47" s="76"/>
      <c r="IHI47" s="76"/>
      <c r="IHJ47" s="76"/>
      <c r="IHK47" s="76"/>
      <c r="IHL47" s="76"/>
      <c r="IHM47" s="76"/>
      <c r="IHN47" s="76"/>
      <c r="IHO47" s="76"/>
      <c r="IHP47" s="76"/>
      <c r="IHQ47" s="76"/>
      <c r="IHR47" s="76"/>
      <c r="IHS47" s="76"/>
      <c r="IHT47" s="76"/>
      <c r="IHU47" s="76"/>
      <c r="IHV47" s="76"/>
      <c r="IHW47" s="76"/>
      <c r="IHX47" s="76"/>
      <c r="IHY47" s="76"/>
      <c r="IHZ47" s="76"/>
      <c r="IIA47" s="76"/>
      <c r="IIB47" s="76"/>
      <c r="IIC47" s="76"/>
      <c r="IID47" s="76"/>
      <c r="IIE47" s="76"/>
      <c r="IIF47" s="76"/>
      <c r="IIG47" s="76"/>
      <c r="IIH47" s="76"/>
      <c r="III47" s="76"/>
      <c r="IIJ47" s="76"/>
      <c r="IIK47" s="76"/>
      <c r="IIL47" s="76"/>
      <c r="IIM47" s="76"/>
      <c r="IIN47" s="76"/>
      <c r="IIO47" s="76"/>
      <c r="IIP47" s="76"/>
      <c r="IIQ47" s="76"/>
      <c r="IIR47" s="76"/>
      <c r="IIS47" s="76"/>
      <c r="IIT47" s="76"/>
      <c r="IIU47" s="76"/>
      <c r="IIV47" s="76"/>
      <c r="IIW47" s="76"/>
      <c r="IIX47" s="76"/>
      <c r="IIY47" s="76"/>
      <c r="IIZ47" s="76"/>
      <c r="IJA47" s="76"/>
      <c r="IJB47" s="76"/>
      <c r="IJC47" s="76"/>
      <c r="IJD47" s="76"/>
      <c r="IJE47" s="76"/>
      <c r="IJF47" s="76"/>
      <c r="IJG47" s="76"/>
      <c r="IJH47" s="76"/>
      <c r="IJI47" s="76"/>
      <c r="IJJ47" s="76"/>
      <c r="IJK47" s="76"/>
      <c r="IJL47" s="76"/>
      <c r="IJM47" s="76"/>
      <c r="IJN47" s="76"/>
      <c r="IJO47" s="76"/>
      <c r="IJP47" s="76"/>
      <c r="IJQ47" s="76"/>
      <c r="IJR47" s="76"/>
      <c r="IJS47" s="76"/>
      <c r="IJT47" s="76"/>
      <c r="IJU47" s="76"/>
      <c r="IJV47" s="76"/>
      <c r="IJW47" s="76"/>
      <c r="IJX47" s="76"/>
      <c r="IJY47" s="76"/>
      <c r="IJZ47" s="76"/>
      <c r="IKA47" s="76"/>
      <c r="IKB47" s="76"/>
      <c r="IKC47" s="76"/>
      <c r="IKD47" s="76"/>
      <c r="IKE47" s="76"/>
      <c r="IKF47" s="76"/>
      <c r="IKG47" s="76"/>
      <c r="IKH47" s="76"/>
      <c r="IKI47" s="76"/>
      <c r="IKJ47" s="76"/>
      <c r="IKK47" s="76"/>
      <c r="IKL47" s="76"/>
      <c r="IKM47" s="76"/>
      <c r="IKN47" s="76"/>
      <c r="IKO47" s="76"/>
      <c r="IKP47" s="76"/>
      <c r="IKQ47" s="76"/>
      <c r="IKR47" s="76"/>
      <c r="IKS47" s="76"/>
      <c r="IKT47" s="76"/>
      <c r="IKU47" s="76"/>
      <c r="IKV47" s="76"/>
      <c r="IKW47" s="76"/>
      <c r="IKX47" s="76"/>
      <c r="IKY47" s="76"/>
      <c r="IKZ47" s="76"/>
      <c r="ILA47" s="76"/>
      <c r="ILB47" s="76"/>
      <c r="ILC47" s="76"/>
      <c r="ILD47" s="76"/>
      <c r="ILE47" s="76"/>
      <c r="ILF47" s="76"/>
      <c r="ILG47" s="76"/>
      <c r="ILH47" s="76"/>
      <c r="ILI47" s="76"/>
      <c r="ILJ47" s="76"/>
      <c r="ILK47" s="76"/>
      <c r="ILL47" s="76"/>
      <c r="ILM47" s="76"/>
      <c r="ILN47" s="76"/>
      <c r="ILO47" s="76"/>
      <c r="ILP47" s="76"/>
      <c r="ILQ47" s="76"/>
      <c r="ILR47" s="76"/>
      <c r="ILS47" s="76"/>
      <c r="ILT47" s="76"/>
      <c r="ILU47" s="76"/>
      <c r="ILV47" s="76"/>
      <c r="ILW47" s="76"/>
      <c r="ILX47" s="76"/>
      <c r="ILY47" s="76"/>
      <c r="ILZ47" s="76"/>
      <c r="IMA47" s="76"/>
      <c r="IMB47" s="76"/>
      <c r="IMC47" s="76"/>
      <c r="IMD47" s="76"/>
      <c r="IME47" s="76"/>
      <c r="IMF47" s="76"/>
      <c r="IMG47" s="76"/>
      <c r="IMH47" s="76"/>
      <c r="IMI47" s="76"/>
      <c r="IMJ47" s="76"/>
      <c r="IMK47" s="76"/>
      <c r="IML47" s="76"/>
      <c r="IMM47" s="76"/>
      <c r="IMN47" s="76"/>
      <c r="IMO47" s="76"/>
      <c r="IMP47" s="76"/>
      <c r="IMQ47" s="76"/>
      <c r="IMR47" s="76"/>
      <c r="IMS47" s="76"/>
      <c r="IMT47" s="76"/>
      <c r="IMU47" s="76"/>
      <c r="IMV47" s="76"/>
      <c r="IMW47" s="76"/>
      <c r="IMX47" s="76"/>
      <c r="IMY47" s="76"/>
      <c r="IMZ47" s="76"/>
      <c r="INA47" s="76"/>
      <c r="INB47" s="76"/>
      <c r="INC47" s="76"/>
      <c r="IND47" s="76"/>
      <c r="INE47" s="76"/>
      <c r="INF47" s="76"/>
      <c r="ING47" s="76"/>
      <c r="INH47" s="76"/>
      <c r="INI47" s="76"/>
      <c r="INJ47" s="76"/>
      <c r="INK47" s="76"/>
      <c r="INL47" s="76"/>
      <c r="INM47" s="76"/>
      <c r="INN47" s="76"/>
      <c r="INO47" s="76"/>
      <c r="INP47" s="76"/>
      <c r="INQ47" s="76"/>
      <c r="INR47" s="76"/>
      <c r="INS47" s="76"/>
      <c r="INT47" s="76"/>
      <c r="INU47" s="76"/>
      <c r="INV47" s="76"/>
      <c r="INW47" s="76"/>
      <c r="INX47" s="76"/>
      <c r="INY47" s="76"/>
      <c r="INZ47" s="76"/>
      <c r="IOA47" s="76"/>
      <c r="IOB47" s="76"/>
      <c r="IOC47" s="76"/>
      <c r="IOD47" s="76"/>
      <c r="IOE47" s="76"/>
      <c r="IOF47" s="76"/>
      <c r="IOG47" s="76"/>
      <c r="IOH47" s="76"/>
      <c r="IOI47" s="76"/>
      <c r="IOJ47" s="76"/>
      <c r="IOK47" s="76"/>
      <c r="IOL47" s="76"/>
      <c r="IOM47" s="76"/>
      <c r="ION47" s="76"/>
      <c r="IOO47" s="76"/>
      <c r="IOP47" s="76"/>
      <c r="IOQ47" s="76"/>
      <c r="IOR47" s="76"/>
      <c r="IOS47" s="76"/>
      <c r="IOT47" s="76"/>
      <c r="IOU47" s="76"/>
      <c r="IOV47" s="76"/>
      <c r="IOW47" s="76"/>
      <c r="IOX47" s="76"/>
      <c r="IOY47" s="76"/>
      <c r="IOZ47" s="76"/>
      <c r="IPA47" s="76"/>
      <c r="IPB47" s="76"/>
      <c r="IPC47" s="76"/>
      <c r="IPD47" s="76"/>
      <c r="IPE47" s="76"/>
      <c r="IPF47" s="76"/>
      <c r="IPG47" s="76"/>
      <c r="IPH47" s="76"/>
      <c r="IPI47" s="76"/>
      <c r="IPJ47" s="76"/>
      <c r="IPK47" s="76"/>
      <c r="IPL47" s="76"/>
      <c r="IPM47" s="76"/>
      <c r="IPN47" s="76"/>
      <c r="IPO47" s="76"/>
      <c r="IPP47" s="76"/>
      <c r="IPQ47" s="76"/>
      <c r="IPR47" s="76"/>
      <c r="IPS47" s="76"/>
      <c r="IPT47" s="76"/>
      <c r="IPU47" s="76"/>
      <c r="IPV47" s="76"/>
      <c r="IPW47" s="76"/>
      <c r="IPX47" s="76"/>
      <c r="IPY47" s="76"/>
      <c r="IPZ47" s="76"/>
      <c r="IQA47" s="76"/>
      <c r="IQB47" s="76"/>
      <c r="IQC47" s="76"/>
      <c r="IQD47" s="76"/>
      <c r="IQE47" s="76"/>
      <c r="IQF47" s="76"/>
      <c r="IQG47" s="76"/>
      <c r="IQH47" s="76"/>
      <c r="IQI47" s="76"/>
      <c r="IQJ47" s="76"/>
      <c r="IQK47" s="76"/>
      <c r="IQL47" s="76"/>
      <c r="IQM47" s="76"/>
      <c r="IQN47" s="76"/>
      <c r="IQO47" s="76"/>
      <c r="IQP47" s="76"/>
      <c r="IQQ47" s="76"/>
      <c r="IQR47" s="76"/>
      <c r="IQS47" s="76"/>
      <c r="IQT47" s="76"/>
      <c r="IQU47" s="76"/>
      <c r="IQV47" s="76"/>
      <c r="IQW47" s="76"/>
      <c r="IQX47" s="76"/>
      <c r="IQY47" s="76"/>
      <c r="IQZ47" s="76"/>
      <c r="IRA47" s="76"/>
      <c r="IRB47" s="76"/>
      <c r="IRC47" s="76"/>
      <c r="IRD47" s="76"/>
      <c r="IRE47" s="76"/>
      <c r="IRF47" s="76"/>
      <c r="IRG47" s="76"/>
      <c r="IRH47" s="76"/>
      <c r="IRI47" s="76"/>
      <c r="IRJ47" s="76"/>
      <c r="IRK47" s="76"/>
      <c r="IRL47" s="76"/>
      <c r="IRM47" s="76"/>
      <c r="IRN47" s="76"/>
      <c r="IRO47" s="76"/>
      <c r="IRP47" s="76"/>
      <c r="IRQ47" s="76"/>
      <c r="IRR47" s="76"/>
      <c r="IRS47" s="76"/>
      <c r="IRT47" s="76"/>
      <c r="IRU47" s="76"/>
      <c r="IRV47" s="76"/>
      <c r="IRW47" s="76"/>
      <c r="IRX47" s="76"/>
      <c r="IRY47" s="76"/>
      <c r="IRZ47" s="76"/>
      <c r="ISA47" s="76"/>
      <c r="ISB47" s="76"/>
      <c r="ISC47" s="76"/>
      <c r="ISD47" s="76"/>
      <c r="ISE47" s="76"/>
      <c r="ISF47" s="76"/>
      <c r="ISG47" s="76"/>
      <c r="ISH47" s="76"/>
      <c r="ISI47" s="76"/>
      <c r="ISJ47" s="76"/>
      <c r="ISK47" s="76"/>
      <c r="ISL47" s="76"/>
      <c r="ISM47" s="76"/>
      <c r="ISN47" s="76"/>
      <c r="ISO47" s="76"/>
      <c r="ISP47" s="76"/>
      <c r="ISQ47" s="76"/>
      <c r="ISR47" s="76"/>
      <c r="ISS47" s="76"/>
      <c r="IST47" s="76"/>
      <c r="ISU47" s="76"/>
      <c r="ISV47" s="76"/>
      <c r="ISW47" s="76"/>
      <c r="ISX47" s="76"/>
      <c r="ISY47" s="76"/>
      <c r="ISZ47" s="76"/>
      <c r="ITA47" s="76"/>
      <c r="ITB47" s="76"/>
      <c r="ITC47" s="76"/>
      <c r="ITD47" s="76"/>
      <c r="ITE47" s="76"/>
      <c r="ITF47" s="76"/>
      <c r="ITG47" s="76"/>
      <c r="ITH47" s="76"/>
      <c r="ITI47" s="76"/>
      <c r="ITJ47" s="76"/>
      <c r="ITK47" s="76"/>
      <c r="ITL47" s="76"/>
      <c r="ITM47" s="76"/>
      <c r="ITN47" s="76"/>
      <c r="ITO47" s="76"/>
      <c r="ITP47" s="76"/>
      <c r="ITQ47" s="76"/>
      <c r="ITR47" s="76"/>
      <c r="ITS47" s="76"/>
      <c r="ITT47" s="76"/>
      <c r="ITU47" s="76"/>
      <c r="ITV47" s="76"/>
      <c r="ITW47" s="76"/>
      <c r="ITX47" s="76"/>
      <c r="ITY47" s="76"/>
      <c r="ITZ47" s="76"/>
      <c r="IUA47" s="76"/>
      <c r="IUB47" s="76"/>
      <c r="IUC47" s="76"/>
      <c r="IUD47" s="76"/>
      <c r="IUE47" s="76"/>
      <c r="IUF47" s="76"/>
      <c r="IUG47" s="76"/>
      <c r="IUH47" s="76"/>
      <c r="IUI47" s="76"/>
      <c r="IUJ47" s="76"/>
      <c r="IUK47" s="76"/>
      <c r="IUL47" s="76"/>
      <c r="IUM47" s="76"/>
      <c r="IUN47" s="76"/>
      <c r="IUO47" s="76"/>
      <c r="IUP47" s="76"/>
      <c r="IUQ47" s="76"/>
      <c r="IUR47" s="76"/>
      <c r="IUS47" s="76"/>
      <c r="IUT47" s="76"/>
      <c r="IUU47" s="76"/>
      <c r="IUV47" s="76"/>
      <c r="IUW47" s="76"/>
      <c r="IUX47" s="76"/>
      <c r="IUY47" s="76"/>
      <c r="IUZ47" s="76"/>
      <c r="IVA47" s="76"/>
      <c r="IVB47" s="76"/>
      <c r="IVC47" s="76"/>
      <c r="IVD47" s="76"/>
      <c r="IVE47" s="76"/>
      <c r="IVF47" s="76"/>
      <c r="IVG47" s="76"/>
      <c r="IVH47" s="76"/>
      <c r="IVI47" s="76"/>
      <c r="IVJ47" s="76"/>
      <c r="IVK47" s="76"/>
      <c r="IVL47" s="76"/>
      <c r="IVM47" s="76"/>
      <c r="IVN47" s="76"/>
      <c r="IVO47" s="76"/>
      <c r="IVP47" s="76"/>
      <c r="IVQ47" s="76"/>
      <c r="IVR47" s="76"/>
      <c r="IVS47" s="76"/>
      <c r="IVT47" s="76"/>
      <c r="IVU47" s="76"/>
      <c r="IVV47" s="76"/>
      <c r="IVW47" s="76"/>
      <c r="IVX47" s="76"/>
      <c r="IVY47" s="76"/>
      <c r="IVZ47" s="76"/>
      <c r="IWA47" s="76"/>
      <c r="IWB47" s="76"/>
      <c r="IWC47" s="76"/>
      <c r="IWD47" s="76"/>
      <c r="IWE47" s="76"/>
      <c r="IWF47" s="76"/>
      <c r="IWG47" s="76"/>
      <c r="IWH47" s="76"/>
      <c r="IWI47" s="76"/>
      <c r="IWJ47" s="76"/>
      <c r="IWK47" s="76"/>
      <c r="IWL47" s="76"/>
      <c r="IWM47" s="76"/>
      <c r="IWN47" s="76"/>
      <c r="IWO47" s="76"/>
      <c r="IWP47" s="76"/>
      <c r="IWQ47" s="76"/>
      <c r="IWR47" s="76"/>
      <c r="IWS47" s="76"/>
      <c r="IWT47" s="76"/>
      <c r="IWU47" s="76"/>
      <c r="IWV47" s="76"/>
      <c r="IWW47" s="76"/>
      <c r="IWX47" s="76"/>
      <c r="IWY47" s="76"/>
      <c r="IWZ47" s="76"/>
      <c r="IXA47" s="76"/>
      <c r="IXB47" s="76"/>
      <c r="IXC47" s="76"/>
      <c r="IXD47" s="76"/>
      <c r="IXE47" s="76"/>
      <c r="IXF47" s="76"/>
      <c r="IXG47" s="76"/>
      <c r="IXH47" s="76"/>
      <c r="IXI47" s="76"/>
      <c r="IXJ47" s="76"/>
      <c r="IXK47" s="76"/>
      <c r="IXL47" s="76"/>
      <c r="IXM47" s="76"/>
      <c r="IXN47" s="76"/>
      <c r="IXO47" s="76"/>
      <c r="IXP47" s="76"/>
      <c r="IXQ47" s="76"/>
      <c r="IXR47" s="76"/>
      <c r="IXS47" s="76"/>
      <c r="IXT47" s="76"/>
      <c r="IXU47" s="76"/>
      <c r="IXV47" s="76"/>
      <c r="IXW47" s="76"/>
      <c r="IXX47" s="76"/>
      <c r="IXY47" s="76"/>
      <c r="IXZ47" s="76"/>
      <c r="IYA47" s="76"/>
      <c r="IYB47" s="76"/>
      <c r="IYC47" s="76"/>
      <c r="IYD47" s="76"/>
      <c r="IYE47" s="76"/>
      <c r="IYF47" s="76"/>
      <c r="IYG47" s="76"/>
      <c r="IYH47" s="76"/>
      <c r="IYI47" s="76"/>
      <c r="IYJ47" s="76"/>
      <c r="IYK47" s="76"/>
      <c r="IYL47" s="76"/>
      <c r="IYM47" s="76"/>
      <c r="IYN47" s="76"/>
      <c r="IYO47" s="76"/>
      <c r="IYP47" s="76"/>
      <c r="IYQ47" s="76"/>
      <c r="IYR47" s="76"/>
      <c r="IYS47" s="76"/>
      <c r="IYT47" s="76"/>
      <c r="IYU47" s="76"/>
      <c r="IYV47" s="76"/>
      <c r="IYW47" s="76"/>
      <c r="IYX47" s="76"/>
      <c r="IYY47" s="76"/>
      <c r="IYZ47" s="76"/>
      <c r="IZA47" s="76"/>
      <c r="IZB47" s="76"/>
      <c r="IZC47" s="76"/>
      <c r="IZD47" s="76"/>
      <c r="IZE47" s="76"/>
      <c r="IZF47" s="76"/>
      <c r="IZG47" s="76"/>
      <c r="IZH47" s="76"/>
      <c r="IZI47" s="76"/>
      <c r="IZJ47" s="76"/>
      <c r="IZK47" s="76"/>
      <c r="IZL47" s="76"/>
      <c r="IZM47" s="76"/>
      <c r="IZN47" s="76"/>
      <c r="IZO47" s="76"/>
      <c r="IZP47" s="76"/>
      <c r="IZQ47" s="76"/>
      <c r="IZR47" s="76"/>
      <c r="IZS47" s="76"/>
      <c r="IZT47" s="76"/>
      <c r="IZU47" s="76"/>
      <c r="IZV47" s="76"/>
      <c r="IZW47" s="76"/>
      <c r="IZX47" s="76"/>
      <c r="IZY47" s="76"/>
      <c r="IZZ47" s="76"/>
      <c r="JAA47" s="76"/>
      <c r="JAB47" s="76"/>
      <c r="JAC47" s="76"/>
      <c r="JAD47" s="76"/>
      <c r="JAE47" s="76"/>
      <c r="JAF47" s="76"/>
      <c r="JAG47" s="76"/>
      <c r="JAH47" s="76"/>
      <c r="JAI47" s="76"/>
      <c r="JAJ47" s="76"/>
      <c r="JAK47" s="76"/>
      <c r="JAL47" s="76"/>
      <c r="JAM47" s="76"/>
      <c r="JAN47" s="76"/>
      <c r="JAO47" s="76"/>
      <c r="JAP47" s="76"/>
      <c r="JAQ47" s="76"/>
      <c r="JAR47" s="76"/>
      <c r="JAS47" s="76"/>
      <c r="JAT47" s="76"/>
      <c r="JAU47" s="76"/>
      <c r="JAV47" s="76"/>
      <c r="JAW47" s="76"/>
      <c r="JAX47" s="76"/>
      <c r="JAY47" s="76"/>
      <c r="JAZ47" s="76"/>
      <c r="JBA47" s="76"/>
      <c r="JBB47" s="76"/>
      <c r="JBC47" s="76"/>
      <c r="JBD47" s="76"/>
      <c r="JBE47" s="76"/>
      <c r="JBF47" s="76"/>
      <c r="JBG47" s="76"/>
      <c r="JBH47" s="76"/>
      <c r="JBI47" s="76"/>
      <c r="JBJ47" s="76"/>
      <c r="JBK47" s="76"/>
      <c r="JBL47" s="76"/>
      <c r="JBM47" s="76"/>
      <c r="JBN47" s="76"/>
      <c r="JBO47" s="76"/>
      <c r="JBP47" s="76"/>
      <c r="JBQ47" s="76"/>
      <c r="JBR47" s="76"/>
      <c r="JBS47" s="76"/>
      <c r="JBT47" s="76"/>
      <c r="JBU47" s="76"/>
      <c r="JBV47" s="76"/>
      <c r="JBW47" s="76"/>
      <c r="JBX47" s="76"/>
      <c r="JBY47" s="76"/>
      <c r="JBZ47" s="76"/>
      <c r="JCA47" s="76"/>
      <c r="JCB47" s="76"/>
      <c r="JCC47" s="76"/>
      <c r="JCD47" s="76"/>
      <c r="JCE47" s="76"/>
      <c r="JCF47" s="76"/>
      <c r="JCG47" s="76"/>
      <c r="JCH47" s="76"/>
      <c r="JCI47" s="76"/>
      <c r="JCJ47" s="76"/>
      <c r="JCK47" s="76"/>
      <c r="JCL47" s="76"/>
      <c r="JCM47" s="76"/>
      <c r="JCN47" s="76"/>
      <c r="JCO47" s="76"/>
      <c r="JCP47" s="76"/>
      <c r="JCQ47" s="76"/>
      <c r="JCR47" s="76"/>
      <c r="JCS47" s="76"/>
      <c r="JCT47" s="76"/>
      <c r="JCU47" s="76"/>
      <c r="JCV47" s="76"/>
      <c r="JCW47" s="76"/>
      <c r="JCX47" s="76"/>
      <c r="JCY47" s="76"/>
      <c r="JCZ47" s="76"/>
      <c r="JDA47" s="76"/>
      <c r="JDB47" s="76"/>
      <c r="JDC47" s="76"/>
      <c r="JDD47" s="76"/>
      <c r="JDE47" s="76"/>
      <c r="JDF47" s="76"/>
      <c r="JDG47" s="76"/>
      <c r="JDH47" s="76"/>
      <c r="JDI47" s="76"/>
      <c r="JDJ47" s="76"/>
      <c r="JDK47" s="76"/>
      <c r="JDL47" s="76"/>
      <c r="JDM47" s="76"/>
      <c r="JDN47" s="76"/>
      <c r="JDO47" s="76"/>
      <c r="JDP47" s="76"/>
      <c r="JDQ47" s="76"/>
      <c r="JDR47" s="76"/>
      <c r="JDS47" s="76"/>
      <c r="JDT47" s="76"/>
      <c r="JDU47" s="76"/>
      <c r="JDV47" s="76"/>
      <c r="JDW47" s="76"/>
      <c r="JDX47" s="76"/>
      <c r="JDY47" s="76"/>
      <c r="JDZ47" s="76"/>
      <c r="JEA47" s="76"/>
      <c r="JEB47" s="76"/>
      <c r="JEC47" s="76"/>
      <c r="JED47" s="76"/>
      <c r="JEE47" s="76"/>
      <c r="JEF47" s="76"/>
      <c r="JEG47" s="76"/>
      <c r="JEH47" s="76"/>
      <c r="JEI47" s="76"/>
      <c r="JEJ47" s="76"/>
      <c r="JEK47" s="76"/>
      <c r="JEL47" s="76"/>
      <c r="JEM47" s="76"/>
      <c r="JEN47" s="76"/>
      <c r="JEO47" s="76"/>
      <c r="JEP47" s="76"/>
      <c r="JEQ47" s="76"/>
      <c r="JER47" s="76"/>
      <c r="JES47" s="76"/>
      <c r="JET47" s="76"/>
      <c r="JEU47" s="76"/>
      <c r="JEV47" s="76"/>
      <c r="JEW47" s="76"/>
      <c r="JEX47" s="76"/>
      <c r="JEY47" s="76"/>
      <c r="JEZ47" s="76"/>
      <c r="JFA47" s="76"/>
      <c r="JFB47" s="76"/>
      <c r="JFC47" s="76"/>
      <c r="JFD47" s="76"/>
      <c r="JFE47" s="76"/>
      <c r="JFF47" s="76"/>
      <c r="JFG47" s="76"/>
      <c r="JFH47" s="76"/>
      <c r="JFI47" s="76"/>
      <c r="JFJ47" s="76"/>
      <c r="JFK47" s="76"/>
      <c r="JFL47" s="76"/>
      <c r="JFM47" s="76"/>
      <c r="JFN47" s="76"/>
      <c r="JFO47" s="76"/>
      <c r="JFP47" s="76"/>
      <c r="JFQ47" s="76"/>
      <c r="JFR47" s="76"/>
      <c r="JFS47" s="76"/>
      <c r="JFT47" s="76"/>
      <c r="JFU47" s="76"/>
      <c r="JFV47" s="76"/>
      <c r="JFW47" s="76"/>
      <c r="JFX47" s="76"/>
      <c r="JFY47" s="76"/>
      <c r="JFZ47" s="76"/>
      <c r="JGA47" s="76"/>
      <c r="JGB47" s="76"/>
      <c r="JGC47" s="76"/>
      <c r="JGD47" s="76"/>
      <c r="JGE47" s="76"/>
      <c r="JGF47" s="76"/>
      <c r="JGG47" s="76"/>
      <c r="JGH47" s="76"/>
      <c r="JGI47" s="76"/>
      <c r="JGJ47" s="76"/>
      <c r="JGK47" s="76"/>
      <c r="JGL47" s="76"/>
      <c r="JGM47" s="76"/>
      <c r="JGN47" s="76"/>
      <c r="JGO47" s="76"/>
      <c r="JGP47" s="76"/>
      <c r="JGQ47" s="76"/>
      <c r="JGR47" s="76"/>
      <c r="JGS47" s="76"/>
      <c r="JGT47" s="76"/>
      <c r="JGU47" s="76"/>
      <c r="JGV47" s="76"/>
      <c r="JGW47" s="76"/>
      <c r="JGX47" s="76"/>
      <c r="JGY47" s="76"/>
      <c r="JGZ47" s="76"/>
      <c r="JHA47" s="76"/>
      <c r="JHB47" s="76"/>
      <c r="JHC47" s="76"/>
      <c r="JHD47" s="76"/>
      <c r="JHE47" s="76"/>
      <c r="JHF47" s="76"/>
      <c r="JHG47" s="76"/>
      <c r="JHH47" s="76"/>
      <c r="JHI47" s="76"/>
      <c r="JHJ47" s="76"/>
      <c r="JHK47" s="76"/>
      <c r="JHL47" s="76"/>
      <c r="JHM47" s="76"/>
      <c r="JHN47" s="76"/>
      <c r="JHO47" s="76"/>
      <c r="JHP47" s="76"/>
      <c r="JHQ47" s="76"/>
      <c r="JHR47" s="76"/>
      <c r="JHS47" s="76"/>
      <c r="JHT47" s="76"/>
      <c r="JHU47" s="76"/>
      <c r="JHV47" s="76"/>
      <c r="JHW47" s="76"/>
      <c r="JHX47" s="76"/>
      <c r="JHY47" s="76"/>
      <c r="JHZ47" s="76"/>
      <c r="JIA47" s="76"/>
      <c r="JIB47" s="76"/>
      <c r="JIC47" s="76"/>
      <c r="JID47" s="76"/>
      <c r="JIE47" s="76"/>
      <c r="JIF47" s="76"/>
      <c r="JIG47" s="76"/>
      <c r="JIH47" s="76"/>
      <c r="JII47" s="76"/>
      <c r="JIJ47" s="76"/>
      <c r="JIK47" s="76"/>
      <c r="JIL47" s="76"/>
      <c r="JIM47" s="76"/>
      <c r="JIN47" s="76"/>
      <c r="JIO47" s="76"/>
      <c r="JIP47" s="76"/>
      <c r="JIQ47" s="76"/>
      <c r="JIR47" s="76"/>
      <c r="JIS47" s="76"/>
      <c r="JIT47" s="76"/>
      <c r="JIU47" s="76"/>
      <c r="JIV47" s="76"/>
      <c r="JIW47" s="76"/>
      <c r="JIX47" s="76"/>
      <c r="JIY47" s="76"/>
      <c r="JIZ47" s="76"/>
      <c r="JJA47" s="76"/>
      <c r="JJB47" s="76"/>
      <c r="JJC47" s="76"/>
      <c r="JJD47" s="76"/>
      <c r="JJE47" s="76"/>
      <c r="JJF47" s="76"/>
      <c r="JJG47" s="76"/>
      <c r="JJH47" s="76"/>
      <c r="JJI47" s="76"/>
      <c r="JJJ47" s="76"/>
      <c r="JJK47" s="76"/>
      <c r="JJL47" s="76"/>
      <c r="JJM47" s="76"/>
      <c r="JJN47" s="76"/>
      <c r="JJO47" s="76"/>
      <c r="JJP47" s="76"/>
      <c r="JJQ47" s="76"/>
      <c r="JJR47" s="76"/>
      <c r="JJS47" s="76"/>
      <c r="JJT47" s="76"/>
      <c r="JJU47" s="76"/>
      <c r="JJV47" s="76"/>
      <c r="JJW47" s="76"/>
      <c r="JJX47" s="76"/>
      <c r="JJY47" s="76"/>
      <c r="JJZ47" s="76"/>
      <c r="JKA47" s="76"/>
      <c r="JKB47" s="76"/>
      <c r="JKC47" s="76"/>
      <c r="JKD47" s="76"/>
      <c r="JKE47" s="76"/>
      <c r="JKF47" s="76"/>
      <c r="JKG47" s="76"/>
      <c r="JKH47" s="76"/>
      <c r="JKI47" s="76"/>
      <c r="JKJ47" s="76"/>
      <c r="JKK47" s="76"/>
      <c r="JKL47" s="76"/>
      <c r="JKM47" s="76"/>
      <c r="JKN47" s="76"/>
      <c r="JKO47" s="76"/>
      <c r="JKP47" s="76"/>
      <c r="JKQ47" s="76"/>
      <c r="JKR47" s="76"/>
      <c r="JKS47" s="76"/>
      <c r="JKT47" s="76"/>
      <c r="JKU47" s="76"/>
      <c r="JKV47" s="76"/>
      <c r="JKW47" s="76"/>
      <c r="JKX47" s="76"/>
      <c r="JKY47" s="76"/>
      <c r="JKZ47" s="76"/>
      <c r="JLA47" s="76"/>
      <c r="JLB47" s="76"/>
      <c r="JLC47" s="76"/>
      <c r="JLD47" s="76"/>
      <c r="JLE47" s="76"/>
      <c r="JLF47" s="76"/>
      <c r="JLG47" s="76"/>
      <c r="JLH47" s="76"/>
      <c r="JLI47" s="76"/>
      <c r="JLJ47" s="76"/>
      <c r="JLK47" s="76"/>
      <c r="JLL47" s="76"/>
      <c r="JLM47" s="76"/>
      <c r="JLN47" s="76"/>
      <c r="JLO47" s="76"/>
      <c r="JLP47" s="76"/>
      <c r="JLQ47" s="76"/>
      <c r="JLR47" s="76"/>
      <c r="JLS47" s="76"/>
      <c r="JLT47" s="76"/>
      <c r="JLU47" s="76"/>
      <c r="JLV47" s="76"/>
      <c r="JLW47" s="76"/>
      <c r="JLX47" s="76"/>
      <c r="JLY47" s="76"/>
      <c r="JLZ47" s="76"/>
      <c r="JMA47" s="76"/>
      <c r="JMB47" s="76"/>
      <c r="JMC47" s="76"/>
      <c r="JMD47" s="76"/>
      <c r="JME47" s="76"/>
      <c r="JMF47" s="76"/>
      <c r="JMG47" s="76"/>
      <c r="JMH47" s="76"/>
      <c r="JMI47" s="76"/>
      <c r="JMJ47" s="76"/>
      <c r="JMK47" s="76"/>
      <c r="JML47" s="76"/>
      <c r="JMM47" s="76"/>
      <c r="JMN47" s="76"/>
      <c r="JMO47" s="76"/>
      <c r="JMP47" s="76"/>
      <c r="JMQ47" s="76"/>
      <c r="JMR47" s="76"/>
      <c r="JMS47" s="76"/>
      <c r="JMT47" s="76"/>
      <c r="JMU47" s="76"/>
      <c r="JMV47" s="76"/>
      <c r="JMW47" s="76"/>
      <c r="JMX47" s="76"/>
      <c r="JMY47" s="76"/>
      <c r="JMZ47" s="76"/>
      <c r="JNA47" s="76"/>
      <c r="JNB47" s="76"/>
      <c r="JNC47" s="76"/>
      <c r="JND47" s="76"/>
      <c r="JNE47" s="76"/>
      <c r="JNF47" s="76"/>
      <c r="JNG47" s="76"/>
      <c r="JNH47" s="76"/>
      <c r="JNI47" s="76"/>
      <c r="JNJ47" s="76"/>
      <c r="JNK47" s="76"/>
      <c r="JNL47" s="76"/>
      <c r="JNM47" s="76"/>
      <c r="JNN47" s="76"/>
      <c r="JNO47" s="76"/>
      <c r="JNP47" s="76"/>
      <c r="JNQ47" s="76"/>
      <c r="JNR47" s="76"/>
      <c r="JNS47" s="76"/>
      <c r="JNT47" s="76"/>
      <c r="JNU47" s="76"/>
      <c r="JNV47" s="76"/>
      <c r="JNW47" s="76"/>
      <c r="JNX47" s="76"/>
      <c r="JNY47" s="76"/>
      <c r="JNZ47" s="76"/>
      <c r="JOA47" s="76"/>
      <c r="JOB47" s="76"/>
      <c r="JOC47" s="76"/>
      <c r="JOD47" s="76"/>
      <c r="JOE47" s="76"/>
      <c r="JOF47" s="76"/>
      <c r="JOG47" s="76"/>
      <c r="JOH47" s="76"/>
      <c r="JOI47" s="76"/>
      <c r="JOJ47" s="76"/>
      <c r="JOK47" s="76"/>
      <c r="JOL47" s="76"/>
      <c r="JOM47" s="76"/>
      <c r="JON47" s="76"/>
      <c r="JOO47" s="76"/>
      <c r="JOP47" s="76"/>
      <c r="JOQ47" s="76"/>
      <c r="JOR47" s="76"/>
      <c r="JOS47" s="76"/>
      <c r="JOT47" s="76"/>
      <c r="JOU47" s="76"/>
      <c r="JOV47" s="76"/>
      <c r="JOW47" s="76"/>
      <c r="JOX47" s="76"/>
      <c r="JOY47" s="76"/>
      <c r="JOZ47" s="76"/>
      <c r="JPA47" s="76"/>
      <c r="JPB47" s="76"/>
      <c r="JPC47" s="76"/>
      <c r="JPD47" s="76"/>
      <c r="JPE47" s="76"/>
      <c r="JPF47" s="76"/>
      <c r="JPG47" s="76"/>
      <c r="JPH47" s="76"/>
      <c r="JPI47" s="76"/>
      <c r="JPJ47" s="76"/>
      <c r="JPK47" s="76"/>
      <c r="JPL47" s="76"/>
      <c r="JPM47" s="76"/>
      <c r="JPN47" s="76"/>
      <c r="JPO47" s="76"/>
      <c r="JPP47" s="76"/>
      <c r="JPQ47" s="76"/>
      <c r="JPR47" s="76"/>
      <c r="JPS47" s="76"/>
      <c r="JPT47" s="76"/>
      <c r="JPU47" s="76"/>
      <c r="JPV47" s="76"/>
      <c r="JPW47" s="76"/>
      <c r="JPX47" s="76"/>
      <c r="JPY47" s="76"/>
      <c r="JPZ47" s="76"/>
      <c r="JQA47" s="76"/>
      <c r="JQB47" s="76"/>
      <c r="JQC47" s="76"/>
      <c r="JQD47" s="76"/>
      <c r="JQE47" s="76"/>
      <c r="JQF47" s="76"/>
      <c r="JQG47" s="76"/>
      <c r="JQH47" s="76"/>
      <c r="JQI47" s="76"/>
      <c r="JQJ47" s="76"/>
      <c r="JQK47" s="76"/>
      <c r="JQL47" s="76"/>
      <c r="JQM47" s="76"/>
      <c r="JQN47" s="76"/>
      <c r="JQO47" s="76"/>
      <c r="JQP47" s="76"/>
      <c r="JQQ47" s="76"/>
      <c r="JQR47" s="76"/>
      <c r="JQS47" s="76"/>
      <c r="JQT47" s="76"/>
      <c r="JQU47" s="76"/>
      <c r="JQV47" s="76"/>
      <c r="JQW47" s="76"/>
      <c r="JQX47" s="76"/>
      <c r="JQY47" s="76"/>
      <c r="JQZ47" s="76"/>
      <c r="JRA47" s="76"/>
      <c r="JRB47" s="76"/>
      <c r="JRC47" s="76"/>
      <c r="JRD47" s="76"/>
      <c r="JRE47" s="76"/>
      <c r="JRF47" s="76"/>
      <c r="JRG47" s="76"/>
      <c r="JRH47" s="76"/>
      <c r="JRI47" s="76"/>
      <c r="JRJ47" s="76"/>
      <c r="JRK47" s="76"/>
      <c r="JRL47" s="76"/>
      <c r="JRM47" s="76"/>
      <c r="JRN47" s="76"/>
      <c r="JRO47" s="76"/>
      <c r="JRP47" s="76"/>
      <c r="JRQ47" s="76"/>
      <c r="JRR47" s="76"/>
      <c r="JRS47" s="76"/>
      <c r="JRT47" s="76"/>
      <c r="JRU47" s="76"/>
      <c r="JRV47" s="76"/>
      <c r="JRW47" s="76"/>
      <c r="JRX47" s="76"/>
      <c r="JRY47" s="76"/>
      <c r="JRZ47" s="76"/>
      <c r="JSA47" s="76"/>
      <c r="JSB47" s="76"/>
      <c r="JSC47" s="76"/>
      <c r="JSD47" s="76"/>
      <c r="JSE47" s="76"/>
      <c r="JSF47" s="76"/>
      <c r="JSG47" s="76"/>
      <c r="JSH47" s="76"/>
      <c r="JSI47" s="76"/>
      <c r="JSJ47" s="76"/>
      <c r="JSK47" s="76"/>
      <c r="JSL47" s="76"/>
      <c r="JSM47" s="76"/>
      <c r="JSN47" s="76"/>
      <c r="JSO47" s="76"/>
      <c r="JSP47" s="76"/>
      <c r="JSQ47" s="76"/>
      <c r="JSR47" s="76"/>
      <c r="JSS47" s="76"/>
      <c r="JST47" s="76"/>
      <c r="JSU47" s="76"/>
      <c r="JSV47" s="76"/>
      <c r="JSW47" s="76"/>
      <c r="JSX47" s="76"/>
      <c r="JSY47" s="76"/>
      <c r="JSZ47" s="76"/>
      <c r="JTA47" s="76"/>
      <c r="JTB47" s="76"/>
      <c r="JTC47" s="76"/>
      <c r="JTD47" s="76"/>
      <c r="JTE47" s="76"/>
      <c r="JTF47" s="76"/>
      <c r="JTG47" s="76"/>
      <c r="JTH47" s="76"/>
      <c r="JTI47" s="76"/>
      <c r="JTJ47" s="76"/>
      <c r="JTK47" s="76"/>
      <c r="JTL47" s="76"/>
      <c r="JTM47" s="76"/>
      <c r="JTN47" s="76"/>
      <c r="JTO47" s="76"/>
      <c r="JTP47" s="76"/>
      <c r="JTQ47" s="76"/>
      <c r="JTR47" s="76"/>
      <c r="JTS47" s="76"/>
      <c r="JTT47" s="76"/>
      <c r="JTU47" s="76"/>
      <c r="JTV47" s="76"/>
      <c r="JTW47" s="76"/>
      <c r="JTX47" s="76"/>
      <c r="JTY47" s="76"/>
      <c r="JTZ47" s="76"/>
      <c r="JUA47" s="76"/>
      <c r="JUB47" s="76"/>
      <c r="JUC47" s="76"/>
      <c r="JUD47" s="76"/>
      <c r="JUE47" s="76"/>
      <c r="JUF47" s="76"/>
      <c r="JUG47" s="76"/>
      <c r="JUH47" s="76"/>
      <c r="JUI47" s="76"/>
      <c r="JUJ47" s="76"/>
      <c r="JUK47" s="76"/>
      <c r="JUL47" s="76"/>
      <c r="JUM47" s="76"/>
      <c r="JUN47" s="76"/>
      <c r="JUO47" s="76"/>
      <c r="JUP47" s="76"/>
      <c r="JUQ47" s="76"/>
      <c r="JUR47" s="76"/>
      <c r="JUS47" s="76"/>
      <c r="JUT47" s="76"/>
      <c r="JUU47" s="76"/>
      <c r="JUV47" s="76"/>
      <c r="JUW47" s="76"/>
      <c r="JUX47" s="76"/>
      <c r="JUY47" s="76"/>
      <c r="JUZ47" s="76"/>
      <c r="JVA47" s="76"/>
      <c r="JVB47" s="76"/>
      <c r="JVC47" s="76"/>
      <c r="JVD47" s="76"/>
      <c r="JVE47" s="76"/>
      <c r="JVF47" s="76"/>
      <c r="JVG47" s="76"/>
      <c r="JVH47" s="76"/>
      <c r="JVI47" s="76"/>
      <c r="JVJ47" s="76"/>
      <c r="JVK47" s="76"/>
      <c r="JVL47" s="76"/>
      <c r="JVM47" s="76"/>
      <c r="JVN47" s="76"/>
      <c r="JVO47" s="76"/>
      <c r="JVP47" s="76"/>
      <c r="JVQ47" s="76"/>
      <c r="JVR47" s="76"/>
      <c r="JVS47" s="76"/>
      <c r="JVT47" s="76"/>
      <c r="JVU47" s="76"/>
      <c r="JVV47" s="76"/>
      <c r="JVW47" s="76"/>
      <c r="JVX47" s="76"/>
      <c r="JVY47" s="76"/>
      <c r="JVZ47" s="76"/>
      <c r="JWA47" s="76"/>
      <c r="JWB47" s="76"/>
      <c r="JWC47" s="76"/>
      <c r="JWD47" s="76"/>
      <c r="JWE47" s="76"/>
      <c r="JWF47" s="76"/>
      <c r="JWG47" s="76"/>
      <c r="JWH47" s="76"/>
      <c r="JWI47" s="76"/>
      <c r="JWJ47" s="76"/>
      <c r="JWK47" s="76"/>
      <c r="JWL47" s="76"/>
      <c r="JWM47" s="76"/>
      <c r="JWN47" s="76"/>
      <c r="JWO47" s="76"/>
      <c r="JWP47" s="76"/>
      <c r="JWQ47" s="76"/>
      <c r="JWR47" s="76"/>
      <c r="JWS47" s="76"/>
      <c r="JWT47" s="76"/>
      <c r="JWU47" s="76"/>
      <c r="JWV47" s="76"/>
      <c r="JWW47" s="76"/>
      <c r="JWX47" s="76"/>
      <c r="JWY47" s="76"/>
      <c r="JWZ47" s="76"/>
      <c r="JXA47" s="76"/>
      <c r="JXB47" s="76"/>
      <c r="JXC47" s="76"/>
      <c r="JXD47" s="76"/>
      <c r="JXE47" s="76"/>
      <c r="JXF47" s="76"/>
      <c r="JXG47" s="76"/>
      <c r="JXH47" s="76"/>
      <c r="JXI47" s="76"/>
      <c r="JXJ47" s="76"/>
      <c r="JXK47" s="76"/>
      <c r="JXL47" s="76"/>
      <c r="JXM47" s="76"/>
      <c r="JXN47" s="76"/>
      <c r="JXO47" s="76"/>
      <c r="JXP47" s="76"/>
      <c r="JXQ47" s="76"/>
      <c r="JXR47" s="76"/>
      <c r="JXS47" s="76"/>
      <c r="JXT47" s="76"/>
      <c r="JXU47" s="76"/>
      <c r="JXV47" s="76"/>
      <c r="JXW47" s="76"/>
      <c r="JXX47" s="76"/>
      <c r="JXY47" s="76"/>
      <c r="JXZ47" s="76"/>
      <c r="JYA47" s="76"/>
      <c r="JYB47" s="76"/>
      <c r="JYC47" s="76"/>
      <c r="JYD47" s="76"/>
      <c r="JYE47" s="76"/>
      <c r="JYF47" s="76"/>
      <c r="JYG47" s="76"/>
      <c r="JYH47" s="76"/>
      <c r="JYI47" s="76"/>
      <c r="JYJ47" s="76"/>
      <c r="JYK47" s="76"/>
      <c r="JYL47" s="76"/>
      <c r="JYM47" s="76"/>
      <c r="JYN47" s="76"/>
      <c r="JYO47" s="76"/>
      <c r="JYP47" s="76"/>
      <c r="JYQ47" s="76"/>
      <c r="JYR47" s="76"/>
      <c r="JYS47" s="76"/>
      <c r="JYT47" s="76"/>
      <c r="JYU47" s="76"/>
      <c r="JYV47" s="76"/>
      <c r="JYW47" s="76"/>
      <c r="JYX47" s="76"/>
      <c r="JYY47" s="76"/>
      <c r="JYZ47" s="76"/>
      <c r="JZA47" s="76"/>
      <c r="JZB47" s="76"/>
      <c r="JZC47" s="76"/>
      <c r="JZD47" s="76"/>
      <c r="JZE47" s="76"/>
      <c r="JZF47" s="76"/>
      <c r="JZG47" s="76"/>
      <c r="JZH47" s="76"/>
      <c r="JZI47" s="76"/>
      <c r="JZJ47" s="76"/>
      <c r="JZK47" s="76"/>
      <c r="JZL47" s="76"/>
      <c r="JZM47" s="76"/>
      <c r="JZN47" s="76"/>
      <c r="JZO47" s="76"/>
      <c r="JZP47" s="76"/>
      <c r="JZQ47" s="76"/>
      <c r="JZR47" s="76"/>
      <c r="JZS47" s="76"/>
      <c r="JZT47" s="76"/>
      <c r="JZU47" s="76"/>
      <c r="JZV47" s="76"/>
      <c r="JZW47" s="76"/>
      <c r="JZX47" s="76"/>
      <c r="JZY47" s="76"/>
      <c r="JZZ47" s="76"/>
      <c r="KAA47" s="76"/>
      <c r="KAB47" s="76"/>
      <c r="KAC47" s="76"/>
      <c r="KAD47" s="76"/>
      <c r="KAE47" s="76"/>
      <c r="KAF47" s="76"/>
      <c r="KAG47" s="76"/>
      <c r="KAH47" s="76"/>
      <c r="KAI47" s="76"/>
      <c r="KAJ47" s="76"/>
      <c r="KAK47" s="76"/>
      <c r="KAL47" s="76"/>
      <c r="KAM47" s="76"/>
      <c r="KAN47" s="76"/>
      <c r="KAO47" s="76"/>
      <c r="KAP47" s="76"/>
      <c r="KAQ47" s="76"/>
      <c r="KAR47" s="76"/>
      <c r="KAS47" s="76"/>
      <c r="KAT47" s="76"/>
      <c r="KAU47" s="76"/>
      <c r="KAV47" s="76"/>
      <c r="KAW47" s="76"/>
      <c r="KAX47" s="76"/>
      <c r="KAY47" s="76"/>
      <c r="KAZ47" s="76"/>
      <c r="KBA47" s="76"/>
      <c r="KBB47" s="76"/>
      <c r="KBC47" s="76"/>
      <c r="KBD47" s="76"/>
      <c r="KBE47" s="76"/>
      <c r="KBF47" s="76"/>
      <c r="KBG47" s="76"/>
      <c r="KBH47" s="76"/>
      <c r="KBI47" s="76"/>
      <c r="KBJ47" s="76"/>
      <c r="KBK47" s="76"/>
      <c r="KBL47" s="76"/>
      <c r="KBM47" s="76"/>
      <c r="KBN47" s="76"/>
      <c r="KBO47" s="76"/>
      <c r="KBP47" s="76"/>
      <c r="KBQ47" s="76"/>
      <c r="KBR47" s="76"/>
      <c r="KBS47" s="76"/>
      <c r="KBT47" s="76"/>
      <c r="KBU47" s="76"/>
      <c r="KBV47" s="76"/>
      <c r="KBW47" s="76"/>
      <c r="KBX47" s="76"/>
      <c r="KBY47" s="76"/>
      <c r="KBZ47" s="76"/>
      <c r="KCA47" s="76"/>
      <c r="KCB47" s="76"/>
      <c r="KCC47" s="76"/>
      <c r="KCD47" s="76"/>
      <c r="KCE47" s="76"/>
      <c r="KCF47" s="76"/>
      <c r="KCG47" s="76"/>
      <c r="KCH47" s="76"/>
      <c r="KCI47" s="76"/>
      <c r="KCJ47" s="76"/>
      <c r="KCK47" s="76"/>
      <c r="KCL47" s="76"/>
      <c r="KCM47" s="76"/>
      <c r="KCN47" s="76"/>
      <c r="KCO47" s="76"/>
      <c r="KCP47" s="76"/>
      <c r="KCQ47" s="76"/>
      <c r="KCR47" s="76"/>
      <c r="KCS47" s="76"/>
      <c r="KCT47" s="76"/>
      <c r="KCU47" s="76"/>
      <c r="KCV47" s="76"/>
      <c r="KCW47" s="76"/>
      <c r="KCX47" s="76"/>
      <c r="KCY47" s="76"/>
      <c r="KCZ47" s="76"/>
      <c r="KDA47" s="76"/>
      <c r="KDB47" s="76"/>
      <c r="KDC47" s="76"/>
      <c r="KDD47" s="76"/>
      <c r="KDE47" s="76"/>
      <c r="KDF47" s="76"/>
      <c r="KDG47" s="76"/>
      <c r="KDH47" s="76"/>
      <c r="KDI47" s="76"/>
      <c r="KDJ47" s="76"/>
      <c r="KDK47" s="76"/>
      <c r="KDL47" s="76"/>
      <c r="KDM47" s="76"/>
      <c r="KDN47" s="76"/>
      <c r="KDO47" s="76"/>
      <c r="KDP47" s="76"/>
      <c r="KDQ47" s="76"/>
      <c r="KDR47" s="76"/>
      <c r="KDS47" s="76"/>
      <c r="KDT47" s="76"/>
      <c r="KDU47" s="76"/>
      <c r="KDV47" s="76"/>
      <c r="KDW47" s="76"/>
      <c r="KDX47" s="76"/>
      <c r="KDY47" s="76"/>
      <c r="KDZ47" s="76"/>
      <c r="KEA47" s="76"/>
      <c r="KEB47" s="76"/>
      <c r="KEC47" s="76"/>
      <c r="KED47" s="76"/>
      <c r="KEE47" s="76"/>
      <c r="KEF47" s="76"/>
      <c r="KEG47" s="76"/>
      <c r="KEH47" s="76"/>
      <c r="KEI47" s="76"/>
      <c r="KEJ47" s="76"/>
      <c r="KEK47" s="76"/>
      <c r="KEL47" s="76"/>
      <c r="KEM47" s="76"/>
      <c r="KEN47" s="76"/>
      <c r="KEO47" s="76"/>
      <c r="KEP47" s="76"/>
      <c r="KEQ47" s="76"/>
      <c r="KER47" s="76"/>
      <c r="KES47" s="76"/>
      <c r="KET47" s="76"/>
      <c r="KEU47" s="76"/>
      <c r="KEV47" s="76"/>
      <c r="KEW47" s="76"/>
      <c r="KEX47" s="76"/>
      <c r="KEY47" s="76"/>
      <c r="KEZ47" s="76"/>
      <c r="KFA47" s="76"/>
      <c r="KFB47" s="76"/>
      <c r="KFC47" s="76"/>
      <c r="KFD47" s="76"/>
      <c r="KFE47" s="76"/>
      <c r="KFF47" s="76"/>
      <c r="KFG47" s="76"/>
      <c r="KFH47" s="76"/>
      <c r="KFI47" s="76"/>
      <c r="KFJ47" s="76"/>
      <c r="KFK47" s="76"/>
      <c r="KFL47" s="76"/>
      <c r="KFM47" s="76"/>
      <c r="KFN47" s="76"/>
      <c r="KFO47" s="76"/>
      <c r="KFP47" s="76"/>
      <c r="KFQ47" s="76"/>
      <c r="KFR47" s="76"/>
      <c r="KFS47" s="76"/>
      <c r="KFT47" s="76"/>
      <c r="KFU47" s="76"/>
      <c r="KFV47" s="76"/>
      <c r="KFW47" s="76"/>
      <c r="KFX47" s="76"/>
      <c r="KFY47" s="76"/>
      <c r="KFZ47" s="76"/>
      <c r="KGA47" s="76"/>
      <c r="KGB47" s="76"/>
      <c r="KGC47" s="76"/>
      <c r="KGD47" s="76"/>
      <c r="KGE47" s="76"/>
      <c r="KGF47" s="76"/>
      <c r="KGG47" s="76"/>
      <c r="KGH47" s="76"/>
      <c r="KGI47" s="76"/>
      <c r="KGJ47" s="76"/>
      <c r="KGK47" s="76"/>
      <c r="KGL47" s="76"/>
      <c r="KGM47" s="76"/>
      <c r="KGN47" s="76"/>
      <c r="KGO47" s="76"/>
      <c r="KGP47" s="76"/>
      <c r="KGQ47" s="76"/>
      <c r="KGR47" s="76"/>
      <c r="KGS47" s="76"/>
      <c r="KGT47" s="76"/>
      <c r="KGU47" s="76"/>
      <c r="KGV47" s="76"/>
      <c r="KGW47" s="76"/>
      <c r="KGX47" s="76"/>
      <c r="KGY47" s="76"/>
      <c r="KGZ47" s="76"/>
      <c r="KHA47" s="76"/>
      <c r="KHB47" s="76"/>
      <c r="KHC47" s="76"/>
      <c r="KHD47" s="76"/>
      <c r="KHE47" s="76"/>
      <c r="KHF47" s="76"/>
      <c r="KHG47" s="76"/>
      <c r="KHH47" s="76"/>
      <c r="KHI47" s="76"/>
      <c r="KHJ47" s="76"/>
      <c r="KHK47" s="76"/>
      <c r="KHL47" s="76"/>
      <c r="KHM47" s="76"/>
      <c r="KHN47" s="76"/>
      <c r="KHO47" s="76"/>
      <c r="KHP47" s="76"/>
      <c r="KHQ47" s="76"/>
      <c r="KHR47" s="76"/>
      <c r="KHS47" s="76"/>
      <c r="KHT47" s="76"/>
      <c r="KHU47" s="76"/>
      <c r="KHV47" s="76"/>
      <c r="KHW47" s="76"/>
      <c r="KHX47" s="76"/>
      <c r="KHY47" s="76"/>
      <c r="KHZ47" s="76"/>
      <c r="KIA47" s="76"/>
      <c r="KIB47" s="76"/>
      <c r="KIC47" s="76"/>
      <c r="KID47" s="76"/>
      <c r="KIE47" s="76"/>
      <c r="KIF47" s="76"/>
      <c r="KIG47" s="76"/>
      <c r="KIH47" s="76"/>
      <c r="KII47" s="76"/>
      <c r="KIJ47" s="76"/>
      <c r="KIK47" s="76"/>
      <c r="KIL47" s="76"/>
      <c r="KIM47" s="76"/>
      <c r="KIN47" s="76"/>
      <c r="KIO47" s="76"/>
      <c r="KIP47" s="76"/>
      <c r="KIQ47" s="76"/>
      <c r="KIR47" s="76"/>
      <c r="KIS47" s="76"/>
      <c r="KIT47" s="76"/>
      <c r="KIU47" s="76"/>
      <c r="KIV47" s="76"/>
      <c r="KIW47" s="76"/>
      <c r="KIX47" s="76"/>
      <c r="KIY47" s="76"/>
      <c r="KIZ47" s="76"/>
      <c r="KJA47" s="76"/>
      <c r="KJB47" s="76"/>
      <c r="KJC47" s="76"/>
      <c r="KJD47" s="76"/>
      <c r="KJE47" s="76"/>
      <c r="KJF47" s="76"/>
      <c r="KJG47" s="76"/>
      <c r="KJH47" s="76"/>
      <c r="KJI47" s="76"/>
      <c r="KJJ47" s="76"/>
      <c r="KJK47" s="76"/>
      <c r="KJL47" s="76"/>
      <c r="KJM47" s="76"/>
      <c r="KJN47" s="76"/>
      <c r="KJO47" s="76"/>
      <c r="KJP47" s="76"/>
      <c r="KJQ47" s="76"/>
      <c r="KJR47" s="76"/>
      <c r="KJS47" s="76"/>
      <c r="KJT47" s="76"/>
      <c r="KJU47" s="76"/>
      <c r="KJV47" s="76"/>
      <c r="KJW47" s="76"/>
      <c r="KJX47" s="76"/>
      <c r="KJY47" s="76"/>
      <c r="KJZ47" s="76"/>
      <c r="KKA47" s="76"/>
      <c r="KKB47" s="76"/>
      <c r="KKC47" s="76"/>
      <c r="KKD47" s="76"/>
      <c r="KKE47" s="76"/>
      <c r="KKF47" s="76"/>
      <c r="KKG47" s="76"/>
      <c r="KKH47" s="76"/>
      <c r="KKI47" s="76"/>
      <c r="KKJ47" s="76"/>
      <c r="KKK47" s="76"/>
      <c r="KKL47" s="76"/>
      <c r="KKM47" s="76"/>
      <c r="KKN47" s="76"/>
      <c r="KKO47" s="76"/>
      <c r="KKP47" s="76"/>
      <c r="KKQ47" s="76"/>
      <c r="KKR47" s="76"/>
      <c r="KKS47" s="76"/>
      <c r="KKT47" s="76"/>
      <c r="KKU47" s="76"/>
      <c r="KKV47" s="76"/>
      <c r="KKW47" s="76"/>
      <c r="KKX47" s="76"/>
      <c r="KKY47" s="76"/>
      <c r="KKZ47" s="76"/>
      <c r="KLA47" s="76"/>
      <c r="KLB47" s="76"/>
      <c r="KLC47" s="76"/>
      <c r="KLD47" s="76"/>
      <c r="KLE47" s="76"/>
      <c r="KLF47" s="76"/>
      <c r="KLG47" s="76"/>
      <c r="KLH47" s="76"/>
      <c r="KLI47" s="76"/>
      <c r="KLJ47" s="76"/>
      <c r="KLK47" s="76"/>
      <c r="KLL47" s="76"/>
      <c r="KLM47" s="76"/>
      <c r="KLN47" s="76"/>
      <c r="KLO47" s="76"/>
      <c r="KLP47" s="76"/>
      <c r="KLQ47" s="76"/>
      <c r="KLR47" s="76"/>
      <c r="KLS47" s="76"/>
      <c r="KLT47" s="76"/>
      <c r="KLU47" s="76"/>
      <c r="KLV47" s="76"/>
      <c r="KLW47" s="76"/>
      <c r="KLX47" s="76"/>
      <c r="KLY47" s="76"/>
      <c r="KLZ47" s="76"/>
      <c r="KMA47" s="76"/>
      <c r="KMB47" s="76"/>
      <c r="KMC47" s="76"/>
      <c r="KMD47" s="76"/>
      <c r="KME47" s="76"/>
      <c r="KMF47" s="76"/>
      <c r="KMG47" s="76"/>
      <c r="KMH47" s="76"/>
      <c r="KMI47" s="76"/>
      <c r="KMJ47" s="76"/>
      <c r="KMK47" s="76"/>
      <c r="KML47" s="76"/>
      <c r="KMM47" s="76"/>
      <c r="KMN47" s="76"/>
      <c r="KMO47" s="76"/>
      <c r="KMP47" s="76"/>
      <c r="KMQ47" s="76"/>
      <c r="KMR47" s="76"/>
      <c r="KMS47" s="76"/>
      <c r="KMT47" s="76"/>
      <c r="KMU47" s="76"/>
      <c r="KMV47" s="76"/>
      <c r="KMW47" s="76"/>
      <c r="KMX47" s="76"/>
      <c r="KMY47" s="76"/>
      <c r="KMZ47" s="76"/>
      <c r="KNA47" s="76"/>
      <c r="KNB47" s="76"/>
      <c r="KNC47" s="76"/>
      <c r="KND47" s="76"/>
      <c r="KNE47" s="76"/>
      <c r="KNF47" s="76"/>
      <c r="KNG47" s="76"/>
      <c r="KNH47" s="76"/>
      <c r="KNI47" s="76"/>
      <c r="KNJ47" s="76"/>
      <c r="KNK47" s="76"/>
      <c r="KNL47" s="76"/>
      <c r="KNM47" s="76"/>
      <c r="KNN47" s="76"/>
      <c r="KNO47" s="76"/>
      <c r="KNP47" s="76"/>
      <c r="KNQ47" s="76"/>
      <c r="KNR47" s="76"/>
      <c r="KNS47" s="76"/>
      <c r="KNT47" s="76"/>
      <c r="KNU47" s="76"/>
      <c r="KNV47" s="76"/>
      <c r="KNW47" s="76"/>
      <c r="KNX47" s="76"/>
      <c r="KNY47" s="76"/>
      <c r="KNZ47" s="76"/>
      <c r="KOA47" s="76"/>
      <c r="KOB47" s="76"/>
      <c r="KOC47" s="76"/>
      <c r="KOD47" s="76"/>
      <c r="KOE47" s="76"/>
      <c r="KOF47" s="76"/>
      <c r="KOG47" s="76"/>
      <c r="KOH47" s="76"/>
      <c r="KOI47" s="76"/>
      <c r="KOJ47" s="76"/>
      <c r="KOK47" s="76"/>
      <c r="KOL47" s="76"/>
      <c r="KOM47" s="76"/>
      <c r="KON47" s="76"/>
      <c r="KOO47" s="76"/>
      <c r="KOP47" s="76"/>
      <c r="KOQ47" s="76"/>
      <c r="KOR47" s="76"/>
      <c r="KOS47" s="76"/>
      <c r="KOT47" s="76"/>
      <c r="KOU47" s="76"/>
      <c r="KOV47" s="76"/>
      <c r="KOW47" s="76"/>
      <c r="KOX47" s="76"/>
      <c r="KOY47" s="76"/>
      <c r="KOZ47" s="76"/>
      <c r="KPA47" s="76"/>
      <c r="KPB47" s="76"/>
      <c r="KPC47" s="76"/>
      <c r="KPD47" s="76"/>
      <c r="KPE47" s="76"/>
      <c r="KPF47" s="76"/>
      <c r="KPG47" s="76"/>
      <c r="KPH47" s="76"/>
      <c r="KPI47" s="76"/>
      <c r="KPJ47" s="76"/>
      <c r="KPK47" s="76"/>
      <c r="KPL47" s="76"/>
      <c r="KPM47" s="76"/>
      <c r="KPN47" s="76"/>
      <c r="KPO47" s="76"/>
      <c r="KPP47" s="76"/>
      <c r="KPQ47" s="76"/>
      <c r="KPR47" s="76"/>
      <c r="KPS47" s="76"/>
      <c r="KPT47" s="76"/>
      <c r="KPU47" s="76"/>
      <c r="KPV47" s="76"/>
      <c r="KPW47" s="76"/>
      <c r="KPX47" s="76"/>
      <c r="KPY47" s="76"/>
      <c r="KPZ47" s="76"/>
      <c r="KQA47" s="76"/>
      <c r="KQB47" s="76"/>
      <c r="KQC47" s="76"/>
      <c r="KQD47" s="76"/>
      <c r="KQE47" s="76"/>
      <c r="KQF47" s="76"/>
      <c r="KQG47" s="76"/>
      <c r="KQH47" s="76"/>
      <c r="KQI47" s="76"/>
      <c r="KQJ47" s="76"/>
      <c r="KQK47" s="76"/>
      <c r="KQL47" s="76"/>
      <c r="KQM47" s="76"/>
      <c r="KQN47" s="76"/>
      <c r="KQO47" s="76"/>
      <c r="KQP47" s="76"/>
      <c r="KQQ47" s="76"/>
      <c r="KQR47" s="76"/>
      <c r="KQS47" s="76"/>
      <c r="KQT47" s="76"/>
      <c r="KQU47" s="76"/>
      <c r="KQV47" s="76"/>
      <c r="KQW47" s="76"/>
      <c r="KQX47" s="76"/>
      <c r="KQY47" s="76"/>
      <c r="KQZ47" s="76"/>
      <c r="KRA47" s="76"/>
      <c r="KRB47" s="76"/>
      <c r="KRC47" s="76"/>
      <c r="KRD47" s="76"/>
      <c r="KRE47" s="76"/>
      <c r="KRF47" s="76"/>
      <c r="KRG47" s="76"/>
      <c r="KRH47" s="76"/>
      <c r="KRI47" s="76"/>
      <c r="KRJ47" s="76"/>
      <c r="KRK47" s="76"/>
      <c r="KRL47" s="76"/>
      <c r="KRM47" s="76"/>
      <c r="KRN47" s="76"/>
      <c r="KRO47" s="76"/>
      <c r="KRP47" s="76"/>
      <c r="KRQ47" s="76"/>
      <c r="KRR47" s="76"/>
      <c r="KRS47" s="76"/>
      <c r="KRT47" s="76"/>
      <c r="KRU47" s="76"/>
      <c r="KRV47" s="76"/>
      <c r="KRW47" s="76"/>
      <c r="KRX47" s="76"/>
      <c r="KRY47" s="76"/>
      <c r="KRZ47" s="76"/>
      <c r="KSA47" s="76"/>
      <c r="KSB47" s="76"/>
      <c r="KSC47" s="76"/>
      <c r="KSD47" s="76"/>
      <c r="KSE47" s="76"/>
      <c r="KSF47" s="76"/>
      <c r="KSG47" s="76"/>
      <c r="KSH47" s="76"/>
      <c r="KSI47" s="76"/>
      <c r="KSJ47" s="76"/>
      <c r="KSK47" s="76"/>
      <c r="KSL47" s="76"/>
      <c r="KSM47" s="76"/>
      <c r="KSN47" s="76"/>
      <c r="KSO47" s="76"/>
      <c r="KSP47" s="76"/>
      <c r="KSQ47" s="76"/>
      <c r="KSR47" s="76"/>
      <c r="KSS47" s="76"/>
      <c r="KST47" s="76"/>
      <c r="KSU47" s="76"/>
      <c r="KSV47" s="76"/>
      <c r="KSW47" s="76"/>
      <c r="KSX47" s="76"/>
      <c r="KSY47" s="76"/>
      <c r="KSZ47" s="76"/>
      <c r="KTA47" s="76"/>
      <c r="KTB47" s="76"/>
      <c r="KTC47" s="76"/>
      <c r="KTD47" s="76"/>
      <c r="KTE47" s="76"/>
      <c r="KTF47" s="76"/>
      <c r="KTG47" s="76"/>
      <c r="KTH47" s="76"/>
      <c r="KTI47" s="76"/>
      <c r="KTJ47" s="76"/>
      <c r="KTK47" s="76"/>
      <c r="KTL47" s="76"/>
      <c r="KTM47" s="76"/>
      <c r="KTN47" s="76"/>
      <c r="KTO47" s="76"/>
      <c r="KTP47" s="76"/>
      <c r="KTQ47" s="76"/>
      <c r="KTR47" s="76"/>
      <c r="KTS47" s="76"/>
      <c r="KTT47" s="76"/>
      <c r="KTU47" s="76"/>
      <c r="KTV47" s="76"/>
      <c r="KTW47" s="76"/>
      <c r="KTX47" s="76"/>
      <c r="KTY47" s="76"/>
      <c r="KTZ47" s="76"/>
      <c r="KUA47" s="76"/>
      <c r="KUB47" s="76"/>
      <c r="KUC47" s="76"/>
      <c r="KUD47" s="76"/>
      <c r="KUE47" s="76"/>
      <c r="KUF47" s="76"/>
      <c r="KUG47" s="76"/>
      <c r="KUH47" s="76"/>
      <c r="KUI47" s="76"/>
      <c r="KUJ47" s="76"/>
      <c r="KUK47" s="76"/>
      <c r="KUL47" s="76"/>
      <c r="KUM47" s="76"/>
      <c r="KUN47" s="76"/>
      <c r="KUO47" s="76"/>
      <c r="KUP47" s="76"/>
      <c r="KUQ47" s="76"/>
      <c r="KUR47" s="76"/>
      <c r="KUS47" s="76"/>
      <c r="KUT47" s="76"/>
      <c r="KUU47" s="76"/>
      <c r="KUV47" s="76"/>
      <c r="KUW47" s="76"/>
      <c r="KUX47" s="76"/>
      <c r="KUY47" s="76"/>
      <c r="KUZ47" s="76"/>
      <c r="KVA47" s="76"/>
      <c r="KVB47" s="76"/>
      <c r="KVC47" s="76"/>
      <c r="KVD47" s="76"/>
      <c r="KVE47" s="76"/>
      <c r="KVF47" s="76"/>
      <c r="KVG47" s="76"/>
      <c r="KVH47" s="76"/>
      <c r="KVI47" s="76"/>
      <c r="KVJ47" s="76"/>
      <c r="KVK47" s="76"/>
      <c r="KVL47" s="76"/>
      <c r="KVM47" s="76"/>
      <c r="KVN47" s="76"/>
      <c r="KVO47" s="76"/>
      <c r="KVP47" s="76"/>
      <c r="KVQ47" s="76"/>
      <c r="KVR47" s="76"/>
      <c r="KVS47" s="76"/>
      <c r="KVT47" s="76"/>
      <c r="KVU47" s="76"/>
      <c r="KVV47" s="76"/>
      <c r="KVW47" s="76"/>
      <c r="KVX47" s="76"/>
      <c r="KVY47" s="76"/>
      <c r="KVZ47" s="76"/>
      <c r="KWA47" s="76"/>
      <c r="KWB47" s="76"/>
      <c r="KWC47" s="76"/>
      <c r="KWD47" s="76"/>
      <c r="KWE47" s="76"/>
      <c r="KWF47" s="76"/>
      <c r="KWG47" s="76"/>
      <c r="KWH47" s="76"/>
      <c r="KWI47" s="76"/>
      <c r="KWJ47" s="76"/>
      <c r="KWK47" s="76"/>
      <c r="KWL47" s="76"/>
      <c r="KWM47" s="76"/>
      <c r="KWN47" s="76"/>
      <c r="KWO47" s="76"/>
      <c r="KWP47" s="76"/>
      <c r="KWQ47" s="76"/>
      <c r="KWR47" s="76"/>
      <c r="KWS47" s="76"/>
      <c r="KWT47" s="76"/>
      <c r="KWU47" s="76"/>
      <c r="KWV47" s="76"/>
      <c r="KWW47" s="76"/>
      <c r="KWX47" s="76"/>
      <c r="KWY47" s="76"/>
      <c r="KWZ47" s="76"/>
      <c r="KXA47" s="76"/>
      <c r="KXB47" s="76"/>
      <c r="KXC47" s="76"/>
      <c r="KXD47" s="76"/>
      <c r="KXE47" s="76"/>
      <c r="KXF47" s="76"/>
      <c r="KXG47" s="76"/>
      <c r="KXH47" s="76"/>
      <c r="KXI47" s="76"/>
      <c r="KXJ47" s="76"/>
      <c r="KXK47" s="76"/>
      <c r="KXL47" s="76"/>
      <c r="KXM47" s="76"/>
      <c r="KXN47" s="76"/>
      <c r="KXO47" s="76"/>
      <c r="KXP47" s="76"/>
      <c r="KXQ47" s="76"/>
      <c r="KXR47" s="76"/>
      <c r="KXS47" s="76"/>
      <c r="KXT47" s="76"/>
      <c r="KXU47" s="76"/>
      <c r="KXV47" s="76"/>
      <c r="KXW47" s="76"/>
      <c r="KXX47" s="76"/>
      <c r="KXY47" s="76"/>
      <c r="KXZ47" s="76"/>
      <c r="KYA47" s="76"/>
      <c r="KYB47" s="76"/>
      <c r="KYC47" s="76"/>
      <c r="KYD47" s="76"/>
      <c r="KYE47" s="76"/>
      <c r="KYF47" s="76"/>
      <c r="KYG47" s="76"/>
      <c r="KYH47" s="76"/>
      <c r="KYI47" s="76"/>
      <c r="KYJ47" s="76"/>
      <c r="KYK47" s="76"/>
      <c r="KYL47" s="76"/>
      <c r="KYM47" s="76"/>
      <c r="KYN47" s="76"/>
      <c r="KYO47" s="76"/>
      <c r="KYP47" s="76"/>
      <c r="KYQ47" s="76"/>
      <c r="KYR47" s="76"/>
      <c r="KYS47" s="76"/>
      <c r="KYT47" s="76"/>
      <c r="KYU47" s="76"/>
      <c r="KYV47" s="76"/>
      <c r="KYW47" s="76"/>
      <c r="KYX47" s="76"/>
      <c r="KYY47" s="76"/>
      <c r="KYZ47" s="76"/>
      <c r="KZA47" s="76"/>
      <c r="KZB47" s="76"/>
      <c r="KZC47" s="76"/>
      <c r="KZD47" s="76"/>
      <c r="KZE47" s="76"/>
      <c r="KZF47" s="76"/>
      <c r="KZG47" s="76"/>
      <c r="KZH47" s="76"/>
      <c r="KZI47" s="76"/>
      <c r="KZJ47" s="76"/>
      <c r="KZK47" s="76"/>
      <c r="KZL47" s="76"/>
      <c r="KZM47" s="76"/>
      <c r="KZN47" s="76"/>
      <c r="KZO47" s="76"/>
      <c r="KZP47" s="76"/>
      <c r="KZQ47" s="76"/>
      <c r="KZR47" s="76"/>
      <c r="KZS47" s="76"/>
      <c r="KZT47" s="76"/>
      <c r="KZU47" s="76"/>
      <c r="KZV47" s="76"/>
      <c r="KZW47" s="76"/>
      <c r="KZX47" s="76"/>
      <c r="KZY47" s="76"/>
      <c r="KZZ47" s="76"/>
      <c r="LAA47" s="76"/>
      <c r="LAB47" s="76"/>
      <c r="LAC47" s="76"/>
      <c r="LAD47" s="76"/>
      <c r="LAE47" s="76"/>
      <c r="LAF47" s="76"/>
      <c r="LAG47" s="76"/>
      <c r="LAH47" s="76"/>
      <c r="LAI47" s="76"/>
      <c r="LAJ47" s="76"/>
      <c r="LAK47" s="76"/>
      <c r="LAL47" s="76"/>
      <c r="LAM47" s="76"/>
      <c r="LAN47" s="76"/>
      <c r="LAO47" s="76"/>
      <c r="LAP47" s="76"/>
      <c r="LAQ47" s="76"/>
      <c r="LAR47" s="76"/>
      <c r="LAS47" s="76"/>
      <c r="LAT47" s="76"/>
      <c r="LAU47" s="76"/>
      <c r="LAV47" s="76"/>
      <c r="LAW47" s="76"/>
      <c r="LAX47" s="76"/>
      <c r="LAY47" s="76"/>
      <c r="LAZ47" s="76"/>
      <c r="LBA47" s="76"/>
      <c r="LBB47" s="76"/>
      <c r="LBC47" s="76"/>
      <c r="LBD47" s="76"/>
      <c r="LBE47" s="76"/>
      <c r="LBF47" s="76"/>
      <c r="LBG47" s="76"/>
      <c r="LBH47" s="76"/>
      <c r="LBI47" s="76"/>
      <c r="LBJ47" s="76"/>
      <c r="LBK47" s="76"/>
      <c r="LBL47" s="76"/>
      <c r="LBM47" s="76"/>
      <c r="LBN47" s="76"/>
      <c r="LBO47" s="76"/>
      <c r="LBP47" s="76"/>
      <c r="LBQ47" s="76"/>
      <c r="LBR47" s="76"/>
      <c r="LBS47" s="76"/>
      <c r="LBT47" s="76"/>
      <c r="LBU47" s="76"/>
      <c r="LBV47" s="76"/>
      <c r="LBW47" s="76"/>
      <c r="LBX47" s="76"/>
      <c r="LBY47" s="76"/>
      <c r="LBZ47" s="76"/>
      <c r="LCA47" s="76"/>
      <c r="LCB47" s="76"/>
      <c r="LCC47" s="76"/>
      <c r="LCD47" s="76"/>
      <c r="LCE47" s="76"/>
      <c r="LCF47" s="76"/>
      <c r="LCG47" s="76"/>
      <c r="LCH47" s="76"/>
      <c r="LCI47" s="76"/>
      <c r="LCJ47" s="76"/>
      <c r="LCK47" s="76"/>
      <c r="LCL47" s="76"/>
      <c r="LCM47" s="76"/>
      <c r="LCN47" s="76"/>
      <c r="LCO47" s="76"/>
      <c r="LCP47" s="76"/>
      <c r="LCQ47" s="76"/>
      <c r="LCR47" s="76"/>
      <c r="LCS47" s="76"/>
      <c r="LCT47" s="76"/>
      <c r="LCU47" s="76"/>
      <c r="LCV47" s="76"/>
      <c r="LCW47" s="76"/>
      <c r="LCX47" s="76"/>
      <c r="LCY47" s="76"/>
      <c r="LCZ47" s="76"/>
      <c r="LDA47" s="76"/>
      <c r="LDB47" s="76"/>
      <c r="LDC47" s="76"/>
      <c r="LDD47" s="76"/>
      <c r="LDE47" s="76"/>
      <c r="LDF47" s="76"/>
      <c r="LDG47" s="76"/>
      <c r="LDH47" s="76"/>
      <c r="LDI47" s="76"/>
      <c r="LDJ47" s="76"/>
      <c r="LDK47" s="76"/>
      <c r="LDL47" s="76"/>
      <c r="LDM47" s="76"/>
      <c r="LDN47" s="76"/>
      <c r="LDO47" s="76"/>
      <c r="LDP47" s="76"/>
      <c r="LDQ47" s="76"/>
      <c r="LDR47" s="76"/>
      <c r="LDS47" s="76"/>
      <c r="LDT47" s="76"/>
      <c r="LDU47" s="76"/>
      <c r="LDV47" s="76"/>
      <c r="LDW47" s="76"/>
      <c r="LDX47" s="76"/>
      <c r="LDY47" s="76"/>
      <c r="LDZ47" s="76"/>
      <c r="LEA47" s="76"/>
      <c r="LEB47" s="76"/>
      <c r="LEC47" s="76"/>
      <c r="LED47" s="76"/>
      <c r="LEE47" s="76"/>
      <c r="LEF47" s="76"/>
      <c r="LEG47" s="76"/>
      <c r="LEH47" s="76"/>
      <c r="LEI47" s="76"/>
      <c r="LEJ47" s="76"/>
      <c r="LEK47" s="76"/>
      <c r="LEL47" s="76"/>
      <c r="LEM47" s="76"/>
      <c r="LEN47" s="76"/>
      <c r="LEO47" s="76"/>
      <c r="LEP47" s="76"/>
      <c r="LEQ47" s="76"/>
      <c r="LER47" s="76"/>
      <c r="LES47" s="76"/>
      <c r="LET47" s="76"/>
      <c r="LEU47" s="76"/>
      <c r="LEV47" s="76"/>
      <c r="LEW47" s="76"/>
      <c r="LEX47" s="76"/>
      <c r="LEY47" s="76"/>
      <c r="LEZ47" s="76"/>
      <c r="LFA47" s="76"/>
      <c r="LFB47" s="76"/>
      <c r="LFC47" s="76"/>
      <c r="LFD47" s="76"/>
      <c r="LFE47" s="76"/>
      <c r="LFF47" s="76"/>
      <c r="LFG47" s="76"/>
      <c r="LFH47" s="76"/>
      <c r="LFI47" s="76"/>
      <c r="LFJ47" s="76"/>
      <c r="LFK47" s="76"/>
      <c r="LFL47" s="76"/>
      <c r="LFM47" s="76"/>
      <c r="LFN47" s="76"/>
      <c r="LFO47" s="76"/>
      <c r="LFP47" s="76"/>
      <c r="LFQ47" s="76"/>
      <c r="LFR47" s="76"/>
      <c r="LFS47" s="76"/>
      <c r="LFT47" s="76"/>
      <c r="LFU47" s="76"/>
      <c r="LFV47" s="76"/>
      <c r="LFW47" s="76"/>
      <c r="LFX47" s="76"/>
      <c r="LFY47" s="76"/>
      <c r="LFZ47" s="76"/>
      <c r="LGA47" s="76"/>
      <c r="LGB47" s="76"/>
      <c r="LGC47" s="76"/>
      <c r="LGD47" s="76"/>
      <c r="LGE47" s="76"/>
      <c r="LGF47" s="76"/>
      <c r="LGG47" s="76"/>
      <c r="LGH47" s="76"/>
      <c r="LGI47" s="76"/>
      <c r="LGJ47" s="76"/>
      <c r="LGK47" s="76"/>
      <c r="LGL47" s="76"/>
      <c r="LGM47" s="76"/>
      <c r="LGN47" s="76"/>
      <c r="LGO47" s="76"/>
      <c r="LGP47" s="76"/>
      <c r="LGQ47" s="76"/>
      <c r="LGR47" s="76"/>
      <c r="LGS47" s="76"/>
      <c r="LGT47" s="76"/>
      <c r="LGU47" s="76"/>
      <c r="LGV47" s="76"/>
      <c r="LGW47" s="76"/>
      <c r="LGX47" s="76"/>
      <c r="LGY47" s="76"/>
      <c r="LGZ47" s="76"/>
      <c r="LHA47" s="76"/>
      <c r="LHB47" s="76"/>
      <c r="LHC47" s="76"/>
      <c r="LHD47" s="76"/>
      <c r="LHE47" s="76"/>
      <c r="LHF47" s="76"/>
      <c r="LHG47" s="76"/>
      <c r="LHH47" s="76"/>
      <c r="LHI47" s="76"/>
      <c r="LHJ47" s="76"/>
      <c r="LHK47" s="76"/>
      <c r="LHL47" s="76"/>
      <c r="LHM47" s="76"/>
      <c r="LHN47" s="76"/>
      <c r="LHO47" s="76"/>
      <c r="LHP47" s="76"/>
      <c r="LHQ47" s="76"/>
      <c r="LHR47" s="76"/>
      <c r="LHS47" s="76"/>
      <c r="LHT47" s="76"/>
      <c r="LHU47" s="76"/>
      <c r="LHV47" s="76"/>
      <c r="LHW47" s="76"/>
      <c r="LHX47" s="76"/>
      <c r="LHY47" s="76"/>
      <c r="LHZ47" s="76"/>
      <c r="LIA47" s="76"/>
      <c r="LIB47" s="76"/>
      <c r="LIC47" s="76"/>
      <c r="LID47" s="76"/>
      <c r="LIE47" s="76"/>
      <c r="LIF47" s="76"/>
      <c r="LIG47" s="76"/>
      <c r="LIH47" s="76"/>
      <c r="LII47" s="76"/>
      <c r="LIJ47" s="76"/>
      <c r="LIK47" s="76"/>
      <c r="LIL47" s="76"/>
      <c r="LIM47" s="76"/>
      <c r="LIN47" s="76"/>
      <c r="LIO47" s="76"/>
      <c r="LIP47" s="76"/>
      <c r="LIQ47" s="76"/>
      <c r="LIR47" s="76"/>
      <c r="LIS47" s="76"/>
      <c r="LIT47" s="76"/>
      <c r="LIU47" s="76"/>
      <c r="LIV47" s="76"/>
      <c r="LIW47" s="76"/>
      <c r="LIX47" s="76"/>
      <c r="LIY47" s="76"/>
      <c r="LIZ47" s="76"/>
      <c r="LJA47" s="76"/>
      <c r="LJB47" s="76"/>
      <c r="LJC47" s="76"/>
      <c r="LJD47" s="76"/>
      <c r="LJE47" s="76"/>
      <c r="LJF47" s="76"/>
      <c r="LJG47" s="76"/>
      <c r="LJH47" s="76"/>
      <c r="LJI47" s="76"/>
      <c r="LJJ47" s="76"/>
      <c r="LJK47" s="76"/>
      <c r="LJL47" s="76"/>
      <c r="LJM47" s="76"/>
      <c r="LJN47" s="76"/>
      <c r="LJO47" s="76"/>
      <c r="LJP47" s="76"/>
      <c r="LJQ47" s="76"/>
      <c r="LJR47" s="76"/>
      <c r="LJS47" s="76"/>
      <c r="LJT47" s="76"/>
      <c r="LJU47" s="76"/>
      <c r="LJV47" s="76"/>
      <c r="LJW47" s="76"/>
      <c r="LJX47" s="76"/>
      <c r="LJY47" s="76"/>
      <c r="LJZ47" s="76"/>
      <c r="LKA47" s="76"/>
      <c r="LKB47" s="76"/>
      <c r="LKC47" s="76"/>
      <c r="LKD47" s="76"/>
      <c r="LKE47" s="76"/>
      <c r="LKF47" s="76"/>
      <c r="LKG47" s="76"/>
      <c r="LKH47" s="76"/>
      <c r="LKI47" s="76"/>
      <c r="LKJ47" s="76"/>
      <c r="LKK47" s="76"/>
      <c r="LKL47" s="76"/>
      <c r="LKM47" s="76"/>
      <c r="LKN47" s="76"/>
      <c r="LKO47" s="76"/>
      <c r="LKP47" s="76"/>
      <c r="LKQ47" s="76"/>
      <c r="LKR47" s="76"/>
      <c r="LKS47" s="76"/>
      <c r="LKT47" s="76"/>
      <c r="LKU47" s="76"/>
      <c r="LKV47" s="76"/>
      <c r="LKW47" s="76"/>
      <c r="LKX47" s="76"/>
      <c r="LKY47" s="76"/>
      <c r="LKZ47" s="76"/>
      <c r="LLA47" s="76"/>
      <c r="LLB47" s="76"/>
      <c r="LLC47" s="76"/>
      <c r="LLD47" s="76"/>
      <c r="LLE47" s="76"/>
      <c r="LLF47" s="76"/>
      <c r="LLG47" s="76"/>
      <c r="LLH47" s="76"/>
      <c r="LLI47" s="76"/>
      <c r="LLJ47" s="76"/>
      <c r="LLK47" s="76"/>
      <c r="LLL47" s="76"/>
      <c r="LLM47" s="76"/>
      <c r="LLN47" s="76"/>
      <c r="LLO47" s="76"/>
      <c r="LLP47" s="76"/>
      <c r="LLQ47" s="76"/>
      <c r="LLR47" s="76"/>
      <c r="LLS47" s="76"/>
      <c r="LLT47" s="76"/>
      <c r="LLU47" s="76"/>
      <c r="LLV47" s="76"/>
      <c r="LLW47" s="76"/>
      <c r="LLX47" s="76"/>
      <c r="LLY47" s="76"/>
      <c r="LLZ47" s="76"/>
      <c r="LMA47" s="76"/>
      <c r="LMB47" s="76"/>
      <c r="LMC47" s="76"/>
      <c r="LMD47" s="76"/>
      <c r="LME47" s="76"/>
      <c r="LMF47" s="76"/>
      <c r="LMG47" s="76"/>
      <c r="LMH47" s="76"/>
      <c r="LMI47" s="76"/>
      <c r="LMJ47" s="76"/>
      <c r="LMK47" s="76"/>
      <c r="LML47" s="76"/>
      <c r="LMM47" s="76"/>
      <c r="LMN47" s="76"/>
      <c r="LMO47" s="76"/>
      <c r="LMP47" s="76"/>
      <c r="LMQ47" s="76"/>
      <c r="LMR47" s="76"/>
      <c r="LMS47" s="76"/>
      <c r="LMT47" s="76"/>
      <c r="LMU47" s="76"/>
      <c r="LMV47" s="76"/>
      <c r="LMW47" s="76"/>
      <c r="LMX47" s="76"/>
      <c r="LMY47" s="76"/>
      <c r="LMZ47" s="76"/>
      <c r="LNA47" s="76"/>
      <c r="LNB47" s="76"/>
      <c r="LNC47" s="76"/>
      <c r="LND47" s="76"/>
      <c r="LNE47" s="76"/>
      <c r="LNF47" s="76"/>
      <c r="LNG47" s="76"/>
      <c r="LNH47" s="76"/>
      <c r="LNI47" s="76"/>
      <c r="LNJ47" s="76"/>
      <c r="LNK47" s="76"/>
      <c r="LNL47" s="76"/>
      <c r="LNM47" s="76"/>
      <c r="LNN47" s="76"/>
      <c r="LNO47" s="76"/>
      <c r="LNP47" s="76"/>
      <c r="LNQ47" s="76"/>
      <c r="LNR47" s="76"/>
      <c r="LNS47" s="76"/>
      <c r="LNT47" s="76"/>
      <c r="LNU47" s="76"/>
      <c r="LNV47" s="76"/>
      <c r="LNW47" s="76"/>
      <c r="LNX47" s="76"/>
      <c r="LNY47" s="76"/>
      <c r="LNZ47" s="76"/>
      <c r="LOA47" s="76"/>
      <c r="LOB47" s="76"/>
      <c r="LOC47" s="76"/>
      <c r="LOD47" s="76"/>
      <c r="LOE47" s="76"/>
      <c r="LOF47" s="76"/>
      <c r="LOG47" s="76"/>
      <c r="LOH47" s="76"/>
      <c r="LOI47" s="76"/>
      <c r="LOJ47" s="76"/>
      <c r="LOK47" s="76"/>
      <c r="LOL47" s="76"/>
      <c r="LOM47" s="76"/>
      <c r="LON47" s="76"/>
      <c r="LOO47" s="76"/>
      <c r="LOP47" s="76"/>
      <c r="LOQ47" s="76"/>
      <c r="LOR47" s="76"/>
      <c r="LOS47" s="76"/>
      <c r="LOT47" s="76"/>
      <c r="LOU47" s="76"/>
      <c r="LOV47" s="76"/>
      <c r="LOW47" s="76"/>
      <c r="LOX47" s="76"/>
      <c r="LOY47" s="76"/>
      <c r="LOZ47" s="76"/>
      <c r="LPA47" s="76"/>
      <c r="LPB47" s="76"/>
      <c r="LPC47" s="76"/>
      <c r="LPD47" s="76"/>
      <c r="LPE47" s="76"/>
      <c r="LPF47" s="76"/>
      <c r="LPG47" s="76"/>
      <c r="LPH47" s="76"/>
      <c r="LPI47" s="76"/>
      <c r="LPJ47" s="76"/>
      <c r="LPK47" s="76"/>
      <c r="LPL47" s="76"/>
      <c r="LPM47" s="76"/>
      <c r="LPN47" s="76"/>
      <c r="LPO47" s="76"/>
      <c r="LPP47" s="76"/>
      <c r="LPQ47" s="76"/>
      <c r="LPR47" s="76"/>
      <c r="LPS47" s="76"/>
      <c r="LPT47" s="76"/>
      <c r="LPU47" s="76"/>
      <c r="LPV47" s="76"/>
      <c r="LPW47" s="76"/>
      <c r="LPX47" s="76"/>
      <c r="LPY47" s="76"/>
      <c r="LPZ47" s="76"/>
      <c r="LQA47" s="76"/>
      <c r="LQB47" s="76"/>
      <c r="LQC47" s="76"/>
      <c r="LQD47" s="76"/>
      <c r="LQE47" s="76"/>
      <c r="LQF47" s="76"/>
      <c r="LQG47" s="76"/>
      <c r="LQH47" s="76"/>
      <c r="LQI47" s="76"/>
      <c r="LQJ47" s="76"/>
      <c r="LQK47" s="76"/>
      <c r="LQL47" s="76"/>
      <c r="LQM47" s="76"/>
      <c r="LQN47" s="76"/>
      <c r="LQO47" s="76"/>
      <c r="LQP47" s="76"/>
      <c r="LQQ47" s="76"/>
      <c r="LQR47" s="76"/>
      <c r="LQS47" s="76"/>
      <c r="LQT47" s="76"/>
      <c r="LQU47" s="76"/>
      <c r="LQV47" s="76"/>
      <c r="LQW47" s="76"/>
      <c r="LQX47" s="76"/>
      <c r="LQY47" s="76"/>
      <c r="LQZ47" s="76"/>
      <c r="LRA47" s="76"/>
      <c r="LRB47" s="76"/>
      <c r="LRC47" s="76"/>
      <c r="LRD47" s="76"/>
      <c r="LRE47" s="76"/>
      <c r="LRF47" s="76"/>
      <c r="LRG47" s="76"/>
      <c r="LRH47" s="76"/>
      <c r="LRI47" s="76"/>
      <c r="LRJ47" s="76"/>
      <c r="LRK47" s="76"/>
      <c r="LRL47" s="76"/>
      <c r="LRM47" s="76"/>
      <c r="LRN47" s="76"/>
      <c r="LRO47" s="76"/>
      <c r="LRP47" s="76"/>
      <c r="LRQ47" s="76"/>
      <c r="LRR47" s="76"/>
      <c r="LRS47" s="76"/>
      <c r="LRT47" s="76"/>
      <c r="LRU47" s="76"/>
      <c r="LRV47" s="76"/>
      <c r="LRW47" s="76"/>
      <c r="LRX47" s="76"/>
      <c r="LRY47" s="76"/>
      <c r="LRZ47" s="76"/>
      <c r="LSA47" s="76"/>
      <c r="LSB47" s="76"/>
      <c r="LSC47" s="76"/>
      <c r="LSD47" s="76"/>
      <c r="LSE47" s="76"/>
      <c r="LSF47" s="76"/>
      <c r="LSG47" s="76"/>
      <c r="LSH47" s="76"/>
      <c r="LSI47" s="76"/>
      <c r="LSJ47" s="76"/>
      <c r="LSK47" s="76"/>
      <c r="LSL47" s="76"/>
      <c r="LSM47" s="76"/>
      <c r="LSN47" s="76"/>
      <c r="LSO47" s="76"/>
      <c r="LSP47" s="76"/>
      <c r="LSQ47" s="76"/>
      <c r="LSR47" s="76"/>
      <c r="LSS47" s="76"/>
      <c r="LST47" s="76"/>
      <c r="LSU47" s="76"/>
      <c r="LSV47" s="76"/>
      <c r="LSW47" s="76"/>
      <c r="LSX47" s="76"/>
      <c r="LSY47" s="76"/>
      <c r="LSZ47" s="76"/>
      <c r="LTA47" s="76"/>
      <c r="LTB47" s="76"/>
      <c r="LTC47" s="76"/>
      <c r="LTD47" s="76"/>
      <c r="LTE47" s="76"/>
      <c r="LTF47" s="76"/>
      <c r="LTG47" s="76"/>
      <c r="LTH47" s="76"/>
      <c r="LTI47" s="76"/>
      <c r="LTJ47" s="76"/>
      <c r="LTK47" s="76"/>
      <c r="LTL47" s="76"/>
      <c r="LTM47" s="76"/>
      <c r="LTN47" s="76"/>
      <c r="LTO47" s="76"/>
      <c r="LTP47" s="76"/>
      <c r="LTQ47" s="76"/>
      <c r="LTR47" s="76"/>
      <c r="LTS47" s="76"/>
      <c r="LTT47" s="76"/>
      <c r="LTU47" s="76"/>
      <c r="LTV47" s="76"/>
      <c r="LTW47" s="76"/>
      <c r="LTX47" s="76"/>
      <c r="LTY47" s="76"/>
      <c r="LTZ47" s="76"/>
      <c r="LUA47" s="76"/>
      <c r="LUB47" s="76"/>
      <c r="LUC47" s="76"/>
      <c r="LUD47" s="76"/>
      <c r="LUE47" s="76"/>
      <c r="LUF47" s="76"/>
      <c r="LUG47" s="76"/>
      <c r="LUH47" s="76"/>
      <c r="LUI47" s="76"/>
      <c r="LUJ47" s="76"/>
      <c r="LUK47" s="76"/>
      <c r="LUL47" s="76"/>
      <c r="LUM47" s="76"/>
      <c r="LUN47" s="76"/>
      <c r="LUO47" s="76"/>
      <c r="LUP47" s="76"/>
      <c r="LUQ47" s="76"/>
      <c r="LUR47" s="76"/>
      <c r="LUS47" s="76"/>
      <c r="LUT47" s="76"/>
      <c r="LUU47" s="76"/>
      <c r="LUV47" s="76"/>
      <c r="LUW47" s="76"/>
      <c r="LUX47" s="76"/>
      <c r="LUY47" s="76"/>
      <c r="LUZ47" s="76"/>
      <c r="LVA47" s="76"/>
      <c r="LVB47" s="76"/>
      <c r="LVC47" s="76"/>
      <c r="LVD47" s="76"/>
      <c r="LVE47" s="76"/>
      <c r="LVF47" s="76"/>
      <c r="LVG47" s="76"/>
      <c r="LVH47" s="76"/>
      <c r="LVI47" s="76"/>
      <c r="LVJ47" s="76"/>
      <c r="LVK47" s="76"/>
      <c r="LVL47" s="76"/>
      <c r="LVM47" s="76"/>
      <c r="LVN47" s="76"/>
      <c r="LVO47" s="76"/>
      <c r="LVP47" s="76"/>
      <c r="LVQ47" s="76"/>
      <c r="LVR47" s="76"/>
      <c r="LVS47" s="76"/>
      <c r="LVT47" s="76"/>
      <c r="LVU47" s="76"/>
      <c r="LVV47" s="76"/>
      <c r="LVW47" s="76"/>
      <c r="LVX47" s="76"/>
      <c r="LVY47" s="76"/>
      <c r="LVZ47" s="76"/>
      <c r="LWA47" s="76"/>
      <c r="LWB47" s="76"/>
      <c r="LWC47" s="76"/>
      <c r="LWD47" s="76"/>
      <c r="LWE47" s="76"/>
      <c r="LWF47" s="76"/>
      <c r="LWG47" s="76"/>
      <c r="LWH47" s="76"/>
      <c r="LWI47" s="76"/>
      <c r="LWJ47" s="76"/>
      <c r="LWK47" s="76"/>
      <c r="LWL47" s="76"/>
      <c r="LWM47" s="76"/>
      <c r="LWN47" s="76"/>
      <c r="LWO47" s="76"/>
      <c r="LWP47" s="76"/>
      <c r="LWQ47" s="76"/>
      <c r="LWR47" s="76"/>
      <c r="LWS47" s="76"/>
      <c r="LWT47" s="76"/>
      <c r="LWU47" s="76"/>
      <c r="LWV47" s="76"/>
      <c r="LWW47" s="76"/>
      <c r="LWX47" s="76"/>
      <c r="LWY47" s="76"/>
      <c r="LWZ47" s="76"/>
      <c r="LXA47" s="76"/>
      <c r="LXB47" s="76"/>
      <c r="LXC47" s="76"/>
      <c r="LXD47" s="76"/>
      <c r="LXE47" s="76"/>
      <c r="LXF47" s="76"/>
      <c r="LXG47" s="76"/>
      <c r="LXH47" s="76"/>
      <c r="LXI47" s="76"/>
      <c r="LXJ47" s="76"/>
      <c r="LXK47" s="76"/>
      <c r="LXL47" s="76"/>
      <c r="LXM47" s="76"/>
      <c r="LXN47" s="76"/>
      <c r="LXO47" s="76"/>
      <c r="LXP47" s="76"/>
      <c r="LXQ47" s="76"/>
      <c r="LXR47" s="76"/>
      <c r="LXS47" s="76"/>
      <c r="LXT47" s="76"/>
      <c r="LXU47" s="76"/>
      <c r="LXV47" s="76"/>
      <c r="LXW47" s="76"/>
      <c r="LXX47" s="76"/>
      <c r="LXY47" s="76"/>
      <c r="LXZ47" s="76"/>
      <c r="LYA47" s="76"/>
      <c r="LYB47" s="76"/>
      <c r="LYC47" s="76"/>
      <c r="LYD47" s="76"/>
      <c r="LYE47" s="76"/>
      <c r="LYF47" s="76"/>
      <c r="LYG47" s="76"/>
      <c r="LYH47" s="76"/>
      <c r="LYI47" s="76"/>
      <c r="LYJ47" s="76"/>
      <c r="LYK47" s="76"/>
      <c r="LYL47" s="76"/>
      <c r="LYM47" s="76"/>
      <c r="LYN47" s="76"/>
      <c r="LYO47" s="76"/>
      <c r="LYP47" s="76"/>
      <c r="LYQ47" s="76"/>
      <c r="LYR47" s="76"/>
      <c r="LYS47" s="76"/>
      <c r="LYT47" s="76"/>
      <c r="LYU47" s="76"/>
      <c r="LYV47" s="76"/>
      <c r="LYW47" s="76"/>
      <c r="LYX47" s="76"/>
      <c r="LYY47" s="76"/>
      <c r="LYZ47" s="76"/>
      <c r="LZA47" s="76"/>
      <c r="LZB47" s="76"/>
      <c r="LZC47" s="76"/>
      <c r="LZD47" s="76"/>
      <c r="LZE47" s="76"/>
      <c r="LZF47" s="76"/>
      <c r="LZG47" s="76"/>
      <c r="LZH47" s="76"/>
      <c r="LZI47" s="76"/>
      <c r="LZJ47" s="76"/>
      <c r="LZK47" s="76"/>
      <c r="LZL47" s="76"/>
      <c r="LZM47" s="76"/>
      <c r="LZN47" s="76"/>
      <c r="LZO47" s="76"/>
      <c r="LZP47" s="76"/>
      <c r="LZQ47" s="76"/>
      <c r="LZR47" s="76"/>
      <c r="LZS47" s="76"/>
      <c r="LZT47" s="76"/>
      <c r="LZU47" s="76"/>
      <c r="LZV47" s="76"/>
      <c r="LZW47" s="76"/>
      <c r="LZX47" s="76"/>
      <c r="LZY47" s="76"/>
      <c r="LZZ47" s="76"/>
      <c r="MAA47" s="76"/>
      <c r="MAB47" s="76"/>
      <c r="MAC47" s="76"/>
      <c r="MAD47" s="76"/>
      <c r="MAE47" s="76"/>
      <c r="MAF47" s="76"/>
      <c r="MAG47" s="76"/>
      <c r="MAH47" s="76"/>
      <c r="MAI47" s="76"/>
      <c r="MAJ47" s="76"/>
      <c r="MAK47" s="76"/>
      <c r="MAL47" s="76"/>
      <c r="MAM47" s="76"/>
      <c r="MAN47" s="76"/>
      <c r="MAO47" s="76"/>
      <c r="MAP47" s="76"/>
      <c r="MAQ47" s="76"/>
      <c r="MAR47" s="76"/>
      <c r="MAS47" s="76"/>
      <c r="MAT47" s="76"/>
      <c r="MAU47" s="76"/>
      <c r="MAV47" s="76"/>
      <c r="MAW47" s="76"/>
      <c r="MAX47" s="76"/>
      <c r="MAY47" s="76"/>
      <c r="MAZ47" s="76"/>
      <c r="MBA47" s="76"/>
      <c r="MBB47" s="76"/>
      <c r="MBC47" s="76"/>
      <c r="MBD47" s="76"/>
      <c r="MBE47" s="76"/>
      <c r="MBF47" s="76"/>
      <c r="MBG47" s="76"/>
      <c r="MBH47" s="76"/>
      <c r="MBI47" s="76"/>
      <c r="MBJ47" s="76"/>
      <c r="MBK47" s="76"/>
      <c r="MBL47" s="76"/>
      <c r="MBM47" s="76"/>
      <c r="MBN47" s="76"/>
      <c r="MBO47" s="76"/>
      <c r="MBP47" s="76"/>
      <c r="MBQ47" s="76"/>
      <c r="MBR47" s="76"/>
      <c r="MBS47" s="76"/>
      <c r="MBT47" s="76"/>
      <c r="MBU47" s="76"/>
      <c r="MBV47" s="76"/>
      <c r="MBW47" s="76"/>
      <c r="MBX47" s="76"/>
      <c r="MBY47" s="76"/>
      <c r="MBZ47" s="76"/>
      <c r="MCA47" s="76"/>
      <c r="MCB47" s="76"/>
      <c r="MCC47" s="76"/>
      <c r="MCD47" s="76"/>
      <c r="MCE47" s="76"/>
      <c r="MCF47" s="76"/>
      <c r="MCG47" s="76"/>
      <c r="MCH47" s="76"/>
      <c r="MCI47" s="76"/>
      <c r="MCJ47" s="76"/>
      <c r="MCK47" s="76"/>
      <c r="MCL47" s="76"/>
      <c r="MCM47" s="76"/>
      <c r="MCN47" s="76"/>
      <c r="MCO47" s="76"/>
      <c r="MCP47" s="76"/>
      <c r="MCQ47" s="76"/>
      <c r="MCR47" s="76"/>
      <c r="MCS47" s="76"/>
      <c r="MCT47" s="76"/>
      <c r="MCU47" s="76"/>
      <c r="MCV47" s="76"/>
      <c r="MCW47" s="76"/>
      <c r="MCX47" s="76"/>
      <c r="MCY47" s="76"/>
      <c r="MCZ47" s="76"/>
      <c r="MDA47" s="76"/>
      <c r="MDB47" s="76"/>
      <c r="MDC47" s="76"/>
      <c r="MDD47" s="76"/>
      <c r="MDE47" s="76"/>
      <c r="MDF47" s="76"/>
      <c r="MDG47" s="76"/>
      <c r="MDH47" s="76"/>
      <c r="MDI47" s="76"/>
      <c r="MDJ47" s="76"/>
      <c r="MDK47" s="76"/>
      <c r="MDL47" s="76"/>
      <c r="MDM47" s="76"/>
      <c r="MDN47" s="76"/>
      <c r="MDO47" s="76"/>
      <c r="MDP47" s="76"/>
      <c r="MDQ47" s="76"/>
      <c r="MDR47" s="76"/>
      <c r="MDS47" s="76"/>
      <c r="MDT47" s="76"/>
      <c r="MDU47" s="76"/>
      <c r="MDV47" s="76"/>
      <c r="MDW47" s="76"/>
      <c r="MDX47" s="76"/>
      <c r="MDY47" s="76"/>
      <c r="MDZ47" s="76"/>
      <c r="MEA47" s="76"/>
      <c r="MEB47" s="76"/>
      <c r="MEC47" s="76"/>
      <c r="MED47" s="76"/>
      <c r="MEE47" s="76"/>
      <c r="MEF47" s="76"/>
      <c r="MEG47" s="76"/>
      <c r="MEH47" s="76"/>
      <c r="MEI47" s="76"/>
      <c r="MEJ47" s="76"/>
      <c r="MEK47" s="76"/>
      <c r="MEL47" s="76"/>
      <c r="MEM47" s="76"/>
      <c r="MEN47" s="76"/>
      <c r="MEO47" s="76"/>
      <c r="MEP47" s="76"/>
      <c r="MEQ47" s="76"/>
      <c r="MER47" s="76"/>
      <c r="MES47" s="76"/>
      <c r="MET47" s="76"/>
      <c r="MEU47" s="76"/>
      <c r="MEV47" s="76"/>
      <c r="MEW47" s="76"/>
      <c r="MEX47" s="76"/>
      <c r="MEY47" s="76"/>
      <c r="MEZ47" s="76"/>
      <c r="MFA47" s="76"/>
      <c r="MFB47" s="76"/>
      <c r="MFC47" s="76"/>
      <c r="MFD47" s="76"/>
      <c r="MFE47" s="76"/>
      <c r="MFF47" s="76"/>
      <c r="MFG47" s="76"/>
      <c r="MFH47" s="76"/>
      <c r="MFI47" s="76"/>
      <c r="MFJ47" s="76"/>
      <c r="MFK47" s="76"/>
      <c r="MFL47" s="76"/>
      <c r="MFM47" s="76"/>
      <c r="MFN47" s="76"/>
      <c r="MFO47" s="76"/>
      <c r="MFP47" s="76"/>
      <c r="MFQ47" s="76"/>
      <c r="MFR47" s="76"/>
      <c r="MFS47" s="76"/>
      <c r="MFT47" s="76"/>
      <c r="MFU47" s="76"/>
      <c r="MFV47" s="76"/>
      <c r="MFW47" s="76"/>
      <c r="MFX47" s="76"/>
      <c r="MFY47" s="76"/>
      <c r="MFZ47" s="76"/>
      <c r="MGA47" s="76"/>
      <c r="MGB47" s="76"/>
      <c r="MGC47" s="76"/>
      <c r="MGD47" s="76"/>
      <c r="MGE47" s="76"/>
      <c r="MGF47" s="76"/>
      <c r="MGG47" s="76"/>
      <c r="MGH47" s="76"/>
      <c r="MGI47" s="76"/>
      <c r="MGJ47" s="76"/>
      <c r="MGK47" s="76"/>
      <c r="MGL47" s="76"/>
      <c r="MGM47" s="76"/>
      <c r="MGN47" s="76"/>
      <c r="MGO47" s="76"/>
      <c r="MGP47" s="76"/>
      <c r="MGQ47" s="76"/>
      <c r="MGR47" s="76"/>
      <c r="MGS47" s="76"/>
      <c r="MGT47" s="76"/>
      <c r="MGU47" s="76"/>
      <c r="MGV47" s="76"/>
      <c r="MGW47" s="76"/>
      <c r="MGX47" s="76"/>
      <c r="MGY47" s="76"/>
      <c r="MGZ47" s="76"/>
      <c r="MHA47" s="76"/>
      <c r="MHB47" s="76"/>
      <c r="MHC47" s="76"/>
      <c r="MHD47" s="76"/>
      <c r="MHE47" s="76"/>
      <c r="MHF47" s="76"/>
      <c r="MHG47" s="76"/>
      <c r="MHH47" s="76"/>
      <c r="MHI47" s="76"/>
      <c r="MHJ47" s="76"/>
      <c r="MHK47" s="76"/>
      <c r="MHL47" s="76"/>
      <c r="MHM47" s="76"/>
      <c r="MHN47" s="76"/>
      <c r="MHO47" s="76"/>
      <c r="MHP47" s="76"/>
      <c r="MHQ47" s="76"/>
      <c r="MHR47" s="76"/>
      <c r="MHS47" s="76"/>
      <c r="MHT47" s="76"/>
      <c r="MHU47" s="76"/>
      <c r="MHV47" s="76"/>
      <c r="MHW47" s="76"/>
      <c r="MHX47" s="76"/>
      <c r="MHY47" s="76"/>
      <c r="MHZ47" s="76"/>
      <c r="MIA47" s="76"/>
      <c r="MIB47" s="76"/>
      <c r="MIC47" s="76"/>
      <c r="MID47" s="76"/>
      <c r="MIE47" s="76"/>
      <c r="MIF47" s="76"/>
      <c r="MIG47" s="76"/>
      <c r="MIH47" s="76"/>
      <c r="MII47" s="76"/>
      <c r="MIJ47" s="76"/>
      <c r="MIK47" s="76"/>
      <c r="MIL47" s="76"/>
      <c r="MIM47" s="76"/>
      <c r="MIN47" s="76"/>
      <c r="MIO47" s="76"/>
      <c r="MIP47" s="76"/>
      <c r="MIQ47" s="76"/>
      <c r="MIR47" s="76"/>
      <c r="MIS47" s="76"/>
      <c r="MIT47" s="76"/>
      <c r="MIU47" s="76"/>
      <c r="MIV47" s="76"/>
      <c r="MIW47" s="76"/>
      <c r="MIX47" s="76"/>
      <c r="MIY47" s="76"/>
      <c r="MIZ47" s="76"/>
      <c r="MJA47" s="76"/>
      <c r="MJB47" s="76"/>
      <c r="MJC47" s="76"/>
      <c r="MJD47" s="76"/>
      <c r="MJE47" s="76"/>
      <c r="MJF47" s="76"/>
      <c r="MJG47" s="76"/>
      <c r="MJH47" s="76"/>
      <c r="MJI47" s="76"/>
      <c r="MJJ47" s="76"/>
      <c r="MJK47" s="76"/>
      <c r="MJL47" s="76"/>
      <c r="MJM47" s="76"/>
      <c r="MJN47" s="76"/>
      <c r="MJO47" s="76"/>
      <c r="MJP47" s="76"/>
      <c r="MJQ47" s="76"/>
      <c r="MJR47" s="76"/>
      <c r="MJS47" s="76"/>
      <c r="MJT47" s="76"/>
      <c r="MJU47" s="76"/>
      <c r="MJV47" s="76"/>
      <c r="MJW47" s="76"/>
      <c r="MJX47" s="76"/>
      <c r="MJY47" s="76"/>
      <c r="MJZ47" s="76"/>
      <c r="MKA47" s="76"/>
      <c r="MKB47" s="76"/>
      <c r="MKC47" s="76"/>
      <c r="MKD47" s="76"/>
      <c r="MKE47" s="76"/>
      <c r="MKF47" s="76"/>
      <c r="MKG47" s="76"/>
      <c r="MKH47" s="76"/>
      <c r="MKI47" s="76"/>
      <c r="MKJ47" s="76"/>
      <c r="MKK47" s="76"/>
      <c r="MKL47" s="76"/>
      <c r="MKM47" s="76"/>
      <c r="MKN47" s="76"/>
      <c r="MKO47" s="76"/>
      <c r="MKP47" s="76"/>
      <c r="MKQ47" s="76"/>
      <c r="MKR47" s="76"/>
      <c r="MKS47" s="76"/>
      <c r="MKT47" s="76"/>
      <c r="MKU47" s="76"/>
      <c r="MKV47" s="76"/>
      <c r="MKW47" s="76"/>
      <c r="MKX47" s="76"/>
      <c r="MKY47" s="76"/>
      <c r="MKZ47" s="76"/>
      <c r="MLA47" s="76"/>
      <c r="MLB47" s="76"/>
      <c r="MLC47" s="76"/>
      <c r="MLD47" s="76"/>
      <c r="MLE47" s="76"/>
      <c r="MLF47" s="76"/>
      <c r="MLG47" s="76"/>
      <c r="MLH47" s="76"/>
      <c r="MLI47" s="76"/>
      <c r="MLJ47" s="76"/>
      <c r="MLK47" s="76"/>
      <c r="MLL47" s="76"/>
      <c r="MLM47" s="76"/>
      <c r="MLN47" s="76"/>
      <c r="MLO47" s="76"/>
      <c r="MLP47" s="76"/>
      <c r="MLQ47" s="76"/>
      <c r="MLR47" s="76"/>
      <c r="MLS47" s="76"/>
      <c r="MLT47" s="76"/>
      <c r="MLU47" s="76"/>
      <c r="MLV47" s="76"/>
      <c r="MLW47" s="76"/>
      <c r="MLX47" s="76"/>
      <c r="MLY47" s="76"/>
      <c r="MLZ47" s="76"/>
      <c r="MMA47" s="76"/>
      <c r="MMB47" s="76"/>
      <c r="MMC47" s="76"/>
      <c r="MMD47" s="76"/>
      <c r="MME47" s="76"/>
      <c r="MMF47" s="76"/>
      <c r="MMG47" s="76"/>
      <c r="MMH47" s="76"/>
      <c r="MMI47" s="76"/>
      <c r="MMJ47" s="76"/>
      <c r="MMK47" s="76"/>
      <c r="MML47" s="76"/>
      <c r="MMM47" s="76"/>
      <c r="MMN47" s="76"/>
      <c r="MMO47" s="76"/>
      <c r="MMP47" s="76"/>
      <c r="MMQ47" s="76"/>
      <c r="MMR47" s="76"/>
      <c r="MMS47" s="76"/>
      <c r="MMT47" s="76"/>
      <c r="MMU47" s="76"/>
      <c r="MMV47" s="76"/>
      <c r="MMW47" s="76"/>
      <c r="MMX47" s="76"/>
      <c r="MMY47" s="76"/>
      <c r="MMZ47" s="76"/>
      <c r="MNA47" s="76"/>
      <c r="MNB47" s="76"/>
      <c r="MNC47" s="76"/>
      <c r="MND47" s="76"/>
      <c r="MNE47" s="76"/>
      <c r="MNF47" s="76"/>
      <c r="MNG47" s="76"/>
      <c r="MNH47" s="76"/>
      <c r="MNI47" s="76"/>
      <c r="MNJ47" s="76"/>
      <c r="MNK47" s="76"/>
      <c r="MNL47" s="76"/>
      <c r="MNM47" s="76"/>
      <c r="MNN47" s="76"/>
      <c r="MNO47" s="76"/>
      <c r="MNP47" s="76"/>
      <c r="MNQ47" s="76"/>
      <c r="MNR47" s="76"/>
      <c r="MNS47" s="76"/>
      <c r="MNT47" s="76"/>
      <c r="MNU47" s="76"/>
      <c r="MNV47" s="76"/>
      <c r="MNW47" s="76"/>
      <c r="MNX47" s="76"/>
      <c r="MNY47" s="76"/>
      <c r="MNZ47" s="76"/>
      <c r="MOA47" s="76"/>
      <c r="MOB47" s="76"/>
      <c r="MOC47" s="76"/>
      <c r="MOD47" s="76"/>
      <c r="MOE47" s="76"/>
      <c r="MOF47" s="76"/>
      <c r="MOG47" s="76"/>
      <c r="MOH47" s="76"/>
      <c r="MOI47" s="76"/>
      <c r="MOJ47" s="76"/>
      <c r="MOK47" s="76"/>
      <c r="MOL47" s="76"/>
      <c r="MOM47" s="76"/>
      <c r="MON47" s="76"/>
      <c r="MOO47" s="76"/>
      <c r="MOP47" s="76"/>
      <c r="MOQ47" s="76"/>
      <c r="MOR47" s="76"/>
      <c r="MOS47" s="76"/>
      <c r="MOT47" s="76"/>
      <c r="MOU47" s="76"/>
      <c r="MOV47" s="76"/>
      <c r="MOW47" s="76"/>
      <c r="MOX47" s="76"/>
      <c r="MOY47" s="76"/>
      <c r="MOZ47" s="76"/>
      <c r="MPA47" s="76"/>
      <c r="MPB47" s="76"/>
      <c r="MPC47" s="76"/>
      <c r="MPD47" s="76"/>
      <c r="MPE47" s="76"/>
      <c r="MPF47" s="76"/>
      <c r="MPG47" s="76"/>
      <c r="MPH47" s="76"/>
      <c r="MPI47" s="76"/>
      <c r="MPJ47" s="76"/>
      <c r="MPK47" s="76"/>
      <c r="MPL47" s="76"/>
      <c r="MPM47" s="76"/>
      <c r="MPN47" s="76"/>
      <c r="MPO47" s="76"/>
      <c r="MPP47" s="76"/>
      <c r="MPQ47" s="76"/>
      <c r="MPR47" s="76"/>
      <c r="MPS47" s="76"/>
      <c r="MPT47" s="76"/>
      <c r="MPU47" s="76"/>
      <c r="MPV47" s="76"/>
      <c r="MPW47" s="76"/>
      <c r="MPX47" s="76"/>
      <c r="MPY47" s="76"/>
      <c r="MPZ47" s="76"/>
      <c r="MQA47" s="76"/>
      <c r="MQB47" s="76"/>
      <c r="MQC47" s="76"/>
      <c r="MQD47" s="76"/>
      <c r="MQE47" s="76"/>
      <c r="MQF47" s="76"/>
      <c r="MQG47" s="76"/>
      <c r="MQH47" s="76"/>
      <c r="MQI47" s="76"/>
      <c r="MQJ47" s="76"/>
      <c r="MQK47" s="76"/>
      <c r="MQL47" s="76"/>
      <c r="MQM47" s="76"/>
      <c r="MQN47" s="76"/>
      <c r="MQO47" s="76"/>
      <c r="MQP47" s="76"/>
      <c r="MQQ47" s="76"/>
      <c r="MQR47" s="76"/>
      <c r="MQS47" s="76"/>
      <c r="MQT47" s="76"/>
      <c r="MQU47" s="76"/>
      <c r="MQV47" s="76"/>
      <c r="MQW47" s="76"/>
      <c r="MQX47" s="76"/>
      <c r="MQY47" s="76"/>
      <c r="MQZ47" s="76"/>
      <c r="MRA47" s="76"/>
      <c r="MRB47" s="76"/>
      <c r="MRC47" s="76"/>
      <c r="MRD47" s="76"/>
      <c r="MRE47" s="76"/>
      <c r="MRF47" s="76"/>
      <c r="MRG47" s="76"/>
      <c r="MRH47" s="76"/>
      <c r="MRI47" s="76"/>
      <c r="MRJ47" s="76"/>
      <c r="MRK47" s="76"/>
      <c r="MRL47" s="76"/>
      <c r="MRM47" s="76"/>
      <c r="MRN47" s="76"/>
      <c r="MRO47" s="76"/>
      <c r="MRP47" s="76"/>
      <c r="MRQ47" s="76"/>
      <c r="MRR47" s="76"/>
      <c r="MRS47" s="76"/>
      <c r="MRT47" s="76"/>
      <c r="MRU47" s="76"/>
      <c r="MRV47" s="76"/>
      <c r="MRW47" s="76"/>
      <c r="MRX47" s="76"/>
      <c r="MRY47" s="76"/>
      <c r="MRZ47" s="76"/>
      <c r="MSA47" s="76"/>
      <c r="MSB47" s="76"/>
      <c r="MSC47" s="76"/>
      <c r="MSD47" s="76"/>
      <c r="MSE47" s="76"/>
      <c r="MSF47" s="76"/>
      <c r="MSG47" s="76"/>
      <c r="MSH47" s="76"/>
      <c r="MSI47" s="76"/>
      <c r="MSJ47" s="76"/>
      <c r="MSK47" s="76"/>
      <c r="MSL47" s="76"/>
      <c r="MSM47" s="76"/>
      <c r="MSN47" s="76"/>
      <c r="MSO47" s="76"/>
      <c r="MSP47" s="76"/>
      <c r="MSQ47" s="76"/>
      <c r="MSR47" s="76"/>
      <c r="MSS47" s="76"/>
      <c r="MST47" s="76"/>
      <c r="MSU47" s="76"/>
      <c r="MSV47" s="76"/>
      <c r="MSW47" s="76"/>
      <c r="MSX47" s="76"/>
      <c r="MSY47" s="76"/>
      <c r="MSZ47" s="76"/>
      <c r="MTA47" s="76"/>
      <c r="MTB47" s="76"/>
      <c r="MTC47" s="76"/>
      <c r="MTD47" s="76"/>
      <c r="MTE47" s="76"/>
      <c r="MTF47" s="76"/>
      <c r="MTG47" s="76"/>
      <c r="MTH47" s="76"/>
      <c r="MTI47" s="76"/>
      <c r="MTJ47" s="76"/>
      <c r="MTK47" s="76"/>
      <c r="MTL47" s="76"/>
      <c r="MTM47" s="76"/>
      <c r="MTN47" s="76"/>
      <c r="MTO47" s="76"/>
      <c r="MTP47" s="76"/>
      <c r="MTQ47" s="76"/>
      <c r="MTR47" s="76"/>
      <c r="MTS47" s="76"/>
      <c r="MTT47" s="76"/>
      <c r="MTU47" s="76"/>
      <c r="MTV47" s="76"/>
      <c r="MTW47" s="76"/>
      <c r="MTX47" s="76"/>
      <c r="MTY47" s="76"/>
      <c r="MTZ47" s="76"/>
      <c r="MUA47" s="76"/>
      <c r="MUB47" s="76"/>
      <c r="MUC47" s="76"/>
      <c r="MUD47" s="76"/>
      <c r="MUE47" s="76"/>
      <c r="MUF47" s="76"/>
      <c r="MUG47" s="76"/>
      <c r="MUH47" s="76"/>
      <c r="MUI47" s="76"/>
      <c r="MUJ47" s="76"/>
      <c r="MUK47" s="76"/>
      <c r="MUL47" s="76"/>
      <c r="MUM47" s="76"/>
      <c r="MUN47" s="76"/>
      <c r="MUO47" s="76"/>
      <c r="MUP47" s="76"/>
      <c r="MUQ47" s="76"/>
      <c r="MUR47" s="76"/>
      <c r="MUS47" s="76"/>
      <c r="MUT47" s="76"/>
      <c r="MUU47" s="76"/>
      <c r="MUV47" s="76"/>
      <c r="MUW47" s="76"/>
      <c r="MUX47" s="76"/>
      <c r="MUY47" s="76"/>
      <c r="MUZ47" s="76"/>
      <c r="MVA47" s="76"/>
      <c r="MVB47" s="76"/>
      <c r="MVC47" s="76"/>
      <c r="MVD47" s="76"/>
      <c r="MVE47" s="76"/>
      <c r="MVF47" s="76"/>
      <c r="MVG47" s="76"/>
      <c r="MVH47" s="76"/>
      <c r="MVI47" s="76"/>
      <c r="MVJ47" s="76"/>
      <c r="MVK47" s="76"/>
      <c r="MVL47" s="76"/>
      <c r="MVM47" s="76"/>
      <c r="MVN47" s="76"/>
      <c r="MVO47" s="76"/>
      <c r="MVP47" s="76"/>
      <c r="MVQ47" s="76"/>
      <c r="MVR47" s="76"/>
      <c r="MVS47" s="76"/>
      <c r="MVT47" s="76"/>
      <c r="MVU47" s="76"/>
      <c r="MVV47" s="76"/>
      <c r="MVW47" s="76"/>
      <c r="MVX47" s="76"/>
      <c r="MVY47" s="76"/>
      <c r="MVZ47" s="76"/>
      <c r="MWA47" s="76"/>
      <c r="MWB47" s="76"/>
      <c r="MWC47" s="76"/>
      <c r="MWD47" s="76"/>
      <c r="MWE47" s="76"/>
      <c r="MWF47" s="76"/>
      <c r="MWG47" s="76"/>
      <c r="MWH47" s="76"/>
      <c r="MWI47" s="76"/>
      <c r="MWJ47" s="76"/>
      <c r="MWK47" s="76"/>
      <c r="MWL47" s="76"/>
      <c r="MWM47" s="76"/>
      <c r="MWN47" s="76"/>
      <c r="MWO47" s="76"/>
      <c r="MWP47" s="76"/>
      <c r="MWQ47" s="76"/>
      <c r="MWR47" s="76"/>
      <c r="MWS47" s="76"/>
      <c r="MWT47" s="76"/>
      <c r="MWU47" s="76"/>
      <c r="MWV47" s="76"/>
      <c r="MWW47" s="76"/>
      <c r="MWX47" s="76"/>
      <c r="MWY47" s="76"/>
      <c r="MWZ47" s="76"/>
      <c r="MXA47" s="76"/>
      <c r="MXB47" s="76"/>
      <c r="MXC47" s="76"/>
      <c r="MXD47" s="76"/>
      <c r="MXE47" s="76"/>
      <c r="MXF47" s="76"/>
      <c r="MXG47" s="76"/>
      <c r="MXH47" s="76"/>
      <c r="MXI47" s="76"/>
      <c r="MXJ47" s="76"/>
      <c r="MXK47" s="76"/>
      <c r="MXL47" s="76"/>
      <c r="MXM47" s="76"/>
      <c r="MXN47" s="76"/>
      <c r="MXO47" s="76"/>
      <c r="MXP47" s="76"/>
      <c r="MXQ47" s="76"/>
      <c r="MXR47" s="76"/>
      <c r="MXS47" s="76"/>
      <c r="MXT47" s="76"/>
      <c r="MXU47" s="76"/>
      <c r="MXV47" s="76"/>
      <c r="MXW47" s="76"/>
      <c r="MXX47" s="76"/>
      <c r="MXY47" s="76"/>
      <c r="MXZ47" s="76"/>
      <c r="MYA47" s="76"/>
      <c r="MYB47" s="76"/>
      <c r="MYC47" s="76"/>
      <c r="MYD47" s="76"/>
      <c r="MYE47" s="76"/>
      <c r="MYF47" s="76"/>
      <c r="MYG47" s="76"/>
      <c r="MYH47" s="76"/>
      <c r="MYI47" s="76"/>
      <c r="MYJ47" s="76"/>
      <c r="MYK47" s="76"/>
      <c r="MYL47" s="76"/>
      <c r="MYM47" s="76"/>
      <c r="MYN47" s="76"/>
      <c r="MYO47" s="76"/>
      <c r="MYP47" s="76"/>
      <c r="MYQ47" s="76"/>
      <c r="MYR47" s="76"/>
      <c r="MYS47" s="76"/>
      <c r="MYT47" s="76"/>
      <c r="MYU47" s="76"/>
      <c r="MYV47" s="76"/>
      <c r="MYW47" s="76"/>
      <c r="MYX47" s="76"/>
      <c r="MYY47" s="76"/>
      <c r="MYZ47" s="76"/>
      <c r="MZA47" s="76"/>
      <c r="MZB47" s="76"/>
      <c r="MZC47" s="76"/>
      <c r="MZD47" s="76"/>
      <c r="MZE47" s="76"/>
      <c r="MZF47" s="76"/>
      <c r="MZG47" s="76"/>
      <c r="MZH47" s="76"/>
      <c r="MZI47" s="76"/>
      <c r="MZJ47" s="76"/>
      <c r="MZK47" s="76"/>
      <c r="MZL47" s="76"/>
      <c r="MZM47" s="76"/>
      <c r="MZN47" s="76"/>
      <c r="MZO47" s="76"/>
      <c r="MZP47" s="76"/>
      <c r="MZQ47" s="76"/>
      <c r="MZR47" s="76"/>
      <c r="MZS47" s="76"/>
      <c r="MZT47" s="76"/>
      <c r="MZU47" s="76"/>
      <c r="MZV47" s="76"/>
      <c r="MZW47" s="76"/>
      <c r="MZX47" s="76"/>
      <c r="MZY47" s="76"/>
      <c r="MZZ47" s="76"/>
      <c r="NAA47" s="76"/>
      <c r="NAB47" s="76"/>
      <c r="NAC47" s="76"/>
      <c r="NAD47" s="76"/>
      <c r="NAE47" s="76"/>
      <c r="NAF47" s="76"/>
      <c r="NAG47" s="76"/>
      <c r="NAH47" s="76"/>
      <c r="NAI47" s="76"/>
      <c r="NAJ47" s="76"/>
      <c r="NAK47" s="76"/>
      <c r="NAL47" s="76"/>
      <c r="NAM47" s="76"/>
      <c r="NAN47" s="76"/>
      <c r="NAO47" s="76"/>
      <c r="NAP47" s="76"/>
      <c r="NAQ47" s="76"/>
      <c r="NAR47" s="76"/>
      <c r="NAS47" s="76"/>
      <c r="NAT47" s="76"/>
      <c r="NAU47" s="76"/>
      <c r="NAV47" s="76"/>
      <c r="NAW47" s="76"/>
      <c r="NAX47" s="76"/>
      <c r="NAY47" s="76"/>
      <c r="NAZ47" s="76"/>
      <c r="NBA47" s="76"/>
      <c r="NBB47" s="76"/>
      <c r="NBC47" s="76"/>
      <c r="NBD47" s="76"/>
      <c r="NBE47" s="76"/>
      <c r="NBF47" s="76"/>
      <c r="NBG47" s="76"/>
      <c r="NBH47" s="76"/>
      <c r="NBI47" s="76"/>
      <c r="NBJ47" s="76"/>
      <c r="NBK47" s="76"/>
      <c r="NBL47" s="76"/>
      <c r="NBM47" s="76"/>
      <c r="NBN47" s="76"/>
      <c r="NBO47" s="76"/>
      <c r="NBP47" s="76"/>
      <c r="NBQ47" s="76"/>
      <c r="NBR47" s="76"/>
      <c r="NBS47" s="76"/>
      <c r="NBT47" s="76"/>
      <c r="NBU47" s="76"/>
      <c r="NBV47" s="76"/>
      <c r="NBW47" s="76"/>
      <c r="NBX47" s="76"/>
      <c r="NBY47" s="76"/>
      <c r="NBZ47" s="76"/>
      <c r="NCA47" s="76"/>
      <c r="NCB47" s="76"/>
      <c r="NCC47" s="76"/>
      <c r="NCD47" s="76"/>
      <c r="NCE47" s="76"/>
      <c r="NCF47" s="76"/>
      <c r="NCG47" s="76"/>
      <c r="NCH47" s="76"/>
      <c r="NCI47" s="76"/>
      <c r="NCJ47" s="76"/>
      <c r="NCK47" s="76"/>
      <c r="NCL47" s="76"/>
      <c r="NCM47" s="76"/>
      <c r="NCN47" s="76"/>
      <c r="NCO47" s="76"/>
      <c r="NCP47" s="76"/>
      <c r="NCQ47" s="76"/>
      <c r="NCR47" s="76"/>
      <c r="NCS47" s="76"/>
      <c r="NCT47" s="76"/>
      <c r="NCU47" s="76"/>
      <c r="NCV47" s="76"/>
      <c r="NCW47" s="76"/>
      <c r="NCX47" s="76"/>
      <c r="NCY47" s="76"/>
      <c r="NCZ47" s="76"/>
      <c r="NDA47" s="76"/>
      <c r="NDB47" s="76"/>
      <c r="NDC47" s="76"/>
      <c r="NDD47" s="76"/>
      <c r="NDE47" s="76"/>
      <c r="NDF47" s="76"/>
      <c r="NDG47" s="76"/>
      <c r="NDH47" s="76"/>
      <c r="NDI47" s="76"/>
      <c r="NDJ47" s="76"/>
      <c r="NDK47" s="76"/>
      <c r="NDL47" s="76"/>
      <c r="NDM47" s="76"/>
      <c r="NDN47" s="76"/>
      <c r="NDO47" s="76"/>
      <c r="NDP47" s="76"/>
      <c r="NDQ47" s="76"/>
      <c r="NDR47" s="76"/>
      <c r="NDS47" s="76"/>
      <c r="NDT47" s="76"/>
      <c r="NDU47" s="76"/>
      <c r="NDV47" s="76"/>
      <c r="NDW47" s="76"/>
      <c r="NDX47" s="76"/>
      <c r="NDY47" s="76"/>
      <c r="NDZ47" s="76"/>
      <c r="NEA47" s="76"/>
      <c r="NEB47" s="76"/>
      <c r="NEC47" s="76"/>
      <c r="NED47" s="76"/>
      <c r="NEE47" s="76"/>
      <c r="NEF47" s="76"/>
      <c r="NEG47" s="76"/>
      <c r="NEH47" s="76"/>
      <c r="NEI47" s="76"/>
      <c r="NEJ47" s="76"/>
      <c r="NEK47" s="76"/>
      <c r="NEL47" s="76"/>
      <c r="NEM47" s="76"/>
      <c r="NEN47" s="76"/>
      <c r="NEO47" s="76"/>
      <c r="NEP47" s="76"/>
      <c r="NEQ47" s="76"/>
      <c r="NER47" s="76"/>
      <c r="NES47" s="76"/>
      <c r="NET47" s="76"/>
      <c r="NEU47" s="76"/>
      <c r="NEV47" s="76"/>
      <c r="NEW47" s="76"/>
      <c r="NEX47" s="76"/>
      <c r="NEY47" s="76"/>
      <c r="NEZ47" s="76"/>
      <c r="NFA47" s="76"/>
      <c r="NFB47" s="76"/>
      <c r="NFC47" s="76"/>
      <c r="NFD47" s="76"/>
      <c r="NFE47" s="76"/>
      <c r="NFF47" s="76"/>
      <c r="NFG47" s="76"/>
      <c r="NFH47" s="76"/>
      <c r="NFI47" s="76"/>
      <c r="NFJ47" s="76"/>
      <c r="NFK47" s="76"/>
      <c r="NFL47" s="76"/>
      <c r="NFM47" s="76"/>
      <c r="NFN47" s="76"/>
      <c r="NFO47" s="76"/>
      <c r="NFP47" s="76"/>
      <c r="NFQ47" s="76"/>
      <c r="NFR47" s="76"/>
      <c r="NFS47" s="76"/>
      <c r="NFT47" s="76"/>
      <c r="NFU47" s="76"/>
      <c r="NFV47" s="76"/>
      <c r="NFW47" s="76"/>
      <c r="NFX47" s="76"/>
      <c r="NFY47" s="76"/>
      <c r="NFZ47" s="76"/>
      <c r="NGA47" s="76"/>
      <c r="NGB47" s="76"/>
      <c r="NGC47" s="76"/>
      <c r="NGD47" s="76"/>
      <c r="NGE47" s="76"/>
      <c r="NGF47" s="76"/>
      <c r="NGG47" s="76"/>
      <c r="NGH47" s="76"/>
      <c r="NGI47" s="76"/>
      <c r="NGJ47" s="76"/>
      <c r="NGK47" s="76"/>
      <c r="NGL47" s="76"/>
      <c r="NGM47" s="76"/>
      <c r="NGN47" s="76"/>
      <c r="NGO47" s="76"/>
      <c r="NGP47" s="76"/>
      <c r="NGQ47" s="76"/>
      <c r="NGR47" s="76"/>
      <c r="NGS47" s="76"/>
      <c r="NGT47" s="76"/>
      <c r="NGU47" s="76"/>
      <c r="NGV47" s="76"/>
      <c r="NGW47" s="76"/>
      <c r="NGX47" s="76"/>
      <c r="NGY47" s="76"/>
      <c r="NGZ47" s="76"/>
      <c r="NHA47" s="76"/>
      <c r="NHB47" s="76"/>
      <c r="NHC47" s="76"/>
      <c r="NHD47" s="76"/>
      <c r="NHE47" s="76"/>
      <c r="NHF47" s="76"/>
      <c r="NHG47" s="76"/>
      <c r="NHH47" s="76"/>
      <c r="NHI47" s="76"/>
      <c r="NHJ47" s="76"/>
      <c r="NHK47" s="76"/>
      <c r="NHL47" s="76"/>
      <c r="NHM47" s="76"/>
      <c r="NHN47" s="76"/>
      <c r="NHO47" s="76"/>
      <c r="NHP47" s="76"/>
      <c r="NHQ47" s="76"/>
      <c r="NHR47" s="76"/>
      <c r="NHS47" s="76"/>
      <c r="NHT47" s="76"/>
      <c r="NHU47" s="76"/>
      <c r="NHV47" s="76"/>
      <c r="NHW47" s="76"/>
      <c r="NHX47" s="76"/>
      <c r="NHY47" s="76"/>
      <c r="NHZ47" s="76"/>
      <c r="NIA47" s="76"/>
      <c r="NIB47" s="76"/>
      <c r="NIC47" s="76"/>
      <c r="NID47" s="76"/>
      <c r="NIE47" s="76"/>
      <c r="NIF47" s="76"/>
      <c r="NIG47" s="76"/>
      <c r="NIH47" s="76"/>
      <c r="NII47" s="76"/>
      <c r="NIJ47" s="76"/>
      <c r="NIK47" s="76"/>
      <c r="NIL47" s="76"/>
      <c r="NIM47" s="76"/>
      <c r="NIN47" s="76"/>
      <c r="NIO47" s="76"/>
      <c r="NIP47" s="76"/>
      <c r="NIQ47" s="76"/>
      <c r="NIR47" s="76"/>
      <c r="NIS47" s="76"/>
      <c r="NIT47" s="76"/>
      <c r="NIU47" s="76"/>
      <c r="NIV47" s="76"/>
      <c r="NIW47" s="76"/>
      <c r="NIX47" s="76"/>
      <c r="NIY47" s="76"/>
      <c r="NIZ47" s="76"/>
      <c r="NJA47" s="76"/>
      <c r="NJB47" s="76"/>
      <c r="NJC47" s="76"/>
      <c r="NJD47" s="76"/>
      <c r="NJE47" s="76"/>
      <c r="NJF47" s="76"/>
      <c r="NJG47" s="76"/>
      <c r="NJH47" s="76"/>
      <c r="NJI47" s="76"/>
      <c r="NJJ47" s="76"/>
      <c r="NJK47" s="76"/>
      <c r="NJL47" s="76"/>
      <c r="NJM47" s="76"/>
      <c r="NJN47" s="76"/>
      <c r="NJO47" s="76"/>
      <c r="NJP47" s="76"/>
      <c r="NJQ47" s="76"/>
      <c r="NJR47" s="76"/>
      <c r="NJS47" s="76"/>
      <c r="NJT47" s="76"/>
      <c r="NJU47" s="76"/>
      <c r="NJV47" s="76"/>
      <c r="NJW47" s="76"/>
      <c r="NJX47" s="76"/>
      <c r="NJY47" s="76"/>
      <c r="NJZ47" s="76"/>
      <c r="NKA47" s="76"/>
      <c r="NKB47" s="76"/>
      <c r="NKC47" s="76"/>
      <c r="NKD47" s="76"/>
      <c r="NKE47" s="76"/>
      <c r="NKF47" s="76"/>
      <c r="NKG47" s="76"/>
      <c r="NKH47" s="76"/>
      <c r="NKI47" s="76"/>
      <c r="NKJ47" s="76"/>
      <c r="NKK47" s="76"/>
      <c r="NKL47" s="76"/>
      <c r="NKM47" s="76"/>
      <c r="NKN47" s="76"/>
      <c r="NKO47" s="76"/>
      <c r="NKP47" s="76"/>
      <c r="NKQ47" s="76"/>
      <c r="NKR47" s="76"/>
      <c r="NKS47" s="76"/>
      <c r="NKT47" s="76"/>
      <c r="NKU47" s="76"/>
      <c r="NKV47" s="76"/>
      <c r="NKW47" s="76"/>
      <c r="NKX47" s="76"/>
      <c r="NKY47" s="76"/>
      <c r="NKZ47" s="76"/>
      <c r="NLA47" s="76"/>
      <c r="NLB47" s="76"/>
      <c r="NLC47" s="76"/>
      <c r="NLD47" s="76"/>
      <c r="NLE47" s="76"/>
      <c r="NLF47" s="76"/>
      <c r="NLG47" s="76"/>
      <c r="NLH47" s="76"/>
      <c r="NLI47" s="76"/>
      <c r="NLJ47" s="76"/>
      <c r="NLK47" s="76"/>
      <c r="NLL47" s="76"/>
      <c r="NLM47" s="76"/>
      <c r="NLN47" s="76"/>
      <c r="NLO47" s="76"/>
      <c r="NLP47" s="76"/>
      <c r="NLQ47" s="76"/>
      <c r="NLR47" s="76"/>
      <c r="NLS47" s="76"/>
      <c r="NLT47" s="76"/>
      <c r="NLU47" s="76"/>
      <c r="NLV47" s="76"/>
      <c r="NLW47" s="76"/>
      <c r="NLX47" s="76"/>
      <c r="NLY47" s="76"/>
      <c r="NLZ47" s="76"/>
      <c r="NMA47" s="76"/>
      <c r="NMB47" s="76"/>
      <c r="NMC47" s="76"/>
      <c r="NMD47" s="76"/>
      <c r="NME47" s="76"/>
      <c r="NMF47" s="76"/>
      <c r="NMG47" s="76"/>
      <c r="NMH47" s="76"/>
      <c r="NMI47" s="76"/>
      <c r="NMJ47" s="76"/>
      <c r="NMK47" s="76"/>
      <c r="NML47" s="76"/>
      <c r="NMM47" s="76"/>
      <c r="NMN47" s="76"/>
      <c r="NMO47" s="76"/>
      <c r="NMP47" s="76"/>
      <c r="NMQ47" s="76"/>
      <c r="NMR47" s="76"/>
      <c r="NMS47" s="76"/>
      <c r="NMT47" s="76"/>
      <c r="NMU47" s="76"/>
      <c r="NMV47" s="76"/>
      <c r="NMW47" s="76"/>
      <c r="NMX47" s="76"/>
      <c r="NMY47" s="76"/>
      <c r="NMZ47" s="76"/>
      <c r="NNA47" s="76"/>
      <c r="NNB47" s="76"/>
      <c r="NNC47" s="76"/>
      <c r="NND47" s="76"/>
      <c r="NNE47" s="76"/>
      <c r="NNF47" s="76"/>
      <c r="NNG47" s="76"/>
      <c r="NNH47" s="76"/>
      <c r="NNI47" s="76"/>
      <c r="NNJ47" s="76"/>
      <c r="NNK47" s="76"/>
      <c r="NNL47" s="76"/>
      <c r="NNM47" s="76"/>
      <c r="NNN47" s="76"/>
      <c r="NNO47" s="76"/>
      <c r="NNP47" s="76"/>
      <c r="NNQ47" s="76"/>
      <c r="NNR47" s="76"/>
      <c r="NNS47" s="76"/>
      <c r="NNT47" s="76"/>
      <c r="NNU47" s="76"/>
      <c r="NNV47" s="76"/>
      <c r="NNW47" s="76"/>
      <c r="NNX47" s="76"/>
      <c r="NNY47" s="76"/>
      <c r="NNZ47" s="76"/>
      <c r="NOA47" s="76"/>
      <c r="NOB47" s="76"/>
      <c r="NOC47" s="76"/>
      <c r="NOD47" s="76"/>
      <c r="NOE47" s="76"/>
      <c r="NOF47" s="76"/>
      <c r="NOG47" s="76"/>
      <c r="NOH47" s="76"/>
      <c r="NOI47" s="76"/>
      <c r="NOJ47" s="76"/>
      <c r="NOK47" s="76"/>
      <c r="NOL47" s="76"/>
      <c r="NOM47" s="76"/>
      <c r="NON47" s="76"/>
      <c r="NOO47" s="76"/>
      <c r="NOP47" s="76"/>
      <c r="NOQ47" s="76"/>
      <c r="NOR47" s="76"/>
      <c r="NOS47" s="76"/>
      <c r="NOT47" s="76"/>
      <c r="NOU47" s="76"/>
      <c r="NOV47" s="76"/>
      <c r="NOW47" s="76"/>
      <c r="NOX47" s="76"/>
      <c r="NOY47" s="76"/>
      <c r="NOZ47" s="76"/>
      <c r="NPA47" s="76"/>
      <c r="NPB47" s="76"/>
      <c r="NPC47" s="76"/>
      <c r="NPD47" s="76"/>
      <c r="NPE47" s="76"/>
      <c r="NPF47" s="76"/>
      <c r="NPG47" s="76"/>
      <c r="NPH47" s="76"/>
      <c r="NPI47" s="76"/>
      <c r="NPJ47" s="76"/>
      <c r="NPK47" s="76"/>
      <c r="NPL47" s="76"/>
      <c r="NPM47" s="76"/>
      <c r="NPN47" s="76"/>
      <c r="NPO47" s="76"/>
      <c r="NPP47" s="76"/>
      <c r="NPQ47" s="76"/>
      <c r="NPR47" s="76"/>
      <c r="NPS47" s="76"/>
      <c r="NPT47" s="76"/>
      <c r="NPU47" s="76"/>
      <c r="NPV47" s="76"/>
      <c r="NPW47" s="76"/>
      <c r="NPX47" s="76"/>
      <c r="NPY47" s="76"/>
      <c r="NPZ47" s="76"/>
      <c r="NQA47" s="76"/>
      <c r="NQB47" s="76"/>
      <c r="NQC47" s="76"/>
      <c r="NQD47" s="76"/>
      <c r="NQE47" s="76"/>
      <c r="NQF47" s="76"/>
      <c r="NQG47" s="76"/>
      <c r="NQH47" s="76"/>
      <c r="NQI47" s="76"/>
      <c r="NQJ47" s="76"/>
      <c r="NQK47" s="76"/>
      <c r="NQL47" s="76"/>
      <c r="NQM47" s="76"/>
      <c r="NQN47" s="76"/>
      <c r="NQO47" s="76"/>
      <c r="NQP47" s="76"/>
      <c r="NQQ47" s="76"/>
      <c r="NQR47" s="76"/>
      <c r="NQS47" s="76"/>
      <c r="NQT47" s="76"/>
      <c r="NQU47" s="76"/>
      <c r="NQV47" s="76"/>
      <c r="NQW47" s="76"/>
      <c r="NQX47" s="76"/>
      <c r="NQY47" s="76"/>
      <c r="NQZ47" s="76"/>
      <c r="NRA47" s="76"/>
      <c r="NRB47" s="76"/>
      <c r="NRC47" s="76"/>
      <c r="NRD47" s="76"/>
      <c r="NRE47" s="76"/>
      <c r="NRF47" s="76"/>
      <c r="NRG47" s="76"/>
      <c r="NRH47" s="76"/>
      <c r="NRI47" s="76"/>
      <c r="NRJ47" s="76"/>
      <c r="NRK47" s="76"/>
      <c r="NRL47" s="76"/>
      <c r="NRM47" s="76"/>
      <c r="NRN47" s="76"/>
      <c r="NRO47" s="76"/>
      <c r="NRP47" s="76"/>
      <c r="NRQ47" s="76"/>
      <c r="NRR47" s="76"/>
      <c r="NRS47" s="76"/>
      <c r="NRT47" s="76"/>
      <c r="NRU47" s="76"/>
      <c r="NRV47" s="76"/>
      <c r="NRW47" s="76"/>
      <c r="NRX47" s="76"/>
      <c r="NRY47" s="76"/>
      <c r="NRZ47" s="76"/>
      <c r="NSA47" s="76"/>
      <c r="NSB47" s="76"/>
      <c r="NSC47" s="76"/>
      <c r="NSD47" s="76"/>
      <c r="NSE47" s="76"/>
      <c r="NSF47" s="76"/>
      <c r="NSG47" s="76"/>
      <c r="NSH47" s="76"/>
      <c r="NSI47" s="76"/>
      <c r="NSJ47" s="76"/>
      <c r="NSK47" s="76"/>
      <c r="NSL47" s="76"/>
      <c r="NSM47" s="76"/>
      <c r="NSN47" s="76"/>
      <c r="NSO47" s="76"/>
      <c r="NSP47" s="76"/>
      <c r="NSQ47" s="76"/>
      <c r="NSR47" s="76"/>
      <c r="NSS47" s="76"/>
      <c r="NST47" s="76"/>
      <c r="NSU47" s="76"/>
      <c r="NSV47" s="76"/>
      <c r="NSW47" s="76"/>
      <c r="NSX47" s="76"/>
      <c r="NSY47" s="76"/>
      <c r="NSZ47" s="76"/>
      <c r="NTA47" s="76"/>
      <c r="NTB47" s="76"/>
      <c r="NTC47" s="76"/>
      <c r="NTD47" s="76"/>
      <c r="NTE47" s="76"/>
      <c r="NTF47" s="76"/>
      <c r="NTG47" s="76"/>
      <c r="NTH47" s="76"/>
      <c r="NTI47" s="76"/>
      <c r="NTJ47" s="76"/>
      <c r="NTK47" s="76"/>
      <c r="NTL47" s="76"/>
      <c r="NTM47" s="76"/>
      <c r="NTN47" s="76"/>
      <c r="NTO47" s="76"/>
      <c r="NTP47" s="76"/>
      <c r="NTQ47" s="76"/>
      <c r="NTR47" s="76"/>
      <c r="NTS47" s="76"/>
      <c r="NTT47" s="76"/>
      <c r="NTU47" s="76"/>
      <c r="NTV47" s="76"/>
      <c r="NTW47" s="76"/>
      <c r="NTX47" s="76"/>
      <c r="NTY47" s="76"/>
      <c r="NTZ47" s="76"/>
      <c r="NUA47" s="76"/>
      <c r="NUB47" s="76"/>
      <c r="NUC47" s="76"/>
      <c r="NUD47" s="76"/>
      <c r="NUE47" s="76"/>
      <c r="NUF47" s="76"/>
      <c r="NUG47" s="76"/>
      <c r="NUH47" s="76"/>
      <c r="NUI47" s="76"/>
      <c r="NUJ47" s="76"/>
      <c r="NUK47" s="76"/>
      <c r="NUL47" s="76"/>
      <c r="NUM47" s="76"/>
      <c r="NUN47" s="76"/>
      <c r="NUO47" s="76"/>
      <c r="NUP47" s="76"/>
      <c r="NUQ47" s="76"/>
      <c r="NUR47" s="76"/>
      <c r="NUS47" s="76"/>
      <c r="NUT47" s="76"/>
      <c r="NUU47" s="76"/>
      <c r="NUV47" s="76"/>
      <c r="NUW47" s="76"/>
      <c r="NUX47" s="76"/>
      <c r="NUY47" s="76"/>
      <c r="NUZ47" s="76"/>
      <c r="NVA47" s="76"/>
      <c r="NVB47" s="76"/>
      <c r="NVC47" s="76"/>
      <c r="NVD47" s="76"/>
      <c r="NVE47" s="76"/>
      <c r="NVF47" s="76"/>
      <c r="NVG47" s="76"/>
      <c r="NVH47" s="76"/>
      <c r="NVI47" s="76"/>
      <c r="NVJ47" s="76"/>
      <c r="NVK47" s="76"/>
      <c r="NVL47" s="76"/>
      <c r="NVM47" s="76"/>
      <c r="NVN47" s="76"/>
      <c r="NVO47" s="76"/>
      <c r="NVP47" s="76"/>
      <c r="NVQ47" s="76"/>
      <c r="NVR47" s="76"/>
      <c r="NVS47" s="76"/>
      <c r="NVT47" s="76"/>
      <c r="NVU47" s="76"/>
      <c r="NVV47" s="76"/>
      <c r="NVW47" s="76"/>
      <c r="NVX47" s="76"/>
      <c r="NVY47" s="76"/>
      <c r="NVZ47" s="76"/>
      <c r="NWA47" s="76"/>
      <c r="NWB47" s="76"/>
      <c r="NWC47" s="76"/>
      <c r="NWD47" s="76"/>
      <c r="NWE47" s="76"/>
      <c r="NWF47" s="76"/>
      <c r="NWG47" s="76"/>
      <c r="NWH47" s="76"/>
      <c r="NWI47" s="76"/>
      <c r="NWJ47" s="76"/>
      <c r="NWK47" s="76"/>
      <c r="NWL47" s="76"/>
      <c r="NWM47" s="76"/>
      <c r="NWN47" s="76"/>
      <c r="NWO47" s="76"/>
      <c r="NWP47" s="76"/>
      <c r="NWQ47" s="76"/>
      <c r="NWR47" s="76"/>
      <c r="NWS47" s="76"/>
      <c r="NWT47" s="76"/>
      <c r="NWU47" s="76"/>
      <c r="NWV47" s="76"/>
      <c r="NWW47" s="76"/>
      <c r="NWX47" s="76"/>
      <c r="NWY47" s="76"/>
      <c r="NWZ47" s="76"/>
      <c r="NXA47" s="76"/>
      <c r="NXB47" s="76"/>
      <c r="NXC47" s="76"/>
      <c r="NXD47" s="76"/>
      <c r="NXE47" s="76"/>
      <c r="NXF47" s="76"/>
      <c r="NXG47" s="76"/>
      <c r="NXH47" s="76"/>
      <c r="NXI47" s="76"/>
      <c r="NXJ47" s="76"/>
      <c r="NXK47" s="76"/>
      <c r="NXL47" s="76"/>
      <c r="NXM47" s="76"/>
      <c r="NXN47" s="76"/>
      <c r="NXO47" s="76"/>
      <c r="NXP47" s="76"/>
      <c r="NXQ47" s="76"/>
      <c r="NXR47" s="76"/>
      <c r="NXS47" s="76"/>
      <c r="NXT47" s="76"/>
      <c r="NXU47" s="76"/>
      <c r="NXV47" s="76"/>
      <c r="NXW47" s="76"/>
      <c r="NXX47" s="76"/>
      <c r="NXY47" s="76"/>
      <c r="NXZ47" s="76"/>
      <c r="NYA47" s="76"/>
      <c r="NYB47" s="76"/>
      <c r="NYC47" s="76"/>
      <c r="NYD47" s="76"/>
      <c r="NYE47" s="76"/>
      <c r="NYF47" s="76"/>
      <c r="NYG47" s="76"/>
      <c r="NYH47" s="76"/>
      <c r="NYI47" s="76"/>
      <c r="NYJ47" s="76"/>
      <c r="NYK47" s="76"/>
      <c r="NYL47" s="76"/>
      <c r="NYM47" s="76"/>
      <c r="NYN47" s="76"/>
      <c r="NYO47" s="76"/>
      <c r="NYP47" s="76"/>
      <c r="NYQ47" s="76"/>
      <c r="NYR47" s="76"/>
      <c r="NYS47" s="76"/>
      <c r="NYT47" s="76"/>
      <c r="NYU47" s="76"/>
      <c r="NYV47" s="76"/>
      <c r="NYW47" s="76"/>
      <c r="NYX47" s="76"/>
      <c r="NYY47" s="76"/>
      <c r="NYZ47" s="76"/>
      <c r="NZA47" s="76"/>
      <c r="NZB47" s="76"/>
      <c r="NZC47" s="76"/>
      <c r="NZD47" s="76"/>
      <c r="NZE47" s="76"/>
      <c r="NZF47" s="76"/>
      <c r="NZG47" s="76"/>
      <c r="NZH47" s="76"/>
      <c r="NZI47" s="76"/>
      <c r="NZJ47" s="76"/>
      <c r="NZK47" s="76"/>
      <c r="NZL47" s="76"/>
      <c r="NZM47" s="76"/>
      <c r="NZN47" s="76"/>
      <c r="NZO47" s="76"/>
      <c r="NZP47" s="76"/>
      <c r="NZQ47" s="76"/>
      <c r="NZR47" s="76"/>
      <c r="NZS47" s="76"/>
      <c r="NZT47" s="76"/>
      <c r="NZU47" s="76"/>
      <c r="NZV47" s="76"/>
      <c r="NZW47" s="76"/>
      <c r="NZX47" s="76"/>
      <c r="NZY47" s="76"/>
      <c r="NZZ47" s="76"/>
      <c r="OAA47" s="76"/>
      <c r="OAB47" s="76"/>
      <c r="OAC47" s="76"/>
      <c r="OAD47" s="76"/>
      <c r="OAE47" s="76"/>
      <c r="OAF47" s="76"/>
      <c r="OAG47" s="76"/>
      <c r="OAH47" s="76"/>
      <c r="OAI47" s="76"/>
      <c r="OAJ47" s="76"/>
      <c r="OAK47" s="76"/>
      <c r="OAL47" s="76"/>
      <c r="OAM47" s="76"/>
      <c r="OAN47" s="76"/>
      <c r="OAO47" s="76"/>
      <c r="OAP47" s="76"/>
      <c r="OAQ47" s="76"/>
      <c r="OAR47" s="76"/>
      <c r="OAS47" s="76"/>
      <c r="OAT47" s="76"/>
      <c r="OAU47" s="76"/>
      <c r="OAV47" s="76"/>
      <c r="OAW47" s="76"/>
      <c r="OAX47" s="76"/>
      <c r="OAY47" s="76"/>
      <c r="OAZ47" s="76"/>
      <c r="OBA47" s="76"/>
      <c r="OBB47" s="76"/>
      <c r="OBC47" s="76"/>
      <c r="OBD47" s="76"/>
      <c r="OBE47" s="76"/>
      <c r="OBF47" s="76"/>
      <c r="OBG47" s="76"/>
      <c r="OBH47" s="76"/>
      <c r="OBI47" s="76"/>
      <c r="OBJ47" s="76"/>
      <c r="OBK47" s="76"/>
      <c r="OBL47" s="76"/>
      <c r="OBM47" s="76"/>
      <c r="OBN47" s="76"/>
      <c r="OBO47" s="76"/>
      <c r="OBP47" s="76"/>
      <c r="OBQ47" s="76"/>
      <c r="OBR47" s="76"/>
      <c r="OBS47" s="76"/>
      <c r="OBT47" s="76"/>
      <c r="OBU47" s="76"/>
      <c r="OBV47" s="76"/>
      <c r="OBW47" s="76"/>
      <c r="OBX47" s="76"/>
      <c r="OBY47" s="76"/>
      <c r="OBZ47" s="76"/>
      <c r="OCA47" s="76"/>
      <c r="OCB47" s="76"/>
      <c r="OCC47" s="76"/>
      <c r="OCD47" s="76"/>
      <c r="OCE47" s="76"/>
      <c r="OCF47" s="76"/>
      <c r="OCG47" s="76"/>
      <c r="OCH47" s="76"/>
      <c r="OCI47" s="76"/>
      <c r="OCJ47" s="76"/>
      <c r="OCK47" s="76"/>
      <c r="OCL47" s="76"/>
      <c r="OCM47" s="76"/>
      <c r="OCN47" s="76"/>
      <c r="OCO47" s="76"/>
      <c r="OCP47" s="76"/>
      <c r="OCQ47" s="76"/>
      <c r="OCR47" s="76"/>
      <c r="OCS47" s="76"/>
      <c r="OCT47" s="76"/>
      <c r="OCU47" s="76"/>
      <c r="OCV47" s="76"/>
      <c r="OCW47" s="76"/>
      <c r="OCX47" s="76"/>
      <c r="OCY47" s="76"/>
      <c r="OCZ47" s="76"/>
      <c r="ODA47" s="76"/>
      <c r="ODB47" s="76"/>
      <c r="ODC47" s="76"/>
      <c r="ODD47" s="76"/>
      <c r="ODE47" s="76"/>
      <c r="ODF47" s="76"/>
      <c r="ODG47" s="76"/>
      <c r="ODH47" s="76"/>
      <c r="ODI47" s="76"/>
      <c r="ODJ47" s="76"/>
      <c r="ODK47" s="76"/>
      <c r="ODL47" s="76"/>
      <c r="ODM47" s="76"/>
      <c r="ODN47" s="76"/>
      <c r="ODO47" s="76"/>
      <c r="ODP47" s="76"/>
      <c r="ODQ47" s="76"/>
      <c r="ODR47" s="76"/>
      <c r="ODS47" s="76"/>
      <c r="ODT47" s="76"/>
      <c r="ODU47" s="76"/>
      <c r="ODV47" s="76"/>
      <c r="ODW47" s="76"/>
      <c r="ODX47" s="76"/>
      <c r="ODY47" s="76"/>
      <c r="ODZ47" s="76"/>
      <c r="OEA47" s="76"/>
      <c r="OEB47" s="76"/>
      <c r="OEC47" s="76"/>
      <c r="OED47" s="76"/>
      <c r="OEE47" s="76"/>
      <c r="OEF47" s="76"/>
      <c r="OEG47" s="76"/>
      <c r="OEH47" s="76"/>
      <c r="OEI47" s="76"/>
      <c r="OEJ47" s="76"/>
      <c r="OEK47" s="76"/>
      <c r="OEL47" s="76"/>
      <c r="OEM47" s="76"/>
      <c r="OEN47" s="76"/>
      <c r="OEO47" s="76"/>
      <c r="OEP47" s="76"/>
      <c r="OEQ47" s="76"/>
      <c r="OER47" s="76"/>
      <c r="OES47" s="76"/>
      <c r="OET47" s="76"/>
      <c r="OEU47" s="76"/>
      <c r="OEV47" s="76"/>
      <c r="OEW47" s="76"/>
      <c r="OEX47" s="76"/>
      <c r="OEY47" s="76"/>
      <c r="OEZ47" s="76"/>
      <c r="OFA47" s="76"/>
      <c r="OFB47" s="76"/>
      <c r="OFC47" s="76"/>
      <c r="OFD47" s="76"/>
      <c r="OFE47" s="76"/>
      <c r="OFF47" s="76"/>
      <c r="OFG47" s="76"/>
      <c r="OFH47" s="76"/>
      <c r="OFI47" s="76"/>
      <c r="OFJ47" s="76"/>
      <c r="OFK47" s="76"/>
      <c r="OFL47" s="76"/>
      <c r="OFM47" s="76"/>
      <c r="OFN47" s="76"/>
      <c r="OFO47" s="76"/>
      <c r="OFP47" s="76"/>
      <c r="OFQ47" s="76"/>
      <c r="OFR47" s="76"/>
      <c r="OFS47" s="76"/>
      <c r="OFT47" s="76"/>
      <c r="OFU47" s="76"/>
      <c r="OFV47" s="76"/>
      <c r="OFW47" s="76"/>
      <c r="OFX47" s="76"/>
      <c r="OFY47" s="76"/>
      <c r="OFZ47" s="76"/>
      <c r="OGA47" s="76"/>
      <c r="OGB47" s="76"/>
      <c r="OGC47" s="76"/>
      <c r="OGD47" s="76"/>
      <c r="OGE47" s="76"/>
      <c r="OGF47" s="76"/>
      <c r="OGG47" s="76"/>
      <c r="OGH47" s="76"/>
      <c r="OGI47" s="76"/>
      <c r="OGJ47" s="76"/>
      <c r="OGK47" s="76"/>
      <c r="OGL47" s="76"/>
      <c r="OGM47" s="76"/>
      <c r="OGN47" s="76"/>
      <c r="OGO47" s="76"/>
      <c r="OGP47" s="76"/>
      <c r="OGQ47" s="76"/>
      <c r="OGR47" s="76"/>
      <c r="OGS47" s="76"/>
      <c r="OGT47" s="76"/>
      <c r="OGU47" s="76"/>
      <c r="OGV47" s="76"/>
      <c r="OGW47" s="76"/>
      <c r="OGX47" s="76"/>
      <c r="OGY47" s="76"/>
      <c r="OGZ47" s="76"/>
      <c r="OHA47" s="76"/>
      <c r="OHB47" s="76"/>
      <c r="OHC47" s="76"/>
      <c r="OHD47" s="76"/>
      <c r="OHE47" s="76"/>
      <c r="OHF47" s="76"/>
      <c r="OHG47" s="76"/>
      <c r="OHH47" s="76"/>
      <c r="OHI47" s="76"/>
      <c r="OHJ47" s="76"/>
      <c r="OHK47" s="76"/>
      <c r="OHL47" s="76"/>
      <c r="OHM47" s="76"/>
      <c r="OHN47" s="76"/>
      <c r="OHO47" s="76"/>
      <c r="OHP47" s="76"/>
      <c r="OHQ47" s="76"/>
      <c r="OHR47" s="76"/>
      <c r="OHS47" s="76"/>
      <c r="OHT47" s="76"/>
      <c r="OHU47" s="76"/>
      <c r="OHV47" s="76"/>
      <c r="OHW47" s="76"/>
      <c r="OHX47" s="76"/>
      <c r="OHY47" s="76"/>
      <c r="OHZ47" s="76"/>
      <c r="OIA47" s="76"/>
      <c r="OIB47" s="76"/>
      <c r="OIC47" s="76"/>
      <c r="OID47" s="76"/>
      <c r="OIE47" s="76"/>
      <c r="OIF47" s="76"/>
      <c r="OIG47" s="76"/>
      <c r="OIH47" s="76"/>
      <c r="OII47" s="76"/>
      <c r="OIJ47" s="76"/>
      <c r="OIK47" s="76"/>
      <c r="OIL47" s="76"/>
      <c r="OIM47" s="76"/>
      <c r="OIN47" s="76"/>
      <c r="OIO47" s="76"/>
      <c r="OIP47" s="76"/>
      <c r="OIQ47" s="76"/>
      <c r="OIR47" s="76"/>
      <c r="OIS47" s="76"/>
      <c r="OIT47" s="76"/>
      <c r="OIU47" s="76"/>
      <c r="OIV47" s="76"/>
      <c r="OIW47" s="76"/>
      <c r="OIX47" s="76"/>
      <c r="OIY47" s="76"/>
      <c r="OIZ47" s="76"/>
      <c r="OJA47" s="76"/>
      <c r="OJB47" s="76"/>
      <c r="OJC47" s="76"/>
      <c r="OJD47" s="76"/>
      <c r="OJE47" s="76"/>
      <c r="OJF47" s="76"/>
      <c r="OJG47" s="76"/>
      <c r="OJH47" s="76"/>
      <c r="OJI47" s="76"/>
      <c r="OJJ47" s="76"/>
      <c r="OJK47" s="76"/>
      <c r="OJL47" s="76"/>
      <c r="OJM47" s="76"/>
      <c r="OJN47" s="76"/>
      <c r="OJO47" s="76"/>
      <c r="OJP47" s="76"/>
      <c r="OJQ47" s="76"/>
      <c r="OJR47" s="76"/>
      <c r="OJS47" s="76"/>
      <c r="OJT47" s="76"/>
      <c r="OJU47" s="76"/>
      <c r="OJV47" s="76"/>
      <c r="OJW47" s="76"/>
      <c r="OJX47" s="76"/>
      <c r="OJY47" s="76"/>
      <c r="OJZ47" s="76"/>
      <c r="OKA47" s="76"/>
      <c r="OKB47" s="76"/>
      <c r="OKC47" s="76"/>
      <c r="OKD47" s="76"/>
      <c r="OKE47" s="76"/>
      <c r="OKF47" s="76"/>
      <c r="OKG47" s="76"/>
      <c r="OKH47" s="76"/>
      <c r="OKI47" s="76"/>
      <c r="OKJ47" s="76"/>
      <c r="OKK47" s="76"/>
      <c r="OKL47" s="76"/>
      <c r="OKM47" s="76"/>
      <c r="OKN47" s="76"/>
      <c r="OKO47" s="76"/>
      <c r="OKP47" s="76"/>
      <c r="OKQ47" s="76"/>
      <c r="OKR47" s="76"/>
      <c r="OKS47" s="76"/>
      <c r="OKT47" s="76"/>
      <c r="OKU47" s="76"/>
      <c r="OKV47" s="76"/>
      <c r="OKW47" s="76"/>
      <c r="OKX47" s="76"/>
      <c r="OKY47" s="76"/>
      <c r="OKZ47" s="76"/>
      <c r="OLA47" s="76"/>
      <c r="OLB47" s="76"/>
      <c r="OLC47" s="76"/>
      <c r="OLD47" s="76"/>
      <c r="OLE47" s="76"/>
      <c r="OLF47" s="76"/>
      <c r="OLG47" s="76"/>
      <c r="OLH47" s="76"/>
      <c r="OLI47" s="76"/>
      <c r="OLJ47" s="76"/>
      <c r="OLK47" s="76"/>
      <c r="OLL47" s="76"/>
      <c r="OLM47" s="76"/>
      <c r="OLN47" s="76"/>
      <c r="OLO47" s="76"/>
      <c r="OLP47" s="76"/>
      <c r="OLQ47" s="76"/>
      <c r="OLR47" s="76"/>
      <c r="OLS47" s="76"/>
      <c r="OLT47" s="76"/>
      <c r="OLU47" s="76"/>
      <c r="OLV47" s="76"/>
      <c r="OLW47" s="76"/>
      <c r="OLX47" s="76"/>
      <c r="OLY47" s="76"/>
      <c r="OLZ47" s="76"/>
      <c r="OMA47" s="76"/>
      <c r="OMB47" s="76"/>
      <c r="OMC47" s="76"/>
      <c r="OMD47" s="76"/>
      <c r="OME47" s="76"/>
      <c r="OMF47" s="76"/>
      <c r="OMG47" s="76"/>
      <c r="OMH47" s="76"/>
      <c r="OMI47" s="76"/>
      <c r="OMJ47" s="76"/>
      <c r="OMK47" s="76"/>
      <c r="OML47" s="76"/>
      <c r="OMM47" s="76"/>
      <c r="OMN47" s="76"/>
      <c r="OMO47" s="76"/>
      <c r="OMP47" s="76"/>
      <c r="OMQ47" s="76"/>
      <c r="OMR47" s="76"/>
      <c r="OMS47" s="76"/>
      <c r="OMT47" s="76"/>
      <c r="OMU47" s="76"/>
      <c r="OMV47" s="76"/>
      <c r="OMW47" s="76"/>
      <c r="OMX47" s="76"/>
      <c r="OMY47" s="76"/>
      <c r="OMZ47" s="76"/>
      <c r="ONA47" s="76"/>
      <c r="ONB47" s="76"/>
      <c r="ONC47" s="76"/>
      <c r="OND47" s="76"/>
      <c r="ONE47" s="76"/>
      <c r="ONF47" s="76"/>
      <c r="ONG47" s="76"/>
      <c r="ONH47" s="76"/>
      <c r="ONI47" s="76"/>
      <c r="ONJ47" s="76"/>
      <c r="ONK47" s="76"/>
      <c r="ONL47" s="76"/>
      <c r="ONM47" s="76"/>
      <c r="ONN47" s="76"/>
      <c r="ONO47" s="76"/>
      <c r="ONP47" s="76"/>
      <c r="ONQ47" s="76"/>
      <c r="ONR47" s="76"/>
      <c r="ONS47" s="76"/>
      <c r="ONT47" s="76"/>
      <c r="ONU47" s="76"/>
      <c r="ONV47" s="76"/>
      <c r="ONW47" s="76"/>
      <c r="ONX47" s="76"/>
      <c r="ONY47" s="76"/>
      <c r="ONZ47" s="76"/>
      <c r="OOA47" s="76"/>
      <c r="OOB47" s="76"/>
      <c r="OOC47" s="76"/>
      <c r="OOD47" s="76"/>
      <c r="OOE47" s="76"/>
      <c r="OOF47" s="76"/>
      <c r="OOG47" s="76"/>
      <c r="OOH47" s="76"/>
      <c r="OOI47" s="76"/>
      <c r="OOJ47" s="76"/>
      <c r="OOK47" s="76"/>
      <c r="OOL47" s="76"/>
      <c r="OOM47" s="76"/>
      <c r="OON47" s="76"/>
      <c r="OOO47" s="76"/>
      <c r="OOP47" s="76"/>
      <c r="OOQ47" s="76"/>
      <c r="OOR47" s="76"/>
      <c r="OOS47" s="76"/>
      <c r="OOT47" s="76"/>
      <c r="OOU47" s="76"/>
      <c r="OOV47" s="76"/>
      <c r="OOW47" s="76"/>
      <c r="OOX47" s="76"/>
      <c r="OOY47" s="76"/>
      <c r="OOZ47" s="76"/>
      <c r="OPA47" s="76"/>
      <c r="OPB47" s="76"/>
      <c r="OPC47" s="76"/>
      <c r="OPD47" s="76"/>
      <c r="OPE47" s="76"/>
      <c r="OPF47" s="76"/>
      <c r="OPG47" s="76"/>
      <c r="OPH47" s="76"/>
      <c r="OPI47" s="76"/>
      <c r="OPJ47" s="76"/>
      <c r="OPK47" s="76"/>
      <c r="OPL47" s="76"/>
      <c r="OPM47" s="76"/>
      <c r="OPN47" s="76"/>
      <c r="OPO47" s="76"/>
      <c r="OPP47" s="76"/>
      <c r="OPQ47" s="76"/>
      <c r="OPR47" s="76"/>
      <c r="OPS47" s="76"/>
      <c r="OPT47" s="76"/>
      <c r="OPU47" s="76"/>
      <c r="OPV47" s="76"/>
      <c r="OPW47" s="76"/>
      <c r="OPX47" s="76"/>
      <c r="OPY47" s="76"/>
      <c r="OPZ47" s="76"/>
      <c r="OQA47" s="76"/>
      <c r="OQB47" s="76"/>
      <c r="OQC47" s="76"/>
      <c r="OQD47" s="76"/>
      <c r="OQE47" s="76"/>
      <c r="OQF47" s="76"/>
      <c r="OQG47" s="76"/>
      <c r="OQH47" s="76"/>
      <c r="OQI47" s="76"/>
      <c r="OQJ47" s="76"/>
      <c r="OQK47" s="76"/>
      <c r="OQL47" s="76"/>
      <c r="OQM47" s="76"/>
      <c r="OQN47" s="76"/>
      <c r="OQO47" s="76"/>
      <c r="OQP47" s="76"/>
      <c r="OQQ47" s="76"/>
      <c r="OQR47" s="76"/>
      <c r="OQS47" s="76"/>
      <c r="OQT47" s="76"/>
      <c r="OQU47" s="76"/>
      <c r="OQV47" s="76"/>
      <c r="OQW47" s="76"/>
      <c r="OQX47" s="76"/>
      <c r="OQY47" s="76"/>
      <c r="OQZ47" s="76"/>
      <c r="ORA47" s="76"/>
      <c r="ORB47" s="76"/>
      <c r="ORC47" s="76"/>
      <c r="ORD47" s="76"/>
      <c r="ORE47" s="76"/>
      <c r="ORF47" s="76"/>
      <c r="ORG47" s="76"/>
      <c r="ORH47" s="76"/>
      <c r="ORI47" s="76"/>
      <c r="ORJ47" s="76"/>
      <c r="ORK47" s="76"/>
      <c r="ORL47" s="76"/>
      <c r="ORM47" s="76"/>
      <c r="ORN47" s="76"/>
      <c r="ORO47" s="76"/>
      <c r="ORP47" s="76"/>
      <c r="ORQ47" s="76"/>
      <c r="ORR47" s="76"/>
      <c r="ORS47" s="76"/>
      <c r="ORT47" s="76"/>
      <c r="ORU47" s="76"/>
      <c r="ORV47" s="76"/>
      <c r="ORW47" s="76"/>
      <c r="ORX47" s="76"/>
      <c r="ORY47" s="76"/>
      <c r="ORZ47" s="76"/>
      <c r="OSA47" s="76"/>
      <c r="OSB47" s="76"/>
      <c r="OSC47" s="76"/>
      <c r="OSD47" s="76"/>
      <c r="OSE47" s="76"/>
      <c r="OSF47" s="76"/>
      <c r="OSG47" s="76"/>
      <c r="OSH47" s="76"/>
      <c r="OSI47" s="76"/>
      <c r="OSJ47" s="76"/>
      <c r="OSK47" s="76"/>
      <c r="OSL47" s="76"/>
      <c r="OSM47" s="76"/>
      <c r="OSN47" s="76"/>
      <c r="OSO47" s="76"/>
      <c r="OSP47" s="76"/>
      <c r="OSQ47" s="76"/>
      <c r="OSR47" s="76"/>
      <c r="OSS47" s="76"/>
      <c r="OST47" s="76"/>
      <c r="OSU47" s="76"/>
      <c r="OSV47" s="76"/>
      <c r="OSW47" s="76"/>
      <c r="OSX47" s="76"/>
      <c r="OSY47" s="76"/>
      <c r="OSZ47" s="76"/>
      <c r="OTA47" s="76"/>
      <c r="OTB47" s="76"/>
      <c r="OTC47" s="76"/>
      <c r="OTD47" s="76"/>
      <c r="OTE47" s="76"/>
      <c r="OTF47" s="76"/>
      <c r="OTG47" s="76"/>
      <c r="OTH47" s="76"/>
      <c r="OTI47" s="76"/>
      <c r="OTJ47" s="76"/>
      <c r="OTK47" s="76"/>
      <c r="OTL47" s="76"/>
      <c r="OTM47" s="76"/>
      <c r="OTN47" s="76"/>
      <c r="OTO47" s="76"/>
      <c r="OTP47" s="76"/>
      <c r="OTQ47" s="76"/>
      <c r="OTR47" s="76"/>
      <c r="OTS47" s="76"/>
      <c r="OTT47" s="76"/>
      <c r="OTU47" s="76"/>
      <c r="OTV47" s="76"/>
      <c r="OTW47" s="76"/>
      <c r="OTX47" s="76"/>
      <c r="OTY47" s="76"/>
      <c r="OTZ47" s="76"/>
      <c r="OUA47" s="76"/>
      <c r="OUB47" s="76"/>
      <c r="OUC47" s="76"/>
      <c r="OUD47" s="76"/>
      <c r="OUE47" s="76"/>
      <c r="OUF47" s="76"/>
      <c r="OUG47" s="76"/>
      <c r="OUH47" s="76"/>
      <c r="OUI47" s="76"/>
      <c r="OUJ47" s="76"/>
      <c r="OUK47" s="76"/>
      <c r="OUL47" s="76"/>
      <c r="OUM47" s="76"/>
      <c r="OUN47" s="76"/>
      <c r="OUO47" s="76"/>
      <c r="OUP47" s="76"/>
      <c r="OUQ47" s="76"/>
      <c r="OUR47" s="76"/>
      <c r="OUS47" s="76"/>
      <c r="OUT47" s="76"/>
      <c r="OUU47" s="76"/>
      <c r="OUV47" s="76"/>
      <c r="OUW47" s="76"/>
      <c r="OUX47" s="76"/>
      <c r="OUY47" s="76"/>
      <c r="OUZ47" s="76"/>
      <c r="OVA47" s="76"/>
      <c r="OVB47" s="76"/>
      <c r="OVC47" s="76"/>
      <c r="OVD47" s="76"/>
      <c r="OVE47" s="76"/>
      <c r="OVF47" s="76"/>
      <c r="OVG47" s="76"/>
      <c r="OVH47" s="76"/>
      <c r="OVI47" s="76"/>
      <c r="OVJ47" s="76"/>
      <c r="OVK47" s="76"/>
      <c r="OVL47" s="76"/>
      <c r="OVM47" s="76"/>
      <c r="OVN47" s="76"/>
      <c r="OVO47" s="76"/>
      <c r="OVP47" s="76"/>
      <c r="OVQ47" s="76"/>
      <c r="OVR47" s="76"/>
      <c r="OVS47" s="76"/>
      <c r="OVT47" s="76"/>
      <c r="OVU47" s="76"/>
      <c r="OVV47" s="76"/>
      <c r="OVW47" s="76"/>
      <c r="OVX47" s="76"/>
      <c r="OVY47" s="76"/>
      <c r="OVZ47" s="76"/>
      <c r="OWA47" s="76"/>
      <c r="OWB47" s="76"/>
      <c r="OWC47" s="76"/>
      <c r="OWD47" s="76"/>
      <c r="OWE47" s="76"/>
      <c r="OWF47" s="76"/>
      <c r="OWG47" s="76"/>
      <c r="OWH47" s="76"/>
      <c r="OWI47" s="76"/>
      <c r="OWJ47" s="76"/>
      <c r="OWK47" s="76"/>
      <c r="OWL47" s="76"/>
      <c r="OWM47" s="76"/>
      <c r="OWN47" s="76"/>
      <c r="OWO47" s="76"/>
      <c r="OWP47" s="76"/>
      <c r="OWQ47" s="76"/>
      <c r="OWR47" s="76"/>
      <c r="OWS47" s="76"/>
      <c r="OWT47" s="76"/>
      <c r="OWU47" s="76"/>
      <c r="OWV47" s="76"/>
      <c r="OWW47" s="76"/>
      <c r="OWX47" s="76"/>
      <c r="OWY47" s="76"/>
      <c r="OWZ47" s="76"/>
      <c r="OXA47" s="76"/>
      <c r="OXB47" s="76"/>
      <c r="OXC47" s="76"/>
      <c r="OXD47" s="76"/>
      <c r="OXE47" s="76"/>
      <c r="OXF47" s="76"/>
      <c r="OXG47" s="76"/>
      <c r="OXH47" s="76"/>
      <c r="OXI47" s="76"/>
      <c r="OXJ47" s="76"/>
      <c r="OXK47" s="76"/>
      <c r="OXL47" s="76"/>
      <c r="OXM47" s="76"/>
      <c r="OXN47" s="76"/>
      <c r="OXO47" s="76"/>
      <c r="OXP47" s="76"/>
      <c r="OXQ47" s="76"/>
      <c r="OXR47" s="76"/>
      <c r="OXS47" s="76"/>
      <c r="OXT47" s="76"/>
      <c r="OXU47" s="76"/>
      <c r="OXV47" s="76"/>
      <c r="OXW47" s="76"/>
      <c r="OXX47" s="76"/>
      <c r="OXY47" s="76"/>
      <c r="OXZ47" s="76"/>
      <c r="OYA47" s="76"/>
      <c r="OYB47" s="76"/>
      <c r="OYC47" s="76"/>
      <c r="OYD47" s="76"/>
      <c r="OYE47" s="76"/>
      <c r="OYF47" s="76"/>
      <c r="OYG47" s="76"/>
      <c r="OYH47" s="76"/>
      <c r="OYI47" s="76"/>
      <c r="OYJ47" s="76"/>
      <c r="OYK47" s="76"/>
      <c r="OYL47" s="76"/>
      <c r="OYM47" s="76"/>
      <c r="OYN47" s="76"/>
      <c r="OYO47" s="76"/>
      <c r="OYP47" s="76"/>
      <c r="OYQ47" s="76"/>
      <c r="OYR47" s="76"/>
      <c r="OYS47" s="76"/>
      <c r="OYT47" s="76"/>
      <c r="OYU47" s="76"/>
      <c r="OYV47" s="76"/>
      <c r="OYW47" s="76"/>
      <c r="OYX47" s="76"/>
      <c r="OYY47" s="76"/>
      <c r="OYZ47" s="76"/>
      <c r="OZA47" s="76"/>
      <c r="OZB47" s="76"/>
      <c r="OZC47" s="76"/>
      <c r="OZD47" s="76"/>
      <c r="OZE47" s="76"/>
      <c r="OZF47" s="76"/>
      <c r="OZG47" s="76"/>
      <c r="OZH47" s="76"/>
      <c r="OZI47" s="76"/>
      <c r="OZJ47" s="76"/>
      <c r="OZK47" s="76"/>
      <c r="OZL47" s="76"/>
      <c r="OZM47" s="76"/>
      <c r="OZN47" s="76"/>
      <c r="OZO47" s="76"/>
      <c r="OZP47" s="76"/>
      <c r="OZQ47" s="76"/>
      <c r="OZR47" s="76"/>
      <c r="OZS47" s="76"/>
      <c r="OZT47" s="76"/>
      <c r="OZU47" s="76"/>
      <c r="OZV47" s="76"/>
      <c r="OZW47" s="76"/>
      <c r="OZX47" s="76"/>
      <c r="OZY47" s="76"/>
      <c r="OZZ47" s="76"/>
      <c r="PAA47" s="76"/>
      <c r="PAB47" s="76"/>
      <c r="PAC47" s="76"/>
      <c r="PAD47" s="76"/>
      <c r="PAE47" s="76"/>
      <c r="PAF47" s="76"/>
      <c r="PAG47" s="76"/>
      <c r="PAH47" s="76"/>
      <c r="PAI47" s="76"/>
      <c r="PAJ47" s="76"/>
      <c r="PAK47" s="76"/>
      <c r="PAL47" s="76"/>
      <c r="PAM47" s="76"/>
      <c r="PAN47" s="76"/>
      <c r="PAO47" s="76"/>
      <c r="PAP47" s="76"/>
      <c r="PAQ47" s="76"/>
      <c r="PAR47" s="76"/>
      <c r="PAS47" s="76"/>
      <c r="PAT47" s="76"/>
      <c r="PAU47" s="76"/>
      <c r="PAV47" s="76"/>
      <c r="PAW47" s="76"/>
      <c r="PAX47" s="76"/>
      <c r="PAY47" s="76"/>
      <c r="PAZ47" s="76"/>
      <c r="PBA47" s="76"/>
      <c r="PBB47" s="76"/>
      <c r="PBC47" s="76"/>
      <c r="PBD47" s="76"/>
      <c r="PBE47" s="76"/>
      <c r="PBF47" s="76"/>
      <c r="PBG47" s="76"/>
      <c r="PBH47" s="76"/>
      <c r="PBI47" s="76"/>
      <c r="PBJ47" s="76"/>
      <c r="PBK47" s="76"/>
      <c r="PBL47" s="76"/>
      <c r="PBM47" s="76"/>
      <c r="PBN47" s="76"/>
      <c r="PBO47" s="76"/>
      <c r="PBP47" s="76"/>
      <c r="PBQ47" s="76"/>
      <c r="PBR47" s="76"/>
      <c r="PBS47" s="76"/>
      <c r="PBT47" s="76"/>
      <c r="PBU47" s="76"/>
      <c r="PBV47" s="76"/>
      <c r="PBW47" s="76"/>
      <c r="PBX47" s="76"/>
      <c r="PBY47" s="76"/>
      <c r="PBZ47" s="76"/>
      <c r="PCA47" s="76"/>
      <c r="PCB47" s="76"/>
      <c r="PCC47" s="76"/>
      <c r="PCD47" s="76"/>
      <c r="PCE47" s="76"/>
      <c r="PCF47" s="76"/>
      <c r="PCG47" s="76"/>
      <c r="PCH47" s="76"/>
      <c r="PCI47" s="76"/>
      <c r="PCJ47" s="76"/>
      <c r="PCK47" s="76"/>
      <c r="PCL47" s="76"/>
      <c r="PCM47" s="76"/>
      <c r="PCN47" s="76"/>
      <c r="PCO47" s="76"/>
      <c r="PCP47" s="76"/>
      <c r="PCQ47" s="76"/>
      <c r="PCR47" s="76"/>
      <c r="PCS47" s="76"/>
      <c r="PCT47" s="76"/>
      <c r="PCU47" s="76"/>
      <c r="PCV47" s="76"/>
      <c r="PCW47" s="76"/>
      <c r="PCX47" s="76"/>
      <c r="PCY47" s="76"/>
      <c r="PCZ47" s="76"/>
      <c r="PDA47" s="76"/>
      <c r="PDB47" s="76"/>
      <c r="PDC47" s="76"/>
      <c r="PDD47" s="76"/>
      <c r="PDE47" s="76"/>
      <c r="PDF47" s="76"/>
      <c r="PDG47" s="76"/>
      <c r="PDH47" s="76"/>
      <c r="PDI47" s="76"/>
      <c r="PDJ47" s="76"/>
      <c r="PDK47" s="76"/>
      <c r="PDL47" s="76"/>
      <c r="PDM47" s="76"/>
      <c r="PDN47" s="76"/>
      <c r="PDO47" s="76"/>
      <c r="PDP47" s="76"/>
      <c r="PDQ47" s="76"/>
      <c r="PDR47" s="76"/>
      <c r="PDS47" s="76"/>
      <c r="PDT47" s="76"/>
      <c r="PDU47" s="76"/>
      <c r="PDV47" s="76"/>
      <c r="PDW47" s="76"/>
      <c r="PDX47" s="76"/>
      <c r="PDY47" s="76"/>
      <c r="PDZ47" s="76"/>
      <c r="PEA47" s="76"/>
      <c r="PEB47" s="76"/>
      <c r="PEC47" s="76"/>
      <c r="PED47" s="76"/>
      <c r="PEE47" s="76"/>
      <c r="PEF47" s="76"/>
      <c r="PEG47" s="76"/>
      <c r="PEH47" s="76"/>
      <c r="PEI47" s="76"/>
      <c r="PEJ47" s="76"/>
      <c r="PEK47" s="76"/>
      <c r="PEL47" s="76"/>
      <c r="PEM47" s="76"/>
      <c r="PEN47" s="76"/>
      <c r="PEO47" s="76"/>
      <c r="PEP47" s="76"/>
      <c r="PEQ47" s="76"/>
      <c r="PER47" s="76"/>
      <c r="PES47" s="76"/>
      <c r="PET47" s="76"/>
      <c r="PEU47" s="76"/>
      <c r="PEV47" s="76"/>
      <c r="PEW47" s="76"/>
      <c r="PEX47" s="76"/>
      <c r="PEY47" s="76"/>
      <c r="PEZ47" s="76"/>
      <c r="PFA47" s="76"/>
      <c r="PFB47" s="76"/>
      <c r="PFC47" s="76"/>
      <c r="PFD47" s="76"/>
      <c r="PFE47" s="76"/>
      <c r="PFF47" s="76"/>
      <c r="PFG47" s="76"/>
      <c r="PFH47" s="76"/>
      <c r="PFI47" s="76"/>
      <c r="PFJ47" s="76"/>
      <c r="PFK47" s="76"/>
      <c r="PFL47" s="76"/>
      <c r="PFM47" s="76"/>
      <c r="PFN47" s="76"/>
      <c r="PFO47" s="76"/>
      <c r="PFP47" s="76"/>
      <c r="PFQ47" s="76"/>
      <c r="PFR47" s="76"/>
      <c r="PFS47" s="76"/>
      <c r="PFT47" s="76"/>
      <c r="PFU47" s="76"/>
      <c r="PFV47" s="76"/>
      <c r="PFW47" s="76"/>
      <c r="PFX47" s="76"/>
      <c r="PFY47" s="76"/>
      <c r="PFZ47" s="76"/>
      <c r="PGA47" s="76"/>
      <c r="PGB47" s="76"/>
      <c r="PGC47" s="76"/>
      <c r="PGD47" s="76"/>
      <c r="PGE47" s="76"/>
      <c r="PGF47" s="76"/>
      <c r="PGG47" s="76"/>
      <c r="PGH47" s="76"/>
      <c r="PGI47" s="76"/>
      <c r="PGJ47" s="76"/>
      <c r="PGK47" s="76"/>
      <c r="PGL47" s="76"/>
      <c r="PGM47" s="76"/>
      <c r="PGN47" s="76"/>
      <c r="PGO47" s="76"/>
      <c r="PGP47" s="76"/>
      <c r="PGQ47" s="76"/>
      <c r="PGR47" s="76"/>
      <c r="PGS47" s="76"/>
      <c r="PGT47" s="76"/>
      <c r="PGU47" s="76"/>
      <c r="PGV47" s="76"/>
      <c r="PGW47" s="76"/>
      <c r="PGX47" s="76"/>
      <c r="PGY47" s="76"/>
      <c r="PGZ47" s="76"/>
      <c r="PHA47" s="76"/>
      <c r="PHB47" s="76"/>
      <c r="PHC47" s="76"/>
      <c r="PHD47" s="76"/>
      <c r="PHE47" s="76"/>
      <c r="PHF47" s="76"/>
      <c r="PHG47" s="76"/>
      <c r="PHH47" s="76"/>
      <c r="PHI47" s="76"/>
      <c r="PHJ47" s="76"/>
      <c r="PHK47" s="76"/>
      <c r="PHL47" s="76"/>
      <c r="PHM47" s="76"/>
      <c r="PHN47" s="76"/>
      <c r="PHO47" s="76"/>
      <c r="PHP47" s="76"/>
      <c r="PHQ47" s="76"/>
      <c r="PHR47" s="76"/>
      <c r="PHS47" s="76"/>
      <c r="PHT47" s="76"/>
      <c r="PHU47" s="76"/>
      <c r="PHV47" s="76"/>
      <c r="PHW47" s="76"/>
      <c r="PHX47" s="76"/>
      <c r="PHY47" s="76"/>
      <c r="PHZ47" s="76"/>
      <c r="PIA47" s="76"/>
      <c r="PIB47" s="76"/>
      <c r="PIC47" s="76"/>
      <c r="PID47" s="76"/>
      <c r="PIE47" s="76"/>
      <c r="PIF47" s="76"/>
      <c r="PIG47" s="76"/>
      <c r="PIH47" s="76"/>
      <c r="PII47" s="76"/>
      <c r="PIJ47" s="76"/>
      <c r="PIK47" s="76"/>
      <c r="PIL47" s="76"/>
      <c r="PIM47" s="76"/>
      <c r="PIN47" s="76"/>
      <c r="PIO47" s="76"/>
      <c r="PIP47" s="76"/>
      <c r="PIQ47" s="76"/>
      <c r="PIR47" s="76"/>
      <c r="PIS47" s="76"/>
      <c r="PIT47" s="76"/>
      <c r="PIU47" s="76"/>
      <c r="PIV47" s="76"/>
      <c r="PIW47" s="76"/>
      <c r="PIX47" s="76"/>
      <c r="PIY47" s="76"/>
      <c r="PIZ47" s="76"/>
      <c r="PJA47" s="76"/>
      <c r="PJB47" s="76"/>
      <c r="PJC47" s="76"/>
      <c r="PJD47" s="76"/>
      <c r="PJE47" s="76"/>
      <c r="PJF47" s="76"/>
      <c r="PJG47" s="76"/>
      <c r="PJH47" s="76"/>
      <c r="PJI47" s="76"/>
      <c r="PJJ47" s="76"/>
      <c r="PJK47" s="76"/>
      <c r="PJL47" s="76"/>
      <c r="PJM47" s="76"/>
      <c r="PJN47" s="76"/>
      <c r="PJO47" s="76"/>
      <c r="PJP47" s="76"/>
      <c r="PJQ47" s="76"/>
      <c r="PJR47" s="76"/>
      <c r="PJS47" s="76"/>
      <c r="PJT47" s="76"/>
      <c r="PJU47" s="76"/>
      <c r="PJV47" s="76"/>
      <c r="PJW47" s="76"/>
      <c r="PJX47" s="76"/>
      <c r="PJY47" s="76"/>
      <c r="PJZ47" s="76"/>
      <c r="PKA47" s="76"/>
      <c r="PKB47" s="76"/>
      <c r="PKC47" s="76"/>
      <c r="PKD47" s="76"/>
      <c r="PKE47" s="76"/>
      <c r="PKF47" s="76"/>
      <c r="PKG47" s="76"/>
      <c r="PKH47" s="76"/>
      <c r="PKI47" s="76"/>
      <c r="PKJ47" s="76"/>
      <c r="PKK47" s="76"/>
      <c r="PKL47" s="76"/>
      <c r="PKM47" s="76"/>
      <c r="PKN47" s="76"/>
      <c r="PKO47" s="76"/>
      <c r="PKP47" s="76"/>
      <c r="PKQ47" s="76"/>
      <c r="PKR47" s="76"/>
      <c r="PKS47" s="76"/>
      <c r="PKT47" s="76"/>
      <c r="PKU47" s="76"/>
      <c r="PKV47" s="76"/>
      <c r="PKW47" s="76"/>
      <c r="PKX47" s="76"/>
      <c r="PKY47" s="76"/>
      <c r="PKZ47" s="76"/>
      <c r="PLA47" s="76"/>
      <c r="PLB47" s="76"/>
      <c r="PLC47" s="76"/>
      <c r="PLD47" s="76"/>
      <c r="PLE47" s="76"/>
      <c r="PLF47" s="76"/>
      <c r="PLG47" s="76"/>
      <c r="PLH47" s="76"/>
      <c r="PLI47" s="76"/>
      <c r="PLJ47" s="76"/>
      <c r="PLK47" s="76"/>
      <c r="PLL47" s="76"/>
      <c r="PLM47" s="76"/>
      <c r="PLN47" s="76"/>
      <c r="PLO47" s="76"/>
      <c r="PLP47" s="76"/>
      <c r="PLQ47" s="76"/>
      <c r="PLR47" s="76"/>
      <c r="PLS47" s="76"/>
      <c r="PLT47" s="76"/>
      <c r="PLU47" s="76"/>
      <c r="PLV47" s="76"/>
      <c r="PLW47" s="76"/>
      <c r="PLX47" s="76"/>
      <c r="PLY47" s="76"/>
      <c r="PLZ47" s="76"/>
      <c r="PMA47" s="76"/>
      <c r="PMB47" s="76"/>
      <c r="PMC47" s="76"/>
      <c r="PMD47" s="76"/>
      <c r="PME47" s="76"/>
      <c r="PMF47" s="76"/>
      <c r="PMG47" s="76"/>
      <c r="PMH47" s="76"/>
      <c r="PMI47" s="76"/>
      <c r="PMJ47" s="76"/>
      <c r="PMK47" s="76"/>
      <c r="PML47" s="76"/>
      <c r="PMM47" s="76"/>
      <c r="PMN47" s="76"/>
      <c r="PMO47" s="76"/>
      <c r="PMP47" s="76"/>
      <c r="PMQ47" s="76"/>
      <c r="PMR47" s="76"/>
      <c r="PMS47" s="76"/>
      <c r="PMT47" s="76"/>
      <c r="PMU47" s="76"/>
      <c r="PMV47" s="76"/>
      <c r="PMW47" s="76"/>
      <c r="PMX47" s="76"/>
      <c r="PMY47" s="76"/>
      <c r="PMZ47" s="76"/>
      <c r="PNA47" s="76"/>
      <c r="PNB47" s="76"/>
      <c r="PNC47" s="76"/>
      <c r="PND47" s="76"/>
      <c r="PNE47" s="76"/>
      <c r="PNF47" s="76"/>
      <c r="PNG47" s="76"/>
      <c r="PNH47" s="76"/>
      <c r="PNI47" s="76"/>
      <c r="PNJ47" s="76"/>
      <c r="PNK47" s="76"/>
      <c r="PNL47" s="76"/>
      <c r="PNM47" s="76"/>
      <c r="PNN47" s="76"/>
      <c r="PNO47" s="76"/>
      <c r="PNP47" s="76"/>
      <c r="PNQ47" s="76"/>
      <c r="PNR47" s="76"/>
      <c r="PNS47" s="76"/>
      <c r="PNT47" s="76"/>
      <c r="PNU47" s="76"/>
      <c r="PNV47" s="76"/>
      <c r="PNW47" s="76"/>
      <c r="PNX47" s="76"/>
      <c r="PNY47" s="76"/>
      <c r="PNZ47" s="76"/>
      <c r="POA47" s="76"/>
      <c r="POB47" s="76"/>
      <c r="POC47" s="76"/>
      <c r="POD47" s="76"/>
      <c r="POE47" s="76"/>
      <c r="POF47" s="76"/>
      <c r="POG47" s="76"/>
      <c r="POH47" s="76"/>
      <c r="POI47" s="76"/>
      <c r="POJ47" s="76"/>
      <c r="POK47" s="76"/>
      <c r="POL47" s="76"/>
      <c r="POM47" s="76"/>
      <c r="PON47" s="76"/>
      <c r="POO47" s="76"/>
      <c r="POP47" s="76"/>
      <c r="POQ47" s="76"/>
      <c r="POR47" s="76"/>
      <c r="POS47" s="76"/>
      <c r="POT47" s="76"/>
      <c r="POU47" s="76"/>
      <c r="POV47" s="76"/>
      <c r="POW47" s="76"/>
      <c r="POX47" s="76"/>
      <c r="POY47" s="76"/>
      <c r="POZ47" s="76"/>
      <c r="PPA47" s="76"/>
      <c r="PPB47" s="76"/>
      <c r="PPC47" s="76"/>
      <c r="PPD47" s="76"/>
      <c r="PPE47" s="76"/>
      <c r="PPF47" s="76"/>
      <c r="PPG47" s="76"/>
      <c r="PPH47" s="76"/>
      <c r="PPI47" s="76"/>
      <c r="PPJ47" s="76"/>
      <c r="PPK47" s="76"/>
      <c r="PPL47" s="76"/>
      <c r="PPM47" s="76"/>
      <c r="PPN47" s="76"/>
      <c r="PPO47" s="76"/>
      <c r="PPP47" s="76"/>
      <c r="PPQ47" s="76"/>
      <c r="PPR47" s="76"/>
      <c r="PPS47" s="76"/>
      <c r="PPT47" s="76"/>
      <c r="PPU47" s="76"/>
      <c r="PPV47" s="76"/>
      <c r="PPW47" s="76"/>
      <c r="PPX47" s="76"/>
      <c r="PPY47" s="76"/>
      <c r="PPZ47" s="76"/>
      <c r="PQA47" s="76"/>
      <c r="PQB47" s="76"/>
      <c r="PQC47" s="76"/>
      <c r="PQD47" s="76"/>
      <c r="PQE47" s="76"/>
      <c r="PQF47" s="76"/>
      <c r="PQG47" s="76"/>
      <c r="PQH47" s="76"/>
      <c r="PQI47" s="76"/>
      <c r="PQJ47" s="76"/>
      <c r="PQK47" s="76"/>
      <c r="PQL47" s="76"/>
      <c r="PQM47" s="76"/>
      <c r="PQN47" s="76"/>
      <c r="PQO47" s="76"/>
      <c r="PQP47" s="76"/>
      <c r="PQQ47" s="76"/>
      <c r="PQR47" s="76"/>
      <c r="PQS47" s="76"/>
      <c r="PQT47" s="76"/>
      <c r="PQU47" s="76"/>
      <c r="PQV47" s="76"/>
      <c r="PQW47" s="76"/>
      <c r="PQX47" s="76"/>
      <c r="PQY47" s="76"/>
      <c r="PQZ47" s="76"/>
      <c r="PRA47" s="76"/>
      <c r="PRB47" s="76"/>
      <c r="PRC47" s="76"/>
      <c r="PRD47" s="76"/>
      <c r="PRE47" s="76"/>
      <c r="PRF47" s="76"/>
      <c r="PRG47" s="76"/>
      <c r="PRH47" s="76"/>
      <c r="PRI47" s="76"/>
      <c r="PRJ47" s="76"/>
      <c r="PRK47" s="76"/>
      <c r="PRL47" s="76"/>
      <c r="PRM47" s="76"/>
      <c r="PRN47" s="76"/>
      <c r="PRO47" s="76"/>
      <c r="PRP47" s="76"/>
      <c r="PRQ47" s="76"/>
      <c r="PRR47" s="76"/>
      <c r="PRS47" s="76"/>
      <c r="PRT47" s="76"/>
      <c r="PRU47" s="76"/>
      <c r="PRV47" s="76"/>
      <c r="PRW47" s="76"/>
      <c r="PRX47" s="76"/>
      <c r="PRY47" s="76"/>
      <c r="PRZ47" s="76"/>
      <c r="PSA47" s="76"/>
      <c r="PSB47" s="76"/>
      <c r="PSC47" s="76"/>
      <c r="PSD47" s="76"/>
      <c r="PSE47" s="76"/>
      <c r="PSF47" s="76"/>
      <c r="PSG47" s="76"/>
      <c r="PSH47" s="76"/>
      <c r="PSI47" s="76"/>
      <c r="PSJ47" s="76"/>
      <c r="PSK47" s="76"/>
      <c r="PSL47" s="76"/>
      <c r="PSM47" s="76"/>
      <c r="PSN47" s="76"/>
      <c r="PSO47" s="76"/>
      <c r="PSP47" s="76"/>
      <c r="PSQ47" s="76"/>
      <c r="PSR47" s="76"/>
      <c r="PSS47" s="76"/>
      <c r="PST47" s="76"/>
      <c r="PSU47" s="76"/>
      <c r="PSV47" s="76"/>
      <c r="PSW47" s="76"/>
      <c r="PSX47" s="76"/>
      <c r="PSY47" s="76"/>
      <c r="PSZ47" s="76"/>
      <c r="PTA47" s="76"/>
      <c r="PTB47" s="76"/>
      <c r="PTC47" s="76"/>
      <c r="PTD47" s="76"/>
      <c r="PTE47" s="76"/>
      <c r="PTF47" s="76"/>
      <c r="PTG47" s="76"/>
      <c r="PTH47" s="76"/>
      <c r="PTI47" s="76"/>
      <c r="PTJ47" s="76"/>
      <c r="PTK47" s="76"/>
      <c r="PTL47" s="76"/>
      <c r="PTM47" s="76"/>
      <c r="PTN47" s="76"/>
      <c r="PTO47" s="76"/>
      <c r="PTP47" s="76"/>
      <c r="PTQ47" s="76"/>
      <c r="PTR47" s="76"/>
      <c r="PTS47" s="76"/>
      <c r="PTT47" s="76"/>
      <c r="PTU47" s="76"/>
      <c r="PTV47" s="76"/>
      <c r="PTW47" s="76"/>
      <c r="PTX47" s="76"/>
      <c r="PTY47" s="76"/>
      <c r="PTZ47" s="76"/>
      <c r="PUA47" s="76"/>
      <c r="PUB47" s="76"/>
      <c r="PUC47" s="76"/>
      <c r="PUD47" s="76"/>
      <c r="PUE47" s="76"/>
      <c r="PUF47" s="76"/>
      <c r="PUG47" s="76"/>
      <c r="PUH47" s="76"/>
      <c r="PUI47" s="76"/>
      <c r="PUJ47" s="76"/>
      <c r="PUK47" s="76"/>
      <c r="PUL47" s="76"/>
      <c r="PUM47" s="76"/>
      <c r="PUN47" s="76"/>
      <c r="PUO47" s="76"/>
      <c r="PUP47" s="76"/>
      <c r="PUQ47" s="76"/>
      <c r="PUR47" s="76"/>
      <c r="PUS47" s="76"/>
      <c r="PUT47" s="76"/>
      <c r="PUU47" s="76"/>
      <c r="PUV47" s="76"/>
      <c r="PUW47" s="76"/>
      <c r="PUX47" s="76"/>
      <c r="PUY47" s="76"/>
      <c r="PUZ47" s="76"/>
      <c r="PVA47" s="76"/>
      <c r="PVB47" s="76"/>
      <c r="PVC47" s="76"/>
      <c r="PVD47" s="76"/>
      <c r="PVE47" s="76"/>
      <c r="PVF47" s="76"/>
      <c r="PVG47" s="76"/>
      <c r="PVH47" s="76"/>
      <c r="PVI47" s="76"/>
      <c r="PVJ47" s="76"/>
      <c r="PVK47" s="76"/>
      <c r="PVL47" s="76"/>
      <c r="PVM47" s="76"/>
      <c r="PVN47" s="76"/>
      <c r="PVO47" s="76"/>
      <c r="PVP47" s="76"/>
      <c r="PVQ47" s="76"/>
      <c r="PVR47" s="76"/>
      <c r="PVS47" s="76"/>
      <c r="PVT47" s="76"/>
      <c r="PVU47" s="76"/>
      <c r="PVV47" s="76"/>
      <c r="PVW47" s="76"/>
      <c r="PVX47" s="76"/>
      <c r="PVY47" s="76"/>
      <c r="PVZ47" s="76"/>
      <c r="PWA47" s="76"/>
      <c r="PWB47" s="76"/>
      <c r="PWC47" s="76"/>
      <c r="PWD47" s="76"/>
      <c r="PWE47" s="76"/>
      <c r="PWF47" s="76"/>
      <c r="PWG47" s="76"/>
      <c r="PWH47" s="76"/>
      <c r="PWI47" s="76"/>
      <c r="PWJ47" s="76"/>
      <c r="PWK47" s="76"/>
      <c r="PWL47" s="76"/>
      <c r="PWM47" s="76"/>
      <c r="PWN47" s="76"/>
      <c r="PWO47" s="76"/>
      <c r="PWP47" s="76"/>
      <c r="PWQ47" s="76"/>
      <c r="PWR47" s="76"/>
      <c r="PWS47" s="76"/>
      <c r="PWT47" s="76"/>
      <c r="PWU47" s="76"/>
      <c r="PWV47" s="76"/>
      <c r="PWW47" s="76"/>
      <c r="PWX47" s="76"/>
      <c r="PWY47" s="76"/>
      <c r="PWZ47" s="76"/>
      <c r="PXA47" s="76"/>
      <c r="PXB47" s="76"/>
      <c r="PXC47" s="76"/>
      <c r="PXD47" s="76"/>
      <c r="PXE47" s="76"/>
      <c r="PXF47" s="76"/>
      <c r="PXG47" s="76"/>
      <c r="PXH47" s="76"/>
      <c r="PXI47" s="76"/>
      <c r="PXJ47" s="76"/>
      <c r="PXK47" s="76"/>
      <c r="PXL47" s="76"/>
      <c r="PXM47" s="76"/>
      <c r="PXN47" s="76"/>
      <c r="PXO47" s="76"/>
      <c r="PXP47" s="76"/>
      <c r="PXQ47" s="76"/>
      <c r="PXR47" s="76"/>
      <c r="PXS47" s="76"/>
      <c r="PXT47" s="76"/>
      <c r="PXU47" s="76"/>
      <c r="PXV47" s="76"/>
      <c r="PXW47" s="76"/>
      <c r="PXX47" s="76"/>
      <c r="PXY47" s="76"/>
      <c r="PXZ47" s="76"/>
      <c r="PYA47" s="76"/>
      <c r="PYB47" s="76"/>
      <c r="PYC47" s="76"/>
      <c r="PYD47" s="76"/>
      <c r="PYE47" s="76"/>
      <c r="PYF47" s="76"/>
      <c r="PYG47" s="76"/>
      <c r="PYH47" s="76"/>
      <c r="PYI47" s="76"/>
      <c r="PYJ47" s="76"/>
      <c r="PYK47" s="76"/>
      <c r="PYL47" s="76"/>
      <c r="PYM47" s="76"/>
      <c r="PYN47" s="76"/>
      <c r="PYO47" s="76"/>
      <c r="PYP47" s="76"/>
      <c r="PYQ47" s="76"/>
      <c r="PYR47" s="76"/>
      <c r="PYS47" s="76"/>
      <c r="PYT47" s="76"/>
      <c r="PYU47" s="76"/>
      <c r="PYV47" s="76"/>
      <c r="PYW47" s="76"/>
      <c r="PYX47" s="76"/>
      <c r="PYY47" s="76"/>
      <c r="PYZ47" s="76"/>
      <c r="PZA47" s="76"/>
      <c r="PZB47" s="76"/>
      <c r="PZC47" s="76"/>
      <c r="PZD47" s="76"/>
      <c r="PZE47" s="76"/>
      <c r="PZF47" s="76"/>
      <c r="PZG47" s="76"/>
      <c r="PZH47" s="76"/>
      <c r="PZI47" s="76"/>
      <c r="PZJ47" s="76"/>
      <c r="PZK47" s="76"/>
      <c r="PZL47" s="76"/>
      <c r="PZM47" s="76"/>
      <c r="PZN47" s="76"/>
      <c r="PZO47" s="76"/>
      <c r="PZP47" s="76"/>
      <c r="PZQ47" s="76"/>
      <c r="PZR47" s="76"/>
      <c r="PZS47" s="76"/>
      <c r="PZT47" s="76"/>
      <c r="PZU47" s="76"/>
      <c r="PZV47" s="76"/>
      <c r="PZW47" s="76"/>
      <c r="PZX47" s="76"/>
      <c r="PZY47" s="76"/>
      <c r="PZZ47" s="76"/>
      <c r="QAA47" s="76"/>
      <c r="QAB47" s="76"/>
      <c r="QAC47" s="76"/>
      <c r="QAD47" s="76"/>
      <c r="QAE47" s="76"/>
      <c r="QAF47" s="76"/>
      <c r="QAG47" s="76"/>
      <c r="QAH47" s="76"/>
      <c r="QAI47" s="76"/>
      <c r="QAJ47" s="76"/>
      <c r="QAK47" s="76"/>
      <c r="QAL47" s="76"/>
      <c r="QAM47" s="76"/>
      <c r="QAN47" s="76"/>
      <c r="QAO47" s="76"/>
      <c r="QAP47" s="76"/>
      <c r="QAQ47" s="76"/>
      <c r="QAR47" s="76"/>
      <c r="QAS47" s="76"/>
      <c r="QAT47" s="76"/>
      <c r="QAU47" s="76"/>
      <c r="QAV47" s="76"/>
      <c r="QAW47" s="76"/>
      <c r="QAX47" s="76"/>
      <c r="QAY47" s="76"/>
      <c r="QAZ47" s="76"/>
      <c r="QBA47" s="76"/>
      <c r="QBB47" s="76"/>
      <c r="QBC47" s="76"/>
      <c r="QBD47" s="76"/>
      <c r="QBE47" s="76"/>
      <c r="QBF47" s="76"/>
      <c r="QBG47" s="76"/>
      <c r="QBH47" s="76"/>
      <c r="QBI47" s="76"/>
      <c r="QBJ47" s="76"/>
      <c r="QBK47" s="76"/>
      <c r="QBL47" s="76"/>
      <c r="QBM47" s="76"/>
      <c r="QBN47" s="76"/>
      <c r="QBO47" s="76"/>
      <c r="QBP47" s="76"/>
      <c r="QBQ47" s="76"/>
      <c r="QBR47" s="76"/>
      <c r="QBS47" s="76"/>
      <c r="QBT47" s="76"/>
      <c r="QBU47" s="76"/>
      <c r="QBV47" s="76"/>
      <c r="QBW47" s="76"/>
      <c r="QBX47" s="76"/>
      <c r="QBY47" s="76"/>
      <c r="QBZ47" s="76"/>
      <c r="QCA47" s="76"/>
      <c r="QCB47" s="76"/>
      <c r="QCC47" s="76"/>
      <c r="QCD47" s="76"/>
      <c r="QCE47" s="76"/>
      <c r="QCF47" s="76"/>
      <c r="QCG47" s="76"/>
      <c r="QCH47" s="76"/>
      <c r="QCI47" s="76"/>
      <c r="QCJ47" s="76"/>
      <c r="QCK47" s="76"/>
      <c r="QCL47" s="76"/>
      <c r="QCM47" s="76"/>
      <c r="QCN47" s="76"/>
      <c r="QCO47" s="76"/>
      <c r="QCP47" s="76"/>
      <c r="QCQ47" s="76"/>
      <c r="QCR47" s="76"/>
      <c r="QCS47" s="76"/>
      <c r="QCT47" s="76"/>
      <c r="QCU47" s="76"/>
      <c r="QCV47" s="76"/>
      <c r="QCW47" s="76"/>
      <c r="QCX47" s="76"/>
      <c r="QCY47" s="76"/>
      <c r="QCZ47" s="76"/>
      <c r="QDA47" s="76"/>
      <c r="QDB47" s="76"/>
      <c r="QDC47" s="76"/>
      <c r="QDD47" s="76"/>
      <c r="QDE47" s="76"/>
      <c r="QDF47" s="76"/>
      <c r="QDG47" s="76"/>
      <c r="QDH47" s="76"/>
      <c r="QDI47" s="76"/>
      <c r="QDJ47" s="76"/>
      <c r="QDK47" s="76"/>
      <c r="QDL47" s="76"/>
      <c r="QDM47" s="76"/>
      <c r="QDN47" s="76"/>
      <c r="QDO47" s="76"/>
      <c r="QDP47" s="76"/>
      <c r="QDQ47" s="76"/>
      <c r="QDR47" s="76"/>
      <c r="QDS47" s="76"/>
      <c r="QDT47" s="76"/>
      <c r="QDU47" s="76"/>
      <c r="QDV47" s="76"/>
      <c r="QDW47" s="76"/>
      <c r="QDX47" s="76"/>
      <c r="QDY47" s="76"/>
      <c r="QDZ47" s="76"/>
      <c r="QEA47" s="76"/>
      <c r="QEB47" s="76"/>
      <c r="QEC47" s="76"/>
      <c r="QED47" s="76"/>
      <c r="QEE47" s="76"/>
      <c r="QEF47" s="76"/>
      <c r="QEG47" s="76"/>
      <c r="QEH47" s="76"/>
      <c r="QEI47" s="76"/>
      <c r="QEJ47" s="76"/>
      <c r="QEK47" s="76"/>
      <c r="QEL47" s="76"/>
      <c r="QEM47" s="76"/>
      <c r="QEN47" s="76"/>
      <c r="QEO47" s="76"/>
      <c r="QEP47" s="76"/>
      <c r="QEQ47" s="76"/>
      <c r="QER47" s="76"/>
      <c r="QES47" s="76"/>
      <c r="QET47" s="76"/>
      <c r="QEU47" s="76"/>
      <c r="QEV47" s="76"/>
      <c r="QEW47" s="76"/>
      <c r="QEX47" s="76"/>
      <c r="QEY47" s="76"/>
      <c r="QEZ47" s="76"/>
      <c r="QFA47" s="76"/>
      <c r="QFB47" s="76"/>
      <c r="QFC47" s="76"/>
      <c r="QFD47" s="76"/>
      <c r="QFE47" s="76"/>
      <c r="QFF47" s="76"/>
      <c r="QFG47" s="76"/>
      <c r="QFH47" s="76"/>
      <c r="QFI47" s="76"/>
      <c r="QFJ47" s="76"/>
      <c r="QFK47" s="76"/>
      <c r="QFL47" s="76"/>
      <c r="QFM47" s="76"/>
      <c r="QFN47" s="76"/>
      <c r="QFO47" s="76"/>
      <c r="QFP47" s="76"/>
      <c r="QFQ47" s="76"/>
      <c r="QFR47" s="76"/>
      <c r="QFS47" s="76"/>
      <c r="QFT47" s="76"/>
      <c r="QFU47" s="76"/>
      <c r="QFV47" s="76"/>
      <c r="QFW47" s="76"/>
      <c r="QFX47" s="76"/>
      <c r="QFY47" s="76"/>
      <c r="QFZ47" s="76"/>
      <c r="QGA47" s="76"/>
      <c r="QGB47" s="76"/>
      <c r="QGC47" s="76"/>
      <c r="QGD47" s="76"/>
      <c r="QGE47" s="76"/>
      <c r="QGF47" s="76"/>
      <c r="QGG47" s="76"/>
      <c r="QGH47" s="76"/>
      <c r="QGI47" s="76"/>
      <c r="QGJ47" s="76"/>
      <c r="QGK47" s="76"/>
      <c r="QGL47" s="76"/>
      <c r="QGM47" s="76"/>
      <c r="QGN47" s="76"/>
      <c r="QGO47" s="76"/>
      <c r="QGP47" s="76"/>
      <c r="QGQ47" s="76"/>
      <c r="QGR47" s="76"/>
      <c r="QGS47" s="76"/>
      <c r="QGT47" s="76"/>
      <c r="QGU47" s="76"/>
      <c r="QGV47" s="76"/>
      <c r="QGW47" s="76"/>
      <c r="QGX47" s="76"/>
      <c r="QGY47" s="76"/>
      <c r="QGZ47" s="76"/>
      <c r="QHA47" s="76"/>
      <c r="QHB47" s="76"/>
      <c r="QHC47" s="76"/>
      <c r="QHD47" s="76"/>
      <c r="QHE47" s="76"/>
      <c r="QHF47" s="76"/>
      <c r="QHG47" s="76"/>
      <c r="QHH47" s="76"/>
      <c r="QHI47" s="76"/>
      <c r="QHJ47" s="76"/>
      <c r="QHK47" s="76"/>
      <c r="QHL47" s="76"/>
      <c r="QHM47" s="76"/>
      <c r="QHN47" s="76"/>
      <c r="QHO47" s="76"/>
      <c r="QHP47" s="76"/>
      <c r="QHQ47" s="76"/>
      <c r="QHR47" s="76"/>
      <c r="QHS47" s="76"/>
      <c r="QHT47" s="76"/>
      <c r="QHU47" s="76"/>
      <c r="QHV47" s="76"/>
      <c r="QHW47" s="76"/>
      <c r="QHX47" s="76"/>
      <c r="QHY47" s="76"/>
      <c r="QHZ47" s="76"/>
      <c r="QIA47" s="76"/>
      <c r="QIB47" s="76"/>
      <c r="QIC47" s="76"/>
      <c r="QID47" s="76"/>
      <c r="QIE47" s="76"/>
      <c r="QIF47" s="76"/>
      <c r="QIG47" s="76"/>
      <c r="QIH47" s="76"/>
      <c r="QII47" s="76"/>
      <c r="QIJ47" s="76"/>
      <c r="QIK47" s="76"/>
      <c r="QIL47" s="76"/>
      <c r="QIM47" s="76"/>
      <c r="QIN47" s="76"/>
      <c r="QIO47" s="76"/>
      <c r="QIP47" s="76"/>
      <c r="QIQ47" s="76"/>
      <c r="QIR47" s="76"/>
      <c r="QIS47" s="76"/>
      <c r="QIT47" s="76"/>
      <c r="QIU47" s="76"/>
      <c r="QIV47" s="76"/>
      <c r="QIW47" s="76"/>
      <c r="QIX47" s="76"/>
      <c r="QIY47" s="76"/>
      <c r="QIZ47" s="76"/>
      <c r="QJA47" s="76"/>
      <c r="QJB47" s="76"/>
      <c r="QJC47" s="76"/>
      <c r="QJD47" s="76"/>
      <c r="QJE47" s="76"/>
      <c r="QJF47" s="76"/>
      <c r="QJG47" s="76"/>
      <c r="QJH47" s="76"/>
      <c r="QJI47" s="76"/>
      <c r="QJJ47" s="76"/>
      <c r="QJK47" s="76"/>
      <c r="QJL47" s="76"/>
      <c r="QJM47" s="76"/>
      <c r="QJN47" s="76"/>
      <c r="QJO47" s="76"/>
      <c r="QJP47" s="76"/>
      <c r="QJQ47" s="76"/>
      <c r="QJR47" s="76"/>
      <c r="QJS47" s="76"/>
      <c r="QJT47" s="76"/>
      <c r="QJU47" s="76"/>
      <c r="QJV47" s="76"/>
      <c r="QJW47" s="76"/>
      <c r="QJX47" s="76"/>
      <c r="QJY47" s="76"/>
      <c r="QJZ47" s="76"/>
      <c r="QKA47" s="76"/>
      <c r="QKB47" s="76"/>
      <c r="QKC47" s="76"/>
      <c r="QKD47" s="76"/>
      <c r="QKE47" s="76"/>
      <c r="QKF47" s="76"/>
      <c r="QKG47" s="76"/>
      <c r="QKH47" s="76"/>
      <c r="QKI47" s="76"/>
      <c r="QKJ47" s="76"/>
      <c r="QKK47" s="76"/>
      <c r="QKL47" s="76"/>
      <c r="QKM47" s="76"/>
      <c r="QKN47" s="76"/>
      <c r="QKO47" s="76"/>
      <c r="QKP47" s="76"/>
      <c r="QKQ47" s="76"/>
      <c r="QKR47" s="76"/>
      <c r="QKS47" s="76"/>
      <c r="QKT47" s="76"/>
      <c r="QKU47" s="76"/>
      <c r="QKV47" s="76"/>
      <c r="QKW47" s="76"/>
      <c r="QKX47" s="76"/>
      <c r="QKY47" s="76"/>
      <c r="QKZ47" s="76"/>
      <c r="QLA47" s="76"/>
      <c r="QLB47" s="76"/>
      <c r="QLC47" s="76"/>
      <c r="QLD47" s="76"/>
      <c r="QLE47" s="76"/>
      <c r="QLF47" s="76"/>
      <c r="QLG47" s="76"/>
      <c r="QLH47" s="76"/>
      <c r="QLI47" s="76"/>
      <c r="QLJ47" s="76"/>
      <c r="QLK47" s="76"/>
      <c r="QLL47" s="76"/>
      <c r="QLM47" s="76"/>
      <c r="QLN47" s="76"/>
      <c r="QLO47" s="76"/>
      <c r="QLP47" s="76"/>
      <c r="QLQ47" s="76"/>
      <c r="QLR47" s="76"/>
      <c r="QLS47" s="76"/>
      <c r="QLT47" s="76"/>
      <c r="QLU47" s="76"/>
      <c r="QLV47" s="76"/>
      <c r="QLW47" s="76"/>
      <c r="QLX47" s="76"/>
      <c r="QLY47" s="76"/>
      <c r="QLZ47" s="76"/>
      <c r="QMA47" s="76"/>
      <c r="QMB47" s="76"/>
      <c r="QMC47" s="76"/>
      <c r="QMD47" s="76"/>
      <c r="QME47" s="76"/>
      <c r="QMF47" s="76"/>
      <c r="QMG47" s="76"/>
      <c r="QMH47" s="76"/>
      <c r="QMI47" s="76"/>
      <c r="QMJ47" s="76"/>
      <c r="QMK47" s="76"/>
      <c r="QML47" s="76"/>
      <c r="QMM47" s="76"/>
      <c r="QMN47" s="76"/>
      <c r="QMO47" s="76"/>
      <c r="QMP47" s="76"/>
      <c r="QMQ47" s="76"/>
      <c r="QMR47" s="76"/>
      <c r="QMS47" s="76"/>
      <c r="QMT47" s="76"/>
      <c r="QMU47" s="76"/>
      <c r="QMV47" s="76"/>
      <c r="QMW47" s="76"/>
      <c r="QMX47" s="76"/>
      <c r="QMY47" s="76"/>
      <c r="QMZ47" s="76"/>
      <c r="QNA47" s="76"/>
      <c r="QNB47" s="76"/>
      <c r="QNC47" s="76"/>
      <c r="QND47" s="76"/>
      <c r="QNE47" s="76"/>
      <c r="QNF47" s="76"/>
      <c r="QNG47" s="76"/>
      <c r="QNH47" s="76"/>
      <c r="QNI47" s="76"/>
      <c r="QNJ47" s="76"/>
      <c r="QNK47" s="76"/>
      <c r="QNL47" s="76"/>
      <c r="QNM47" s="76"/>
      <c r="QNN47" s="76"/>
      <c r="QNO47" s="76"/>
      <c r="QNP47" s="76"/>
      <c r="QNQ47" s="76"/>
      <c r="QNR47" s="76"/>
      <c r="QNS47" s="76"/>
      <c r="QNT47" s="76"/>
      <c r="QNU47" s="76"/>
      <c r="QNV47" s="76"/>
      <c r="QNW47" s="76"/>
      <c r="QNX47" s="76"/>
      <c r="QNY47" s="76"/>
      <c r="QNZ47" s="76"/>
      <c r="QOA47" s="76"/>
      <c r="QOB47" s="76"/>
      <c r="QOC47" s="76"/>
      <c r="QOD47" s="76"/>
      <c r="QOE47" s="76"/>
      <c r="QOF47" s="76"/>
      <c r="QOG47" s="76"/>
      <c r="QOH47" s="76"/>
      <c r="QOI47" s="76"/>
      <c r="QOJ47" s="76"/>
      <c r="QOK47" s="76"/>
      <c r="QOL47" s="76"/>
      <c r="QOM47" s="76"/>
      <c r="QON47" s="76"/>
      <c r="QOO47" s="76"/>
      <c r="QOP47" s="76"/>
      <c r="QOQ47" s="76"/>
      <c r="QOR47" s="76"/>
      <c r="QOS47" s="76"/>
      <c r="QOT47" s="76"/>
      <c r="QOU47" s="76"/>
      <c r="QOV47" s="76"/>
      <c r="QOW47" s="76"/>
      <c r="QOX47" s="76"/>
      <c r="QOY47" s="76"/>
      <c r="QOZ47" s="76"/>
      <c r="QPA47" s="76"/>
      <c r="QPB47" s="76"/>
      <c r="QPC47" s="76"/>
      <c r="QPD47" s="76"/>
      <c r="QPE47" s="76"/>
      <c r="QPF47" s="76"/>
      <c r="QPG47" s="76"/>
      <c r="QPH47" s="76"/>
      <c r="QPI47" s="76"/>
      <c r="QPJ47" s="76"/>
      <c r="QPK47" s="76"/>
      <c r="QPL47" s="76"/>
      <c r="QPM47" s="76"/>
      <c r="QPN47" s="76"/>
      <c r="QPO47" s="76"/>
      <c r="QPP47" s="76"/>
      <c r="QPQ47" s="76"/>
      <c r="QPR47" s="76"/>
      <c r="QPS47" s="76"/>
      <c r="QPT47" s="76"/>
      <c r="QPU47" s="76"/>
      <c r="QPV47" s="76"/>
      <c r="QPW47" s="76"/>
      <c r="QPX47" s="76"/>
      <c r="QPY47" s="76"/>
      <c r="QPZ47" s="76"/>
      <c r="QQA47" s="76"/>
      <c r="QQB47" s="76"/>
      <c r="QQC47" s="76"/>
      <c r="QQD47" s="76"/>
      <c r="QQE47" s="76"/>
      <c r="QQF47" s="76"/>
      <c r="QQG47" s="76"/>
      <c r="QQH47" s="76"/>
      <c r="QQI47" s="76"/>
      <c r="QQJ47" s="76"/>
      <c r="QQK47" s="76"/>
      <c r="QQL47" s="76"/>
      <c r="QQM47" s="76"/>
      <c r="QQN47" s="76"/>
      <c r="QQO47" s="76"/>
      <c r="QQP47" s="76"/>
      <c r="QQQ47" s="76"/>
      <c r="QQR47" s="76"/>
      <c r="QQS47" s="76"/>
      <c r="QQT47" s="76"/>
      <c r="QQU47" s="76"/>
      <c r="QQV47" s="76"/>
      <c r="QQW47" s="76"/>
      <c r="QQX47" s="76"/>
      <c r="QQY47" s="76"/>
      <c r="QQZ47" s="76"/>
      <c r="QRA47" s="76"/>
      <c r="QRB47" s="76"/>
      <c r="QRC47" s="76"/>
      <c r="QRD47" s="76"/>
      <c r="QRE47" s="76"/>
      <c r="QRF47" s="76"/>
      <c r="QRG47" s="76"/>
      <c r="QRH47" s="76"/>
      <c r="QRI47" s="76"/>
      <c r="QRJ47" s="76"/>
      <c r="QRK47" s="76"/>
      <c r="QRL47" s="76"/>
      <c r="QRM47" s="76"/>
      <c r="QRN47" s="76"/>
      <c r="QRO47" s="76"/>
      <c r="QRP47" s="76"/>
      <c r="QRQ47" s="76"/>
      <c r="QRR47" s="76"/>
      <c r="QRS47" s="76"/>
      <c r="QRT47" s="76"/>
      <c r="QRU47" s="76"/>
      <c r="QRV47" s="76"/>
      <c r="QRW47" s="76"/>
      <c r="QRX47" s="76"/>
      <c r="QRY47" s="76"/>
      <c r="QRZ47" s="76"/>
      <c r="QSA47" s="76"/>
      <c r="QSB47" s="76"/>
      <c r="QSC47" s="76"/>
      <c r="QSD47" s="76"/>
      <c r="QSE47" s="76"/>
      <c r="QSF47" s="76"/>
      <c r="QSG47" s="76"/>
      <c r="QSH47" s="76"/>
      <c r="QSI47" s="76"/>
      <c r="QSJ47" s="76"/>
      <c r="QSK47" s="76"/>
      <c r="QSL47" s="76"/>
      <c r="QSM47" s="76"/>
      <c r="QSN47" s="76"/>
      <c r="QSO47" s="76"/>
      <c r="QSP47" s="76"/>
      <c r="QSQ47" s="76"/>
      <c r="QSR47" s="76"/>
      <c r="QSS47" s="76"/>
      <c r="QST47" s="76"/>
      <c r="QSU47" s="76"/>
      <c r="QSV47" s="76"/>
      <c r="QSW47" s="76"/>
      <c r="QSX47" s="76"/>
      <c r="QSY47" s="76"/>
      <c r="QSZ47" s="76"/>
      <c r="QTA47" s="76"/>
      <c r="QTB47" s="76"/>
      <c r="QTC47" s="76"/>
      <c r="QTD47" s="76"/>
      <c r="QTE47" s="76"/>
      <c r="QTF47" s="76"/>
      <c r="QTG47" s="76"/>
      <c r="QTH47" s="76"/>
      <c r="QTI47" s="76"/>
      <c r="QTJ47" s="76"/>
      <c r="QTK47" s="76"/>
      <c r="QTL47" s="76"/>
      <c r="QTM47" s="76"/>
      <c r="QTN47" s="76"/>
      <c r="QTO47" s="76"/>
      <c r="QTP47" s="76"/>
      <c r="QTQ47" s="76"/>
      <c r="QTR47" s="76"/>
      <c r="QTS47" s="76"/>
      <c r="QTT47" s="76"/>
      <c r="QTU47" s="76"/>
      <c r="QTV47" s="76"/>
      <c r="QTW47" s="76"/>
      <c r="QTX47" s="76"/>
      <c r="QTY47" s="76"/>
      <c r="QTZ47" s="76"/>
      <c r="QUA47" s="76"/>
      <c r="QUB47" s="76"/>
      <c r="QUC47" s="76"/>
      <c r="QUD47" s="76"/>
      <c r="QUE47" s="76"/>
      <c r="QUF47" s="76"/>
      <c r="QUG47" s="76"/>
      <c r="QUH47" s="76"/>
      <c r="QUI47" s="76"/>
      <c r="QUJ47" s="76"/>
      <c r="QUK47" s="76"/>
      <c r="QUL47" s="76"/>
      <c r="QUM47" s="76"/>
      <c r="QUN47" s="76"/>
      <c r="QUO47" s="76"/>
      <c r="QUP47" s="76"/>
      <c r="QUQ47" s="76"/>
      <c r="QUR47" s="76"/>
      <c r="QUS47" s="76"/>
      <c r="QUT47" s="76"/>
      <c r="QUU47" s="76"/>
      <c r="QUV47" s="76"/>
      <c r="QUW47" s="76"/>
      <c r="QUX47" s="76"/>
      <c r="QUY47" s="76"/>
      <c r="QUZ47" s="76"/>
      <c r="QVA47" s="76"/>
      <c r="QVB47" s="76"/>
      <c r="QVC47" s="76"/>
      <c r="QVD47" s="76"/>
      <c r="QVE47" s="76"/>
      <c r="QVF47" s="76"/>
      <c r="QVG47" s="76"/>
      <c r="QVH47" s="76"/>
      <c r="QVI47" s="76"/>
      <c r="QVJ47" s="76"/>
      <c r="QVK47" s="76"/>
      <c r="QVL47" s="76"/>
      <c r="QVM47" s="76"/>
      <c r="QVN47" s="76"/>
      <c r="QVO47" s="76"/>
      <c r="QVP47" s="76"/>
      <c r="QVQ47" s="76"/>
      <c r="QVR47" s="76"/>
      <c r="QVS47" s="76"/>
      <c r="QVT47" s="76"/>
      <c r="QVU47" s="76"/>
      <c r="QVV47" s="76"/>
      <c r="QVW47" s="76"/>
      <c r="QVX47" s="76"/>
      <c r="QVY47" s="76"/>
      <c r="QVZ47" s="76"/>
      <c r="QWA47" s="76"/>
      <c r="QWB47" s="76"/>
      <c r="QWC47" s="76"/>
      <c r="QWD47" s="76"/>
      <c r="QWE47" s="76"/>
      <c r="QWF47" s="76"/>
      <c r="QWG47" s="76"/>
      <c r="QWH47" s="76"/>
      <c r="QWI47" s="76"/>
      <c r="QWJ47" s="76"/>
      <c r="QWK47" s="76"/>
      <c r="QWL47" s="76"/>
      <c r="QWM47" s="76"/>
      <c r="QWN47" s="76"/>
      <c r="QWO47" s="76"/>
      <c r="QWP47" s="76"/>
      <c r="QWQ47" s="76"/>
      <c r="QWR47" s="76"/>
      <c r="QWS47" s="76"/>
      <c r="QWT47" s="76"/>
      <c r="QWU47" s="76"/>
      <c r="QWV47" s="76"/>
      <c r="QWW47" s="76"/>
      <c r="QWX47" s="76"/>
      <c r="QWY47" s="76"/>
      <c r="QWZ47" s="76"/>
      <c r="QXA47" s="76"/>
      <c r="QXB47" s="76"/>
      <c r="QXC47" s="76"/>
      <c r="QXD47" s="76"/>
      <c r="QXE47" s="76"/>
      <c r="QXF47" s="76"/>
      <c r="QXG47" s="76"/>
      <c r="QXH47" s="76"/>
      <c r="QXI47" s="76"/>
      <c r="QXJ47" s="76"/>
      <c r="QXK47" s="76"/>
      <c r="QXL47" s="76"/>
      <c r="QXM47" s="76"/>
      <c r="QXN47" s="76"/>
      <c r="QXO47" s="76"/>
      <c r="QXP47" s="76"/>
      <c r="QXQ47" s="76"/>
      <c r="QXR47" s="76"/>
      <c r="QXS47" s="76"/>
      <c r="QXT47" s="76"/>
      <c r="QXU47" s="76"/>
      <c r="QXV47" s="76"/>
      <c r="QXW47" s="76"/>
      <c r="QXX47" s="76"/>
      <c r="QXY47" s="76"/>
      <c r="QXZ47" s="76"/>
      <c r="QYA47" s="76"/>
      <c r="QYB47" s="76"/>
      <c r="QYC47" s="76"/>
      <c r="QYD47" s="76"/>
      <c r="QYE47" s="76"/>
      <c r="QYF47" s="76"/>
      <c r="QYG47" s="76"/>
      <c r="QYH47" s="76"/>
      <c r="QYI47" s="76"/>
      <c r="QYJ47" s="76"/>
      <c r="QYK47" s="76"/>
      <c r="QYL47" s="76"/>
      <c r="QYM47" s="76"/>
      <c r="QYN47" s="76"/>
      <c r="QYO47" s="76"/>
      <c r="QYP47" s="76"/>
      <c r="QYQ47" s="76"/>
      <c r="QYR47" s="76"/>
      <c r="QYS47" s="76"/>
      <c r="QYT47" s="76"/>
      <c r="QYU47" s="76"/>
      <c r="QYV47" s="76"/>
      <c r="QYW47" s="76"/>
      <c r="QYX47" s="76"/>
      <c r="QYY47" s="76"/>
      <c r="QYZ47" s="76"/>
      <c r="QZA47" s="76"/>
      <c r="QZB47" s="76"/>
      <c r="QZC47" s="76"/>
      <c r="QZD47" s="76"/>
      <c r="QZE47" s="76"/>
      <c r="QZF47" s="76"/>
      <c r="QZG47" s="76"/>
      <c r="QZH47" s="76"/>
      <c r="QZI47" s="76"/>
      <c r="QZJ47" s="76"/>
      <c r="QZK47" s="76"/>
      <c r="QZL47" s="76"/>
      <c r="QZM47" s="76"/>
      <c r="QZN47" s="76"/>
      <c r="QZO47" s="76"/>
      <c r="QZP47" s="76"/>
      <c r="QZQ47" s="76"/>
      <c r="QZR47" s="76"/>
      <c r="QZS47" s="76"/>
      <c r="QZT47" s="76"/>
      <c r="QZU47" s="76"/>
      <c r="QZV47" s="76"/>
      <c r="QZW47" s="76"/>
      <c r="QZX47" s="76"/>
      <c r="QZY47" s="76"/>
      <c r="QZZ47" s="76"/>
      <c r="RAA47" s="76"/>
      <c r="RAB47" s="76"/>
      <c r="RAC47" s="76"/>
      <c r="RAD47" s="76"/>
      <c r="RAE47" s="76"/>
      <c r="RAF47" s="76"/>
      <c r="RAG47" s="76"/>
      <c r="RAH47" s="76"/>
      <c r="RAI47" s="76"/>
      <c r="RAJ47" s="76"/>
      <c r="RAK47" s="76"/>
      <c r="RAL47" s="76"/>
      <c r="RAM47" s="76"/>
      <c r="RAN47" s="76"/>
      <c r="RAO47" s="76"/>
      <c r="RAP47" s="76"/>
      <c r="RAQ47" s="76"/>
      <c r="RAR47" s="76"/>
      <c r="RAS47" s="76"/>
      <c r="RAT47" s="76"/>
      <c r="RAU47" s="76"/>
      <c r="RAV47" s="76"/>
      <c r="RAW47" s="76"/>
      <c r="RAX47" s="76"/>
      <c r="RAY47" s="76"/>
      <c r="RAZ47" s="76"/>
      <c r="RBA47" s="76"/>
      <c r="RBB47" s="76"/>
      <c r="RBC47" s="76"/>
      <c r="RBD47" s="76"/>
      <c r="RBE47" s="76"/>
      <c r="RBF47" s="76"/>
      <c r="RBG47" s="76"/>
      <c r="RBH47" s="76"/>
      <c r="RBI47" s="76"/>
      <c r="RBJ47" s="76"/>
      <c r="RBK47" s="76"/>
      <c r="RBL47" s="76"/>
      <c r="RBM47" s="76"/>
      <c r="RBN47" s="76"/>
      <c r="RBO47" s="76"/>
      <c r="RBP47" s="76"/>
      <c r="RBQ47" s="76"/>
      <c r="RBR47" s="76"/>
      <c r="RBS47" s="76"/>
      <c r="RBT47" s="76"/>
      <c r="RBU47" s="76"/>
      <c r="RBV47" s="76"/>
      <c r="RBW47" s="76"/>
      <c r="RBX47" s="76"/>
      <c r="RBY47" s="76"/>
      <c r="RBZ47" s="76"/>
      <c r="RCA47" s="76"/>
      <c r="RCB47" s="76"/>
      <c r="RCC47" s="76"/>
      <c r="RCD47" s="76"/>
      <c r="RCE47" s="76"/>
      <c r="RCF47" s="76"/>
      <c r="RCG47" s="76"/>
      <c r="RCH47" s="76"/>
      <c r="RCI47" s="76"/>
      <c r="RCJ47" s="76"/>
      <c r="RCK47" s="76"/>
      <c r="RCL47" s="76"/>
      <c r="RCM47" s="76"/>
      <c r="RCN47" s="76"/>
      <c r="RCO47" s="76"/>
      <c r="RCP47" s="76"/>
      <c r="RCQ47" s="76"/>
      <c r="RCR47" s="76"/>
      <c r="RCS47" s="76"/>
      <c r="RCT47" s="76"/>
      <c r="RCU47" s="76"/>
      <c r="RCV47" s="76"/>
      <c r="RCW47" s="76"/>
      <c r="RCX47" s="76"/>
      <c r="RCY47" s="76"/>
      <c r="RCZ47" s="76"/>
      <c r="RDA47" s="76"/>
      <c r="RDB47" s="76"/>
      <c r="RDC47" s="76"/>
      <c r="RDD47" s="76"/>
      <c r="RDE47" s="76"/>
      <c r="RDF47" s="76"/>
      <c r="RDG47" s="76"/>
      <c r="RDH47" s="76"/>
      <c r="RDI47" s="76"/>
      <c r="RDJ47" s="76"/>
      <c r="RDK47" s="76"/>
      <c r="RDL47" s="76"/>
      <c r="RDM47" s="76"/>
      <c r="RDN47" s="76"/>
      <c r="RDO47" s="76"/>
      <c r="RDP47" s="76"/>
      <c r="RDQ47" s="76"/>
      <c r="RDR47" s="76"/>
      <c r="RDS47" s="76"/>
      <c r="RDT47" s="76"/>
      <c r="RDU47" s="76"/>
      <c r="RDV47" s="76"/>
      <c r="RDW47" s="76"/>
      <c r="RDX47" s="76"/>
      <c r="RDY47" s="76"/>
      <c r="RDZ47" s="76"/>
      <c r="REA47" s="76"/>
      <c r="REB47" s="76"/>
      <c r="REC47" s="76"/>
      <c r="RED47" s="76"/>
      <c r="REE47" s="76"/>
      <c r="REF47" s="76"/>
      <c r="REG47" s="76"/>
      <c r="REH47" s="76"/>
      <c r="REI47" s="76"/>
      <c r="REJ47" s="76"/>
      <c r="REK47" s="76"/>
      <c r="REL47" s="76"/>
      <c r="REM47" s="76"/>
      <c r="REN47" s="76"/>
      <c r="REO47" s="76"/>
      <c r="REP47" s="76"/>
      <c r="REQ47" s="76"/>
      <c r="RER47" s="76"/>
      <c r="RES47" s="76"/>
      <c r="RET47" s="76"/>
      <c r="REU47" s="76"/>
      <c r="REV47" s="76"/>
      <c r="REW47" s="76"/>
      <c r="REX47" s="76"/>
      <c r="REY47" s="76"/>
      <c r="REZ47" s="76"/>
      <c r="RFA47" s="76"/>
      <c r="RFB47" s="76"/>
      <c r="RFC47" s="76"/>
      <c r="RFD47" s="76"/>
      <c r="RFE47" s="76"/>
      <c r="RFF47" s="76"/>
      <c r="RFG47" s="76"/>
      <c r="RFH47" s="76"/>
      <c r="RFI47" s="76"/>
      <c r="RFJ47" s="76"/>
      <c r="RFK47" s="76"/>
      <c r="RFL47" s="76"/>
      <c r="RFM47" s="76"/>
      <c r="RFN47" s="76"/>
      <c r="RFO47" s="76"/>
      <c r="RFP47" s="76"/>
      <c r="RFQ47" s="76"/>
      <c r="RFR47" s="76"/>
      <c r="RFS47" s="76"/>
      <c r="RFT47" s="76"/>
      <c r="RFU47" s="76"/>
      <c r="RFV47" s="76"/>
      <c r="RFW47" s="76"/>
      <c r="RFX47" s="76"/>
      <c r="RFY47" s="76"/>
      <c r="RFZ47" s="76"/>
      <c r="RGA47" s="76"/>
      <c r="RGB47" s="76"/>
      <c r="RGC47" s="76"/>
      <c r="RGD47" s="76"/>
      <c r="RGE47" s="76"/>
      <c r="RGF47" s="76"/>
      <c r="RGG47" s="76"/>
      <c r="RGH47" s="76"/>
      <c r="RGI47" s="76"/>
      <c r="RGJ47" s="76"/>
      <c r="RGK47" s="76"/>
      <c r="RGL47" s="76"/>
      <c r="RGM47" s="76"/>
      <c r="RGN47" s="76"/>
      <c r="RGO47" s="76"/>
      <c r="RGP47" s="76"/>
      <c r="RGQ47" s="76"/>
      <c r="RGR47" s="76"/>
      <c r="RGS47" s="76"/>
      <c r="RGT47" s="76"/>
      <c r="RGU47" s="76"/>
      <c r="RGV47" s="76"/>
      <c r="RGW47" s="76"/>
      <c r="RGX47" s="76"/>
      <c r="RGY47" s="76"/>
      <c r="RGZ47" s="76"/>
      <c r="RHA47" s="76"/>
      <c r="RHB47" s="76"/>
      <c r="RHC47" s="76"/>
      <c r="RHD47" s="76"/>
      <c r="RHE47" s="76"/>
      <c r="RHF47" s="76"/>
      <c r="RHG47" s="76"/>
      <c r="RHH47" s="76"/>
      <c r="RHI47" s="76"/>
      <c r="RHJ47" s="76"/>
      <c r="RHK47" s="76"/>
      <c r="RHL47" s="76"/>
      <c r="RHM47" s="76"/>
      <c r="RHN47" s="76"/>
      <c r="RHO47" s="76"/>
      <c r="RHP47" s="76"/>
      <c r="RHQ47" s="76"/>
      <c r="RHR47" s="76"/>
      <c r="RHS47" s="76"/>
      <c r="RHT47" s="76"/>
      <c r="RHU47" s="76"/>
      <c r="RHV47" s="76"/>
      <c r="RHW47" s="76"/>
      <c r="RHX47" s="76"/>
      <c r="RHY47" s="76"/>
      <c r="RHZ47" s="76"/>
      <c r="RIA47" s="76"/>
      <c r="RIB47" s="76"/>
      <c r="RIC47" s="76"/>
      <c r="RID47" s="76"/>
      <c r="RIE47" s="76"/>
      <c r="RIF47" s="76"/>
      <c r="RIG47" s="76"/>
      <c r="RIH47" s="76"/>
      <c r="RII47" s="76"/>
      <c r="RIJ47" s="76"/>
      <c r="RIK47" s="76"/>
      <c r="RIL47" s="76"/>
      <c r="RIM47" s="76"/>
      <c r="RIN47" s="76"/>
      <c r="RIO47" s="76"/>
      <c r="RIP47" s="76"/>
      <c r="RIQ47" s="76"/>
      <c r="RIR47" s="76"/>
      <c r="RIS47" s="76"/>
      <c r="RIT47" s="76"/>
      <c r="RIU47" s="76"/>
      <c r="RIV47" s="76"/>
      <c r="RIW47" s="76"/>
      <c r="RIX47" s="76"/>
      <c r="RIY47" s="76"/>
      <c r="RIZ47" s="76"/>
      <c r="RJA47" s="76"/>
      <c r="RJB47" s="76"/>
      <c r="RJC47" s="76"/>
      <c r="RJD47" s="76"/>
      <c r="RJE47" s="76"/>
      <c r="RJF47" s="76"/>
      <c r="RJG47" s="76"/>
      <c r="RJH47" s="76"/>
      <c r="RJI47" s="76"/>
      <c r="RJJ47" s="76"/>
      <c r="RJK47" s="76"/>
      <c r="RJL47" s="76"/>
      <c r="RJM47" s="76"/>
      <c r="RJN47" s="76"/>
      <c r="RJO47" s="76"/>
      <c r="RJP47" s="76"/>
      <c r="RJQ47" s="76"/>
      <c r="RJR47" s="76"/>
      <c r="RJS47" s="76"/>
      <c r="RJT47" s="76"/>
      <c r="RJU47" s="76"/>
      <c r="RJV47" s="76"/>
      <c r="RJW47" s="76"/>
      <c r="RJX47" s="76"/>
      <c r="RJY47" s="76"/>
      <c r="RJZ47" s="76"/>
      <c r="RKA47" s="76"/>
      <c r="RKB47" s="76"/>
      <c r="RKC47" s="76"/>
      <c r="RKD47" s="76"/>
      <c r="RKE47" s="76"/>
      <c r="RKF47" s="76"/>
      <c r="RKG47" s="76"/>
      <c r="RKH47" s="76"/>
      <c r="RKI47" s="76"/>
      <c r="RKJ47" s="76"/>
      <c r="RKK47" s="76"/>
      <c r="RKL47" s="76"/>
      <c r="RKM47" s="76"/>
      <c r="RKN47" s="76"/>
      <c r="RKO47" s="76"/>
      <c r="RKP47" s="76"/>
      <c r="RKQ47" s="76"/>
      <c r="RKR47" s="76"/>
      <c r="RKS47" s="76"/>
      <c r="RKT47" s="76"/>
      <c r="RKU47" s="76"/>
      <c r="RKV47" s="76"/>
      <c r="RKW47" s="76"/>
      <c r="RKX47" s="76"/>
      <c r="RKY47" s="76"/>
      <c r="RKZ47" s="76"/>
      <c r="RLA47" s="76"/>
      <c r="RLB47" s="76"/>
      <c r="RLC47" s="76"/>
      <c r="RLD47" s="76"/>
      <c r="RLE47" s="76"/>
      <c r="RLF47" s="76"/>
      <c r="RLG47" s="76"/>
      <c r="RLH47" s="76"/>
      <c r="RLI47" s="76"/>
      <c r="RLJ47" s="76"/>
      <c r="RLK47" s="76"/>
      <c r="RLL47" s="76"/>
      <c r="RLM47" s="76"/>
      <c r="RLN47" s="76"/>
      <c r="RLO47" s="76"/>
      <c r="RLP47" s="76"/>
      <c r="RLQ47" s="76"/>
      <c r="RLR47" s="76"/>
      <c r="RLS47" s="76"/>
      <c r="RLT47" s="76"/>
      <c r="RLU47" s="76"/>
      <c r="RLV47" s="76"/>
      <c r="RLW47" s="76"/>
      <c r="RLX47" s="76"/>
      <c r="RLY47" s="76"/>
      <c r="RLZ47" s="76"/>
      <c r="RMA47" s="76"/>
      <c r="RMB47" s="76"/>
      <c r="RMC47" s="76"/>
      <c r="RMD47" s="76"/>
      <c r="RME47" s="76"/>
      <c r="RMF47" s="76"/>
      <c r="RMG47" s="76"/>
      <c r="RMH47" s="76"/>
      <c r="RMI47" s="76"/>
      <c r="RMJ47" s="76"/>
      <c r="RMK47" s="76"/>
      <c r="RML47" s="76"/>
      <c r="RMM47" s="76"/>
      <c r="RMN47" s="76"/>
      <c r="RMO47" s="76"/>
      <c r="RMP47" s="76"/>
      <c r="RMQ47" s="76"/>
      <c r="RMR47" s="76"/>
      <c r="RMS47" s="76"/>
      <c r="RMT47" s="76"/>
      <c r="RMU47" s="76"/>
      <c r="RMV47" s="76"/>
      <c r="RMW47" s="76"/>
      <c r="RMX47" s="76"/>
      <c r="RMY47" s="76"/>
      <c r="RMZ47" s="76"/>
      <c r="RNA47" s="76"/>
      <c r="RNB47" s="76"/>
      <c r="RNC47" s="76"/>
      <c r="RND47" s="76"/>
      <c r="RNE47" s="76"/>
      <c r="RNF47" s="76"/>
      <c r="RNG47" s="76"/>
      <c r="RNH47" s="76"/>
      <c r="RNI47" s="76"/>
      <c r="RNJ47" s="76"/>
      <c r="RNK47" s="76"/>
      <c r="RNL47" s="76"/>
      <c r="RNM47" s="76"/>
      <c r="RNN47" s="76"/>
      <c r="RNO47" s="76"/>
      <c r="RNP47" s="76"/>
      <c r="RNQ47" s="76"/>
      <c r="RNR47" s="76"/>
      <c r="RNS47" s="76"/>
      <c r="RNT47" s="76"/>
      <c r="RNU47" s="76"/>
      <c r="RNV47" s="76"/>
      <c r="RNW47" s="76"/>
      <c r="RNX47" s="76"/>
      <c r="RNY47" s="76"/>
      <c r="RNZ47" s="76"/>
      <c r="ROA47" s="76"/>
      <c r="ROB47" s="76"/>
      <c r="ROC47" s="76"/>
      <c r="ROD47" s="76"/>
      <c r="ROE47" s="76"/>
      <c r="ROF47" s="76"/>
      <c r="ROG47" s="76"/>
      <c r="ROH47" s="76"/>
      <c r="ROI47" s="76"/>
      <c r="ROJ47" s="76"/>
      <c r="ROK47" s="76"/>
      <c r="ROL47" s="76"/>
      <c r="ROM47" s="76"/>
      <c r="RON47" s="76"/>
      <c r="ROO47" s="76"/>
      <c r="ROP47" s="76"/>
      <c r="ROQ47" s="76"/>
      <c r="ROR47" s="76"/>
      <c r="ROS47" s="76"/>
      <c r="ROT47" s="76"/>
      <c r="ROU47" s="76"/>
      <c r="ROV47" s="76"/>
      <c r="ROW47" s="76"/>
      <c r="ROX47" s="76"/>
      <c r="ROY47" s="76"/>
      <c r="ROZ47" s="76"/>
      <c r="RPA47" s="76"/>
      <c r="RPB47" s="76"/>
      <c r="RPC47" s="76"/>
      <c r="RPD47" s="76"/>
      <c r="RPE47" s="76"/>
      <c r="RPF47" s="76"/>
      <c r="RPG47" s="76"/>
      <c r="RPH47" s="76"/>
      <c r="RPI47" s="76"/>
      <c r="RPJ47" s="76"/>
      <c r="RPK47" s="76"/>
      <c r="RPL47" s="76"/>
      <c r="RPM47" s="76"/>
      <c r="RPN47" s="76"/>
      <c r="RPO47" s="76"/>
      <c r="RPP47" s="76"/>
      <c r="RPQ47" s="76"/>
      <c r="RPR47" s="76"/>
      <c r="RPS47" s="76"/>
      <c r="RPT47" s="76"/>
      <c r="RPU47" s="76"/>
      <c r="RPV47" s="76"/>
      <c r="RPW47" s="76"/>
      <c r="RPX47" s="76"/>
      <c r="RPY47" s="76"/>
      <c r="RPZ47" s="76"/>
      <c r="RQA47" s="76"/>
      <c r="RQB47" s="76"/>
      <c r="RQC47" s="76"/>
      <c r="RQD47" s="76"/>
      <c r="RQE47" s="76"/>
      <c r="RQF47" s="76"/>
      <c r="RQG47" s="76"/>
      <c r="RQH47" s="76"/>
      <c r="RQI47" s="76"/>
      <c r="RQJ47" s="76"/>
      <c r="RQK47" s="76"/>
      <c r="RQL47" s="76"/>
      <c r="RQM47" s="76"/>
      <c r="RQN47" s="76"/>
      <c r="RQO47" s="76"/>
      <c r="RQP47" s="76"/>
      <c r="RQQ47" s="76"/>
      <c r="RQR47" s="76"/>
      <c r="RQS47" s="76"/>
      <c r="RQT47" s="76"/>
      <c r="RQU47" s="76"/>
      <c r="RQV47" s="76"/>
      <c r="RQW47" s="76"/>
      <c r="RQX47" s="76"/>
      <c r="RQY47" s="76"/>
      <c r="RQZ47" s="76"/>
      <c r="RRA47" s="76"/>
      <c r="RRB47" s="76"/>
      <c r="RRC47" s="76"/>
      <c r="RRD47" s="76"/>
      <c r="RRE47" s="76"/>
      <c r="RRF47" s="76"/>
      <c r="RRG47" s="76"/>
      <c r="RRH47" s="76"/>
      <c r="RRI47" s="76"/>
      <c r="RRJ47" s="76"/>
      <c r="RRK47" s="76"/>
      <c r="RRL47" s="76"/>
      <c r="RRM47" s="76"/>
      <c r="RRN47" s="76"/>
      <c r="RRO47" s="76"/>
      <c r="RRP47" s="76"/>
      <c r="RRQ47" s="76"/>
      <c r="RRR47" s="76"/>
      <c r="RRS47" s="76"/>
      <c r="RRT47" s="76"/>
      <c r="RRU47" s="76"/>
      <c r="RRV47" s="76"/>
      <c r="RRW47" s="76"/>
      <c r="RRX47" s="76"/>
      <c r="RRY47" s="76"/>
      <c r="RRZ47" s="76"/>
      <c r="RSA47" s="76"/>
      <c r="RSB47" s="76"/>
      <c r="RSC47" s="76"/>
      <c r="RSD47" s="76"/>
      <c r="RSE47" s="76"/>
      <c r="RSF47" s="76"/>
      <c r="RSG47" s="76"/>
      <c r="RSH47" s="76"/>
      <c r="RSI47" s="76"/>
      <c r="RSJ47" s="76"/>
      <c r="RSK47" s="76"/>
      <c r="RSL47" s="76"/>
      <c r="RSM47" s="76"/>
      <c r="RSN47" s="76"/>
      <c r="RSO47" s="76"/>
      <c r="RSP47" s="76"/>
      <c r="RSQ47" s="76"/>
      <c r="RSR47" s="76"/>
      <c r="RSS47" s="76"/>
      <c r="RST47" s="76"/>
      <c r="RSU47" s="76"/>
      <c r="RSV47" s="76"/>
      <c r="RSW47" s="76"/>
      <c r="RSX47" s="76"/>
      <c r="RSY47" s="76"/>
      <c r="RSZ47" s="76"/>
      <c r="RTA47" s="76"/>
      <c r="RTB47" s="76"/>
      <c r="RTC47" s="76"/>
      <c r="RTD47" s="76"/>
      <c r="RTE47" s="76"/>
      <c r="RTF47" s="76"/>
      <c r="RTG47" s="76"/>
      <c r="RTH47" s="76"/>
      <c r="RTI47" s="76"/>
      <c r="RTJ47" s="76"/>
      <c r="RTK47" s="76"/>
      <c r="RTL47" s="76"/>
      <c r="RTM47" s="76"/>
      <c r="RTN47" s="76"/>
      <c r="RTO47" s="76"/>
      <c r="RTP47" s="76"/>
      <c r="RTQ47" s="76"/>
      <c r="RTR47" s="76"/>
      <c r="RTS47" s="76"/>
      <c r="RTT47" s="76"/>
      <c r="RTU47" s="76"/>
      <c r="RTV47" s="76"/>
      <c r="RTW47" s="76"/>
      <c r="RTX47" s="76"/>
      <c r="RTY47" s="76"/>
      <c r="RTZ47" s="76"/>
      <c r="RUA47" s="76"/>
      <c r="RUB47" s="76"/>
      <c r="RUC47" s="76"/>
      <c r="RUD47" s="76"/>
      <c r="RUE47" s="76"/>
      <c r="RUF47" s="76"/>
      <c r="RUG47" s="76"/>
      <c r="RUH47" s="76"/>
      <c r="RUI47" s="76"/>
      <c r="RUJ47" s="76"/>
      <c r="RUK47" s="76"/>
      <c r="RUL47" s="76"/>
      <c r="RUM47" s="76"/>
      <c r="RUN47" s="76"/>
      <c r="RUO47" s="76"/>
      <c r="RUP47" s="76"/>
      <c r="RUQ47" s="76"/>
      <c r="RUR47" s="76"/>
      <c r="RUS47" s="76"/>
      <c r="RUT47" s="76"/>
      <c r="RUU47" s="76"/>
      <c r="RUV47" s="76"/>
      <c r="RUW47" s="76"/>
      <c r="RUX47" s="76"/>
      <c r="RUY47" s="76"/>
      <c r="RUZ47" s="76"/>
      <c r="RVA47" s="76"/>
      <c r="RVB47" s="76"/>
      <c r="RVC47" s="76"/>
      <c r="RVD47" s="76"/>
      <c r="RVE47" s="76"/>
      <c r="RVF47" s="76"/>
      <c r="RVG47" s="76"/>
      <c r="RVH47" s="76"/>
      <c r="RVI47" s="76"/>
      <c r="RVJ47" s="76"/>
      <c r="RVK47" s="76"/>
      <c r="RVL47" s="76"/>
      <c r="RVM47" s="76"/>
      <c r="RVN47" s="76"/>
      <c r="RVO47" s="76"/>
      <c r="RVP47" s="76"/>
      <c r="RVQ47" s="76"/>
      <c r="RVR47" s="76"/>
      <c r="RVS47" s="76"/>
      <c r="RVT47" s="76"/>
      <c r="RVU47" s="76"/>
      <c r="RVV47" s="76"/>
      <c r="RVW47" s="76"/>
      <c r="RVX47" s="76"/>
      <c r="RVY47" s="76"/>
      <c r="RVZ47" s="76"/>
      <c r="RWA47" s="76"/>
      <c r="RWB47" s="76"/>
      <c r="RWC47" s="76"/>
      <c r="RWD47" s="76"/>
      <c r="RWE47" s="76"/>
      <c r="RWF47" s="76"/>
      <c r="RWG47" s="76"/>
      <c r="RWH47" s="76"/>
      <c r="RWI47" s="76"/>
      <c r="RWJ47" s="76"/>
      <c r="RWK47" s="76"/>
      <c r="RWL47" s="76"/>
      <c r="RWM47" s="76"/>
      <c r="RWN47" s="76"/>
      <c r="RWO47" s="76"/>
      <c r="RWP47" s="76"/>
      <c r="RWQ47" s="76"/>
      <c r="RWR47" s="76"/>
      <c r="RWS47" s="76"/>
      <c r="RWT47" s="76"/>
      <c r="RWU47" s="76"/>
      <c r="RWV47" s="76"/>
      <c r="RWW47" s="76"/>
      <c r="RWX47" s="76"/>
      <c r="RWY47" s="76"/>
      <c r="RWZ47" s="76"/>
      <c r="RXA47" s="76"/>
      <c r="RXB47" s="76"/>
      <c r="RXC47" s="76"/>
      <c r="RXD47" s="76"/>
      <c r="RXE47" s="76"/>
      <c r="RXF47" s="76"/>
      <c r="RXG47" s="76"/>
      <c r="RXH47" s="76"/>
      <c r="RXI47" s="76"/>
      <c r="RXJ47" s="76"/>
      <c r="RXK47" s="76"/>
      <c r="RXL47" s="76"/>
      <c r="RXM47" s="76"/>
      <c r="RXN47" s="76"/>
      <c r="RXO47" s="76"/>
      <c r="RXP47" s="76"/>
      <c r="RXQ47" s="76"/>
      <c r="RXR47" s="76"/>
      <c r="RXS47" s="76"/>
      <c r="RXT47" s="76"/>
      <c r="RXU47" s="76"/>
      <c r="RXV47" s="76"/>
      <c r="RXW47" s="76"/>
      <c r="RXX47" s="76"/>
      <c r="RXY47" s="76"/>
      <c r="RXZ47" s="76"/>
      <c r="RYA47" s="76"/>
      <c r="RYB47" s="76"/>
      <c r="RYC47" s="76"/>
      <c r="RYD47" s="76"/>
      <c r="RYE47" s="76"/>
      <c r="RYF47" s="76"/>
      <c r="RYG47" s="76"/>
      <c r="RYH47" s="76"/>
      <c r="RYI47" s="76"/>
      <c r="RYJ47" s="76"/>
      <c r="RYK47" s="76"/>
      <c r="RYL47" s="76"/>
      <c r="RYM47" s="76"/>
      <c r="RYN47" s="76"/>
      <c r="RYO47" s="76"/>
      <c r="RYP47" s="76"/>
      <c r="RYQ47" s="76"/>
      <c r="RYR47" s="76"/>
      <c r="RYS47" s="76"/>
      <c r="RYT47" s="76"/>
      <c r="RYU47" s="76"/>
      <c r="RYV47" s="76"/>
      <c r="RYW47" s="76"/>
      <c r="RYX47" s="76"/>
      <c r="RYY47" s="76"/>
      <c r="RYZ47" s="76"/>
      <c r="RZA47" s="76"/>
      <c r="RZB47" s="76"/>
      <c r="RZC47" s="76"/>
      <c r="RZD47" s="76"/>
      <c r="RZE47" s="76"/>
      <c r="RZF47" s="76"/>
      <c r="RZG47" s="76"/>
      <c r="RZH47" s="76"/>
      <c r="RZI47" s="76"/>
      <c r="RZJ47" s="76"/>
      <c r="RZK47" s="76"/>
      <c r="RZL47" s="76"/>
      <c r="RZM47" s="76"/>
      <c r="RZN47" s="76"/>
      <c r="RZO47" s="76"/>
      <c r="RZP47" s="76"/>
      <c r="RZQ47" s="76"/>
      <c r="RZR47" s="76"/>
      <c r="RZS47" s="76"/>
      <c r="RZT47" s="76"/>
      <c r="RZU47" s="76"/>
      <c r="RZV47" s="76"/>
      <c r="RZW47" s="76"/>
      <c r="RZX47" s="76"/>
      <c r="RZY47" s="76"/>
      <c r="RZZ47" s="76"/>
      <c r="SAA47" s="76"/>
      <c r="SAB47" s="76"/>
      <c r="SAC47" s="76"/>
      <c r="SAD47" s="76"/>
      <c r="SAE47" s="76"/>
      <c r="SAF47" s="76"/>
      <c r="SAG47" s="76"/>
      <c r="SAH47" s="76"/>
      <c r="SAI47" s="76"/>
      <c r="SAJ47" s="76"/>
      <c r="SAK47" s="76"/>
      <c r="SAL47" s="76"/>
      <c r="SAM47" s="76"/>
      <c r="SAN47" s="76"/>
      <c r="SAO47" s="76"/>
      <c r="SAP47" s="76"/>
      <c r="SAQ47" s="76"/>
      <c r="SAR47" s="76"/>
      <c r="SAS47" s="76"/>
      <c r="SAT47" s="76"/>
      <c r="SAU47" s="76"/>
      <c r="SAV47" s="76"/>
      <c r="SAW47" s="76"/>
      <c r="SAX47" s="76"/>
      <c r="SAY47" s="76"/>
      <c r="SAZ47" s="76"/>
      <c r="SBA47" s="76"/>
      <c r="SBB47" s="76"/>
      <c r="SBC47" s="76"/>
      <c r="SBD47" s="76"/>
      <c r="SBE47" s="76"/>
      <c r="SBF47" s="76"/>
      <c r="SBG47" s="76"/>
      <c r="SBH47" s="76"/>
      <c r="SBI47" s="76"/>
      <c r="SBJ47" s="76"/>
      <c r="SBK47" s="76"/>
      <c r="SBL47" s="76"/>
      <c r="SBM47" s="76"/>
      <c r="SBN47" s="76"/>
      <c r="SBO47" s="76"/>
      <c r="SBP47" s="76"/>
      <c r="SBQ47" s="76"/>
      <c r="SBR47" s="76"/>
      <c r="SBS47" s="76"/>
      <c r="SBT47" s="76"/>
      <c r="SBU47" s="76"/>
      <c r="SBV47" s="76"/>
      <c r="SBW47" s="76"/>
      <c r="SBX47" s="76"/>
      <c r="SBY47" s="76"/>
      <c r="SBZ47" s="76"/>
      <c r="SCA47" s="76"/>
      <c r="SCB47" s="76"/>
      <c r="SCC47" s="76"/>
      <c r="SCD47" s="76"/>
      <c r="SCE47" s="76"/>
      <c r="SCF47" s="76"/>
      <c r="SCG47" s="76"/>
      <c r="SCH47" s="76"/>
      <c r="SCI47" s="76"/>
      <c r="SCJ47" s="76"/>
      <c r="SCK47" s="76"/>
      <c r="SCL47" s="76"/>
      <c r="SCM47" s="76"/>
      <c r="SCN47" s="76"/>
      <c r="SCO47" s="76"/>
      <c r="SCP47" s="76"/>
      <c r="SCQ47" s="76"/>
      <c r="SCR47" s="76"/>
      <c r="SCS47" s="76"/>
      <c r="SCT47" s="76"/>
      <c r="SCU47" s="76"/>
      <c r="SCV47" s="76"/>
      <c r="SCW47" s="76"/>
      <c r="SCX47" s="76"/>
      <c r="SCY47" s="76"/>
      <c r="SCZ47" s="76"/>
      <c r="SDA47" s="76"/>
      <c r="SDB47" s="76"/>
      <c r="SDC47" s="76"/>
      <c r="SDD47" s="76"/>
      <c r="SDE47" s="76"/>
      <c r="SDF47" s="76"/>
      <c r="SDG47" s="76"/>
      <c r="SDH47" s="76"/>
      <c r="SDI47" s="76"/>
      <c r="SDJ47" s="76"/>
      <c r="SDK47" s="76"/>
      <c r="SDL47" s="76"/>
      <c r="SDM47" s="76"/>
      <c r="SDN47" s="76"/>
      <c r="SDO47" s="76"/>
      <c r="SDP47" s="76"/>
      <c r="SDQ47" s="76"/>
      <c r="SDR47" s="76"/>
      <c r="SDS47" s="76"/>
      <c r="SDT47" s="76"/>
      <c r="SDU47" s="76"/>
      <c r="SDV47" s="76"/>
      <c r="SDW47" s="76"/>
      <c r="SDX47" s="76"/>
      <c r="SDY47" s="76"/>
      <c r="SDZ47" s="76"/>
      <c r="SEA47" s="76"/>
      <c r="SEB47" s="76"/>
      <c r="SEC47" s="76"/>
      <c r="SED47" s="76"/>
      <c r="SEE47" s="76"/>
      <c r="SEF47" s="76"/>
      <c r="SEG47" s="76"/>
      <c r="SEH47" s="76"/>
      <c r="SEI47" s="76"/>
      <c r="SEJ47" s="76"/>
      <c r="SEK47" s="76"/>
      <c r="SEL47" s="76"/>
      <c r="SEM47" s="76"/>
      <c r="SEN47" s="76"/>
      <c r="SEO47" s="76"/>
      <c r="SEP47" s="76"/>
      <c r="SEQ47" s="76"/>
      <c r="SER47" s="76"/>
      <c r="SES47" s="76"/>
      <c r="SET47" s="76"/>
      <c r="SEU47" s="76"/>
      <c r="SEV47" s="76"/>
      <c r="SEW47" s="76"/>
      <c r="SEX47" s="76"/>
      <c r="SEY47" s="76"/>
      <c r="SEZ47" s="76"/>
      <c r="SFA47" s="76"/>
      <c r="SFB47" s="76"/>
      <c r="SFC47" s="76"/>
      <c r="SFD47" s="76"/>
      <c r="SFE47" s="76"/>
      <c r="SFF47" s="76"/>
      <c r="SFG47" s="76"/>
      <c r="SFH47" s="76"/>
      <c r="SFI47" s="76"/>
      <c r="SFJ47" s="76"/>
      <c r="SFK47" s="76"/>
      <c r="SFL47" s="76"/>
      <c r="SFM47" s="76"/>
      <c r="SFN47" s="76"/>
      <c r="SFO47" s="76"/>
      <c r="SFP47" s="76"/>
      <c r="SFQ47" s="76"/>
      <c r="SFR47" s="76"/>
      <c r="SFS47" s="76"/>
      <c r="SFT47" s="76"/>
      <c r="SFU47" s="76"/>
      <c r="SFV47" s="76"/>
      <c r="SFW47" s="76"/>
      <c r="SFX47" s="76"/>
      <c r="SFY47" s="76"/>
      <c r="SFZ47" s="76"/>
      <c r="SGA47" s="76"/>
      <c r="SGB47" s="76"/>
      <c r="SGC47" s="76"/>
      <c r="SGD47" s="76"/>
      <c r="SGE47" s="76"/>
      <c r="SGF47" s="76"/>
      <c r="SGG47" s="76"/>
      <c r="SGH47" s="76"/>
      <c r="SGI47" s="76"/>
      <c r="SGJ47" s="76"/>
      <c r="SGK47" s="76"/>
      <c r="SGL47" s="76"/>
      <c r="SGM47" s="76"/>
      <c r="SGN47" s="76"/>
      <c r="SGO47" s="76"/>
      <c r="SGP47" s="76"/>
      <c r="SGQ47" s="76"/>
      <c r="SGR47" s="76"/>
      <c r="SGS47" s="76"/>
      <c r="SGT47" s="76"/>
      <c r="SGU47" s="76"/>
      <c r="SGV47" s="76"/>
      <c r="SGW47" s="76"/>
      <c r="SGX47" s="76"/>
      <c r="SGY47" s="76"/>
      <c r="SGZ47" s="76"/>
      <c r="SHA47" s="76"/>
      <c r="SHB47" s="76"/>
      <c r="SHC47" s="76"/>
      <c r="SHD47" s="76"/>
      <c r="SHE47" s="76"/>
      <c r="SHF47" s="76"/>
      <c r="SHG47" s="76"/>
      <c r="SHH47" s="76"/>
      <c r="SHI47" s="76"/>
      <c r="SHJ47" s="76"/>
      <c r="SHK47" s="76"/>
      <c r="SHL47" s="76"/>
      <c r="SHM47" s="76"/>
      <c r="SHN47" s="76"/>
      <c r="SHO47" s="76"/>
      <c r="SHP47" s="76"/>
      <c r="SHQ47" s="76"/>
      <c r="SHR47" s="76"/>
      <c r="SHS47" s="76"/>
      <c r="SHT47" s="76"/>
      <c r="SHU47" s="76"/>
      <c r="SHV47" s="76"/>
      <c r="SHW47" s="76"/>
      <c r="SHX47" s="76"/>
      <c r="SHY47" s="76"/>
      <c r="SHZ47" s="76"/>
      <c r="SIA47" s="76"/>
      <c r="SIB47" s="76"/>
      <c r="SIC47" s="76"/>
      <c r="SID47" s="76"/>
      <c r="SIE47" s="76"/>
      <c r="SIF47" s="76"/>
      <c r="SIG47" s="76"/>
      <c r="SIH47" s="76"/>
      <c r="SII47" s="76"/>
      <c r="SIJ47" s="76"/>
      <c r="SIK47" s="76"/>
      <c r="SIL47" s="76"/>
      <c r="SIM47" s="76"/>
      <c r="SIN47" s="76"/>
      <c r="SIO47" s="76"/>
      <c r="SIP47" s="76"/>
      <c r="SIQ47" s="76"/>
      <c r="SIR47" s="76"/>
      <c r="SIS47" s="76"/>
      <c r="SIT47" s="76"/>
      <c r="SIU47" s="76"/>
      <c r="SIV47" s="76"/>
      <c r="SIW47" s="76"/>
      <c r="SIX47" s="76"/>
      <c r="SIY47" s="76"/>
      <c r="SIZ47" s="76"/>
      <c r="SJA47" s="76"/>
      <c r="SJB47" s="76"/>
      <c r="SJC47" s="76"/>
      <c r="SJD47" s="76"/>
      <c r="SJE47" s="76"/>
      <c r="SJF47" s="76"/>
      <c r="SJG47" s="76"/>
      <c r="SJH47" s="76"/>
      <c r="SJI47" s="76"/>
      <c r="SJJ47" s="76"/>
      <c r="SJK47" s="76"/>
      <c r="SJL47" s="76"/>
      <c r="SJM47" s="76"/>
      <c r="SJN47" s="76"/>
      <c r="SJO47" s="76"/>
      <c r="SJP47" s="76"/>
      <c r="SJQ47" s="76"/>
      <c r="SJR47" s="76"/>
      <c r="SJS47" s="76"/>
      <c r="SJT47" s="76"/>
      <c r="SJU47" s="76"/>
      <c r="SJV47" s="76"/>
      <c r="SJW47" s="76"/>
      <c r="SJX47" s="76"/>
      <c r="SJY47" s="76"/>
      <c r="SJZ47" s="76"/>
      <c r="SKA47" s="76"/>
      <c r="SKB47" s="76"/>
      <c r="SKC47" s="76"/>
      <c r="SKD47" s="76"/>
      <c r="SKE47" s="76"/>
      <c r="SKF47" s="76"/>
      <c r="SKG47" s="76"/>
      <c r="SKH47" s="76"/>
      <c r="SKI47" s="76"/>
      <c r="SKJ47" s="76"/>
      <c r="SKK47" s="76"/>
      <c r="SKL47" s="76"/>
      <c r="SKM47" s="76"/>
      <c r="SKN47" s="76"/>
      <c r="SKO47" s="76"/>
      <c r="SKP47" s="76"/>
      <c r="SKQ47" s="76"/>
      <c r="SKR47" s="76"/>
      <c r="SKS47" s="76"/>
      <c r="SKT47" s="76"/>
      <c r="SKU47" s="76"/>
      <c r="SKV47" s="76"/>
      <c r="SKW47" s="76"/>
      <c r="SKX47" s="76"/>
      <c r="SKY47" s="76"/>
      <c r="SKZ47" s="76"/>
      <c r="SLA47" s="76"/>
      <c r="SLB47" s="76"/>
      <c r="SLC47" s="76"/>
      <c r="SLD47" s="76"/>
      <c r="SLE47" s="76"/>
      <c r="SLF47" s="76"/>
      <c r="SLG47" s="76"/>
      <c r="SLH47" s="76"/>
      <c r="SLI47" s="76"/>
      <c r="SLJ47" s="76"/>
      <c r="SLK47" s="76"/>
      <c r="SLL47" s="76"/>
      <c r="SLM47" s="76"/>
      <c r="SLN47" s="76"/>
      <c r="SLO47" s="76"/>
      <c r="SLP47" s="76"/>
      <c r="SLQ47" s="76"/>
      <c r="SLR47" s="76"/>
      <c r="SLS47" s="76"/>
      <c r="SLT47" s="76"/>
      <c r="SLU47" s="76"/>
      <c r="SLV47" s="76"/>
      <c r="SLW47" s="76"/>
      <c r="SLX47" s="76"/>
      <c r="SLY47" s="76"/>
      <c r="SLZ47" s="76"/>
      <c r="SMA47" s="76"/>
      <c r="SMB47" s="76"/>
      <c r="SMC47" s="76"/>
      <c r="SMD47" s="76"/>
      <c r="SME47" s="76"/>
      <c r="SMF47" s="76"/>
      <c r="SMG47" s="76"/>
      <c r="SMH47" s="76"/>
      <c r="SMI47" s="76"/>
      <c r="SMJ47" s="76"/>
      <c r="SMK47" s="76"/>
      <c r="SML47" s="76"/>
      <c r="SMM47" s="76"/>
      <c r="SMN47" s="76"/>
      <c r="SMO47" s="76"/>
      <c r="SMP47" s="76"/>
      <c r="SMQ47" s="76"/>
      <c r="SMR47" s="76"/>
      <c r="SMS47" s="76"/>
      <c r="SMT47" s="76"/>
      <c r="SMU47" s="76"/>
      <c r="SMV47" s="76"/>
      <c r="SMW47" s="76"/>
      <c r="SMX47" s="76"/>
      <c r="SMY47" s="76"/>
      <c r="SMZ47" s="76"/>
      <c r="SNA47" s="76"/>
      <c r="SNB47" s="76"/>
      <c r="SNC47" s="76"/>
      <c r="SND47" s="76"/>
      <c r="SNE47" s="76"/>
      <c r="SNF47" s="76"/>
      <c r="SNG47" s="76"/>
      <c r="SNH47" s="76"/>
      <c r="SNI47" s="76"/>
      <c r="SNJ47" s="76"/>
      <c r="SNK47" s="76"/>
      <c r="SNL47" s="76"/>
      <c r="SNM47" s="76"/>
      <c r="SNN47" s="76"/>
      <c r="SNO47" s="76"/>
      <c r="SNP47" s="76"/>
      <c r="SNQ47" s="76"/>
      <c r="SNR47" s="76"/>
      <c r="SNS47" s="76"/>
      <c r="SNT47" s="76"/>
      <c r="SNU47" s="76"/>
      <c r="SNV47" s="76"/>
      <c r="SNW47" s="76"/>
      <c r="SNX47" s="76"/>
      <c r="SNY47" s="76"/>
      <c r="SNZ47" s="76"/>
      <c r="SOA47" s="76"/>
      <c r="SOB47" s="76"/>
      <c r="SOC47" s="76"/>
      <c r="SOD47" s="76"/>
      <c r="SOE47" s="76"/>
      <c r="SOF47" s="76"/>
      <c r="SOG47" s="76"/>
      <c r="SOH47" s="76"/>
      <c r="SOI47" s="76"/>
      <c r="SOJ47" s="76"/>
      <c r="SOK47" s="76"/>
      <c r="SOL47" s="76"/>
      <c r="SOM47" s="76"/>
      <c r="SON47" s="76"/>
      <c r="SOO47" s="76"/>
      <c r="SOP47" s="76"/>
      <c r="SOQ47" s="76"/>
      <c r="SOR47" s="76"/>
      <c r="SOS47" s="76"/>
      <c r="SOT47" s="76"/>
      <c r="SOU47" s="76"/>
      <c r="SOV47" s="76"/>
      <c r="SOW47" s="76"/>
      <c r="SOX47" s="76"/>
      <c r="SOY47" s="76"/>
      <c r="SOZ47" s="76"/>
      <c r="SPA47" s="76"/>
      <c r="SPB47" s="76"/>
      <c r="SPC47" s="76"/>
      <c r="SPD47" s="76"/>
      <c r="SPE47" s="76"/>
      <c r="SPF47" s="76"/>
      <c r="SPG47" s="76"/>
      <c r="SPH47" s="76"/>
      <c r="SPI47" s="76"/>
      <c r="SPJ47" s="76"/>
      <c r="SPK47" s="76"/>
      <c r="SPL47" s="76"/>
      <c r="SPM47" s="76"/>
      <c r="SPN47" s="76"/>
      <c r="SPO47" s="76"/>
      <c r="SPP47" s="76"/>
      <c r="SPQ47" s="76"/>
      <c r="SPR47" s="76"/>
      <c r="SPS47" s="76"/>
      <c r="SPT47" s="76"/>
      <c r="SPU47" s="76"/>
      <c r="SPV47" s="76"/>
      <c r="SPW47" s="76"/>
      <c r="SPX47" s="76"/>
      <c r="SPY47" s="76"/>
      <c r="SPZ47" s="76"/>
      <c r="SQA47" s="76"/>
      <c r="SQB47" s="76"/>
      <c r="SQC47" s="76"/>
      <c r="SQD47" s="76"/>
      <c r="SQE47" s="76"/>
      <c r="SQF47" s="76"/>
      <c r="SQG47" s="76"/>
      <c r="SQH47" s="76"/>
      <c r="SQI47" s="76"/>
      <c r="SQJ47" s="76"/>
      <c r="SQK47" s="76"/>
      <c r="SQL47" s="76"/>
      <c r="SQM47" s="76"/>
      <c r="SQN47" s="76"/>
      <c r="SQO47" s="76"/>
      <c r="SQP47" s="76"/>
      <c r="SQQ47" s="76"/>
      <c r="SQR47" s="76"/>
      <c r="SQS47" s="76"/>
      <c r="SQT47" s="76"/>
      <c r="SQU47" s="76"/>
      <c r="SQV47" s="76"/>
      <c r="SQW47" s="76"/>
      <c r="SQX47" s="76"/>
      <c r="SQY47" s="76"/>
      <c r="SQZ47" s="76"/>
      <c r="SRA47" s="76"/>
      <c r="SRB47" s="76"/>
      <c r="SRC47" s="76"/>
      <c r="SRD47" s="76"/>
      <c r="SRE47" s="76"/>
      <c r="SRF47" s="76"/>
      <c r="SRG47" s="76"/>
      <c r="SRH47" s="76"/>
      <c r="SRI47" s="76"/>
      <c r="SRJ47" s="76"/>
      <c r="SRK47" s="76"/>
      <c r="SRL47" s="76"/>
      <c r="SRM47" s="76"/>
      <c r="SRN47" s="76"/>
      <c r="SRO47" s="76"/>
      <c r="SRP47" s="76"/>
      <c r="SRQ47" s="76"/>
      <c r="SRR47" s="76"/>
      <c r="SRS47" s="76"/>
      <c r="SRT47" s="76"/>
      <c r="SRU47" s="76"/>
      <c r="SRV47" s="76"/>
      <c r="SRW47" s="76"/>
      <c r="SRX47" s="76"/>
      <c r="SRY47" s="76"/>
      <c r="SRZ47" s="76"/>
      <c r="SSA47" s="76"/>
      <c r="SSB47" s="76"/>
      <c r="SSC47" s="76"/>
      <c r="SSD47" s="76"/>
      <c r="SSE47" s="76"/>
      <c r="SSF47" s="76"/>
      <c r="SSG47" s="76"/>
      <c r="SSH47" s="76"/>
      <c r="SSI47" s="76"/>
      <c r="SSJ47" s="76"/>
      <c r="SSK47" s="76"/>
      <c r="SSL47" s="76"/>
      <c r="SSM47" s="76"/>
      <c r="SSN47" s="76"/>
      <c r="SSO47" s="76"/>
      <c r="SSP47" s="76"/>
      <c r="SSQ47" s="76"/>
      <c r="SSR47" s="76"/>
      <c r="SSS47" s="76"/>
      <c r="SST47" s="76"/>
      <c r="SSU47" s="76"/>
      <c r="SSV47" s="76"/>
      <c r="SSW47" s="76"/>
      <c r="SSX47" s="76"/>
      <c r="SSY47" s="76"/>
      <c r="SSZ47" s="76"/>
      <c r="STA47" s="76"/>
      <c r="STB47" s="76"/>
      <c r="STC47" s="76"/>
      <c r="STD47" s="76"/>
      <c r="STE47" s="76"/>
      <c r="STF47" s="76"/>
      <c r="STG47" s="76"/>
      <c r="STH47" s="76"/>
      <c r="STI47" s="76"/>
      <c r="STJ47" s="76"/>
      <c r="STK47" s="76"/>
      <c r="STL47" s="76"/>
      <c r="STM47" s="76"/>
      <c r="STN47" s="76"/>
      <c r="STO47" s="76"/>
      <c r="STP47" s="76"/>
      <c r="STQ47" s="76"/>
      <c r="STR47" s="76"/>
      <c r="STS47" s="76"/>
      <c r="STT47" s="76"/>
      <c r="STU47" s="76"/>
      <c r="STV47" s="76"/>
      <c r="STW47" s="76"/>
      <c r="STX47" s="76"/>
      <c r="STY47" s="76"/>
      <c r="STZ47" s="76"/>
      <c r="SUA47" s="76"/>
      <c r="SUB47" s="76"/>
      <c r="SUC47" s="76"/>
      <c r="SUD47" s="76"/>
      <c r="SUE47" s="76"/>
      <c r="SUF47" s="76"/>
      <c r="SUG47" s="76"/>
      <c r="SUH47" s="76"/>
      <c r="SUI47" s="76"/>
      <c r="SUJ47" s="76"/>
      <c r="SUK47" s="76"/>
      <c r="SUL47" s="76"/>
      <c r="SUM47" s="76"/>
      <c r="SUN47" s="76"/>
      <c r="SUO47" s="76"/>
      <c r="SUP47" s="76"/>
      <c r="SUQ47" s="76"/>
      <c r="SUR47" s="76"/>
      <c r="SUS47" s="76"/>
      <c r="SUT47" s="76"/>
      <c r="SUU47" s="76"/>
      <c r="SUV47" s="76"/>
      <c r="SUW47" s="76"/>
      <c r="SUX47" s="76"/>
      <c r="SUY47" s="76"/>
      <c r="SUZ47" s="76"/>
      <c r="SVA47" s="76"/>
      <c r="SVB47" s="76"/>
      <c r="SVC47" s="76"/>
      <c r="SVD47" s="76"/>
      <c r="SVE47" s="76"/>
      <c r="SVF47" s="76"/>
      <c r="SVG47" s="76"/>
      <c r="SVH47" s="76"/>
      <c r="SVI47" s="76"/>
      <c r="SVJ47" s="76"/>
      <c r="SVK47" s="76"/>
      <c r="SVL47" s="76"/>
      <c r="SVM47" s="76"/>
      <c r="SVN47" s="76"/>
      <c r="SVO47" s="76"/>
      <c r="SVP47" s="76"/>
      <c r="SVQ47" s="76"/>
      <c r="SVR47" s="76"/>
      <c r="SVS47" s="76"/>
      <c r="SVT47" s="76"/>
      <c r="SVU47" s="76"/>
      <c r="SVV47" s="76"/>
      <c r="SVW47" s="76"/>
      <c r="SVX47" s="76"/>
      <c r="SVY47" s="76"/>
      <c r="SVZ47" s="76"/>
      <c r="SWA47" s="76"/>
      <c r="SWB47" s="76"/>
      <c r="SWC47" s="76"/>
      <c r="SWD47" s="76"/>
      <c r="SWE47" s="76"/>
      <c r="SWF47" s="76"/>
      <c r="SWG47" s="76"/>
      <c r="SWH47" s="76"/>
      <c r="SWI47" s="76"/>
      <c r="SWJ47" s="76"/>
      <c r="SWK47" s="76"/>
      <c r="SWL47" s="76"/>
      <c r="SWM47" s="76"/>
      <c r="SWN47" s="76"/>
      <c r="SWO47" s="76"/>
      <c r="SWP47" s="76"/>
      <c r="SWQ47" s="76"/>
      <c r="SWR47" s="76"/>
      <c r="SWS47" s="76"/>
      <c r="SWT47" s="76"/>
      <c r="SWU47" s="76"/>
      <c r="SWV47" s="76"/>
      <c r="SWW47" s="76"/>
      <c r="SWX47" s="76"/>
      <c r="SWY47" s="76"/>
      <c r="SWZ47" s="76"/>
      <c r="SXA47" s="76"/>
      <c r="SXB47" s="76"/>
      <c r="SXC47" s="76"/>
      <c r="SXD47" s="76"/>
      <c r="SXE47" s="76"/>
      <c r="SXF47" s="76"/>
      <c r="SXG47" s="76"/>
      <c r="SXH47" s="76"/>
      <c r="SXI47" s="76"/>
      <c r="SXJ47" s="76"/>
      <c r="SXK47" s="76"/>
      <c r="SXL47" s="76"/>
      <c r="SXM47" s="76"/>
      <c r="SXN47" s="76"/>
      <c r="SXO47" s="76"/>
      <c r="SXP47" s="76"/>
      <c r="SXQ47" s="76"/>
      <c r="SXR47" s="76"/>
      <c r="SXS47" s="76"/>
      <c r="SXT47" s="76"/>
      <c r="SXU47" s="76"/>
      <c r="SXV47" s="76"/>
      <c r="SXW47" s="76"/>
      <c r="SXX47" s="76"/>
      <c r="SXY47" s="76"/>
      <c r="SXZ47" s="76"/>
      <c r="SYA47" s="76"/>
      <c r="SYB47" s="76"/>
      <c r="SYC47" s="76"/>
      <c r="SYD47" s="76"/>
      <c r="SYE47" s="76"/>
      <c r="SYF47" s="76"/>
      <c r="SYG47" s="76"/>
      <c r="SYH47" s="76"/>
      <c r="SYI47" s="76"/>
      <c r="SYJ47" s="76"/>
      <c r="SYK47" s="76"/>
      <c r="SYL47" s="76"/>
      <c r="SYM47" s="76"/>
      <c r="SYN47" s="76"/>
      <c r="SYO47" s="76"/>
      <c r="SYP47" s="76"/>
      <c r="SYQ47" s="76"/>
      <c r="SYR47" s="76"/>
      <c r="SYS47" s="76"/>
      <c r="SYT47" s="76"/>
      <c r="SYU47" s="76"/>
      <c r="SYV47" s="76"/>
      <c r="SYW47" s="76"/>
      <c r="SYX47" s="76"/>
      <c r="SYY47" s="76"/>
      <c r="SYZ47" s="76"/>
      <c r="SZA47" s="76"/>
      <c r="SZB47" s="76"/>
      <c r="SZC47" s="76"/>
      <c r="SZD47" s="76"/>
      <c r="SZE47" s="76"/>
      <c r="SZF47" s="76"/>
      <c r="SZG47" s="76"/>
      <c r="SZH47" s="76"/>
      <c r="SZI47" s="76"/>
      <c r="SZJ47" s="76"/>
      <c r="SZK47" s="76"/>
      <c r="SZL47" s="76"/>
      <c r="SZM47" s="76"/>
      <c r="SZN47" s="76"/>
      <c r="SZO47" s="76"/>
      <c r="SZP47" s="76"/>
      <c r="SZQ47" s="76"/>
      <c r="SZR47" s="76"/>
      <c r="SZS47" s="76"/>
      <c r="SZT47" s="76"/>
      <c r="SZU47" s="76"/>
      <c r="SZV47" s="76"/>
      <c r="SZW47" s="76"/>
      <c r="SZX47" s="76"/>
      <c r="SZY47" s="76"/>
      <c r="SZZ47" s="76"/>
      <c r="TAA47" s="76"/>
      <c r="TAB47" s="76"/>
      <c r="TAC47" s="76"/>
      <c r="TAD47" s="76"/>
      <c r="TAE47" s="76"/>
      <c r="TAF47" s="76"/>
      <c r="TAG47" s="76"/>
      <c r="TAH47" s="76"/>
      <c r="TAI47" s="76"/>
      <c r="TAJ47" s="76"/>
      <c r="TAK47" s="76"/>
      <c r="TAL47" s="76"/>
      <c r="TAM47" s="76"/>
      <c r="TAN47" s="76"/>
      <c r="TAO47" s="76"/>
      <c r="TAP47" s="76"/>
      <c r="TAQ47" s="76"/>
      <c r="TAR47" s="76"/>
      <c r="TAS47" s="76"/>
      <c r="TAT47" s="76"/>
      <c r="TAU47" s="76"/>
      <c r="TAV47" s="76"/>
      <c r="TAW47" s="76"/>
      <c r="TAX47" s="76"/>
      <c r="TAY47" s="76"/>
      <c r="TAZ47" s="76"/>
      <c r="TBA47" s="76"/>
      <c r="TBB47" s="76"/>
      <c r="TBC47" s="76"/>
      <c r="TBD47" s="76"/>
      <c r="TBE47" s="76"/>
      <c r="TBF47" s="76"/>
      <c r="TBG47" s="76"/>
      <c r="TBH47" s="76"/>
      <c r="TBI47" s="76"/>
      <c r="TBJ47" s="76"/>
      <c r="TBK47" s="76"/>
      <c r="TBL47" s="76"/>
      <c r="TBM47" s="76"/>
      <c r="TBN47" s="76"/>
      <c r="TBO47" s="76"/>
      <c r="TBP47" s="76"/>
      <c r="TBQ47" s="76"/>
      <c r="TBR47" s="76"/>
      <c r="TBS47" s="76"/>
      <c r="TBT47" s="76"/>
      <c r="TBU47" s="76"/>
      <c r="TBV47" s="76"/>
      <c r="TBW47" s="76"/>
      <c r="TBX47" s="76"/>
      <c r="TBY47" s="76"/>
      <c r="TBZ47" s="76"/>
      <c r="TCA47" s="76"/>
      <c r="TCB47" s="76"/>
      <c r="TCC47" s="76"/>
      <c r="TCD47" s="76"/>
      <c r="TCE47" s="76"/>
      <c r="TCF47" s="76"/>
      <c r="TCG47" s="76"/>
      <c r="TCH47" s="76"/>
      <c r="TCI47" s="76"/>
      <c r="TCJ47" s="76"/>
      <c r="TCK47" s="76"/>
      <c r="TCL47" s="76"/>
      <c r="TCM47" s="76"/>
      <c r="TCN47" s="76"/>
      <c r="TCO47" s="76"/>
      <c r="TCP47" s="76"/>
      <c r="TCQ47" s="76"/>
      <c r="TCR47" s="76"/>
      <c r="TCS47" s="76"/>
      <c r="TCT47" s="76"/>
      <c r="TCU47" s="76"/>
      <c r="TCV47" s="76"/>
      <c r="TCW47" s="76"/>
      <c r="TCX47" s="76"/>
      <c r="TCY47" s="76"/>
      <c r="TCZ47" s="76"/>
      <c r="TDA47" s="76"/>
      <c r="TDB47" s="76"/>
      <c r="TDC47" s="76"/>
      <c r="TDD47" s="76"/>
      <c r="TDE47" s="76"/>
      <c r="TDF47" s="76"/>
      <c r="TDG47" s="76"/>
      <c r="TDH47" s="76"/>
      <c r="TDI47" s="76"/>
      <c r="TDJ47" s="76"/>
      <c r="TDK47" s="76"/>
      <c r="TDL47" s="76"/>
      <c r="TDM47" s="76"/>
      <c r="TDN47" s="76"/>
      <c r="TDO47" s="76"/>
      <c r="TDP47" s="76"/>
      <c r="TDQ47" s="76"/>
      <c r="TDR47" s="76"/>
      <c r="TDS47" s="76"/>
      <c r="TDT47" s="76"/>
      <c r="TDU47" s="76"/>
      <c r="TDV47" s="76"/>
      <c r="TDW47" s="76"/>
      <c r="TDX47" s="76"/>
      <c r="TDY47" s="76"/>
      <c r="TDZ47" s="76"/>
      <c r="TEA47" s="76"/>
      <c r="TEB47" s="76"/>
      <c r="TEC47" s="76"/>
      <c r="TED47" s="76"/>
      <c r="TEE47" s="76"/>
      <c r="TEF47" s="76"/>
      <c r="TEG47" s="76"/>
      <c r="TEH47" s="76"/>
      <c r="TEI47" s="76"/>
      <c r="TEJ47" s="76"/>
      <c r="TEK47" s="76"/>
      <c r="TEL47" s="76"/>
      <c r="TEM47" s="76"/>
      <c r="TEN47" s="76"/>
      <c r="TEO47" s="76"/>
      <c r="TEP47" s="76"/>
      <c r="TEQ47" s="76"/>
      <c r="TER47" s="76"/>
      <c r="TES47" s="76"/>
      <c r="TET47" s="76"/>
      <c r="TEU47" s="76"/>
      <c r="TEV47" s="76"/>
      <c r="TEW47" s="76"/>
      <c r="TEX47" s="76"/>
      <c r="TEY47" s="76"/>
      <c r="TEZ47" s="76"/>
      <c r="TFA47" s="76"/>
      <c r="TFB47" s="76"/>
      <c r="TFC47" s="76"/>
      <c r="TFD47" s="76"/>
      <c r="TFE47" s="76"/>
      <c r="TFF47" s="76"/>
      <c r="TFG47" s="76"/>
      <c r="TFH47" s="76"/>
      <c r="TFI47" s="76"/>
      <c r="TFJ47" s="76"/>
      <c r="TFK47" s="76"/>
      <c r="TFL47" s="76"/>
      <c r="TFM47" s="76"/>
      <c r="TFN47" s="76"/>
      <c r="TFO47" s="76"/>
      <c r="TFP47" s="76"/>
      <c r="TFQ47" s="76"/>
      <c r="TFR47" s="76"/>
      <c r="TFS47" s="76"/>
      <c r="TFT47" s="76"/>
      <c r="TFU47" s="76"/>
      <c r="TFV47" s="76"/>
      <c r="TFW47" s="76"/>
      <c r="TFX47" s="76"/>
      <c r="TFY47" s="76"/>
      <c r="TFZ47" s="76"/>
      <c r="TGA47" s="76"/>
      <c r="TGB47" s="76"/>
      <c r="TGC47" s="76"/>
      <c r="TGD47" s="76"/>
      <c r="TGE47" s="76"/>
      <c r="TGF47" s="76"/>
      <c r="TGG47" s="76"/>
      <c r="TGH47" s="76"/>
      <c r="TGI47" s="76"/>
      <c r="TGJ47" s="76"/>
      <c r="TGK47" s="76"/>
      <c r="TGL47" s="76"/>
      <c r="TGM47" s="76"/>
      <c r="TGN47" s="76"/>
      <c r="TGO47" s="76"/>
      <c r="TGP47" s="76"/>
      <c r="TGQ47" s="76"/>
      <c r="TGR47" s="76"/>
      <c r="TGS47" s="76"/>
      <c r="TGT47" s="76"/>
      <c r="TGU47" s="76"/>
      <c r="TGV47" s="76"/>
      <c r="TGW47" s="76"/>
      <c r="TGX47" s="76"/>
      <c r="TGY47" s="76"/>
      <c r="TGZ47" s="76"/>
      <c r="THA47" s="76"/>
      <c r="THB47" s="76"/>
      <c r="THC47" s="76"/>
      <c r="THD47" s="76"/>
      <c r="THE47" s="76"/>
      <c r="THF47" s="76"/>
      <c r="THG47" s="76"/>
      <c r="THH47" s="76"/>
      <c r="THI47" s="76"/>
      <c r="THJ47" s="76"/>
      <c r="THK47" s="76"/>
      <c r="THL47" s="76"/>
      <c r="THM47" s="76"/>
      <c r="THN47" s="76"/>
      <c r="THO47" s="76"/>
      <c r="THP47" s="76"/>
      <c r="THQ47" s="76"/>
      <c r="THR47" s="76"/>
      <c r="THS47" s="76"/>
      <c r="THT47" s="76"/>
      <c r="THU47" s="76"/>
      <c r="THV47" s="76"/>
      <c r="THW47" s="76"/>
      <c r="THX47" s="76"/>
      <c r="THY47" s="76"/>
      <c r="THZ47" s="76"/>
      <c r="TIA47" s="76"/>
      <c r="TIB47" s="76"/>
      <c r="TIC47" s="76"/>
      <c r="TID47" s="76"/>
      <c r="TIE47" s="76"/>
      <c r="TIF47" s="76"/>
      <c r="TIG47" s="76"/>
      <c r="TIH47" s="76"/>
      <c r="TII47" s="76"/>
      <c r="TIJ47" s="76"/>
      <c r="TIK47" s="76"/>
      <c r="TIL47" s="76"/>
      <c r="TIM47" s="76"/>
      <c r="TIN47" s="76"/>
      <c r="TIO47" s="76"/>
      <c r="TIP47" s="76"/>
      <c r="TIQ47" s="76"/>
      <c r="TIR47" s="76"/>
      <c r="TIS47" s="76"/>
      <c r="TIT47" s="76"/>
      <c r="TIU47" s="76"/>
      <c r="TIV47" s="76"/>
      <c r="TIW47" s="76"/>
      <c r="TIX47" s="76"/>
      <c r="TIY47" s="76"/>
      <c r="TIZ47" s="76"/>
      <c r="TJA47" s="76"/>
      <c r="TJB47" s="76"/>
      <c r="TJC47" s="76"/>
      <c r="TJD47" s="76"/>
      <c r="TJE47" s="76"/>
      <c r="TJF47" s="76"/>
      <c r="TJG47" s="76"/>
      <c r="TJH47" s="76"/>
      <c r="TJI47" s="76"/>
      <c r="TJJ47" s="76"/>
      <c r="TJK47" s="76"/>
      <c r="TJL47" s="76"/>
      <c r="TJM47" s="76"/>
      <c r="TJN47" s="76"/>
      <c r="TJO47" s="76"/>
      <c r="TJP47" s="76"/>
      <c r="TJQ47" s="76"/>
      <c r="TJR47" s="76"/>
      <c r="TJS47" s="76"/>
      <c r="TJT47" s="76"/>
      <c r="TJU47" s="76"/>
      <c r="TJV47" s="76"/>
      <c r="TJW47" s="76"/>
      <c r="TJX47" s="76"/>
      <c r="TJY47" s="76"/>
      <c r="TJZ47" s="76"/>
      <c r="TKA47" s="76"/>
      <c r="TKB47" s="76"/>
      <c r="TKC47" s="76"/>
      <c r="TKD47" s="76"/>
      <c r="TKE47" s="76"/>
      <c r="TKF47" s="76"/>
      <c r="TKG47" s="76"/>
      <c r="TKH47" s="76"/>
      <c r="TKI47" s="76"/>
      <c r="TKJ47" s="76"/>
      <c r="TKK47" s="76"/>
      <c r="TKL47" s="76"/>
      <c r="TKM47" s="76"/>
      <c r="TKN47" s="76"/>
      <c r="TKO47" s="76"/>
      <c r="TKP47" s="76"/>
      <c r="TKQ47" s="76"/>
      <c r="TKR47" s="76"/>
      <c r="TKS47" s="76"/>
      <c r="TKT47" s="76"/>
      <c r="TKU47" s="76"/>
      <c r="TKV47" s="76"/>
      <c r="TKW47" s="76"/>
      <c r="TKX47" s="76"/>
      <c r="TKY47" s="76"/>
      <c r="TKZ47" s="76"/>
      <c r="TLA47" s="76"/>
      <c r="TLB47" s="76"/>
      <c r="TLC47" s="76"/>
      <c r="TLD47" s="76"/>
      <c r="TLE47" s="76"/>
      <c r="TLF47" s="76"/>
      <c r="TLG47" s="76"/>
      <c r="TLH47" s="76"/>
      <c r="TLI47" s="76"/>
      <c r="TLJ47" s="76"/>
      <c r="TLK47" s="76"/>
      <c r="TLL47" s="76"/>
      <c r="TLM47" s="76"/>
      <c r="TLN47" s="76"/>
      <c r="TLO47" s="76"/>
      <c r="TLP47" s="76"/>
      <c r="TLQ47" s="76"/>
      <c r="TLR47" s="76"/>
      <c r="TLS47" s="76"/>
      <c r="TLT47" s="76"/>
      <c r="TLU47" s="76"/>
      <c r="TLV47" s="76"/>
      <c r="TLW47" s="76"/>
      <c r="TLX47" s="76"/>
      <c r="TLY47" s="76"/>
      <c r="TLZ47" s="76"/>
      <c r="TMA47" s="76"/>
      <c r="TMB47" s="76"/>
      <c r="TMC47" s="76"/>
      <c r="TMD47" s="76"/>
      <c r="TME47" s="76"/>
      <c r="TMF47" s="76"/>
      <c r="TMG47" s="76"/>
      <c r="TMH47" s="76"/>
      <c r="TMI47" s="76"/>
      <c r="TMJ47" s="76"/>
      <c r="TMK47" s="76"/>
      <c r="TML47" s="76"/>
      <c r="TMM47" s="76"/>
      <c r="TMN47" s="76"/>
      <c r="TMO47" s="76"/>
      <c r="TMP47" s="76"/>
      <c r="TMQ47" s="76"/>
      <c r="TMR47" s="76"/>
      <c r="TMS47" s="76"/>
      <c r="TMT47" s="76"/>
      <c r="TMU47" s="76"/>
      <c r="TMV47" s="76"/>
      <c r="TMW47" s="76"/>
      <c r="TMX47" s="76"/>
      <c r="TMY47" s="76"/>
      <c r="TMZ47" s="76"/>
      <c r="TNA47" s="76"/>
      <c r="TNB47" s="76"/>
      <c r="TNC47" s="76"/>
      <c r="TND47" s="76"/>
      <c r="TNE47" s="76"/>
      <c r="TNF47" s="76"/>
      <c r="TNG47" s="76"/>
      <c r="TNH47" s="76"/>
      <c r="TNI47" s="76"/>
      <c r="TNJ47" s="76"/>
      <c r="TNK47" s="76"/>
      <c r="TNL47" s="76"/>
      <c r="TNM47" s="76"/>
      <c r="TNN47" s="76"/>
      <c r="TNO47" s="76"/>
      <c r="TNP47" s="76"/>
      <c r="TNQ47" s="76"/>
      <c r="TNR47" s="76"/>
      <c r="TNS47" s="76"/>
      <c r="TNT47" s="76"/>
      <c r="TNU47" s="76"/>
      <c r="TNV47" s="76"/>
      <c r="TNW47" s="76"/>
      <c r="TNX47" s="76"/>
      <c r="TNY47" s="76"/>
      <c r="TNZ47" s="76"/>
      <c r="TOA47" s="76"/>
      <c r="TOB47" s="76"/>
      <c r="TOC47" s="76"/>
      <c r="TOD47" s="76"/>
      <c r="TOE47" s="76"/>
      <c r="TOF47" s="76"/>
      <c r="TOG47" s="76"/>
      <c r="TOH47" s="76"/>
      <c r="TOI47" s="76"/>
      <c r="TOJ47" s="76"/>
      <c r="TOK47" s="76"/>
      <c r="TOL47" s="76"/>
      <c r="TOM47" s="76"/>
      <c r="TON47" s="76"/>
      <c r="TOO47" s="76"/>
      <c r="TOP47" s="76"/>
      <c r="TOQ47" s="76"/>
      <c r="TOR47" s="76"/>
      <c r="TOS47" s="76"/>
      <c r="TOT47" s="76"/>
      <c r="TOU47" s="76"/>
      <c r="TOV47" s="76"/>
      <c r="TOW47" s="76"/>
      <c r="TOX47" s="76"/>
      <c r="TOY47" s="76"/>
      <c r="TOZ47" s="76"/>
      <c r="TPA47" s="76"/>
      <c r="TPB47" s="76"/>
      <c r="TPC47" s="76"/>
      <c r="TPD47" s="76"/>
      <c r="TPE47" s="76"/>
      <c r="TPF47" s="76"/>
      <c r="TPG47" s="76"/>
      <c r="TPH47" s="76"/>
      <c r="TPI47" s="76"/>
      <c r="TPJ47" s="76"/>
      <c r="TPK47" s="76"/>
      <c r="TPL47" s="76"/>
      <c r="TPM47" s="76"/>
      <c r="TPN47" s="76"/>
      <c r="TPO47" s="76"/>
      <c r="TPP47" s="76"/>
      <c r="TPQ47" s="76"/>
      <c r="TPR47" s="76"/>
      <c r="TPS47" s="76"/>
      <c r="TPT47" s="76"/>
      <c r="TPU47" s="76"/>
      <c r="TPV47" s="76"/>
      <c r="TPW47" s="76"/>
      <c r="TPX47" s="76"/>
      <c r="TPY47" s="76"/>
      <c r="TPZ47" s="76"/>
      <c r="TQA47" s="76"/>
      <c r="TQB47" s="76"/>
      <c r="TQC47" s="76"/>
      <c r="TQD47" s="76"/>
      <c r="TQE47" s="76"/>
      <c r="TQF47" s="76"/>
      <c r="TQG47" s="76"/>
      <c r="TQH47" s="76"/>
      <c r="TQI47" s="76"/>
      <c r="TQJ47" s="76"/>
      <c r="TQK47" s="76"/>
      <c r="TQL47" s="76"/>
      <c r="TQM47" s="76"/>
      <c r="TQN47" s="76"/>
      <c r="TQO47" s="76"/>
      <c r="TQP47" s="76"/>
      <c r="TQQ47" s="76"/>
      <c r="TQR47" s="76"/>
      <c r="TQS47" s="76"/>
      <c r="TQT47" s="76"/>
      <c r="TQU47" s="76"/>
      <c r="TQV47" s="76"/>
      <c r="TQW47" s="76"/>
      <c r="TQX47" s="76"/>
      <c r="TQY47" s="76"/>
      <c r="TQZ47" s="76"/>
      <c r="TRA47" s="76"/>
      <c r="TRB47" s="76"/>
      <c r="TRC47" s="76"/>
      <c r="TRD47" s="76"/>
      <c r="TRE47" s="76"/>
      <c r="TRF47" s="76"/>
      <c r="TRG47" s="76"/>
      <c r="TRH47" s="76"/>
      <c r="TRI47" s="76"/>
      <c r="TRJ47" s="76"/>
      <c r="TRK47" s="76"/>
      <c r="TRL47" s="76"/>
      <c r="TRM47" s="76"/>
      <c r="TRN47" s="76"/>
      <c r="TRO47" s="76"/>
      <c r="TRP47" s="76"/>
      <c r="TRQ47" s="76"/>
      <c r="TRR47" s="76"/>
      <c r="TRS47" s="76"/>
      <c r="TRT47" s="76"/>
      <c r="TRU47" s="76"/>
      <c r="TRV47" s="76"/>
      <c r="TRW47" s="76"/>
      <c r="TRX47" s="76"/>
      <c r="TRY47" s="76"/>
      <c r="TRZ47" s="76"/>
      <c r="TSA47" s="76"/>
      <c r="TSB47" s="76"/>
      <c r="TSC47" s="76"/>
      <c r="TSD47" s="76"/>
      <c r="TSE47" s="76"/>
      <c r="TSF47" s="76"/>
      <c r="TSG47" s="76"/>
      <c r="TSH47" s="76"/>
      <c r="TSI47" s="76"/>
      <c r="TSJ47" s="76"/>
      <c r="TSK47" s="76"/>
      <c r="TSL47" s="76"/>
      <c r="TSM47" s="76"/>
      <c r="TSN47" s="76"/>
      <c r="TSO47" s="76"/>
      <c r="TSP47" s="76"/>
      <c r="TSQ47" s="76"/>
      <c r="TSR47" s="76"/>
      <c r="TSS47" s="76"/>
      <c r="TST47" s="76"/>
      <c r="TSU47" s="76"/>
      <c r="TSV47" s="76"/>
      <c r="TSW47" s="76"/>
      <c r="TSX47" s="76"/>
      <c r="TSY47" s="76"/>
      <c r="TSZ47" s="76"/>
      <c r="TTA47" s="76"/>
      <c r="TTB47" s="76"/>
      <c r="TTC47" s="76"/>
      <c r="TTD47" s="76"/>
      <c r="TTE47" s="76"/>
      <c r="TTF47" s="76"/>
      <c r="TTG47" s="76"/>
      <c r="TTH47" s="76"/>
      <c r="TTI47" s="76"/>
      <c r="TTJ47" s="76"/>
      <c r="TTK47" s="76"/>
      <c r="TTL47" s="76"/>
      <c r="TTM47" s="76"/>
      <c r="TTN47" s="76"/>
      <c r="TTO47" s="76"/>
      <c r="TTP47" s="76"/>
      <c r="TTQ47" s="76"/>
      <c r="TTR47" s="76"/>
      <c r="TTS47" s="76"/>
      <c r="TTT47" s="76"/>
      <c r="TTU47" s="76"/>
      <c r="TTV47" s="76"/>
      <c r="TTW47" s="76"/>
      <c r="TTX47" s="76"/>
      <c r="TTY47" s="76"/>
      <c r="TTZ47" s="76"/>
      <c r="TUA47" s="76"/>
      <c r="TUB47" s="76"/>
      <c r="TUC47" s="76"/>
      <c r="TUD47" s="76"/>
      <c r="TUE47" s="76"/>
      <c r="TUF47" s="76"/>
      <c r="TUG47" s="76"/>
      <c r="TUH47" s="76"/>
      <c r="TUI47" s="76"/>
      <c r="TUJ47" s="76"/>
      <c r="TUK47" s="76"/>
      <c r="TUL47" s="76"/>
      <c r="TUM47" s="76"/>
      <c r="TUN47" s="76"/>
      <c r="TUO47" s="76"/>
      <c r="TUP47" s="76"/>
      <c r="TUQ47" s="76"/>
      <c r="TUR47" s="76"/>
      <c r="TUS47" s="76"/>
      <c r="TUT47" s="76"/>
      <c r="TUU47" s="76"/>
      <c r="TUV47" s="76"/>
      <c r="TUW47" s="76"/>
      <c r="TUX47" s="76"/>
      <c r="TUY47" s="76"/>
      <c r="TUZ47" s="76"/>
      <c r="TVA47" s="76"/>
      <c r="TVB47" s="76"/>
      <c r="TVC47" s="76"/>
      <c r="TVD47" s="76"/>
      <c r="TVE47" s="76"/>
      <c r="TVF47" s="76"/>
      <c r="TVG47" s="76"/>
      <c r="TVH47" s="76"/>
      <c r="TVI47" s="76"/>
      <c r="TVJ47" s="76"/>
      <c r="TVK47" s="76"/>
      <c r="TVL47" s="76"/>
      <c r="TVM47" s="76"/>
      <c r="TVN47" s="76"/>
      <c r="TVO47" s="76"/>
      <c r="TVP47" s="76"/>
      <c r="TVQ47" s="76"/>
      <c r="TVR47" s="76"/>
      <c r="TVS47" s="76"/>
      <c r="TVT47" s="76"/>
      <c r="TVU47" s="76"/>
      <c r="TVV47" s="76"/>
      <c r="TVW47" s="76"/>
      <c r="TVX47" s="76"/>
      <c r="TVY47" s="76"/>
      <c r="TVZ47" s="76"/>
      <c r="TWA47" s="76"/>
      <c r="TWB47" s="76"/>
      <c r="TWC47" s="76"/>
      <c r="TWD47" s="76"/>
      <c r="TWE47" s="76"/>
      <c r="TWF47" s="76"/>
      <c r="TWG47" s="76"/>
      <c r="TWH47" s="76"/>
      <c r="TWI47" s="76"/>
      <c r="TWJ47" s="76"/>
      <c r="TWK47" s="76"/>
      <c r="TWL47" s="76"/>
      <c r="TWM47" s="76"/>
      <c r="TWN47" s="76"/>
      <c r="TWO47" s="76"/>
      <c r="TWP47" s="76"/>
      <c r="TWQ47" s="76"/>
      <c r="TWR47" s="76"/>
      <c r="TWS47" s="76"/>
      <c r="TWT47" s="76"/>
      <c r="TWU47" s="76"/>
      <c r="TWV47" s="76"/>
      <c r="TWW47" s="76"/>
      <c r="TWX47" s="76"/>
      <c r="TWY47" s="76"/>
      <c r="TWZ47" s="76"/>
      <c r="TXA47" s="76"/>
      <c r="TXB47" s="76"/>
      <c r="TXC47" s="76"/>
      <c r="TXD47" s="76"/>
      <c r="TXE47" s="76"/>
      <c r="TXF47" s="76"/>
      <c r="TXG47" s="76"/>
      <c r="TXH47" s="76"/>
      <c r="TXI47" s="76"/>
      <c r="TXJ47" s="76"/>
      <c r="TXK47" s="76"/>
      <c r="TXL47" s="76"/>
      <c r="TXM47" s="76"/>
      <c r="TXN47" s="76"/>
      <c r="TXO47" s="76"/>
      <c r="TXP47" s="76"/>
      <c r="TXQ47" s="76"/>
      <c r="TXR47" s="76"/>
      <c r="TXS47" s="76"/>
      <c r="TXT47" s="76"/>
      <c r="TXU47" s="76"/>
      <c r="TXV47" s="76"/>
      <c r="TXW47" s="76"/>
      <c r="TXX47" s="76"/>
      <c r="TXY47" s="76"/>
      <c r="TXZ47" s="76"/>
      <c r="TYA47" s="76"/>
      <c r="TYB47" s="76"/>
      <c r="TYC47" s="76"/>
      <c r="TYD47" s="76"/>
      <c r="TYE47" s="76"/>
      <c r="TYF47" s="76"/>
      <c r="TYG47" s="76"/>
      <c r="TYH47" s="76"/>
      <c r="TYI47" s="76"/>
      <c r="TYJ47" s="76"/>
      <c r="TYK47" s="76"/>
      <c r="TYL47" s="76"/>
      <c r="TYM47" s="76"/>
      <c r="TYN47" s="76"/>
      <c r="TYO47" s="76"/>
      <c r="TYP47" s="76"/>
      <c r="TYQ47" s="76"/>
      <c r="TYR47" s="76"/>
      <c r="TYS47" s="76"/>
      <c r="TYT47" s="76"/>
      <c r="TYU47" s="76"/>
      <c r="TYV47" s="76"/>
      <c r="TYW47" s="76"/>
      <c r="TYX47" s="76"/>
      <c r="TYY47" s="76"/>
      <c r="TYZ47" s="76"/>
      <c r="TZA47" s="76"/>
      <c r="TZB47" s="76"/>
      <c r="TZC47" s="76"/>
      <c r="TZD47" s="76"/>
      <c r="TZE47" s="76"/>
      <c r="TZF47" s="76"/>
      <c r="TZG47" s="76"/>
      <c r="TZH47" s="76"/>
      <c r="TZI47" s="76"/>
      <c r="TZJ47" s="76"/>
      <c r="TZK47" s="76"/>
      <c r="TZL47" s="76"/>
      <c r="TZM47" s="76"/>
      <c r="TZN47" s="76"/>
      <c r="TZO47" s="76"/>
      <c r="TZP47" s="76"/>
      <c r="TZQ47" s="76"/>
      <c r="TZR47" s="76"/>
      <c r="TZS47" s="76"/>
      <c r="TZT47" s="76"/>
      <c r="TZU47" s="76"/>
      <c r="TZV47" s="76"/>
      <c r="TZW47" s="76"/>
      <c r="TZX47" s="76"/>
      <c r="TZY47" s="76"/>
      <c r="TZZ47" s="76"/>
      <c r="UAA47" s="76"/>
      <c r="UAB47" s="76"/>
      <c r="UAC47" s="76"/>
      <c r="UAD47" s="76"/>
      <c r="UAE47" s="76"/>
      <c r="UAF47" s="76"/>
      <c r="UAG47" s="76"/>
      <c r="UAH47" s="76"/>
      <c r="UAI47" s="76"/>
      <c r="UAJ47" s="76"/>
      <c r="UAK47" s="76"/>
      <c r="UAL47" s="76"/>
      <c r="UAM47" s="76"/>
      <c r="UAN47" s="76"/>
      <c r="UAO47" s="76"/>
      <c r="UAP47" s="76"/>
      <c r="UAQ47" s="76"/>
      <c r="UAR47" s="76"/>
      <c r="UAS47" s="76"/>
      <c r="UAT47" s="76"/>
      <c r="UAU47" s="76"/>
      <c r="UAV47" s="76"/>
      <c r="UAW47" s="76"/>
      <c r="UAX47" s="76"/>
      <c r="UAY47" s="76"/>
      <c r="UAZ47" s="76"/>
      <c r="UBA47" s="76"/>
      <c r="UBB47" s="76"/>
      <c r="UBC47" s="76"/>
      <c r="UBD47" s="76"/>
      <c r="UBE47" s="76"/>
      <c r="UBF47" s="76"/>
      <c r="UBG47" s="76"/>
      <c r="UBH47" s="76"/>
      <c r="UBI47" s="76"/>
      <c r="UBJ47" s="76"/>
      <c r="UBK47" s="76"/>
      <c r="UBL47" s="76"/>
      <c r="UBM47" s="76"/>
      <c r="UBN47" s="76"/>
      <c r="UBO47" s="76"/>
      <c r="UBP47" s="76"/>
      <c r="UBQ47" s="76"/>
      <c r="UBR47" s="76"/>
      <c r="UBS47" s="76"/>
      <c r="UBT47" s="76"/>
      <c r="UBU47" s="76"/>
      <c r="UBV47" s="76"/>
      <c r="UBW47" s="76"/>
      <c r="UBX47" s="76"/>
      <c r="UBY47" s="76"/>
      <c r="UBZ47" s="76"/>
      <c r="UCA47" s="76"/>
      <c r="UCB47" s="76"/>
      <c r="UCC47" s="76"/>
      <c r="UCD47" s="76"/>
      <c r="UCE47" s="76"/>
      <c r="UCF47" s="76"/>
      <c r="UCG47" s="76"/>
      <c r="UCH47" s="76"/>
      <c r="UCI47" s="76"/>
      <c r="UCJ47" s="76"/>
      <c r="UCK47" s="76"/>
      <c r="UCL47" s="76"/>
      <c r="UCM47" s="76"/>
      <c r="UCN47" s="76"/>
      <c r="UCO47" s="76"/>
      <c r="UCP47" s="76"/>
      <c r="UCQ47" s="76"/>
      <c r="UCR47" s="76"/>
      <c r="UCS47" s="76"/>
      <c r="UCT47" s="76"/>
      <c r="UCU47" s="76"/>
      <c r="UCV47" s="76"/>
      <c r="UCW47" s="76"/>
      <c r="UCX47" s="76"/>
      <c r="UCY47" s="76"/>
      <c r="UCZ47" s="76"/>
      <c r="UDA47" s="76"/>
      <c r="UDB47" s="76"/>
      <c r="UDC47" s="76"/>
      <c r="UDD47" s="76"/>
      <c r="UDE47" s="76"/>
      <c r="UDF47" s="76"/>
      <c r="UDG47" s="76"/>
      <c r="UDH47" s="76"/>
      <c r="UDI47" s="76"/>
      <c r="UDJ47" s="76"/>
      <c r="UDK47" s="76"/>
      <c r="UDL47" s="76"/>
      <c r="UDM47" s="76"/>
      <c r="UDN47" s="76"/>
      <c r="UDO47" s="76"/>
      <c r="UDP47" s="76"/>
      <c r="UDQ47" s="76"/>
      <c r="UDR47" s="76"/>
      <c r="UDS47" s="76"/>
      <c r="UDT47" s="76"/>
      <c r="UDU47" s="76"/>
      <c r="UDV47" s="76"/>
      <c r="UDW47" s="76"/>
      <c r="UDX47" s="76"/>
      <c r="UDY47" s="76"/>
      <c r="UDZ47" s="76"/>
      <c r="UEA47" s="76"/>
      <c r="UEB47" s="76"/>
      <c r="UEC47" s="76"/>
      <c r="UED47" s="76"/>
      <c r="UEE47" s="76"/>
      <c r="UEF47" s="76"/>
      <c r="UEG47" s="76"/>
      <c r="UEH47" s="76"/>
      <c r="UEI47" s="76"/>
      <c r="UEJ47" s="76"/>
      <c r="UEK47" s="76"/>
      <c r="UEL47" s="76"/>
      <c r="UEM47" s="76"/>
      <c r="UEN47" s="76"/>
      <c r="UEO47" s="76"/>
      <c r="UEP47" s="76"/>
      <c r="UEQ47" s="76"/>
      <c r="UER47" s="76"/>
      <c r="UES47" s="76"/>
      <c r="UET47" s="76"/>
      <c r="UEU47" s="76"/>
      <c r="UEV47" s="76"/>
      <c r="UEW47" s="76"/>
      <c r="UEX47" s="76"/>
      <c r="UEY47" s="76"/>
      <c r="UEZ47" s="76"/>
      <c r="UFA47" s="76"/>
      <c r="UFB47" s="76"/>
      <c r="UFC47" s="76"/>
      <c r="UFD47" s="76"/>
      <c r="UFE47" s="76"/>
      <c r="UFF47" s="76"/>
      <c r="UFG47" s="76"/>
      <c r="UFH47" s="76"/>
      <c r="UFI47" s="76"/>
      <c r="UFJ47" s="76"/>
      <c r="UFK47" s="76"/>
      <c r="UFL47" s="76"/>
      <c r="UFM47" s="76"/>
      <c r="UFN47" s="76"/>
      <c r="UFO47" s="76"/>
      <c r="UFP47" s="76"/>
      <c r="UFQ47" s="76"/>
      <c r="UFR47" s="76"/>
      <c r="UFS47" s="76"/>
      <c r="UFT47" s="76"/>
      <c r="UFU47" s="76"/>
      <c r="UFV47" s="76"/>
      <c r="UFW47" s="76"/>
      <c r="UFX47" s="76"/>
      <c r="UFY47" s="76"/>
      <c r="UFZ47" s="76"/>
      <c r="UGA47" s="76"/>
      <c r="UGB47" s="76"/>
      <c r="UGC47" s="76"/>
      <c r="UGD47" s="76"/>
      <c r="UGE47" s="76"/>
      <c r="UGF47" s="76"/>
      <c r="UGG47" s="76"/>
      <c r="UGH47" s="76"/>
      <c r="UGI47" s="76"/>
      <c r="UGJ47" s="76"/>
      <c r="UGK47" s="76"/>
      <c r="UGL47" s="76"/>
      <c r="UGM47" s="76"/>
      <c r="UGN47" s="76"/>
      <c r="UGO47" s="76"/>
      <c r="UGP47" s="76"/>
      <c r="UGQ47" s="76"/>
      <c r="UGR47" s="76"/>
      <c r="UGS47" s="76"/>
      <c r="UGT47" s="76"/>
      <c r="UGU47" s="76"/>
      <c r="UGV47" s="76"/>
      <c r="UGW47" s="76"/>
      <c r="UGX47" s="76"/>
      <c r="UGY47" s="76"/>
      <c r="UGZ47" s="76"/>
      <c r="UHA47" s="76"/>
      <c r="UHB47" s="76"/>
      <c r="UHC47" s="76"/>
      <c r="UHD47" s="76"/>
      <c r="UHE47" s="76"/>
      <c r="UHF47" s="76"/>
      <c r="UHG47" s="76"/>
      <c r="UHH47" s="76"/>
      <c r="UHI47" s="76"/>
      <c r="UHJ47" s="76"/>
      <c r="UHK47" s="76"/>
      <c r="UHL47" s="76"/>
      <c r="UHM47" s="76"/>
      <c r="UHN47" s="76"/>
      <c r="UHO47" s="76"/>
      <c r="UHP47" s="76"/>
      <c r="UHQ47" s="76"/>
      <c r="UHR47" s="76"/>
      <c r="UHS47" s="76"/>
      <c r="UHT47" s="76"/>
      <c r="UHU47" s="76"/>
      <c r="UHV47" s="76"/>
      <c r="UHW47" s="76"/>
      <c r="UHX47" s="76"/>
      <c r="UHY47" s="76"/>
      <c r="UHZ47" s="76"/>
      <c r="UIA47" s="76"/>
      <c r="UIB47" s="76"/>
      <c r="UIC47" s="76"/>
      <c r="UID47" s="76"/>
      <c r="UIE47" s="76"/>
      <c r="UIF47" s="76"/>
      <c r="UIG47" s="76"/>
      <c r="UIH47" s="76"/>
      <c r="UII47" s="76"/>
      <c r="UIJ47" s="76"/>
      <c r="UIK47" s="76"/>
      <c r="UIL47" s="76"/>
      <c r="UIM47" s="76"/>
      <c r="UIN47" s="76"/>
      <c r="UIO47" s="76"/>
      <c r="UIP47" s="76"/>
      <c r="UIQ47" s="76"/>
      <c r="UIR47" s="76"/>
      <c r="UIS47" s="76"/>
      <c r="UIT47" s="76"/>
      <c r="UIU47" s="76"/>
      <c r="UIV47" s="76"/>
      <c r="UIW47" s="76"/>
      <c r="UIX47" s="76"/>
      <c r="UIY47" s="76"/>
      <c r="UIZ47" s="76"/>
      <c r="UJA47" s="76"/>
      <c r="UJB47" s="76"/>
      <c r="UJC47" s="76"/>
      <c r="UJD47" s="76"/>
      <c r="UJE47" s="76"/>
      <c r="UJF47" s="76"/>
      <c r="UJG47" s="76"/>
      <c r="UJH47" s="76"/>
      <c r="UJI47" s="76"/>
      <c r="UJJ47" s="76"/>
      <c r="UJK47" s="76"/>
      <c r="UJL47" s="76"/>
      <c r="UJM47" s="76"/>
      <c r="UJN47" s="76"/>
      <c r="UJO47" s="76"/>
      <c r="UJP47" s="76"/>
      <c r="UJQ47" s="76"/>
      <c r="UJR47" s="76"/>
      <c r="UJS47" s="76"/>
      <c r="UJT47" s="76"/>
      <c r="UJU47" s="76"/>
      <c r="UJV47" s="76"/>
      <c r="UJW47" s="76"/>
      <c r="UJX47" s="76"/>
      <c r="UJY47" s="76"/>
      <c r="UJZ47" s="76"/>
      <c r="UKA47" s="76"/>
      <c r="UKB47" s="76"/>
      <c r="UKC47" s="76"/>
      <c r="UKD47" s="76"/>
      <c r="UKE47" s="76"/>
      <c r="UKF47" s="76"/>
      <c r="UKG47" s="76"/>
      <c r="UKH47" s="76"/>
      <c r="UKI47" s="76"/>
      <c r="UKJ47" s="76"/>
      <c r="UKK47" s="76"/>
      <c r="UKL47" s="76"/>
      <c r="UKM47" s="76"/>
      <c r="UKN47" s="76"/>
      <c r="UKO47" s="76"/>
      <c r="UKP47" s="76"/>
      <c r="UKQ47" s="76"/>
      <c r="UKR47" s="76"/>
      <c r="UKS47" s="76"/>
      <c r="UKT47" s="76"/>
      <c r="UKU47" s="76"/>
      <c r="UKV47" s="76"/>
      <c r="UKW47" s="76"/>
      <c r="UKX47" s="76"/>
      <c r="UKY47" s="76"/>
      <c r="UKZ47" s="76"/>
      <c r="ULA47" s="76"/>
      <c r="ULB47" s="76"/>
      <c r="ULC47" s="76"/>
      <c r="ULD47" s="76"/>
      <c r="ULE47" s="76"/>
      <c r="ULF47" s="76"/>
      <c r="ULG47" s="76"/>
      <c r="ULH47" s="76"/>
      <c r="ULI47" s="76"/>
      <c r="ULJ47" s="76"/>
      <c r="ULK47" s="76"/>
      <c r="ULL47" s="76"/>
      <c r="ULM47" s="76"/>
      <c r="ULN47" s="76"/>
      <c r="ULO47" s="76"/>
      <c r="ULP47" s="76"/>
      <c r="ULQ47" s="76"/>
      <c r="ULR47" s="76"/>
      <c r="ULS47" s="76"/>
      <c r="ULT47" s="76"/>
      <c r="ULU47" s="76"/>
      <c r="ULV47" s="76"/>
      <c r="ULW47" s="76"/>
      <c r="ULX47" s="76"/>
      <c r="ULY47" s="76"/>
      <c r="ULZ47" s="76"/>
      <c r="UMA47" s="76"/>
      <c r="UMB47" s="76"/>
      <c r="UMC47" s="76"/>
      <c r="UMD47" s="76"/>
      <c r="UME47" s="76"/>
      <c r="UMF47" s="76"/>
      <c r="UMG47" s="76"/>
      <c r="UMH47" s="76"/>
      <c r="UMI47" s="76"/>
      <c r="UMJ47" s="76"/>
      <c r="UMK47" s="76"/>
      <c r="UML47" s="76"/>
      <c r="UMM47" s="76"/>
      <c r="UMN47" s="76"/>
      <c r="UMO47" s="76"/>
      <c r="UMP47" s="76"/>
      <c r="UMQ47" s="76"/>
      <c r="UMR47" s="76"/>
      <c r="UMS47" s="76"/>
      <c r="UMT47" s="76"/>
      <c r="UMU47" s="76"/>
      <c r="UMV47" s="76"/>
      <c r="UMW47" s="76"/>
      <c r="UMX47" s="76"/>
      <c r="UMY47" s="76"/>
      <c r="UMZ47" s="76"/>
      <c r="UNA47" s="76"/>
      <c r="UNB47" s="76"/>
      <c r="UNC47" s="76"/>
      <c r="UND47" s="76"/>
      <c r="UNE47" s="76"/>
      <c r="UNF47" s="76"/>
      <c r="UNG47" s="76"/>
      <c r="UNH47" s="76"/>
      <c r="UNI47" s="76"/>
      <c r="UNJ47" s="76"/>
      <c r="UNK47" s="76"/>
      <c r="UNL47" s="76"/>
      <c r="UNM47" s="76"/>
      <c r="UNN47" s="76"/>
      <c r="UNO47" s="76"/>
      <c r="UNP47" s="76"/>
      <c r="UNQ47" s="76"/>
      <c r="UNR47" s="76"/>
      <c r="UNS47" s="76"/>
      <c r="UNT47" s="76"/>
      <c r="UNU47" s="76"/>
      <c r="UNV47" s="76"/>
      <c r="UNW47" s="76"/>
      <c r="UNX47" s="76"/>
      <c r="UNY47" s="76"/>
      <c r="UNZ47" s="76"/>
      <c r="UOA47" s="76"/>
      <c r="UOB47" s="76"/>
      <c r="UOC47" s="76"/>
      <c r="UOD47" s="76"/>
      <c r="UOE47" s="76"/>
      <c r="UOF47" s="76"/>
      <c r="UOG47" s="76"/>
      <c r="UOH47" s="76"/>
      <c r="UOI47" s="76"/>
      <c r="UOJ47" s="76"/>
      <c r="UOK47" s="76"/>
      <c r="UOL47" s="76"/>
      <c r="UOM47" s="76"/>
      <c r="UON47" s="76"/>
      <c r="UOO47" s="76"/>
      <c r="UOP47" s="76"/>
      <c r="UOQ47" s="76"/>
      <c r="UOR47" s="76"/>
      <c r="UOS47" s="76"/>
      <c r="UOT47" s="76"/>
      <c r="UOU47" s="76"/>
      <c r="UOV47" s="76"/>
      <c r="UOW47" s="76"/>
      <c r="UOX47" s="76"/>
      <c r="UOY47" s="76"/>
      <c r="UOZ47" s="76"/>
      <c r="UPA47" s="76"/>
      <c r="UPB47" s="76"/>
      <c r="UPC47" s="76"/>
      <c r="UPD47" s="76"/>
      <c r="UPE47" s="76"/>
      <c r="UPF47" s="76"/>
      <c r="UPG47" s="76"/>
      <c r="UPH47" s="76"/>
      <c r="UPI47" s="76"/>
      <c r="UPJ47" s="76"/>
      <c r="UPK47" s="76"/>
      <c r="UPL47" s="76"/>
      <c r="UPM47" s="76"/>
      <c r="UPN47" s="76"/>
      <c r="UPO47" s="76"/>
      <c r="UPP47" s="76"/>
      <c r="UPQ47" s="76"/>
      <c r="UPR47" s="76"/>
      <c r="UPS47" s="76"/>
      <c r="UPT47" s="76"/>
      <c r="UPU47" s="76"/>
      <c r="UPV47" s="76"/>
      <c r="UPW47" s="76"/>
      <c r="UPX47" s="76"/>
      <c r="UPY47" s="76"/>
      <c r="UPZ47" s="76"/>
      <c r="UQA47" s="76"/>
      <c r="UQB47" s="76"/>
      <c r="UQC47" s="76"/>
      <c r="UQD47" s="76"/>
      <c r="UQE47" s="76"/>
      <c r="UQF47" s="76"/>
      <c r="UQG47" s="76"/>
      <c r="UQH47" s="76"/>
      <c r="UQI47" s="76"/>
      <c r="UQJ47" s="76"/>
      <c r="UQK47" s="76"/>
      <c r="UQL47" s="76"/>
      <c r="UQM47" s="76"/>
      <c r="UQN47" s="76"/>
      <c r="UQO47" s="76"/>
      <c r="UQP47" s="76"/>
      <c r="UQQ47" s="76"/>
      <c r="UQR47" s="76"/>
      <c r="UQS47" s="76"/>
      <c r="UQT47" s="76"/>
      <c r="UQU47" s="76"/>
      <c r="UQV47" s="76"/>
      <c r="UQW47" s="76"/>
      <c r="UQX47" s="76"/>
      <c r="UQY47" s="76"/>
      <c r="UQZ47" s="76"/>
      <c r="URA47" s="76"/>
      <c r="URB47" s="76"/>
      <c r="URC47" s="76"/>
      <c r="URD47" s="76"/>
      <c r="URE47" s="76"/>
      <c r="URF47" s="76"/>
      <c r="URG47" s="76"/>
      <c r="URH47" s="76"/>
      <c r="URI47" s="76"/>
      <c r="URJ47" s="76"/>
      <c r="URK47" s="76"/>
      <c r="URL47" s="76"/>
      <c r="URM47" s="76"/>
      <c r="URN47" s="76"/>
      <c r="URO47" s="76"/>
      <c r="URP47" s="76"/>
      <c r="URQ47" s="76"/>
      <c r="URR47" s="76"/>
      <c r="URS47" s="76"/>
      <c r="URT47" s="76"/>
      <c r="URU47" s="76"/>
      <c r="URV47" s="76"/>
      <c r="URW47" s="76"/>
      <c r="URX47" s="76"/>
      <c r="URY47" s="76"/>
      <c r="URZ47" s="76"/>
      <c r="USA47" s="76"/>
      <c r="USB47" s="76"/>
      <c r="USC47" s="76"/>
      <c r="USD47" s="76"/>
      <c r="USE47" s="76"/>
      <c r="USF47" s="76"/>
      <c r="USG47" s="76"/>
      <c r="USH47" s="76"/>
      <c r="USI47" s="76"/>
      <c r="USJ47" s="76"/>
      <c r="USK47" s="76"/>
      <c r="USL47" s="76"/>
      <c r="USM47" s="76"/>
      <c r="USN47" s="76"/>
      <c r="USO47" s="76"/>
      <c r="USP47" s="76"/>
      <c r="USQ47" s="76"/>
      <c r="USR47" s="76"/>
      <c r="USS47" s="76"/>
      <c r="UST47" s="76"/>
      <c r="USU47" s="76"/>
      <c r="USV47" s="76"/>
      <c r="USW47" s="76"/>
      <c r="USX47" s="76"/>
      <c r="USY47" s="76"/>
      <c r="USZ47" s="76"/>
      <c r="UTA47" s="76"/>
      <c r="UTB47" s="76"/>
      <c r="UTC47" s="76"/>
      <c r="UTD47" s="76"/>
      <c r="UTE47" s="76"/>
      <c r="UTF47" s="76"/>
      <c r="UTG47" s="76"/>
      <c r="UTH47" s="76"/>
      <c r="UTI47" s="76"/>
      <c r="UTJ47" s="76"/>
      <c r="UTK47" s="76"/>
      <c r="UTL47" s="76"/>
      <c r="UTM47" s="76"/>
      <c r="UTN47" s="76"/>
      <c r="UTO47" s="76"/>
      <c r="UTP47" s="76"/>
      <c r="UTQ47" s="76"/>
      <c r="UTR47" s="76"/>
      <c r="UTS47" s="76"/>
      <c r="UTT47" s="76"/>
      <c r="UTU47" s="76"/>
      <c r="UTV47" s="76"/>
      <c r="UTW47" s="76"/>
      <c r="UTX47" s="76"/>
      <c r="UTY47" s="76"/>
      <c r="UTZ47" s="76"/>
      <c r="UUA47" s="76"/>
      <c r="UUB47" s="76"/>
      <c r="UUC47" s="76"/>
      <c r="UUD47" s="76"/>
      <c r="UUE47" s="76"/>
      <c r="UUF47" s="76"/>
      <c r="UUG47" s="76"/>
      <c r="UUH47" s="76"/>
      <c r="UUI47" s="76"/>
      <c r="UUJ47" s="76"/>
      <c r="UUK47" s="76"/>
      <c r="UUL47" s="76"/>
      <c r="UUM47" s="76"/>
      <c r="UUN47" s="76"/>
      <c r="UUO47" s="76"/>
      <c r="UUP47" s="76"/>
      <c r="UUQ47" s="76"/>
      <c r="UUR47" s="76"/>
      <c r="UUS47" s="76"/>
      <c r="UUT47" s="76"/>
      <c r="UUU47" s="76"/>
      <c r="UUV47" s="76"/>
      <c r="UUW47" s="76"/>
      <c r="UUX47" s="76"/>
      <c r="UUY47" s="76"/>
      <c r="UUZ47" s="76"/>
      <c r="UVA47" s="76"/>
      <c r="UVB47" s="76"/>
      <c r="UVC47" s="76"/>
      <c r="UVD47" s="76"/>
      <c r="UVE47" s="76"/>
      <c r="UVF47" s="76"/>
      <c r="UVG47" s="76"/>
      <c r="UVH47" s="76"/>
      <c r="UVI47" s="76"/>
      <c r="UVJ47" s="76"/>
      <c r="UVK47" s="76"/>
      <c r="UVL47" s="76"/>
      <c r="UVM47" s="76"/>
      <c r="UVN47" s="76"/>
      <c r="UVO47" s="76"/>
      <c r="UVP47" s="76"/>
      <c r="UVQ47" s="76"/>
      <c r="UVR47" s="76"/>
      <c r="UVS47" s="76"/>
      <c r="UVT47" s="76"/>
      <c r="UVU47" s="76"/>
      <c r="UVV47" s="76"/>
      <c r="UVW47" s="76"/>
      <c r="UVX47" s="76"/>
      <c r="UVY47" s="76"/>
      <c r="UVZ47" s="76"/>
      <c r="UWA47" s="76"/>
      <c r="UWB47" s="76"/>
      <c r="UWC47" s="76"/>
      <c r="UWD47" s="76"/>
      <c r="UWE47" s="76"/>
      <c r="UWF47" s="76"/>
      <c r="UWG47" s="76"/>
      <c r="UWH47" s="76"/>
      <c r="UWI47" s="76"/>
      <c r="UWJ47" s="76"/>
      <c r="UWK47" s="76"/>
      <c r="UWL47" s="76"/>
      <c r="UWM47" s="76"/>
      <c r="UWN47" s="76"/>
      <c r="UWO47" s="76"/>
      <c r="UWP47" s="76"/>
      <c r="UWQ47" s="76"/>
      <c r="UWR47" s="76"/>
      <c r="UWS47" s="76"/>
      <c r="UWT47" s="76"/>
      <c r="UWU47" s="76"/>
      <c r="UWV47" s="76"/>
      <c r="UWW47" s="76"/>
      <c r="UWX47" s="76"/>
      <c r="UWY47" s="76"/>
      <c r="UWZ47" s="76"/>
      <c r="UXA47" s="76"/>
      <c r="UXB47" s="76"/>
      <c r="UXC47" s="76"/>
      <c r="UXD47" s="76"/>
      <c r="UXE47" s="76"/>
      <c r="UXF47" s="76"/>
      <c r="UXG47" s="76"/>
      <c r="UXH47" s="76"/>
      <c r="UXI47" s="76"/>
      <c r="UXJ47" s="76"/>
      <c r="UXK47" s="76"/>
      <c r="UXL47" s="76"/>
      <c r="UXM47" s="76"/>
      <c r="UXN47" s="76"/>
      <c r="UXO47" s="76"/>
      <c r="UXP47" s="76"/>
      <c r="UXQ47" s="76"/>
      <c r="UXR47" s="76"/>
      <c r="UXS47" s="76"/>
      <c r="UXT47" s="76"/>
      <c r="UXU47" s="76"/>
      <c r="UXV47" s="76"/>
      <c r="UXW47" s="76"/>
      <c r="UXX47" s="76"/>
      <c r="UXY47" s="76"/>
      <c r="UXZ47" s="76"/>
      <c r="UYA47" s="76"/>
      <c r="UYB47" s="76"/>
      <c r="UYC47" s="76"/>
      <c r="UYD47" s="76"/>
      <c r="UYE47" s="76"/>
      <c r="UYF47" s="76"/>
      <c r="UYG47" s="76"/>
      <c r="UYH47" s="76"/>
      <c r="UYI47" s="76"/>
      <c r="UYJ47" s="76"/>
      <c r="UYK47" s="76"/>
      <c r="UYL47" s="76"/>
      <c r="UYM47" s="76"/>
      <c r="UYN47" s="76"/>
      <c r="UYO47" s="76"/>
      <c r="UYP47" s="76"/>
      <c r="UYQ47" s="76"/>
      <c r="UYR47" s="76"/>
      <c r="UYS47" s="76"/>
      <c r="UYT47" s="76"/>
      <c r="UYU47" s="76"/>
      <c r="UYV47" s="76"/>
      <c r="UYW47" s="76"/>
      <c r="UYX47" s="76"/>
      <c r="UYY47" s="76"/>
      <c r="UYZ47" s="76"/>
      <c r="UZA47" s="76"/>
      <c r="UZB47" s="76"/>
      <c r="UZC47" s="76"/>
      <c r="UZD47" s="76"/>
      <c r="UZE47" s="76"/>
      <c r="UZF47" s="76"/>
      <c r="UZG47" s="76"/>
      <c r="UZH47" s="76"/>
      <c r="UZI47" s="76"/>
      <c r="UZJ47" s="76"/>
      <c r="UZK47" s="76"/>
      <c r="UZL47" s="76"/>
      <c r="UZM47" s="76"/>
      <c r="UZN47" s="76"/>
      <c r="UZO47" s="76"/>
      <c r="UZP47" s="76"/>
      <c r="UZQ47" s="76"/>
      <c r="UZR47" s="76"/>
      <c r="UZS47" s="76"/>
      <c r="UZT47" s="76"/>
      <c r="UZU47" s="76"/>
      <c r="UZV47" s="76"/>
      <c r="UZW47" s="76"/>
      <c r="UZX47" s="76"/>
      <c r="UZY47" s="76"/>
      <c r="UZZ47" s="76"/>
      <c r="VAA47" s="76"/>
      <c r="VAB47" s="76"/>
      <c r="VAC47" s="76"/>
      <c r="VAD47" s="76"/>
      <c r="VAE47" s="76"/>
      <c r="VAF47" s="76"/>
      <c r="VAG47" s="76"/>
      <c r="VAH47" s="76"/>
      <c r="VAI47" s="76"/>
      <c r="VAJ47" s="76"/>
      <c r="VAK47" s="76"/>
      <c r="VAL47" s="76"/>
      <c r="VAM47" s="76"/>
      <c r="VAN47" s="76"/>
      <c r="VAO47" s="76"/>
      <c r="VAP47" s="76"/>
      <c r="VAQ47" s="76"/>
      <c r="VAR47" s="76"/>
      <c r="VAS47" s="76"/>
      <c r="VAT47" s="76"/>
      <c r="VAU47" s="76"/>
      <c r="VAV47" s="76"/>
      <c r="VAW47" s="76"/>
      <c r="VAX47" s="76"/>
      <c r="VAY47" s="76"/>
      <c r="VAZ47" s="76"/>
      <c r="VBA47" s="76"/>
      <c r="VBB47" s="76"/>
      <c r="VBC47" s="76"/>
      <c r="VBD47" s="76"/>
      <c r="VBE47" s="76"/>
      <c r="VBF47" s="76"/>
      <c r="VBG47" s="76"/>
      <c r="VBH47" s="76"/>
      <c r="VBI47" s="76"/>
      <c r="VBJ47" s="76"/>
      <c r="VBK47" s="76"/>
      <c r="VBL47" s="76"/>
      <c r="VBM47" s="76"/>
      <c r="VBN47" s="76"/>
      <c r="VBO47" s="76"/>
      <c r="VBP47" s="76"/>
      <c r="VBQ47" s="76"/>
      <c r="VBR47" s="76"/>
      <c r="VBS47" s="76"/>
      <c r="VBT47" s="76"/>
      <c r="VBU47" s="76"/>
      <c r="VBV47" s="76"/>
      <c r="VBW47" s="76"/>
      <c r="VBX47" s="76"/>
      <c r="VBY47" s="76"/>
      <c r="VBZ47" s="76"/>
      <c r="VCA47" s="76"/>
      <c r="VCB47" s="76"/>
      <c r="VCC47" s="76"/>
      <c r="VCD47" s="76"/>
      <c r="VCE47" s="76"/>
      <c r="VCF47" s="76"/>
      <c r="VCG47" s="76"/>
      <c r="VCH47" s="76"/>
      <c r="VCI47" s="76"/>
      <c r="VCJ47" s="76"/>
      <c r="VCK47" s="76"/>
      <c r="VCL47" s="76"/>
      <c r="VCM47" s="76"/>
      <c r="VCN47" s="76"/>
      <c r="VCO47" s="76"/>
      <c r="VCP47" s="76"/>
      <c r="VCQ47" s="76"/>
      <c r="VCR47" s="76"/>
      <c r="VCS47" s="76"/>
      <c r="VCT47" s="76"/>
      <c r="VCU47" s="76"/>
      <c r="VCV47" s="76"/>
      <c r="VCW47" s="76"/>
      <c r="VCX47" s="76"/>
      <c r="VCY47" s="76"/>
      <c r="VCZ47" s="76"/>
      <c r="VDA47" s="76"/>
      <c r="VDB47" s="76"/>
      <c r="VDC47" s="76"/>
      <c r="VDD47" s="76"/>
      <c r="VDE47" s="76"/>
      <c r="VDF47" s="76"/>
      <c r="VDG47" s="76"/>
      <c r="VDH47" s="76"/>
      <c r="VDI47" s="76"/>
      <c r="VDJ47" s="76"/>
      <c r="VDK47" s="76"/>
      <c r="VDL47" s="76"/>
      <c r="VDM47" s="76"/>
      <c r="VDN47" s="76"/>
      <c r="VDO47" s="76"/>
      <c r="VDP47" s="76"/>
      <c r="VDQ47" s="76"/>
      <c r="VDR47" s="76"/>
      <c r="VDS47" s="76"/>
      <c r="VDT47" s="76"/>
      <c r="VDU47" s="76"/>
      <c r="VDV47" s="76"/>
      <c r="VDW47" s="76"/>
      <c r="VDX47" s="76"/>
      <c r="VDY47" s="76"/>
      <c r="VDZ47" s="76"/>
      <c r="VEA47" s="76"/>
      <c r="VEB47" s="76"/>
      <c r="VEC47" s="76"/>
      <c r="VED47" s="76"/>
      <c r="VEE47" s="76"/>
      <c r="VEF47" s="76"/>
      <c r="VEG47" s="76"/>
      <c r="VEH47" s="76"/>
      <c r="VEI47" s="76"/>
      <c r="VEJ47" s="76"/>
      <c r="VEK47" s="76"/>
      <c r="VEL47" s="76"/>
      <c r="VEM47" s="76"/>
      <c r="VEN47" s="76"/>
      <c r="VEO47" s="76"/>
      <c r="VEP47" s="76"/>
      <c r="VEQ47" s="76"/>
      <c r="VER47" s="76"/>
      <c r="VES47" s="76"/>
      <c r="VET47" s="76"/>
      <c r="VEU47" s="76"/>
      <c r="VEV47" s="76"/>
      <c r="VEW47" s="76"/>
      <c r="VEX47" s="76"/>
      <c r="VEY47" s="76"/>
      <c r="VEZ47" s="76"/>
      <c r="VFA47" s="76"/>
      <c r="VFB47" s="76"/>
      <c r="VFC47" s="76"/>
      <c r="VFD47" s="76"/>
      <c r="VFE47" s="76"/>
      <c r="VFF47" s="76"/>
      <c r="VFG47" s="76"/>
      <c r="VFH47" s="76"/>
      <c r="VFI47" s="76"/>
      <c r="VFJ47" s="76"/>
      <c r="VFK47" s="76"/>
      <c r="VFL47" s="76"/>
      <c r="VFM47" s="76"/>
      <c r="VFN47" s="76"/>
      <c r="VFO47" s="76"/>
      <c r="VFP47" s="76"/>
      <c r="VFQ47" s="76"/>
      <c r="VFR47" s="76"/>
      <c r="VFS47" s="76"/>
      <c r="VFT47" s="76"/>
      <c r="VFU47" s="76"/>
      <c r="VFV47" s="76"/>
      <c r="VFW47" s="76"/>
      <c r="VFX47" s="76"/>
      <c r="VFY47" s="76"/>
      <c r="VFZ47" s="76"/>
      <c r="VGA47" s="76"/>
      <c r="VGB47" s="76"/>
      <c r="VGC47" s="76"/>
      <c r="VGD47" s="76"/>
      <c r="VGE47" s="76"/>
      <c r="VGF47" s="76"/>
      <c r="VGG47" s="76"/>
      <c r="VGH47" s="76"/>
      <c r="VGI47" s="76"/>
      <c r="VGJ47" s="76"/>
      <c r="VGK47" s="76"/>
      <c r="VGL47" s="76"/>
      <c r="VGM47" s="76"/>
      <c r="VGN47" s="76"/>
      <c r="VGO47" s="76"/>
      <c r="VGP47" s="76"/>
      <c r="VGQ47" s="76"/>
      <c r="VGR47" s="76"/>
      <c r="VGS47" s="76"/>
      <c r="VGT47" s="76"/>
      <c r="VGU47" s="76"/>
      <c r="VGV47" s="76"/>
      <c r="VGW47" s="76"/>
      <c r="VGX47" s="76"/>
      <c r="VGY47" s="76"/>
      <c r="VGZ47" s="76"/>
      <c r="VHA47" s="76"/>
      <c r="VHB47" s="76"/>
      <c r="VHC47" s="76"/>
      <c r="VHD47" s="76"/>
      <c r="VHE47" s="76"/>
      <c r="VHF47" s="76"/>
      <c r="VHG47" s="76"/>
      <c r="VHH47" s="76"/>
      <c r="VHI47" s="76"/>
      <c r="VHJ47" s="76"/>
      <c r="VHK47" s="76"/>
      <c r="VHL47" s="76"/>
      <c r="VHM47" s="76"/>
      <c r="VHN47" s="76"/>
      <c r="VHO47" s="76"/>
      <c r="VHP47" s="76"/>
      <c r="VHQ47" s="76"/>
      <c r="VHR47" s="76"/>
      <c r="VHS47" s="76"/>
      <c r="VHT47" s="76"/>
      <c r="VHU47" s="76"/>
      <c r="VHV47" s="76"/>
      <c r="VHW47" s="76"/>
      <c r="VHX47" s="76"/>
      <c r="VHY47" s="76"/>
      <c r="VHZ47" s="76"/>
      <c r="VIA47" s="76"/>
      <c r="VIB47" s="76"/>
      <c r="VIC47" s="76"/>
      <c r="VID47" s="76"/>
      <c r="VIE47" s="76"/>
      <c r="VIF47" s="76"/>
      <c r="VIG47" s="76"/>
      <c r="VIH47" s="76"/>
      <c r="VII47" s="76"/>
      <c r="VIJ47" s="76"/>
      <c r="VIK47" s="76"/>
      <c r="VIL47" s="76"/>
      <c r="VIM47" s="76"/>
      <c r="VIN47" s="76"/>
      <c r="VIO47" s="76"/>
      <c r="VIP47" s="76"/>
      <c r="VIQ47" s="76"/>
      <c r="VIR47" s="76"/>
      <c r="VIS47" s="76"/>
      <c r="VIT47" s="76"/>
      <c r="VIU47" s="76"/>
      <c r="VIV47" s="76"/>
      <c r="VIW47" s="76"/>
      <c r="VIX47" s="76"/>
      <c r="VIY47" s="76"/>
      <c r="VIZ47" s="76"/>
      <c r="VJA47" s="76"/>
      <c r="VJB47" s="76"/>
      <c r="VJC47" s="76"/>
      <c r="VJD47" s="76"/>
      <c r="VJE47" s="76"/>
      <c r="VJF47" s="76"/>
      <c r="VJG47" s="76"/>
      <c r="VJH47" s="76"/>
      <c r="VJI47" s="76"/>
      <c r="VJJ47" s="76"/>
      <c r="VJK47" s="76"/>
      <c r="VJL47" s="76"/>
      <c r="VJM47" s="76"/>
      <c r="VJN47" s="76"/>
      <c r="VJO47" s="76"/>
      <c r="VJP47" s="76"/>
      <c r="VJQ47" s="76"/>
      <c r="VJR47" s="76"/>
      <c r="VJS47" s="76"/>
      <c r="VJT47" s="76"/>
      <c r="VJU47" s="76"/>
      <c r="VJV47" s="76"/>
      <c r="VJW47" s="76"/>
      <c r="VJX47" s="76"/>
      <c r="VJY47" s="76"/>
      <c r="VJZ47" s="76"/>
      <c r="VKA47" s="76"/>
      <c r="VKB47" s="76"/>
      <c r="VKC47" s="76"/>
      <c r="VKD47" s="76"/>
      <c r="VKE47" s="76"/>
      <c r="VKF47" s="76"/>
      <c r="VKG47" s="76"/>
      <c r="VKH47" s="76"/>
      <c r="VKI47" s="76"/>
      <c r="VKJ47" s="76"/>
      <c r="VKK47" s="76"/>
      <c r="VKL47" s="76"/>
      <c r="VKM47" s="76"/>
      <c r="VKN47" s="76"/>
      <c r="VKO47" s="76"/>
      <c r="VKP47" s="76"/>
      <c r="VKQ47" s="76"/>
      <c r="VKR47" s="76"/>
      <c r="VKS47" s="76"/>
      <c r="VKT47" s="76"/>
      <c r="VKU47" s="76"/>
      <c r="VKV47" s="76"/>
      <c r="VKW47" s="76"/>
      <c r="VKX47" s="76"/>
      <c r="VKY47" s="76"/>
      <c r="VKZ47" s="76"/>
      <c r="VLA47" s="76"/>
      <c r="VLB47" s="76"/>
      <c r="VLC47" s="76"/>
      <c r="VLD47" s="76"/>
      <c r="VLE47" s="76"/>
      <c r="VLF47" s="76"/>
      <c r="VLG47" s="76"/>
      <c r="VLH47" s="76"/>
      <c r="VLI47" s="76"/>
      <c r="VLJ47" s="76"/>
      <c r="VLK47" s="76"/>
      <c r="VLL47" s="76"/>
      <c r="VLM47" s="76"/>
      <c r="VLN47" s="76"/>
      <c r="VLO47" s="76"/>
      <c r="VLP47" s="76"/>
      <c r="VLQ47" s="76"/>
      <c r="VLR47" s="76"/>
      <c r="VLS47" s="76"/>
      <c r="VLT47" s="76"/>
      <c r="VLU47" s="76"/>
      <c r="VLV47" s="76"/>
      <c r="VLW47" s="76"/>
      <c r="VLX47" s="76"/>
      <c r="VLY47" s="76"/>
      <c r="VLZ47" s="76"/>
      <c r="VMA47" s="76"/>
      <c r="VMB47" s="76"/>
      <c r="VMC47" s="76"/>
      <c r="VMD47" s="76"/>
      <c r="VME47" s="76"/>
      <c r="VMF47" s="76"/>
      <c r="VMG47" s="76"/>
      <c r="VMH47" s="76"/>
      <c r="VMI47" s="76"/>
      <c r="VMJ47" s="76"/>
      <c r="VMK47" s="76"/>
      <c r="VML47" s="76"/>
      <c r="VMM47" s="76"/>
      <c r="VMN47" s="76"/>
      <c r="VMO47" s="76"/>
      <c r="VMP47" s="76"/>
      <c r="VMQ47" s="76"/>
      <c r="VMR47" s="76"/>
      <c r="VMS47" s="76"/>
      <c r="VMT47" s="76"/>
      <c r="VMU47" s="76"/>
      <c r="VMV47" s="76"/>
      <c r="VMW47" s="76"/>
      <c r="VMX47" s="76"/>
      <c r="VMY47" s="76"/>
      <c r="VMZ47" s="76"/>
      <c r="VNA47" s="76"/>
      <c r="VNB47" s="76"/>
      <c r="VNC47" s="76"/>
      <c r="VND47" s="76"/>
      <c r="VNE47" s="76"/>
      <c r="VNF47" s="76"/>
      <c r="VNG47" s="76"/>
      <c r="VNH47" s="76"/>
      <c r="VNI47" s="76"/>
      <c r="VNJ47" s="76"/>
      <c r="VNK47" s="76"/>
      <c r="VNL47" s="76"/>
      <c r="VNM47" s="76"/>
      <c r="VNN47" s="76"/>
      <c r="VNO47" s="76"/>
      <c r="VNP47" s="76"/>
      <c r="VNQ47" s="76"/>
      <c r="VNR47" s="76"/>
      <c r="VNS47" s="76"/>
      <c r="VNT47" s="76"/>
      <c r="VNU47" s="76"/>
      <c r="VNV47" s="76"/>
      <c r="VNW47" s="76"/>
      <c r="VNX47" s="76"/>
      <c r="VNY47" s="76"/>
      <c r="VNZ47" s="76"/>
      <c r="VOA47" s="76"/>
      <c r="VOB47" s="76"/>
      <c r="VOC47" s="76"/>
      <c r="VOD47" s="76"/>
      <c r="VOE47" s="76"/>
      <c r="VOF47" s="76"/>
      <c r="VOG47" s="76"/>
      <c r="VOH47" s="76"/>
      <c r="VOI47" s="76"/>
      <c r="VOJ47" s="76"/>
      <c r="VOK47" s="76"/>
      <c r="VOL47" s="76"/>
      <c r="VOM47" s="76"/>
      <c r="VON47" s="76"/>
      <c r="VOO47" s="76"/>
      <c r="VOP47" s="76"/>
      <c r="VOQ47" s="76"/>
      <c r="VOR47" s="76"/>
      <c r="VOS47" s="76"/>
      <c r="VOT47" s="76"/>
      <c r="VOU47" s="76"/>
      <c r="VOV47" s="76"/>
      <c r="VOW47" s="76"/>
      <c r="VOX47" s="76"/>
      <c r="VOY47" s="76"/>
      <c r="VOZ47" s="76"/>
      <c r="VPA47" s="76"/>
      <c r="VPB47" s="76"/>
      <c r="VPC47" s="76"/>
      <c r="VPD47" s="76"/>
      <c r="VPE47" s="76"/>
      <c r="VPF47" s="76"/>
      <c r="VPG47" s="76"/>
      <c r="VPH47" s="76"/>
      <c r="VPI47" s="76"/>
      <c r="VPJ47" s="76"/>
      <c r="VPK47" s="76"/>
      <c r="VPL47" s="76"/>
      <c r="VPM47" s="76"/>
      <c r="VPN47" s="76"/>
      <c r="VPO47" s="76"/>
      <c r="VPP47" s="76"/>
      <c r="VPQ47" s="76"/>
      <c r="VPR47" s="76"/>
      <c r="VPS47" s="76"/>
      <c r="VPT47" s="76"/>
      <c r="VPU47" s="76"/>
      <c r="VPV47" s="76"/>
      <c r="VPW47" s="76"/>
      <c r="VPX47" s="76"/>
      <c r="VPY47" s="76"/>
      <c r="VPZ47" s="76"/>
      <c r="VQA47" s="76"/>
      <c r="VQB47" s="76"/>
      <c r="VQC47" s="76"/>
      <c r="VQD47" s="76"/>
      <c r="VQE47" s="76"/>
      <c r="VQF47" s="76"/>
      <c r="VQG47" s="76"/>
      <c r="VQH47" s="76"/>
      <c r="VQI47" s="76"/>
      <c r="VQJ47" s="76"/>
      <c r="VQK47" s="76"/>
      <c r="VQL47" s="76"/>
      <c r="VQM47" s="76"/>
      <c r="VQN47" s="76"/>
      <c r="VQO47" s="76"/>
      <c r="VQP47" s="76"/>
      <c r="VQQ47" s="76"/>
      <c r="VQR47" s="76"/>
      <c r="VQS47" s="76"/>
      <c r="VQT47" s="76"/>
      <c r="VQU47" s="76"/>
      <c r="VQV47" s="76"/>
      <c r="VQW47" s="76"/>
      <c r="VQX47" s="76"/>
      <c r="VQY47" s="76"/>
      <c r="VQZ47" s="76"/>
      <c r="VRA47" s="76"/>
      <c r="VRB47" s="76"/>
      <c r="VRC47" s="76"/>
      <c r="VRD47" s="76"/>
      <c r="VRE47" s="76"/>
      <c r="VRF47" s="76"/>
      <c r="VRG47" s="76"/>
      <c r="VRH47" s="76"/>
      <c r="VRI47" s="76"/>
      <c r="VRJ47" s="76"/>
      <c r="VRK47" s="76"/>
      <c r="VRL47" s="76"/>
      <c r="VRM47" s="76"/>
      <c r="VRN47" s="76"/>
      <c r="VRO47" s="76"/>
      <c r="VRP47" s="76"/>
      <c r="VRQ47" s="76"/>
      <c r="VRR47" s="76"/>
      <c r="VRS47" s="76"/>
      <c r="VRT47" s="76"/>
      <c r="VRU47" s="76"/>
      <c r="VRV47" s="76"/>
      <c r="VRW47" s="76"/>
      <c r="VRX47" s="76"/>
      <c r="VRY47" s="76"/>
      <c r="VRZ47" s="76"/>
      <c r="VSA47" s="76"/>
      <c r="VSB47" s="76"/>
      <c r="VSC47" s="76"/>
      <c r="VSD47" s="76"/>
      <c r="VSE47" s="76"/>
      <c r="VSF47" s="76"/>
      <c r="VSG47" s="76"/>
      <c r="VSH47" s="76"/>
      <c r="VSI47" s="76"/>
      <c r="VSJ47" s="76"/>
      <c r="VSK47" s="76"/>
      <c r="VSL47" s="76"/>
      <c r="VSM47" s="76"/>
      <c r="VSN47" s="76"/>
      <c r="VSO47" s="76"/>
      <c r="VSP47" s="76"/>
      <c r="VSQ47" s="76"/>
      <c r="VSR47" s="76"/>
      <c r="VSS47" s="76"/>
      <c r="VST47" s="76"/>
      <c r="VSU47" s="76"/>
      <c r="VSV47" s="76"/>
      <c r="VSW47" s="76"/>
      <c r="VSX47" s="76"/>
      <c r="VSY47" s="76"/>
      <c r="VSZ47" s="76"/>
      <c r="VTA47" s="76"/>
      <c r="VTB47" s="76"/>
      <c r="VTC47" s="76"/>
      <c r="VTD47" s="76"/>
      <c r="VTE47" s="76"/>
      <c r="VTF47" s="76"/>
      <c r="VTG47" s="76"/>
      <c r="VTH47" s="76"/>
      <c r="VTI47" s="76"/>
      <c r="VTJ47" s="76"/>
      <c r="VTK47" s="76"/>
      <c r="VTL47" s="76"/>
      <c r="VTM47" s="76"/>
      <c r="VTN47" s="76"/>
      <c r="VTO47" s="76"/>
      <c r="VTP47" s="76"/>
      <c r="VTQ47" s="76"/>
      <c r="VTR47" s="76"/>
      <c r="VTS47" s="76"/>
      <c r="VTT47" s="76"/>
      <c r="VTU47" s="76"/>
      <c r="VTV47" s="76"/>
      <c r="VTW47" s="76"/>
      <c r="VTX47" s="76"/>
      <c r="VTY47" s="76"/>
      <c r="VTZ47" s="76"/>
      <c r="VUA47" s="76"/>
      <c r="VUB47" s="76"/>
      <c r="VUC47" s="76"/>
      <c r="VUD47" s="76"/>
      <c r="VUE47" s="76"/>
      <c r="VUF47" s="76"/>
      <c r="VUG47" s="76"/>
      <c r="VUH47" s="76"/>
      <c r="VUI47" s="76"/>
      <c r="VUJ47" s="76"/>
      <c r="VUK47" s="76"/>
      <c r="VUL47" s="76"/>
      <c r="VUM47" s="76"/>
      <c r="VUN47" s="76"/>
      <c r="VUO47" s="76"/>
      <c r="VUP47" s="76"/>
      <c r="VUQ47" s="76"/>
      <c r="VUR47" s="76"/>
      <c r="VUS47" s="76"/>
      <c r="VUT47" s="76"/>
      <c r="VUU47" s="76"/>
      <c r="VUV47" s="76"/>
      <c r="VUW47" s="76"/>
      <c r="VUX47" s="76"/>
      <c r="VUY47" s="76"/>
      <c r="VUZ47" s="76"/>
      <c r="VVA47" s="76"/>
      <c r="VVB47" s="76"/>
      <c r="VVC47" s="76"/>
      <c r="VVD47" s="76"/>
      <c r="VVE47" s="76"/>
      <c r="VVF47" s="76"/>
      <c r="VVG47" s="76"/>
      <c r="VVH47" s="76"/>
      <c r="VVI47" s="76"/>
      <c r="VVJ47" s="76"/>
      <c r="VVK47" s="76"/>
      <c r="VVL47" s="76"/>
      <c r="VVM47" s="76"/>
      <c r="VVN47" s="76"/>
      <c r="VVO47" s="76"/>
      <c r="VVP47" s="76"/>
      <c r="VVQ47" s="76"/>
      <c r="VVR47" s="76"/>
      <c r="VVS47" s="76"/>
      <c r="VVT47" s="76"/>
      <c r="VVU47" s="76"/>
      <c r="VVV47" s="76"/>
      <c r="VVW47" s="76"/>
      <c r="VVX47" s="76"/>
      <c r="VVY47" s="76"/>
      <c r="VVZ47" s="76"/>
      <c r="VWA47" s="76"/>
      <c r="VWB47" s="76"/>
      <c r="VWC47" s="76"/>
      <c r="VWD47" s="76"/>
      <c r="VWE47" s="76"/>
      <c r="VWF47" s="76"/>
      <c r="VWG47" s="76"/>
      <c r="VWH47" s="76"/>
      <c r="VWI47" s="76"/>
      <c r="VWJ47" s="76"/>
      <c r="VWK47" s="76"/>
      <c r="VWL47" s="76"/>
      <c r="VWM47" s="76"/>
      <c r="VWN47" s="76"/>
      <c r="VWO47" s="76"/>
      <c r="VWP47" s="76"/>
      <c r="VWQ47" s="76"/>
      <c r="VWR47" s="76"/>
      <c r="VWS47" s="76"/>
      <c r="VWT47" s="76"/>
      <c r="VWU47" s="76"/>
      <c r="VWV47" s="76"/>
      <c r="VWW47" s="76"/>
      <c r="VWX47" s="76"/>
      <c r="VWY47" s="76"/>
      <c r="VWZ47" s="76"/>
      <c r="VXA47" s="76"/>
      <c r="VXB47" s="76"/>
      <c r="VXC47" s="76"/>
      <c r="VXD47" s="76"/>
      <c r="VXE47" s="76"/>
      <c r="VXF47" s="76"/>
      <c r="VXG47" s="76"/>
      <c r="VXH47" s="76"/>
      <c r="VXI47" s="76"/>
      <c r="VXJ47" s="76"/>
      <c r="VXK47" s="76"/>
      <c r="VXL47" s="76"/>
      <c r="VXM47" s="76"/>
      <c r="VXN47" s="76"/>
      <c r="VXO47" s="76"/>
      <c r="VXP47" s="76"/>
      <c r="VXQ47" s="76"/>
      <c r="VXR47" s="76"/>
      <c r="VXS47" s="76"/>
      <c r="VXT47" s="76"/>
      <c r="VXU47" s="76"/>
      <c r="VXV47" s="76"/>
      <c r="VXW47" s="76"/>
      <c r="VXX47" s="76"/>
      <c r="VXY47" s="76"/>
      <c r="VXZ47" s="76"/>
      <c r="VYA47" s="76"/>
      <c r="VYB47" s="76"/>
      <c r="VYC47" s="76"/>
      <c r="VYD47" s="76"/>
      <c r="VYE47" s="76"/>
      <c r="VYF47" s="76"/>
      <c r="VYG47" s="76"/>
      <c r="VYH47" s="76"/>
      <c r="VYI47" s="76"/>
      <c r="VYJ47" s="76"/>
      <c r="VYK47" s="76"/>
      <c r="VYL47" s="76"/>
      <c r="VYM47" s="76"/>
      <c r="VYN47" s="76"/>
      <c r="VYO47" s="76"/>
      <c r="VYP47" s="76"/>
      <c r="VYQ47" s="76"/>
      <c r="VYR47" s="76"/>
      <c r="VYS47" s="76"/>
      <c r="VYT47" s="76"/>
      <c r="VYU47" s="76"/>
      <c r="VYV47" s="76"/>
      <c r="VYW47" s="76"/>
      <c r="VYX47" s="76"/>
      <c r="VYY47" s="76"/>
      <c r="VYZ47" s="76"/>
      <c r="VZA47" s="76"/>
      <c r="VZB47" s="76"/>
      <c r="VZC47" s="76"/>
      <c r="VZD47" s="76"/>
      <c r="VZE47" s="76"/>
      <c r="VZF47" s="76"/>
      <c r="VZG47" s="76"/>
      <c r="VZH47" s="76"/>
      <c r="VZI47" s="76"/>
      <c r="VZJ47" s="76"/>
      <c r="VZK47" s="76"/>
      <c r="VZL47" s="76"/>
      <c r="VZM47" s="76"/>
      <c r="VZN47" s="76"/>
      <c r="VZO47" s="76"/>
      <c r="VZP47" s="76"/>
      <c r="VZQ47" s="76"/>
      <c r="VZR47" s="76"/>
      <c r="VZS47" s="76"/>
      <c r="VZT47" s="76"/>
      <c r="VZU47" s="76"/>
      <c r="VZV47" s="76"/>
      <c r="VZW47" s="76"/>
      <c r="VZX47" s="76"/>
      <c r="VZY47" s="76"/>
      <c r="VZZ47" s="76"/>
      <c r="WAA47" s="76"/>
      <c r="WAB47" s="76"/>
      <c r="WAC47" s="76"/>
      <c r="WAD47" s="76"/>
      <c r="WAE47" s="76"/>
      <c r="WAF47" s="76"/>
      <c r="WAG47" s="76"/>
      <c r="WAH47" s="76"/>
      <c r="WAI47" s="76"/>
      <c r="WAJ47" s="76"/>
      <c r="WAK47" s="76"/>
      <c r="WAL47" s="76"/>
      <c r="WAM47" s="76"/>
      <c r="WAN47" s="76"/>
      <c r="WAO47" s="76"/>
      <c r="WAP47" s="76"/>
      <c r="WAQ47" s="76"/>
      <c r="WAR47" s="76"/>
      <c r="WAS47" s="76"/>
      <c r="WAT47" s="76"/>
      <c r="WAU47" s="76"/>
      <c r="WAV47" s="76"/>
      <c r="WAW47" s="76"/>
      <c r="WAX47" s="76"/>
      <c r="WAY47" s="76"/>
      <c r="WAZ47" s="76"/>
      <c r="WBA47" s="76"/>
      <c r="WBB47" s="76"/>
      <c r="WBC47" s="76"/>
      <c r="WBD47" s="76"/>
      <c r="WBE47" s="76"/>
      <c r="WBF47" s="76"/>
      <c r="WBG47" s="76"/>
      <c r="WBH47" s="76"/>
      <c r="WBI47" s="76"/>
      <c r="WBJ47" s="76"/>
      <c r="WBK47" s="76"/>
      <c r="WBL47" s="76"/>
      <c r="WBM47" s="76"/>
      <c r="WBN47" s="76"/>
      <c r="WBO47" s="76"/>
      <c r="WBP47" s="76"/>
      <c r="WBQ47" s="76"/>
      <c r="WBR47" s="76"/>
      <c r="WBS47" s="76"/>
      <c r="WBT47" s="76"/>
      <c r="WBU47" s="76"/>
      <c r="WBV47" s="76"/>
      <c r="WBW47" s="76"/>
      <c r="WBX47" s="76"/>
      <c r="WBY47" s="76"/>
      <c r="WBZ47" s="76"/>
      <c r="WCA47" s="76"/>
      <c r="WCB47" s="76"/>
      <c r="WCC47" s="76"/>
      <c r="WCD47" s="76"/>
      <c r="WCE47" s="76"/>
      <c r="WCF47" s="76"/>
      <c r="WCG47" s="76"/>
      <c r="WCH47" s="76"/>
      <c r="WCI47" s="76"/>
      <c r="WCJ47" s="76"/>
      <c r="WCK47" s="76"/>
      <c r="WCL47" s="76"/>
      <c r="WCM47" s="76"/>
      <c r="WCN47" s="76"/>
      <c r="WCO47" s="76"/>
      <c r="WCP47" s="76"/>
      <c r="WCQ47" s="76"/>
      <c r="WCR47" s="76"/>
      <c r="WCS47" s="76"/>
      <c r="WCT47" s="76"/>
      <c r="WCU47" s="76"/>
      <c r="WCV47" s="76"/>
      <c r="WCW47" s="76"/>
      <c r="WCX47" s="76"/>
      <c r="WCY47" s="76"/>
      <c r="WCZ47" s="76"/>
      <c r="WDA47" s="76"/>
      <c r="WDB47" s="76"/>
      <c r="WDC47" s="76"/>
      <c r="WDD47" s="76"/>
      <c r="WDE47" s="76"/>
      <c r="WDF47" s="76"/>
      <c r="WDG47" s="76"/>
      <c r="WDH47" s="76"/>
      <c r="WDI47" s="76"/>
      <c r="WDJ47" s="76"/>
      <c r="WDK47" s="76"/>
      <c r="WDL47" s="76"/>
      <c r="WDM47" s="76"/>
      <c r="WDN47" s="76"/>
      <c r="WDO47" s="76"/>
      <c r="WDP47" s="76"/>
      <c r="WDQ47" s="76"/>
      <c r="WDR47" s="76"/>
      <c r="WDS47" s="76"/>
      <c r="WDT47" s="76"/>
      <c r="WDU47" s="76"/>
      <c r="WDV47" s="76"/>
      <c r="WDW47" s="76"/>
      <c r="WDX47" s="76"/>
      <c r="WDY47" s="76"/>
      <c r="WDZ47" s="76"/>
      <c r="WEA47" s="76"/>
      <c r="WEB47" s="76"/>
      <c r="WEC47" s="76"/>
      <c r="WED47" s="76"/>
      <c r="WEE47" s="76"/>
      <c r="WEF47" s="76"/>
      <c r="WEG47" s="76"/>
      <c r="WEH47" s="76"/>
      <c r="WEI47" s="76"/>
      <c r="WEJ47" s="76"/>
      <c r="WEK47" s="76"/>
      <c r="WEL47" s="76"/>
      <c r="WEM47" s="76"/>
      <c r="WEN47" s="76"/>
      <c r="WEO47" s="76"/>
      <c r="WEP47" s="76"/>
      <c r="WEQ47" s="76"/>
      <c r="WER47" s="76"/>
      <c r="WES47" s="76"/>
      <c r="WET47" s="76"/>
      <c r="WEU47" s="76"/>
      <c r="WEV47" s="76"/>
      <c r="WEW47" s="76"/>
      <c r="WEX47" s="76"/>
      <c r="WEY47" s="76"/>
      <c r="WEZ47" s="76"/>
      <c r="WFA47" s="76"/>
      <c r="WFB47" s="76"/>
      <c r="WFC47" s="76"/>
      <c r="WFD47" s="76"/>
      <c r="WFE47" s="76"/>
      <c r="WFF47" s="76"/>
      <c r="WFG47" s="76"/>
      <c r="WFH47" s="76"/>
      <c r="WFI47" s="76"/>
      <c r="WFJ47" s="76"/>
      <c r="WFK47" s="76"/>
      <c r="WFL47" s="76"/>
      <c r="WFM47" s="76"/>
      <c r="WFN47" s="76"/>
      <c r="WFO47" s="76"/>
      <c r="WFP47" s="76"/>
      <c r="WFQ47" s="76"/>
      <c r="WFR47" s="76"/>
      <c r="WFS47" s="76"/>
      <c r="WFT47" s="76"/>
      <c r="WFU47" s="76"/>
      <c r="WFV47" s="76"/>
      <c r="WFW47" s="76"/>
      <c r="WFX47" s="76"/>
      <c r="WFY47" s="76"/>
      <c r="WFZ47" s="76"/>
      <c r="WGA47" s="76"/>
      <c r="WGB47" s="76"/>
      <c r="WGC47" s="76"/>
      <c r="WGD47" s="76"/>
      <c r="WGE47" s="76"/>
      <c r="WGF47" s="76"/>
      <c r="WGG47" s="76"/>
      <c r="WGH47" s="76"/>
      <c r="WGI47" s="76"/>
      <c r="WGJ47" s="76"/>
      <c r="WGK47" s="76"/>
      <c r="WGL47" s="76"/>
      <c r="WGM47" s="76"/>
      <c r="WGN47" s="76"/>
      <c r="WGO47" s="76"/>
      <c r="WGP47" s="76"/>
      <c r="WGQ47" s="76"/>
      <c r="WGR47" s="76"/>
      <c r="WGS47" s="76"/>
      <c r="WGT47" s="76"/>
      <c r="WGU47" s="76"/>
      <c r="WGV47" s="76"/>
      <c r="WGW47" s="76"/>
      <c r="WGX47" s="76"/>
      <c r="WGY47" s="76"/>
      <c r="WGZ47" s="76"/>
      <c r="WHA47" s="76"/>
      <c r="WHB47" s="76"/>
      <c r="WHC47" s="76"/>
      <c r="WHD47" s="76"/>
      <c r="WHE47" s="76"/>
      <c r="WHF47" s="76"/>
      <c r="WHG47" s="76"/>
      <c r="WHH47" s="76"/>
      <c r="WHI47" s="76"/>
      <c r="WHJ47" s="76"/>
      <c r="WHK47" s="76"/>
      <c r="WHL47" s="76"/>
      <c r="WHM47" s="76"/>
      <c r="WHN47" s="76"/>
      <c r="WHO47" s="76"/>
      <c r="WHP47" s="76"/>
      <c r="WHQ47" s="76"/>
      <c r="WHR47" s="76"/>
      <c r="WHS47" s="76"/>
      <c r="WHT47" s="76"/>
      <c r="WHU47" s="76"/>
      <c r="WHV47" s="76"/>
      <c r="WHW47" s="76"/>
      <c r="WHX47" s="76"/>
      <c r="WHY47" s="76"/>
      <c r="WHZ47" s="76"/>
      <c r="WIA47" s="76"/>
      <c r="WIB47" s="76"/>
      <c r="WIC47" s="76"/>
      <c r="WID47" s="76"/>
      <c r="WIE47" s="76"/>
      <c r="WIF47" s="76"/>
      <c r="WIG47" s="76"/>
      <c r="WIH47" s="76"/>
      <c r="WII47" s="76"/>
      <c r="WIJ47" s="76"/>
      <c r="WIK47" s="76"/>
      <c r="WIL47" s="76"/>
      <c r="WIM47" s="76"/>
      <c r="WIN47" s="76"/>
      <c r="WIO47" s="76"/>
      <c r="WIP47" s="76"/>
      <c r="WIQ47" s="76"/>
      <c r="WIR47" s="76"/>
      <c r="WIS47" s="76"/>
      <c r="WIT47" s="76"/>
      <c r="WIU47" s="76"/>
      <c r="WIV47" s="76"/>
      <c r="WIW47" s="76"/>
      <c r="WIX47" s="76"/>
      <c r="WIY47" s="76"/>
      <c r="WIZ47" s="76"/>
      <c r="WJA47" s="76"/>
      <c r="WJB47" s="76"/>
      <c r="WJC47" s="76"/>
      <c r="WJD47" s="76"/>
      <c r="WJE47" s="76"/>
      <c r="WJF47" s="76"/>
      <c r="WJG47" s="76"/>
      <c r="WJH47" s="76"/>
      <c r="WJI47" s="76"/>
      <c r="WJJ47" s="76"/>
      <c r="WJK47" s="76"/>
      <c r="WJL47" s="76"/>
      <c r="WJM47" s="76"/>
      <c r="WJN47" s="76"/>
      <c r="WJO47" s="76"/>
      <c r="WJP47" s="76"/>
      <c r="WJQ47" s="76"/>
      <c r="WJR47" s="76"/>
      <c r="WJS47" s="76"/>
      <c r="WJT47" s="76"/>
      <c r="WJU47" s="76"/>
      <c r="WJV47" s="76"/>
      <c r="WJW47" s="76"/>
      <c r="WJX47" s="76"/>
      <c r="WJY47" s="76"/>
      <c r="WJZ47" s="76"/>
      <c r="WKA47" s="76"/>
      <c r="WKB47" s="76"/>
      <c r="WKC47" s="76"/>
      <c r="WKD47" s="76"/>
      <c r="WKE47" s="76"/>
      <c r="WKF47" s="76"/>
      <c r="WKG47" s="76"/>
      <c r="WKH47" s="76"/>
      <c r="WKI47" s="76"/>
      <c r="WKJ47" s="76"/>
      <c r="WKK47" s="76"/>
      <c r="WKL47" s="76"/>
      <c r="WKM47" s="76"/>
      <c r="WKN47" s="76"/>
      <c r="WKO47" s="76"/>
      <c r="WKP47" s="76"/>
      <c r="WKQ47" s="76"/>
      <c r="WKR47" s="76"/>
      <c r="WKS47" s="76"/>
      <c r="WKT47" s="76"/>
      <c r="WKU47" s="76"/>
      <c r="WKV47" s="76"/>
      <c r="WKW47" s="76"/>
      <c r="WKX47" s="76"/>
      <c r="WKY47" s="76"/>
      <c r="WKZ47" s="76"/>
      <c r="WLA47" s="76"/>
      <c r="WLB47" s="76"/>
      <c r="WLC47" s="76"/>
      <c r="WLD47" s="76"/>
      <c r="WLE47" s="76"/>
      <c r="WLF47" s="76"/>
      <c r="WLG47" s="76"/>
      <c r="WLH47" s="76"/>
      <c r="WLI47" s="76"/>
      <c r="WLJ47" s="76"/>
      <c r="WLK47" s="76"/>
      <c r="WLL47" s="76"/>
      <c r="WLM47" s="76"/>
      <c r="WLN47" s="76"/>
      <c r="WLO47" s="76"/>
      <c r="WLP47" s="76"/>
      <c r="WLQ47" s="76"/>
      <c r="WLR47" s="76"/>
      <c r="WLS47" s="76"/>
      <c r="WLT47" s="76"/>
      <c r="WLU47" s="76"/>
      <c r="WLV47" s="76"/>
      <c r="WLW47" s="76"/>
      <c r="WLX47" s="76"/>
      <c r="WLY47" s="76"/>
      <c r="WLZ47" s="76"/>
      <c r="WMA47" s="76"/>
      <c r="WMB47" s="76"/>
      <c r="WMC47" s="76"/>
      <c r="WMD47" s="76"/>
      <c r="WME47" s="76"/>
      <c r="WMF47" s="76"/>
      <c r="WMG47" s="76"/>
      <c r="WMH47" s="76"/>
      <c r="WMI47" s="76"/>
      <c r="WMJ47" s="76"/>
      <c r="WMK47" s="76"/>
      <c r="WML47" s="76"/>
      <c r="WMM47" s="76"/>
      <c r="WMN47" s="76"/>
      <c r="WMO47" s="76"/>
      <c r="WMP47" s="76"/>
      <c r="WMQ47" s="76"/>
      <c r="WMR47" s="76"/>
      <c r="WMS47" s="76"/>
      <c r="WMT47" s="76"/>
      <c r="WMU47" s="76"/>
      <c r="WMV47" s="76"/>
      <c r="WMW47" s="76"/>
      <c r="WMX47" s="76"/>
      <c r="WMY47" s="76"/>
      <c r="WMZ47" s="76"/>
      <c r="WNA47" s="76"/>
      <c r="WNB47" s="76"/>
      <c r="WNC47" s="76"/>
      <c r="WND47" s="76"/>
      <c r="WNE47" s="76"/>
      <c r="WNF47" s="76"/>
      <c r="WNG47" s="76"/>
      <c r="WNH47" s="76"/>
      <c r="WNI47" s="76"/>
      <c r="WNJ47" s="76"/>
      <c r="WNK47" s="76"/>
      <c r="WNL47" s="76"/>
      <c r="WNM47" s="76"/>
      <c r="WNN47" s="76"/>
      <c r="WNO47" s="76"/>
      <c r="WNP47" s="76"/>
      <c r="WNQ47" s="76"/>
      <c r="WNR47" s="76"/>
      <c r="WNS47" s="76"/>
      <c r="WNT47" s="76"/>
      <c r="WNU47" s="76"/>
      <c r="WNV47" s="76"/>
      <c r="WNW47" s="76"/>
      <c r="WNX47" s="76"/>
      <c r="WNY47" s="76"/>
      <c r="WNZ47" s="76"/>
      <c r="WOA47" s="76"/>
      <c r="WOB47" s="76"/>
      <c r="WOC47" s="76"/>
      <c r="WOD47" s="76"/>
      <c r="WOE47" s="76"/>
      <c r="WOF47" s="76"/>
      <c r="WOG47" s="76"/>
      <c r="WOH47" s="76"/>
      <c r="WOI47" s="76"/>
      <c r="WOJ47" s="76"/>
      <c r="WOK47" s="76"/>
      <c r="WOL47" s="76"/>
      <c r="WOM47" s="76"/>
      <c r="WON47" s="76"/>
      <c r="WOO47" s="76"/>
      <c r="WOP47" s="76"/>
      <c r="WOQ47" s="76"/>
      <c r="WOR47" s="76"/>
      <c r="WOS47" s="76"/>
      <c r="WOT47" s="76"/>
      <c r="WOU47" s="76"/>
      <c r="WOV47" s="76"/>
      <c r="WOW47" s="76"/>
      <c r="WOX47" s="76"/>
      <c r="WOY47" s="76"/>
      <c r="WOZ47" s="76"/>
      <c r="WPA47" s="76"/>
      <c r="WPB47" s="76"/>
      <c r="WPC47" s="76"/>
      <c r="WPD47" s="76"/>
      <c r="WPE47" s="76"/>
      <c r="WPF47" s="76"/>
      <c r="WPG47" s="76"/>
      <c r="WPH47" s="76"/>
      <c r="WPI47" s="76"/>
      <c r="WPJ47" s="76"/>
      <c r="WPK47" s="76"/>
      <c r="WPL47" s="76"/>
      <c r="WPM47" s="76"/>
      <c r="WPN47" s="76"/>
      <c r="WPO47" s="76"/>
      <c r="WPP47" s="76"/>
      <c r="WPQ47" s="76"/>
      <c r="WPR47" s="76"/>
      <c r="WPS47" s="76"/>
      <c r="WPT47" s="76"/>
      <c r="WPU47" s="76"/>
      <c r="WPV47" s="76"/>
      <c r="WPW47" s="76"/>
      <c r="WPX47" s="76"/>
      <c r="WPY47" s="76"/>
      <c r="WPZ47" s="76"/>
      <c r="WQA47" s="76"/>
      <c r="WQB47" s="76"/>
      <c r="WQC47" s="76"/>
      <c r="WQD47" s="76"/>
      <c r="WQE47" s="76"/>
      <c r="WQF47" s="76"/>
      <c r="WQG47" s="76"/>
      <c r="WQH47" s="76"/>
      <c r="WQI47" s="76"/>
      <c r="WQJ47" s="76"/>
      <c r="WQK47" s="76"/>
      <c r="WQL47" s="76"/>
      <c r="WQM47" s="76"/>
      <c r="WQN47" s="76"/>
      <c r="WQO47" s="76"/>
      <c r="WQP47" s="76"/>
      <c r="WQQ47" s="76"/>
      <c r="WQR47" s="76"/>
      <c r="WQS47" s="76"/>
      <c r="WQT47" s="76"/>
      <c r="WQU47" s="76"/>
      <c r="WQV47" s="76"/>
      <c r="WQW47" s="76"/>
      <c r="WQX47" s="76"/>
      <c r="WQY47" s="76"/>
      <c r="WQZ47" s="76"/>
      <c r="WRA47" s="76"/>
      <c r="WRB47" s="76"/>
      <c r="WRC47" s="76"/>
      <c r="WRD47" s="76"/>
      <c r="WRE47" s="76"/>
      <c r="WRF47" s="76"/>
      <c r="WRG47" s="76"/>
      <c r="WRH47" s="76"/>
      <c r="WRI47" s="76"/>
      <c r="WRJ47" s="76"/>
      <c r="WRK47" s="76"/>
      <c r="WRL47" s="76"/>
      <c r="WRM47" s="76"/>
      <c r="WRN47" s="76"/>
      <c r="WRO47" s="76"/>
      <c r="WRP47" s="76"/>
      <c r="WRQ47" s="76"/>
      <c r="WRR47" s="76"/>
      <c r="WRS47" s="76"/>
      <c r="WRT47" s="76"/>
      <c r="WRU47" s="76"/>
      <c r="WRV47" s="76"/>
      <c r="WRW47" s="76"/>
      <c r="WRX47" s="76"/>
      <c r="WRY47" s="76"/>
      <c r="WRZ47" s="76"/>
      <c r="WSA47" s="76"/>
      <c r="WSB47" s="76"/>
      <c r="WSC47" s="76"/>
      <c r="WSD47" s="76"/>
      <c r="WSE47" s="76"/>
      <c r="WSF47" s="76"/>
      <c r="WSG47" s="76"/>
      <c r="WSH47" s="76"/>
      <c r="WSI47" s="76"/>
      <c r="WSJ47" s="76"/>
      <c r="WSK47" s="76"/>
      <c r="WSL47" s="76"/>
      <c r="WSM47" s="76"/>
      <c r="WSN47" s="76"/>
      <c r="WSO47" s="76"/>
      <c r="WSP47" s="76"/>
      <c r="WSQ47" s="76"/>
      <c r="WSR47" s="76"/>
      <c r="WSS47" s="76"/>
      <c r="WST47" s="76"/>
      <c r="WSU47" s="76"/>
      <c r="WSV47" s="76"/>
      <c r="WSW47" s="76"/>
      <c r="WSX47" s="76"/>
      <c r="WSY47" s="76"/>
      <c r="WSZ47" s="76"/>
      <c r="WTA47" s="76"/>
      <c r="WTB47" s="76"/>
      <c r="WTC47" s="76"/>
      <c r="WTD47" s="76"/>
      <c r="WTE47" s="76"/>
      <c r="WTF47" s="76"/>
      <c r="WTG47" s="76"/>
      <c r="WTH47" s="76"/>
      <c r="WTI47" s="76"/>
      <c r="WTJ47" s="76"/>
      <c r="WTK47" s="76"/>
      <c r="WTL47" s="76"/>
      <c r="WTM47" s="76"/>
      <c r="WTN47" s="76"/>
      <c r="WTO47" s="76"/>
      <c r="WTP47" s="76"/>
      <c r="WTQ47" s="76"/>
      <c r="WTR47" s="76"/>
      <c r="WTS47" s="76"/>
      <c r="WTT47" s="76"/>
      <c r="WTU47" s="76"/>
      <c r="WTV47" s="76"/>
      <c r="WTW47" s="76"/>
      <c r="WTX47" s="76"/>
      <c r="WTY47" s="76"/>
      <c r="WTZ47" s="76"/>
      <c r="WUA47" s="76"/>
      <c r="WUB47" s="76"/>
      <c r="WUC47" s="76"/>
      <c r="WUD47" s="76"/>
      <c r="WUE47" s="76"/>
      <c r="WUF47" s="76"/>
      <c r="WUG47" s="76"/>
      <c r="WUH47" s="76"/>
      <c r="WUI47" s="76"/>
      <c r="WUJ47" s="76"/>
      <c r="WUK47" s="76"/>
      <c r="WUL47" s="76"/>
      <c r="WUM47" s="76"/>
      <c r="WUN47" s="76"/>
      <c r="WUO47" s="76"/>
      <c r="WUP47" s="76"/>
      <c r="WUQ47" s="76"/>
      <c r="WUR47" s="76"/>
      <c r="WUS47" s="76"/>
      <c r="WUT47" s="76"/>
      <c r="WUU47" s="76"/>
      <c r="WUV47" s="76"/>
      <c r="WUW47" s="76"/>
      <c r="WUX47" s="76"/>
      <c r="WUY47" s="76"/>
      <c r="WUZ47" s="76"/>
      <c r="WVA47" s="76"/>
      <c r="WVB47" s="76"/>
      <c r="WVC47" s="76"/>
      <c r="WVD47" s="76"/>
      <c r="WVE47" s="76"/>
      <c r="WVF47" s="76"/>
      <c r="WVG47" s="76"/>
      <c r="WVH47" s="76"/>
      <c r="WVI47" s="76"/>
      <c r="WVJ47" s="76"/>
      <c r="WVK47" s="76"/>
      <c r="WVL47" s="76"/>
      <c r="WVM47" s="76"/>
      <c r="WVN47" s="76"/>
      <c r="WVO47" s="76"/>
      <c r="WVP47" s="76"/>
      <c r="WVQ47" s="76"/>
      <c r="WVR47" s="76"/>
      <c r="WVS47" s="76"/>
      <c r="WVT47" s="76"/>
      <c r="WVU47" s="76"/>
      <c r="WVV47" s="76"/>
      <c r="WVW47" s="76"/>
      <c r="WVX47" s="76"/>
      <c r="WVY47" s="76"/>
      <c r="WVZ47" s="76"/>
      <c r="WWA47" s="76"/>
      <c r="WWB47" s="76"/>
      <c r="WWC47" s="76"/>
      <c r="WWD47" s="76"/>
      <c r="WWE47" s="76"/>
      <c r="WWF47" s="76"/>
      <c r="WWG47" s="76"/>
      <c r="WWH47" s="76"/>
      <c r="WWI47" s="76"/>
      <c r="WWJ47" s="76"/>
      <c r="WWK47" s="76"/>
      <c r="WWL47" s="76"/>
      <c r="WWM47" s="76"/>
      <c r="WWN47" s="76"/>
      <c r="WWO47" s="76"/>
      <c r="WWP47" s="76"/>
      <c r="WWQ47" s="76"/>
      <c r="WWR47" s="76"/>
      <c r="WWS47" s="76"/>
      <c r="WWT47" s="76"/>
      <c r="WWU47" s="76"/>
      <c r="WWV47" s="76"/>
      <c r="WWW47" s="76"/>
      <c r="WWX47" s="76"/>
      <c r="WWY47" s="76"/>
      <c r="WWZ47" s="76"/>
      <c r="WXA47" s="76"/>
    </row>
    <row r="48" spans="1:16173" s="77" customFormat="1" ht="34" customHeight="1" x14ac:dyDescent="0.55000000000000004">
      <c r="A48" s="76"/>
      <c r="B48" s="76"/>
      <c r="C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  <c r="CC48" s="76"/>
      <c r="CD48" s="76"/>
      <c r="CE48" s="76"/>
      <c r="CF48" s="76"/>
      <c r="CG48" s="76"/>
      <c r="CH48" s="76"/>
      <c r="CI48" s="76"/>
      <c r="CJ48" s="76"/>
      <c r="CK48" s="76"/>
      <c r="CL48" s="76"/>
      <c r="CM48" s="76"/>
      <c r="CN48" s="76"/>
      <c r="CO48" s="76"/>
      <c r="CP48" s="76"/>
      <c r="CQ48" s="76"/>
      <c r="CR48" s="76"/>
      <c r="CS48" s="76"/>
      <c r="CT48" s="76"/>
      <c r="CU48" s="76"/>
      <c r="CV48" s="76"/>
      <c r="CW48" s="76"/>
      <c r="CX48" s="76"/>
      <c r="CY48" s="76"/>
      <c r="CZ48" s="76"/>
      <c r="DA48" s="76"/>
      <c r="DB48" s="76"/>
      <c r="DC48" s="76"/>
      <c r="DD48" s="76"/>
      <c r="DE48" s="76"/>
      <c r="DF48" s="76"/>
      <c r="DG48" s="76"/>
      <c r="DH48" s="76"/>
      <c r="DI48" s="76"/>
      <c r="DJ48" s="76"/>
      <c r="DK48" s="76"/>
      <c r="DL48" s="76"/>
      <c r="DM48" s="76"/>
      <c r="DN48" s="76"/>
      <c r="DO48" s="76"/>
      <c r="DP48" s="76"/>
      <c r="DQ48" s="76"/>
      <c r="DR48" s="76"/>
      <c r="DS48" s="76"/>
      <c r="DT48" s="76"/>
      <c r="DU48" s="76"/>
      <c r="DV48" s="76"/>
      <c r="DW48" s="76"/>
      <c r="DX48" s="76"/>
      <c r="DY48" s="76"/>
      <c r="DZ48" s="76"/>
      <c r="EA48" s="76"/>
      <c r="EB48" s="76"/>
      <c r="EC48" s="76"/>
      <c r="ED48" s="76"/>
      <c r="EE48" s="76"/>
      <c r="EF48" s="76"/>
      <c r="EG48" s="76"/>
      <c r="EH48" s="76"/>
      <c r="EI48" s="76"/>
      <c r="EJ48" s="76"/>
      <c r="EK48" s="76"/>
      <c r="EL48" s="76"/>
      <c r="EM48" s="76"/>
      <c r="EN48" s="76"/>
      <c r="EO48" s="76"/>
      <c r="EP48" s="76"/>
      <c r="EQ48" s="76"/>
      <c r="ER48" s="76"/>
      <c r="ES48" s="76"/>
      <c r="ET48" s="76"/>
      <c r="EU48" s="76"/>
      <c r="EV48" s="76"/>
      <c r="EW48" s="76"/>
      <c r="EX48" s="76"/>
      <c r="EY48" s="76"/>
      <c r="EZ48" s="76"/>
      <c r="FA48" s="76"/>
      <c r="FB48" s="76"/>
      <c r="FC48" s="76"/>
      <c r="FD48" s="76"/>
      <c r="FE48" s="76"/>
      <c r="FF48" s="76"/>
      <c r="FG48" s="76"/>
      <c r="FH48" s="76"/>
      <c r="FI48" s="76"/>
      <c r="FJ48" s="76"/>
      <c r="FK48" s="76"/>
      <c r="FL48" s="76"/>
      <c r="FM48" s="76"/>
      <c r="FN48" s="76"/>
      <c r="FO48" s="76"/>
      <c r="FP48" s="76"/>
      <c r="FQ48" s="76"/>
      <c r="FR48" s="76"/>
      <c r="FS48" s="76"/>
      <c r="FT48" s="76"/>
      <c r="FU48" s="76"/>
      <c r="FV48" s="76"/>
      <c r="FW48" s="76"/>
      <c r="FX48" s="76"/>
      <c r="FY48" s="76"/>
      <c r="FZ48" s="76"/>
      <c r="GA48" s="76"/>
      <c r="GB48" s="76"/>
      <c r="GC48" s="76"/>
      <c r="GD48" s="76"/>
      <c r="GE48" s="76"/>
      <c r="GF48" s="76"/>
      <c r="GG48" s="76"/>
      <c r="GH48" s="76"/>
      <c r="GI48" s="76"/>
      <c r="GJ48" s="76"/>
      <c r="GK48" s="76"/>
      <c r="GL48" s="76"/>
      <c r="GM48" s="76"/>
      <c r="GN48" s="76"/>
      <c r="GO48" s="76"/>
      <c r="GP48" s="76"/>
      <c r="GQ48" s="76"/>
      <c r="GR48" s="76"/>
      <c r="GS48" s="76"/>
      <c r="GT48" s="76"/>
      <c r="GU48" s="76"/>
      <c r="GV48" s="76"/>
      <c r="GW48" s="76"/>
      <c r="GX48" s="76"/>
      <c r="GY48" s="76"/>
      <c r="GZ48" s="76"/>
      <c r="HA48" s="76"/>
      <c r="HB48" s="76"/>
      <c r="HC48" s="76"/>
      <c r="HD48" s="76"/>
      <c r="HE48" s="76"/>
      <c r="HF48" s="76"/>
      <c r="HG48" s="76"/>
      <c r="HH48" s="76"/>
      <c r="HI48" s="76"/>
      <c r="HJ48" s="76"/>
      <c r="HK48" s="76"/>
      <c r="HL48" s="76"/>
      <c r="HM48" s="76"/>
      <c r="HN48" s="76"/>
      <c r="HO48" s="76"/>
      <c r="HP48" s="76"/>
      <c r="HQ48" s="76"/>
      <c r="HR48" s="76"/>
      <c r="HS48" s="76"/>
      <c r="HT48" s="76"/>
      <c r="HU48" s="76"/>
      <c r="HV48" s="76"/>
      <c r="HW48" s="76"/>
      <c r="HX48" s="76"/>
      <c r="HY48" s="76"/>
      <c r="HZ48" s="76"/>
      <c r="IA48" s="76"/>
      <c r="IB48" s="76"/>
      <c r="IC48" s="76"/>
      <c r="ID48" s="76"/>
      <c r="IE48" s="76"/>
      <c r="IF48" s="76"/>
      <c r="IG48" s="76"/>
      <c r="IH48" s="76"/>
      <c r="II48" s="76"/>
      <c r="IJ48" s="76"/>
      <c r="IK48" s="76"/>
      <c r="IL48" s="76"/>
      <c r="IM48" s="76"/>
      <c r="IN48" s="76"/>
      <c r="IO48" s="76"/>
      <c r="IP48" s="76"/>
      <c r="IQ48" s="76"/>
      <c r="IR48" s="76"/>
      <c r="IS48" s="76"/>
      <c r="IT48" s="76"/>
      <c r="IU48" s="76"/>
      <c r="IV48" s="76"/>
      <c r="IW48" s="76"/>
      <c r="IX48" s="76"/>
      <c r="IY48" s="76"/>
      <c r="IZ48" s="76"/>
      <c r="JA48" s="76"/>
      <c r="JB48" s="76"/>
      <c r="JC48" s="76"/>
      <c r="JD48" s="76"/>
      <c r="JE48" s="76"/>
      <c r="JF48" s="76"/>
      <c r="JG48" s="76"/>
      <c r="JH48" s="76"/>
      <c r="JI48" s="76"/>
      <c r="JJ48" s="76"/>
      <c r="JK48" s="76"/>
      <c r="JL48" s="76"/>
      <c r="JM48" s="76"/>
      <c r="JN48" s="76"/>
      <c r="JO48" s="76"/>
      <c r="JP48" s="76"/>
      <c r="JQ48" s="76"/>
      <c r="JR48" s="76"/>
      <c r="JS48" s="76"/>
      <c r="JT48" s="76"/>
      <c r="JU48" s="76"/>
      <c r="JV48" s="76"/>
      <c r="JW48" s="76"/>
      <c r="JX48" s="76"/>
      <c r="JY48" s="76"/>
      <c r="JZ48" s="76"/>
      <c r="KA48" s="76"/>
      <c r="KB48" s="76"/>
      <c r="KC48" s="76"/>
      <c r="KD48" s="76"/>
      <c r="KE48" s="76"/>
      <c r="KF48" s="76"/>
      <c r="KG48" s="76"/>
      <c r="KH48" s="76"/>
      <c r="KI48" s="76"/>
      <c r="KJ48" s="76"/>
      <c r="KK48" s="76"/>
      <c r="KL48" s="76"/>
      <c r="KM48" s="76"/>
      <c r="KN48" s="76"/>
      <c r="KO48" s="76"/>
      <c r="KP48" s="76"/>
      <c r="KQ48" s="76"/>
      <c r="KR48" s="76"/>
      <c r="KS48" s="76"/>
      <c r="KT48" s="76"/>
      <c r="KU48" s="76"/>
      <c r="KV48" s="76"/>
      <c r="KW48" s="76"/>
      <c r="KX48" s="76"/>
      <c r="KY48" s="76"/>
      <c r="KZ48" s="76"/>
      <c r="LA48" s="76"/>
      <c r="LB48" s="76"/>
      <c r="LC48" s="76"/>
      <c r="LD48" s="76"/>
      <c r="LE48" s="76"/>
      <c r="LF48" s="76"/>
      <c r="LG48" s="76"/>
      <c r="LH48" s="76"/>
      <c r="LI48" s="76"/>
      <c r="LJ48" s="76"/>
      <c r="LK48" s="76"/>
      <c r="LL48" s="76"/>
      <c r="LM48" s="76"/>
      <c r="LN48" s="76"/>
      <c r="LO48" s="76"/>
      <c r="LP48" s="76"/>
      <c r="LQ48" s="76"/>
      <c r="LR48" s="76"/>
      <c r="LS48" s="76"/>
      <c r="LT48" s="76"/>
      <c r="LU48" s="76"/>
      <c r="LV48" s="76"/>
      <c r="LW48" s="76"/>
      <c r="LX48" s="76"/>
      <c r="LY48" s="76"/>
      <c r="LZ48" s="76"/>
      <c r="MA48" s="76"/>
      <c r="MB48" s="76"/>
      <c r="MC48" s="76"/>
      <c r="MD48" s="76"/>
      <c r="ME48" s="76"/>
      <c r="MF48" s="76"/>
      <c r="MG48" s="76"/>
      <c r="MH48" s="76"/>
      <c r="MI48" s="76"/>
      <c r="MJ48" s="76"/>
      <c r="MK48" s="76"/>
      <c r="ML48" s="76"/>
      <c r="MM48" s="76"/>
      <c r="MN48" s="76"/>
      <c r="MO48" s="76"/>
      <c r="MP48" s="76"/>
      <c r="MQ48" s="76"/>
      <c r="MR48" s="76"/>
      <c r="MS48" s="76"/>
      <c r="MT48" s="76"/>
      <c r="MU48" s="76"/>
      <c r="MV48" s="76"/>
      <c r="MW48" s="76"/>
      <c r="MX48" s="76"/>
      <c r="MY48" s="76"/>
      <c r="MZ48" s="76"/>
      <c r="NA48" s="76"/>
      <c r="NB48" s="76"/>
      <c r="NC48" s="76"/>
      <c r="ND48" s="76"/>
      <c r="NE48" s="76"/>
      <c r="NF48" s="76"/>
      <c r="NG48" s="76"/>
      <c r="NH48" s="76"/>
      <c r="NI48" s="76"/>
      <c r="NJ48" s="76"/>
      <c r="NK48" s="76"/>
      <c r="NL48" s="76"/>
      <c r="NM48" s="76"/>
      <c r="NN48" s="76"/>
      <c r="NO48" s="76"/>
      <c r="NP48" s="76"/>
      <c r="NQ48" s="76"/>
      <c r="NR48" s="76"/>
      <c r="NS48" s="76"/>
      <c r="NT48" s="76"/>
      <c r="NU48" s="76"/>
      <c r="NV48" s="76"/>
      <c r="NW48" s="76"/>
      <c r="NX48" s="76"/>
      <c r="NY48" s="76"/>
      <c r="NZ48" s="76"/>
      <c r="OA48" s="76"/>
      <c r="OB48" s="76"/>
      <c r="OC48" s="76"/>
      <c r="OD48" s="76"/>
      <c r="OE48" s="76"/>
      <c r="OF48" s="76"/>
      <c r="OG48" s="76"/>
      <c r="OH48" s="76"/>
      <c r="OI48" s="76"/>
      <c r="OJ48" s="76"/>
      <c r="OK48" s="76"/>
      <c r="OL48" s="76"/>
      <c r="OM48" s="76"/>
      <c r="ON48" s="76"/>
      <c r="OO48" s="76"/>
      <c r="OP48" s="76"/>
      <c r="OQ48" s="76"/>
      <c r="OR48" s="76"/>
      <c r="OS48" s="76"/>
      <c r="OT48" s="76"/>
      <c r="OU48" s="76"/>
      <c r="OV48" s="76"/>
      <c r="OW48" s="76"/>
      <c r="OX48" s="76"/>
      <c r="OY48" s="76"/>
      <c r="OZ48" s="76"/>
      <c r="PA48" s="76"/>
      <c r="PB48" s="76"/>
      <c r="PC48" s="76"/>
      <c r="PD48" s="76"/>
      <c r="PE48" s="76"/>
      <c r="PF48" s="76"/>
      <c r="PG48" s="76"/>
      <c r="PH48" s="76"/>
      <c r="PI48" s="76"/>
      <c r="PJ48" s="76"/>
      <c r="PK48" s="76"/>
      <c r="PL48" s="76"/>
      <c r="PM48" s="76"/>
      <c r="PN48" s="76"/>
      <c r="PO48" s="76"/>
      <c r="PP48" s="76"/>
      <c r="PQ48" s="76"/>
      <c r="PR48" s="76"/>
      <c r="PS48" s="76"/>
      <c r="PT48" s="76"/>
      <c r="PU48" s="76"/>
      <c r="PV48" s="76"/>
      <c r="PW48" s="76"/>
      <c r="PX48" s="76"/>
      <c r="PY48" s="76"/>
      <c r="PZ48" s="76"/>
      <c r="QA48" s="76"/>
      <c r="QB48" s="76"/>
      <c r="QC48" s="76"/>
      <c r="QD48" s="76"/>
      <c r="QE48" s="76"/>
      <c r="QF48" s="76"/>
      <c r="QG48" s="76"/>
      <c r="QH48" s="76"/>
      <c r="QI48" s="76"/>
      <c r="QJ48" s="76"/>
      <c r="QK48" s="76"/>
      <c r="QL48" s="76"/>
      <c r="QM48" s="76"/>
      <c r="QN48" s="76"/>
      <c r="QO48" s="76"/>
      <c r="QP48" s="76"/>
      <c r="QQ48" s="76"/>
      <c r="QR48" s="76"/>
      <c r="QS48" s="76"/>
      <c r="QT48" s="76"/>
      <c r="QU48" s="76"/>
      <c r="QV48" s="76"/>
      <c r="QW48" s="76"/>
      <c r="QX48" s="76"/>
      <c r="QY48" s="76"/>
      <c r="QZ48" s="76"/>
      <c r="RA48" s="76"/>
      <c r="RB48" s="76"/>
      <c r="RC48" s="76"/>
      <c r="RD48" s="76"/>
      <c r="RE48" s="76"/>
      <c r="RF48" s="76"/>
      <c r="RG48" s="76"/>
      <c r="RH48" s="76"/>
      <c r="RI48" s="76"/>
      <c r="RJ48" s="76"/>
      <c r="RK48" s="76"/>
      <c r="RL48" s="76"/>
      <c r="RM48" s="76"/>
      <c r="RN48" s="76"/>
      <c r="RO48" s="76"/>
      <c r="RP48" s="76"/>
      <c r="RQ48" s="76"/>
      <c r="RR48" s="76"/>
      <c r="RS48" s="76"/>
      <c r="RT48" s="76"/>
      <c r="RU48" s="76"/>
      <c r="RV48" s="76"/>
      <c r="RW48" s="76"/>
      <c r="RX48" s="76"/>
      <c r="RY48" s="76"/>
      <c r="RZ48" s="76"/>
      <c r="SA48" s="76"/>
      <c r="SB48" s="76"/>
      <c r="SC48" s="76"/>
      <c r="SD48" s="76"/>
      <c r="SE48" s="76"/>
      <c r="SF48" s="76"/>
      <c r="SG48" s="76"/>
      <c r="SH48" s="76"/>
      <c r="SI48" s="76"/>
      <c r="SJ48" s="76"/>
      <c r="SK48" s="76"/>
      <c r="SL48" s="76"/>
      <c r="SM48" s="76"/>
      <c r="SN48" s="76"/>
      <c r="SO48" s="76"/>
      <c r="SP48" s="76"/>
      <c r="SQ48" s="76"/>
      <c r="SR48" s="76"/>
      <c r="SS48" s="76"/>
      <c r="ST48" s="76"/>
      <c r="SU48" s="76"/>
      <c r="SV48" s="76"/>
      <c r="SW48" s="76"/>
      <c r="SX48" s="76"/>
      <c r="SY48" s="76"/>
      <c r="SZ48" s="76"/>
      <c r="TA48" s="76"/>
      <c r="TB48" s="76"/>
      <c r="TC48" s="76"/>
      <c r="TD48" s="76"/>
      <c r="TE48" s="76"/>
      <c r="TF48" s="76"/>
      <c r="TG48" s="76"/>
      <c r="TH48" s="76"/>
      <c r="TI48" s="76"/>
      <c r="TJ48" s="76"/>
      <c r="TK48" s="76"/>
      <c r="TL48" s="76"/>
      <c r="TM48" s="76"/>
      <c r="TN48" s="76"/>
      <c r="TO48" s="76"/>
      <c r="TP48" s="76"/>
      <c r="TQ48" s="76"/>
      <c r="TR48" s="76"/>
      <c r="TS48" s="76"/>
      <c r="TT48" s="76"/>
      <c r="TU48" s="76"/>
      <c r="TV48" s="76"/>
      <c r="TW48" s="76"/>
      <c r="TX48" s="76"/>
      <c r="TY48" s="76"/>
      <c r="TZ48" s="76"/>
      <c r="UA48" s="76"/>
      <c r="UB48" s="76"/>
      <c r="UC48" s="76"/>
      <c r="UD48" s="76"/>
      <c r="UE48" s="76"/>
      <c r="UF48" s="76"/>
      <c r="UG48" s="76"/>
      <c r="UH48" s="76"/>
      <c r="UI48" s="76"/>
      <c r="UJ48" s="76"/>
      <c r="UK48" s="76"/>
      <c r="UL48" s="76"/>
      <c r="UM48" s="76"/>
      <c r="UN48" s="76"/>
      <c r="UO48" s="76"/>
      <c r="UP48" s="76"/>
      <c r="UQ48" s="76"/>
      <c r="UR48" s="76"/>
      <c r="US48" s="76"/>
      <c r="UT48" s="76"/>
      <c r="UU48" s="76"/>
      <c r="UV48" s="76"/>
      <c r="UW48" s="76"/>
      <c r="UX48" s="76"/>
      <c r="UY48" s="76"/>
      <c r="UZ48" s="76"/>
      <c r="VA48" s="76"/>
      <c r="VB48" s="76"/>
      <c r="VC48" s="76"/>
      <c r="VD48" s="76"/>
      <c r="VE48" s="76"/>
      <c r="VF48" s="76"/>
      <c r="VG48" s="76"/>
      <c r="VH48" s="76"/>
      <c r="VI48" s="76"/>
      <c r="VJ48" s="76"/>
      <c r="VK48" s="76"/>
      <c r="VL48" s="76"/>
      <c r="VM48" s="76"/>
      <c r="VN48" s="76"/>
      <c r="VO48" s="76"/>
      <c r="VP48" s="76"/>
      <c r="VQ48" s="76"/>
      <c r="VR48" s="76"/>
      <c r="VS48" s="76"/>
      <c r="VT48" s="76"/>
      <c r="VU48" s="76"/>
      <c r="VV48" s="76"/>
      <c r="VW48" s="76"/>
      <c r="VX48" s="76"/>
      <c r="VY48" s="76"/>
      <c r="VZ48" s="76"/>
      <c r="WA48" s="76"/>
      <c r="WB48" s="76"/>
      <c r="WC48" s="76"/>
      <c r="WD48" s="76"/>
      <c r="WE48" s="76"/>
      <c r="WF48" s="76"/>
      <c r="WG48" s="76"/>
      <c r="WH48" s="76"/>
      <c r="WI48" s="76"/>
      <c r="WJ48" s="76"/>
      <c r="WK48" s="76"/>
      <c r="WL48" s="76"/>
      <c r="WM48" s="76"/>
      <c r="WN48" s="76"/>
      <c r="WO48" s="76"/>
      <c r="WP48" s="76"/>
      <c r="WQ48" s="76"/>
      <c r="WR48" s="76"/>
      <c r="WS48" s="76"/>
      <c r="WT48" s="76"/>
      <c r="WU48" s="76"/>
      <c r="WV48" s="76"/>
      <c r="WW48" s="76"/>
      <c r="WX48" s="76"/>
      <c r="WY48" s="76"/>
      <c r="WZ48" s="76"/>
      <c r="XA48" s="76"/>
      <c r="XB48" s="76"/>
      <c r="XC48" s="76"/>
      <c r="XD48" s="76"/>
      <c r="XE48" s="76"/>
      <c r="XF48" s="76"/>
      <c r="XG48" s="76"/>
      <c r="XH48" s="76"/>
      <c r="XI48" s="76"/>
      <c r="XJ48" s="76"/>
      <c r="XK48" s="76"/>
      <c r="XL48" s="76"/>
      <c r="XM48" s="76"/>
      <c r="XN48" s="76"/>
      <c r="XO48" s="76"/>
      <c r="XP48" s="76"/>
      <c r="XQ48" s="76"/>
      <c r="XR48" s="76"/>
      <c r="XS48" s="76"/>
      <c r="XT48" s="76"/>
      <c r="XU48" s="76"/>
      <c r="XV48" s="76"/>
      <c r="XW48" s="76"/>
      <c r="XX48" s="76"/>
      <c r="XY48" s="76"/>
      <c r="XZ48" s="76"/>
      <c r="YA48" s="76"/>
      <c r="YB48" s="76"/>
      <c r="YC48" s="76"/>
      <c r="YD48" s="76"/>
      <c r="YE48" s="76"/>
      <c r="YF48" s="76"/>
      <c r="YG48" s="76"/>
      <c r="YH48" s="76"/>
      <c r="YI48" s="76"/>
      <c r="YJ48" s="76"/>
      <c r="YK48" s="76"/>
      <c r="YL48" s="76"/>
      <c r="YM48" s="76"/>
      <c r="YN48" s="76"/>
      <c r="YO48" s="76"/>
      <c r="YP48" s="76"/>
      <c r="YQ48" s="76"/>
      <c r="YR48" s="76"/>
      <c r="YS48" s="76"/>
      <c r="YT48" s="76"/>
      <c r="YU48" s="76"/>
      <c r="YV48" s="76"/>
      <c r="YW48" s="76"/>
      <c r="YX48" s="76"/>
      <c r="YY48" s="76"/>
      <c r="YZ48" s="76"/>
      <c r="ZA48" s="76"/>
      <c r="ZB48" s="76"/>
      <c r="ZC48" s="76"/>
      <c r="ZD48" s="76"/>
      <c r="ZE48" s="76"/>
      <c r="ZF48" s="76"/>
      <c r="ZG48" s="76"/>
      <c r="ZH48" s="76"/>
      <c r="ZI48" s="76"/>
      <c r="ZJ48" s="76"/>
      <c r="ZK48" s="76"/>
      <c r="ZL48" s="76"/>
      <c r="ZM48" s="76"/>
      <c r="ZN48" s="76"/>
      <c r="ZO48" s="76"/>
      <c r="ZP48" s="76"/>
      <c r="ZQ48" s="76"/>
      <c r="ZR48" s="76"/>
      <c r="ZS48" s="76"/>
      <c r="ZT48" s="76"/>
      <c r="ZU48" s="76"/>
      <c r="ZV48" s="76"/>
      <c r="ZW48" s="76"/>
      <c r="ZX48" s="76"/>
      <c r="ZY48" s="76"/>
      <c r="ZZ48" s="76"/>
      <c r="AAA48" s="76"/>
      <c r="AAB48" s="76"/>
      <c r="AAC48" s="76"/>
      <c r="AAD48" s="76"/>
      <c r="AAE48" s="76"/>
      <c r="AAF48" s="76"/>
      <c r="AAG48" s="76"/>
      <c r="AAH48" s="76"/>
      <c r="AAI48" s="76"/>
      <c r="AAJ48" s="76"/>
      <c r="AAK48" s="76"/>
      <c r="AAL48" s="76"/>
      <c r="AAM48" s="76"/>
      <c r="AAN48" s="76"/>
      <c r="AAO48" s="76"/>
      <c r="AAP48" s="76"/>
      <c r="AAQ48" s="76"/>
      <c r="AAR48" s="76"/>
      <c r="AAS48" s="76"/>
      <c r="AAT48" s="76"/>
      <c r="AAU48" s="76"/>
      <c r="AAV48" s="76"/>
      <c r="AAW48" s="76"/>
      <c r="AAX48" s="76"/>
      <c r="AAY48" s="76"/>
      <c r="AAZ48" s="76"/>
      <c r="ABA48" s="76"/>
      <c r="ABB48" s="76"/>
      <c r="ABC48" s="76"/>
      <c r="ABD48" s="76"/>
      <c r="ABE48" s="76"/>
      <c r="ABF48" s="76"/>
      <c r="ABG48" s="76"/>
      <c r="ABH48" s="76"/>
      <c r="ABI48" s="76"/>
      <c r="ABJ48" s="76"/>
      <c r="ABK48" s="76"/>
      <c r="ABL48" s="76"/>
      <c r="ABM48" s="76"/>
      <c r="ABN48" s="76"/>
      <c r="ABO48" s="76"/>
      <c r="ABP48" s="76"/>
      <c r="ABQ48" s="76"/>
      <c r="ABR48" s="76"/>
      <c r="ABS48" s="76"/>
      <c r="ABT48" s="76"/>
      <c r="ABU48" s="76"/>
      <c r="ABV48" s="76"/>
      <c r="ABW48" s="76"/>
      <c r="ABX48" s="76"/>
      <c r="ABY48" s="76"/>
      <c r="ABZ48" s="76"/>
      <c r="ACA48" s="76"/>
      <c r="ACB48" s="76"/>
      <c r="ACC48" s="76"/>
      <c r="ACD48" s="76"/>
      <c r="ACE48" s="76"/>
      <c r="ACF48" s="76"/>
      <c r="ACG48" s="76"/>
      <c r="ACH48" s="76"/>
      <c r="ACI48" s="76"/>
      <c r="ACJ48" s="76"/>
      <c r="ACK48" s="76"/>
      <c r="ACL48" s="76"/>
      <c r="ACM48" s="76"/>
      <c r="ACN48" s="76"/>
      <c r="ACO48" s="76"/>
      <c r="ACP48" s="76"/>
      <c r="ACQ48" s="76"/>
      <c r="ACR48" s="76"/>
      <c r="ACS48" s="76"/>
      <c r="ACT48" s="76"/>
      <c r="ACU48" s="76"/>
      <c r="ACV48" s="76"/>
      <c r="ACW48" s="76"/>
      <c r="ACX48" s="76"/>
      <c r="ACY48" s="76"/>
      <c r="ACZ48" s="76"/>
      <c r="ADA48" s="76"/>
      <c r="ADB48" s="76"/>
      <c r="ADC48" s="76"/>
      <c r="ADD48" s="76"/>
      <c r="ADE48" s="76"/>
      <c r="ADF48" s="76"/>
      <c r="ADG48" s="76"/>
      <c r="ADH48" s="76"/>
      <c r="ADI48" s="76"/>
      <c r="ADJ48" s="76"/>
      <c r="ADK48" s="76"/>
      <c r="ADL48" s="76"/>
      <c r="ADM48" s="76"/>
      <c r="ADN48" s="76"/>
      <c r="ADO48" s="76"/>
      <c r="ADP48" s="76"/>
      <c r="ADQ48" s="76"/>
      <c r="ADR48" s="76"/>
      <c r="ADS48" s="76"/>
      <c r="ADT48" s="76"/>
      <c r="ADU48" s="76"/>
      <c r="ADV48" s="76"/>
      <c r="ADW48" s="76"/>
      <c r="ADX48" s="76"/>
      <c r="ADY48" s="76"/>
      <c r="ADZ48" s="76"/>
      <c r="AEA48" s="76"/>
      <c r="AEB48" s="76"/>
      <c r="AEC48" s="76"/>
      <c r="AED48" s="76"/>
      <c r="AEE48" s="76"/>
      <c r="AEF48" s="76"/>
      <c r="AEG48" s="76"/>
      <c r="AEH48" s="76"/>
      <c r="AEI48" s="76"/>
      <c r="AEJ48" s="76"/>
      <c r="AEK48" s="76"/>
      <c r="AEL48" s="76"/>
      <c r="AEM48" s="76"/>
      <c r="AEN48" s="76"/>
      <c r="AEO48" s="76"/>
      <c r="AEP48" s="76"/>
      <c r="AEQ48" s="76"/>
      <c r="AER48" s="76"/>
      <c r="AES48" s="76"/>
      <c r="AET48" s="76"/>
      <c r="AEU48" s="76"/>
      <c r="AEV48" s="76"/>
      <c r="AEW48" s="76"/>
      <c r="AEX48" s="76"/>
      <c r="AEY48" s="76"/>
      <c r="AEZ48" s="76"/>
      <c r="AFA48" s="76"/>
      <c r="AFB48" s="76"/>
      <c r="AFC48" s="76"/>
      <c r="AFD48" s="76"/>
      <c r="AFE48" s="76"/>
      <c r="AFF48" s="76"/>
      <c r="AFG48" s="76"/>
      <c r="AFH48" s="76"/>
      <c r="AFI48" s="76"/>
      <c r="AFJ48" s="76"/>
      <c r="AFK48" s="76"/>
      <c r="AFL48" s="76"/>
      <c r="AFM48" s="76"/>
      <c r="AFN48" s="76"/>
      <c r="AFO48" s="76"/>
      <c r="AFP48" s="76"/>
      <c r="AFQ48" s="76"/>
      <c r="AFR48" s="76"/>
      <c r="AFS48" s="76"/>
      <c r="AFT48" s="76"/>
      <c r="AFU48" s="76"/>
      <c r="AFV48" s="76"/>
      <c r="AFW48" s="76"/>
      <c r="AFX48" s="76"/>
      <c r="AFY48" s="76"/>
      <c r="AFZ48" s="76"/>
      <c r="AGA48" s="76"/>
      <c r="AGB48" s="76"/>
      <c r="AGC48" s="76"/>
      <c r="AGD48" s="76"/>
      <c r="AGE48" s="76"/>
      <c r="AGF48" s="76"/>
      <c r="AGG48" s="76"/>
      <c r="AGH48" s="76"/>
      <c r="AGI48" s="76"/>
      <c r="AGJ48" s="76"/>
      <c r="AGK48" s="76"/>
      <c r="AGL48" s="76"/>
      <c r="AGM48" s="76"/>
      <c r="AGN48" s="76"/>
      <c r="AGO48" s="76"/>
      <c r="AGP48" s="76"/>
      <c r="AGQ48" s="76"/>
      <c r="AGR48" s="76"/>
      <c r="AGS48" s="76"/>
      <c r="AGT48" s="76"/>
      <c r="AGU48" s="76"/>
      <c r="AGV48" s="76"/>
      <c r="AGW48" s="76"/>
      <c r="AGX48" s="76"/>
      <c r="AGY48" s="76"/>
      <c r="AGZ48" s="76"/>
      <c r="AHA48" s="76"/>
      <c r="AHB48" s="76"/>
      <c r="AHC48" s="76"/>
      <c r="AHD48" s="76"/>
      <c r="AHE48" s="76"/>
      <c r="AHF48" s="76"/>
      <c r="AHG48" s="76"/>
      <c r="AHH48" s="76"/>
      <c r="AHI48" s="76"/>
      <c r="AHJ48" s="76"/>
      <c r="AHK48" s="76"/>
      <c r="AHL48" s="76"/>
      <c r="AHM48" s="76"/>
      <c r="AHN48" s="76"/>
      <c r="AHO48" s="76"/>
      <c r="AHP48" s="76"/>
      <c r="AHQ48" s="76"/>
      <c r="AHR48" s="76"/>
      <c r="AHS48" s="76"/>
      <c r="AHT48" s="76"/>
      <c r="AHU48" s="76"/>
      <c r="AHV48" s="76"/>
      <c r="AHW48" s="76"/>
      <c r="AHX48" s="76"/>
      <c r="AHY48" s="76"/>
      <c r="AHZ48" s="76"/>
      <c r="AIA48" s="76"/>
      <c r="AIB48" s="76"/>
      <c r="AIC48" s="76"/>
      <c r="AID48" s="76"/>
      <c r="AIE48" s="76"/>
      <c r="AIF48" s="76"/>
      <c r="AIG48" s="76"/>
      <c r="AIH48" s="76"/>
      <c r="AII48" s="76"/>
      <c r="AIJ48" s="76"/>
      <c r="AIK48" s="76"/>
      <c r="AIL48" s="76"/>
      <c r="AIM48" s="76"/>
      <c r="AIN48" s="76"/>
      <c r="AIO48" s="76"/>
      <c r="AIP48" s="76"/>
      <c r="AIQ48" s="76"/>
      <c r="AIR48" s="76"/>
      <c r="AIS48" s="76"/>
      <c r="AIT48" s="76"/>
      <c r="AIU48" s="76"/>
      <c r="AIV48" s="76"/>
      <c r="AIW48" s="76"/>
      <c r="AIX48" s="76"/>
      <c r="AIY48" s="76"/>
      <c r="AIZ48" s="76"/>
      <c r="AJA48" s="76"/>
      <c r="AJB48" s="76"/>
      <c r="AJC48" s="76"/>
      <c r="AJD48" s="76"/>
      <c r="AJE48" s="76"/>
      <c r="AJF48" s="76"/>
      <c r="AJG48" s="76"/>
      <c r="AJH48" s="76"/>
      <c r="AJI48" s="76"/>
      <c r="AJJ48" s="76"/>
      <c r="AJK48" s="76"/>
      <c r="AJL48" s="76"/>
      <c r="AJM48" s="76"/>
      <c r="AJN48" s="76"/>
      <c r="AJO48" s="76"/>
      <c r="AJP48" s="76"/>
      <c r="AJQ48" s="76"/>
      <c r="AJR48" s="76"/>
      <c r="AJS48" s="76"/>
      <c r="AJT48" s="76"/>
      <c r="AJU48" s="76"/>
      <c r="AJV48" s="76"/>
      <c r="AJW48" s="76"/>
      <c r="AJX48" s="76"/>
      <c r="AJY48" s="76"/>
      <c r="AJZ48" s="76"/>
      <c r="AKA48" s="76"/>
      <c r="AKB48" s="76"/>
      <c r="AKC48" s="76"/>
      <c r="AKD48" s="76"/>
      <c r="AKE48" s="76"/>
      <c r="AKF48" s="76"/>
      <c r="AKG48" s="76"/>
      <c r="AKH48" s="76"/>
      <c r="AKI48" s="76"/>
      <c r="AKJ48" s="76"/>
      <c r="AKK48" s="76"/>
      <c r="AKL48" s="76"/>
      <c r="AKM48" s="76"/>
      <c r="AKN48" s="76"/>
      <c r="AKO48" s="76"/>
      <c r="AKP48" s="76"/>
      <c r="AKQ48" s="76"/>
      <c r="AKR48" s="76"/>
      <c r="AKS48" s="76"/>
      <c r="AKT48" s="76"/>
      <c r="AKU48" s="76"/>
      <c r="AKV48" s="76"/>
      <c r="AKW48" s="76"/>
      <c r="AKX48" s="76"/>
      <c r="AKY48" s="76"/>
      <c r="AKZ48" s="76"/>
      <c r="ALA48" s="76"/>
      <c r="ALB48" s="76"/>
      <c r="ALC48" s="76"/>
      <c r="ALD48" s="76"/>
      <c r="ALE48" s="76"/>
      <c r="ALF48" s="76"/>
      <c r="ALG48" s="76"/>
      <c r="ALH48" s="76"/>
      <c r="ALI48" s="76"/>
      <c r="ALJ48" s="76"/>
      <c r="ALK48" s="76"/>
      <c r="ALL48" s="76"/>
      <c r="ALM48" s="76"/>
      <c r="ALN48" s="76"/>
      <c r="ALO48" s="76"/>
      <c r="ALP48" s="76"/>
      <c r="ALQ48" s="76"/>
      <c r="ALR48" s="76"/>
      <c r="ALS48" s="76"/>
      <c r="ALT48" s="76"/>
      <c r="ALU48" s="76"/>
      <c r="ALV48" s="76"/>
      <c r="ALW48" s="76"/>
      <c r="ALX48" s="76"/>
      <c r="ALY48" s="76"/>
      <c r="ALZ48" s="76"/>
      <c r="AMA48" s="76"/>
      <c r="AMB48" s="76"/>
      <c r="AMC48" s="76"/>
      <c r="AMD48" s="76"/>
      <c r="AME48" s="76"/>
      <c r="AMF48" s="76"/>
      <c r="AMG48" s="76"/>
      <c r="AMH48" s="76"/>
      <c r="AMI48" s="76"/>
      <c r="AMJ48" s="76"/>
      <c r="AMK48" s="76"/>
      <c r="AML48" s="76"/>
      <c r="AMM48" s="76"/>
      <c r="AMN48" s="76"/>
      <c r="AMO48" s="76"/>
      <c r="AMP48" s="76"/>
      <c r="AMQ48" s="76"/>
      <c r="AMR48" s="76"/>
      <c r="AMS48" s="76"/>
      <c r="AMT48" s="76"/>
      <c r="AMU48" s="76"/>
      <c r="AMV48" s="76"/>
      <c r="AMW48" s="76"/>
      <c r="AMX48" s="76"/>
      <c r="AMY48" s="76"/>
      <c r="AMZ48" s="76"/>
      <c r="ANA48" s="76"/>
      <c r="ANB48" s="76"/>
      <c r="ANC48" s="76"/>
      <c r="AND48" s="76"/>
      <c r="ANE48" s="76"/>
      <c r="ANF48" s="76"/>
      <c r="ANG48" s="76"/>
      <c r="ANH48" s="76"/>
      <c r="ANI48" s="76"/>
      <c r="ANJ48" s="76"/>
      <c r="ANK48" s="76"/>
      <c r="ANL48" s="76"/>
      <c r="ANM48" s="76"/>
      <c r="ANN48" s="76"/>
      <c r="ANO48" s="76"/>
      <c r="ANP48" s="76"/>
      <c r="ANQ48" s="76"/>
      <c r="ANR48" s="76"/>
      <c r="ANS48" s="76"/>
      <c r="ANT48" s="76"/>
      <c r="ANU48" s="76"/>
      <c r="ANV48" s="76"/>
      <c r="ANW48" s="76"/>
      <c r="ANX48" s="76"/>
      <c r="ANY48" s="76"/>
      <c r="ANZ48" s="76"/>
      <c r="AOA48" s="76"/>
      <c r="AOB48" s="76"/>
      <c r="AOC48" s="76"/>
      <c r="AOD48" s="76"/>
      <c r="AOE48" s="76"/>
      <c r="AOF48" s="76"/>
      <c r="AOG48" s="76"/>
      <c r="AOH48" s="76"/>
      <c r="AOI48" s="76"/>
      <c r="AOJ48" s="76"/>
      <c r="AOK48" s="76"/>
      <c r="AOL48" s="76"/>
      <c r="AOM48" s="76"/>
      <c r="AON48" s="76"/>
      <c r="AOO48" s="76"/>
      <c r="AOP48" s="76"/>
      <c r="AOQ48" s="76"/>
      <c r="AOR48" s="76"/>
      <c r="AOS48" s="76"/>
      <c r="AOT48" s="76"/>
      <c r="AOU48" s="76"/>
      <c r="AOV48" s="76"/>
      <c r="AOW48" s="76"/>
      <c r="AOX48" s="76"/>
      <c r="AOY48" s="76"/>
      <c r="AOZ48" s="76"/>
      <c r="APA48" s="76"/>
      <c r="APB48" s="76"/>
      <c r="APC48" s="76"/>
      <c r="APD48" s="76"/>
      <c r="APE48" s="76"/>
      <c r="APF48" s="76"/>
      <c r="APG48" s="76"/>
      <c r="APH48" s="76"/>
      <c r="API48" s="76"/>
      <c r="APJ48" s="76"/>
      <c r="APK48" s="76"/>
      <c r="APL48" s="76"/>
      <c r="APM48" s="76"/>
      <c r="APN48" s="76"/>
      <c r="APO48" s="76"/>
      <c r="APP48" s="76"/>
      <c r="APQ48" s="76"/>
      <c r="APR48" s="76"/>
      <c r="APS48" s="76"/>
      <c r="APT48" s="76"/>
      <c r="APU48" s="76"/>
      <c r="APV48" s="76"/>
      <c r="APW48" s="76"/>
      <c r="APX48" s="76"/>
      <c r="APY48" s="76"/>
      <c r="APZ48" s="76"/>
      <c r="AQA48" s="76"/>
      <c r="AQB48" s="76"/>
      <c r="AQC48" s="76"/>
      <c r="AQD48" s="76"/>
      <c r="AQE48" s="76"/>
      <c r="AQF48" s="76"/>
      <c r="AQG48" s="76"/>
      <c r="AQH48" s="76"/>
      <c r="AQI48" s="76"/>
      <c r="AQJ48" s="76"/>
      <c r="AQK48" s="76"/>
      <c r="AQL48" s="76"/>
      <c r="AQM48" s="76"/>
      <c r="AQN48" s="76"/>
      <c r="AQO48" s="76"/>
      <c r="AQP48" s="76"/>
      <c r="AQQ48" s="76"/>
      <c r="AQR48" s="76"/>
      <c r="AQS48" s="76"/>
      <c r="AQT48" s="76"/>
      <c r="AQU48" s="76"/>
      <c r="AQV48" s="76"/>
      <c r="AQW48" s="76"/>
      <c r="AQX48" s="76"/>
      <c r="AQY48" s="76"/>
      <c r="AQZ48" s="76"/>
      <c r="ARA48" s="76"/>
      <c r="ARB48" s="76"/>
      <c r="ARC48" s="76"/>
      <c r="ARD48" s="76"/>
      <c r="ARE48" s="76"/>
      <c r="ARF48" s="76"/>
      <c r="ARG48" s="76"/>
      <c r="ARH48" s="76"/>
      <c r="ARI48" s="76"/>
      <c r="ARJ48" s="76"/>
      <c r="ARK48" s="76"/>
      <c r="ARL48" s="76"/>
      <c r="ARM48" s="76"/>
      <c r="ARN48" s="76"/>
      <c r="ARO48" s="76"/>
      <c r="ARP48" s="76"/>
      <c r="ARQ48" s="76"/>
      <c r="ARR48" s="76"/>
      <c r="ARS48" s="76"/>
      <c r="ART48" s="76"/>
      <c r="ARU48" s="76"/>
      <c r="ARV48" s="76"/>
      <c r="ARW48" s="76"/>
      <c r="ARX48" s="76"/>
      <c r="ARY48" s="76"/>
      <c r="ARZ48" s="76"/>
      <c r="ASA48" s="76"/>
      <c r="ASB48" s="76"/>
      <c r="ASC48" s="76"/>
      <c r="ASD48" s="76"/>
      <c r="ASE48" s="76"/>
      <c r="ASF48" s="76"/>
      <c r="ASG48" s="76"/>
      <c r="ASH48" s="76"/>
      <c r="ASI48" s="76"/>
      <c r="ASJ48" s="76"/>
      <c r="ASK48" s="76"/>
      <c r="ASL48" s="76"/>
      <c r="ASM48" s="76"/>
      <c r="ASN48" s="76"/>
      <c r="ASO48" s="76"/>
      <c r="ASP48" s="76"/>
      <c r="ASQ48" s="76"/>
      <c r="ASR48" s="76"/>
      <c r="ASS48" s="76"/>
      <c r="AST48" s="76"/>
      <c r="ASU48" s="76"/>
      <c r="ASV48" s="76"/>
      <c r="ASW48" s="76"/>
      <c r="ASX48" s="76"/>
      <c r="ASY48" s="76"/>
      <c r="ASZ48" s="76"/>
      <c r="ATA48" s="76"/>
      <c r="ATB48" s="76"/>
      <c r="ATC48" s="76"/>
      <c r="ATD48" s="76"/>
      <c r="ATE48" s="76"/>
      <c r="ATF48" s="76"/>
      <c r="ATG48" s="76"/>
      <c r="ATH48" s="76"/>
      <c r="ATI48" s="76"/>
      <c r="ATJ48" s="76"/>
      <c r="ATK48" s="76"/>
      <c r="ATL48" s="76"/>
      <c r="ATM48" s="76"/>
      <c r="ATN48" s="76"/>
      <c r="ATO48" s="76"/>
      <c r="ATP48" s="76"/>
      <c r="ATQ48" s="76"/>
      <c r="ATR48" s="76"/>
      <c r="ATS48" s="76"/>
      <c r="ATT48" s="76"/>
      <c r="ATU48" s="76"/>
      <c r="ATV48" s="76"/>
      <c r="ATW48" s="76"/>
      <c r="ATX48" s="76"/>
      <c r="ATY48" s="76"/>
      <c r="ATZ48" s="76"/>
      <c r="AUA48" s="76"/>
      <c r="AUB48" s="76"/>
      <c r="AUC48" s="76"/>
      <c r="AUD48" s="76"/>
      <c r="AUE48" s="76"/>
      <c r="AUF48" s="76"/>
      <c r="AUG48" s="76"/>
      <c r="AUH48" s="76"/>
      <c r="AUI48" s="76"/>
      <c r="AUJ48" s="76"/>
      <c r="AUK48" s="76"/>
      <c r="AUL48" s="76"/>
      <c r="AUM48" s="76"/>
      <c r="AUN48" s="76"/>
      <c r="AUO48" s="76"/>
      <c r="AUP48" s="76"/>
      <c r="AUQ48" s="76"/>
      <c r="AUR48" s="76"/>
      <c r="AUS48" s="76"/>
      <c r="AUT48" s="76"/>
      <c r="AUU48" s="76"/>
      <c r="AUV48" s="76"/>
      <c r="AUW48" s="76"/>
      <c r="AUX48" s="76"/>
      <c r="AUY48" s="76"/>
      <c r="AUZ48" s="76"/>
      <c r="AVA48" s="76"/>
      <c r="AVB48" s="76"/>
      <c r="AVC48" s="76"/>
      <c r="AVD48" s="76"/>
      <c r="AVE48" s="76"/>
      <c r="AVF48" s="76"/>
      <c r="AVG48" s="76"/>
      <c r="AVH48" s="76"/>
      <c r="AVI48" s="76"/>
      <c r="AVJ48" s="76"/>
      <c r="AVK48" s="76"/>
      <c r="AVL48" s="76"/>
      <c r="AVM48" s="76"/>
      <c r="AVN48" s="76"/>
      <c r="AVO48" s="76"/>
      <c r="AVP48" s="76"/>
      <c r="AVQ48" s="76"/>
      <c r="AVR48" s="76"/>
      <c r="AVS48" s="76"/>
      <c r="AVT48" s="76"/>
      <c r="AVU48" s="76"/>
      <c r="AVV48" s="76"/>
      <c r="AVW48" s="76"/>
      <c r="AVX48" s="76"/>
      <c r="AVY48" s="76"/>
      <c r="AVZ48" s="76"/>
      <c r="AWA48" s="76"/>
      <c r="AWB48" s="76"/>
      <c r="AWC48" s="76"/>
      <c r="AWD48" s="76"/>
      <c r="AWE48" s="76"/>
      <c r="AWF48" s="76"/>
      <c r="AWG48" s="76"/>
      <c r="AWH48" s="76"/>
      <c r="AWI48" s="76"/>
      <c r="AWJ48" s="76"/>
      <c r="AWK48" s="76"/>
      <c r="AWL48" s="76"/>
      <c r="AWM48" s="76"/>
      <c r="AWN48" s="76"/>
      <c r="AWO48" s="76"/>
      <c r="AWP48" s="76"/>
      <c r="AWQ48" s="76"/>
      <c r="AWR48" s="76"/>
      <c r="AWS48" s="76"/>
      <c r="AWT48" s="76"/>
      <c r="AWU48" s="76"/>
      <c r="AWV48" s="76"/>
      <c r="AWW48" s="76"/>
      <c r="AWX48" s="76"/>
      <c r="AWY48" s="76"/>
      <c r="AWZ48" s="76"/>
      <c r="AXA48" s="76"/>
      <c r="AXB48" s="76"/>
      <c r="AXC48" s="76"/>
      <c r="AXD48" s="76"/>
      <c r="AXE48" s="76"/>
      <c r="AXF48" s="76"/>
      <c r="AXG48" s="76"/>
      <c r="AXH48" s="76"/>
      <c r="AXI48" s="76"/>
      <c r="AXJ48" s="76"/>
      <c r="AXK48" s="76"/>
      <c r="AXL48" s="76"/>
      <c r="AXM48" s="76"/>
      <c r="AXN48" s="76"/>
      <c r="AXO48" s="76"/>
      <c r="AXP48" s="76"/>
      <c r="AXQ48" s="76"/>
      <c r="AXR48" s="76"/>
      <c r="AXS48" s="76"/>
      <c r="AXT48" s="76"/>
      <c r="AXU48" s="76"/>
      <c r="AXV48" s="76"/>
      <c r="AXW48" s="76"/>
      <c r="AXX48" s="76"/>
      <c r="AXY48" s="76"/>
      <c r="AXZ48" s="76"/>
      <c r="AYA48" s="76"/>
      <c r="AYB48" s="76"/>
      <c r="AYC48" s="76"/>
      <c r="AYD48" s="76"/>
      <c r="AYE48" s="76"/>
      <c r="AYF48" s="76"/>
      <c r="AYG48" s="76"/>
      <c r="AYH48" s="76"/>
      <c r="AYI48" s="76"/>
      <c r="AYJ48" s="76"/>
      <c r="AYK48" s="76"/>
      <c r="AYL48" s="76"/>
      <c r="AYM48" s="76"/>
      <c r="AYN48" s="76"/>
      <c r="AYO48" s="76"/>
      <c r="AYP48" s="76"/>
      <c r="AYQ48" s="76"/>
      <c r="AYR48" s="76"/>
      <c r="AYS48" s="76"/>
      <c r="AYT48" s="76"/>
      <c r="AYU48" s="76"/>
      <c r="AYV48" s="76"/>
      <c r="AYW48" s="76"/>
      <c r="AYX48" s="76"/>
      <c r="AYY48" s="76"/>
      <c r="AYZ48" s="76"/>
      <c r="AZA48" s="76"/>
      <c r="AZB48" s="76"/>
      <c r="AZC48" s="76"/>
      <c r="AZD48" s="76"/>
      <c r="AZE48" s="76"/>
      <c r="AZF48" s="76"/>
      <c r="AZG48" s="76"/>
      <c r="AZH48" s="76"/>
      <c r="AZI48" s="76"/>
      <c r="AZJ48" s="76"/>
      <c r="AZK48" s="76"/>
      <c r="AZL48" s="76"/>
      <c r="AZM48" s="76"/>
      <c r="AZN48" s="76"/>
      <c r="AZO48" s="76"/>
      <c r="AZP48" s="76"/>
      <c r="AZQ48" s="76"/>
      <c r="AZR48" s="76"/>
      <c r="AZS48" s="76"/>
      <c r="AZT48" s="76"/>
      <c r="AZU48" s="76"/>
      <c r="AZV48" s="76"/>
      <c r="AZW48" s="76"/>
      <c r="AZX48" s="76"/>
      <c r="AZY48" s="76"/>
      <c r="AZZ48" s="76"/>
      <c r="BAA48" s="76"/>
      <c r="BAB48" s="76"/>
      <c r="BAC48" s="76"/>
      <c r="BAD48" s="76"/>
      <c r="BAE48" s="76"/>
      <c r="BAF48" s="76"/>
      <c r="BAG48" s="76"/>
      <c r="BAH48" s="76"/>
      <c r="BAI48" s="76"/>
      <c r="BAJ48" s="76"/>
      <c r="BAK48" s="76"/>
      <c r="BAL48" s="76"/>
      <c r="BAM48" s="76"/>
      <c r="BAN48" s="76"/>
      <c r="BAO48" s="76"/>
      <c r="BAP48" s="76"/>
      <c r="BAQ48" s="76"/>
      <c r="BAR48" s="76"/>
      <c r="BAS48" s="76"/>
      <c r="BAT48" s="76"/>
      <c r="BAU48" s="76"/>
      <c r="BAV48" s="76"/>
      <c r="BAW48" s="76"/>
      <c r="BAX48" s="76"/>
      <c r="BAY48" s="76"/>
      <c r="BAZ48" s="76"/>
      <c r="BBA48" s="76"/>
      <c r="BBB48" s="76"/>
      <c r="BBC48" s="76"/>
      <c r="BBD48" s="76"/>
      <c r="BBE48" s="76"/>
      <c r="BBF48" s="76"/>
      <c r="BBG48" s="76"/>
      <c r="BBH48" s="76"/>
      <c r="BBI48" s="76"/>
      <c r="BBJ48" s="76"/>
      <c r="BBK48" s="76"/>
      <c r="BBL48" s="76"/>
      <c r="BBM48" s="76"/>
      <c r="BBN48" s="76"/>
      <c r="BBO48" s="76"/>
      <c r="BBP48" s="76"/>
      <c r="BBQ48" s="76"/>
      <c r="BBR48" s="76"/>
      <c r="BBS48" s="76"/>
      <c r="BBT48" s="76"/>
      <c r="BBU48" s="76"/>
      <c r="BBV48" s="76"/>
      <c r="BBW48" s="76"/>
      <c r="BBX48" s="76"/>
      <c r="BBY48" s="76"/>
      <c r="BBZ48" s="76"/>
      <c r="BCA48" s="76"/>
      <c r="BCB48" s="76"/>
      <c r="BCC48" s="76"/>
      <c r="BCD48" s="76"/>
      <c r="BCE48" s="76"/>
      <c r="BCF48" s="76"/>
      <c r="BCG48" s="76"/>
      <c r="BCH48" s="76"/>
      <c r="BCI48" s="76"/>
      <c r="BCJ48" s="76"/>
      <c r="BCK48" s="76"/>
      <c r="BCL48" s="76"/>
      <c r="BCM48" s="76"/>
      <c r="BCN48" s="76"/>
      <c r="BCO48" s="76"/>
      <c r="BCP48" s="76"/>
      <c r="BCQ48" s="76"/>
      <c r="BCR48" s="76"/>
      <c r="BCS48" s="76"/>
      <c r="BCT48" s="76"/>
      <c r="BCU48" s="76"/>
      <c r="BCV48" s="76"/>
      <c r="BCW48" s="76"/>
      <c r="BCX48" s="76"/>
      <c r="BCY48" s="76"/>
      <c r="BCZ48" s="76"/>
      <c r="BDA48" s="76"/>
      <c r="BDB48" s="76"/>
      <c r="BDC48" s="76"/>
      <c r="BDD48" s="76"/>
      <c r="BDE48" s="76"/>
      <c r="BDF48" s="76"/>
      <c r="BDG48" s="76"/>
      <c r="BDH48" s="76"/>
      <c r="BDI48" s="76"/>
      <c r="BDJ48" s="76"/>
      <c r="BDK48" s="76"/>
      <c r="BDL48" s="76"/>
      <c r="BDM48" s="76"/>
      <c r="BDN48" s="76"/>
      <c r="BDO48" s="76"/>
      <c r="BDP48" s="76"/>
      <c r="BDQ48" s="76"/>
      <c r="BDR48" s="76"/>
      <c r="BDS48" s="76"/>
      <c r="BDT48" s="76"/>
      <c r="BDU48" s="76"/>
      <c r="BDV48" s="76"/>
      <c r="BDW48" s="76"/>
      <c r="BDX48" s="76"/>
      <c r="BDY48" s="76"/>
      <c r="BDZ48" s="76"/>
      <c r="BEA48" s="76"/>
      <c r="BEB48" s="76"/>
      <c r="BEC48" s="76"/>
      <c r="BED48" s="76"/>
      <c r="BEE48" s="76"/>
      <c r="BEF48" s="76"/>
      <c r="BEG48" s="76"/>
      <c r="BEH48" s="76"/>
      <c r="BEI48" s="76"/>
      <c r="BEJ48" s="76"/>
      <c r="BEK48" s="76"/>
      <c r="BEL48" s="76"/>
      <c r="BEM48" s="76"/>
      <c r="BEN48" s="76"/>
      <c r="BEO48" s="76"/>
      <c r="BEP48" s="76"/>
      <c r="BEQ48" s="76"/>
      <c r="BER48" s="76"/>
      <c r="BES48" s="76"/>
      <c r="BET48" s="76"/>
      <c r="BEU48" s="76"/>
      <c r="BEV48" s="76"/>
      <c r="BEW48" s="76"/>
      <c r="BEX48" s="76"/>
      <c r="BEY48" s="76"/>
      <c r="BEZ48" s="76"/>
      <c r="BFA48" s="76"/>
      <c r="BFB48" s="76"/>
      <c r="BFC48" s="76"/>
      <c r="BFD48" s="76"/>
      <c r="BFE48" s="76"/>
      <c r="BFF48" s="76"/>
      <c r="BFG48" s="76"/>
      <c r="BFH48" s="76"/>
      <c r="BFI48" s="76"/>
      <c r="BFJ48" s="76"/>
      <c r="BFK48" s="76"/>
      <c r="BFL48" s="76"/>
      <c r="BFM48" s="76"/>
      <c r="BFN48" s="76"/>
      <c r="BFO48" s="76"/>
      <c r="BFP48" s="76"/>
      <c r="BFQ48" s="76"/>
      <c r="BFR48" s="76"/>
      <c r="BFS48" s="76"/>
      <c r="BFT48" s="76"/>
      <c r="BFU48" s="76"/>
      <c r="BFV48" s="76"/>
      <c r="BFW48" s="76"/>
      <c r="BFX48" s="76"/>
      <c r="BFY48" s="76"/>
      <c r="BFZ48" s="76"/>
      <c r="BGA48" s="76"/>
      <c r="BGB48" s="76"/>
      <c r="BGC48" s="76"/>
      <c r="BGD48" s="76"/>
      <c r="BGE48" s="76"/>
      <c r="BGF48" s="76"/>
      <c r="BGG48" s="76"/>
      <c r="BGH48" s="76"/>
      <c r="BGI48" s="76"/>
      <c r="BGJ48" s="76"/>
      <c r="BGK48" s="76"/>
      <c r="BGL48" s="76"/>
      <c r="BGM48" s="76"/>
      <c r="BGN48" s="76"/>
      <c r="BGO48" s="76"/>
      <c r="BGP48" s="76"/>
      <c r="BGQ48" s="76"/>
      <c r="BGR48" s="76"/>
      <c r="BGS48" s="76"/>
      <c r="BGT48" s="76"/>
      <c r="BGU48" s="76"/>
      <c r="BGV48" s="76"/>
      <c r="BGW48" s="76"/>
      <c r="BGX48" s="76"/>
      <c r="BGY48" s="76"/>
      <c r="BGZ48" s="76"/>
      <c r="BHA48" s="76"/>
      <c r="BHB48" s="76"/>
      <c r="BHC48" s="76"/>
      <c r="BHD48" s="76"/>
      <c r="BHE48" s="76"/>
      <c r="BHF48" s="76"/>
      <c r="BHG48" s="76"/>
      <c r="BHH48" s="76"/>
      <c r="BHI48" s="76"/>
      <c r="BHJ48" s="76"/>
      <c r="BHK48" s="76"/>
      <c r="BHL48" s="76"/>
      <c r="BHM48" s="76"/>
      <c r="BHN48" s="76"/>
      <c r="BHO48" s="76"/>
      <c r="BHP48" s="76"/>
      <c r="BHQ48" s="76"/>
      <c r="BHR48" s="76"/>
      <c r="BHS48" s="76"/>
      <c r="BHT48" s="76"/>
      <c r="BHU48" s="76"/>
      <c r="BHV48" s="76"/>
      <c r="BHW48" s="76"/>
      <c r="BHX48" s="76"/>
      <c r="BHY48" s="76"/>
      <c r="BHZ48" s="76"/>
      <c r="BIA48" s="76"/>
      <c r="BIB48" s="76"/>
      <c r="BIC48" s="76"/>
      <c r="BID48" s="76"/>
      <c r="BIE48" s="76"/>
      <c r="BIF48" s="76"/>
      <c r="BIG48" s="76"/>
      <c r="BIH48" s="76"/>
      <c r="BII48" s="76"/>
      <c r="BIJ48" s="76"/>
      <c r="BIK48" s="76"/>
      <c r="BIL48" s="76"/>
      <c r="BIM48" s="76"/>
      <c r="BIN48" s="76"/>
      <c r="BIO48" s="76"/>
      <c r="BIP48" s="76"/>
      <c r="BIQ48" s="76"/>
      <c r="BIR48" s="76"/>
      <c r="BIS48" s="76"/>
      <c r="BIT48" s="76"/>
      <c r="BIU48" s="76"/>
      <c r="BIV48" s="76"/>
      <c r="BIW48" s="76"/>
      <c r="BIX48" s="76"/>
      <c r="BIY48" s="76"/>
      <c r="BIZ48" s="76"/>
      <c r="BJA48" s="76"/>
      <c r="BJB48" s="76"/>
      <c r="BJC48" s="76"/>
      <c r="BJD48" s="76"/>
      <c r="BJE48" s="76"/>
      <c r="BJF48" s="76"/>
      <c r="BJG48" s="76"/>
      <c r="BJH48" s="76"/>
      <c r="BJI48" s="76"/>
      <c r="BJJ48" s="76"/>
      <c r="BJK48" s="76"/>
      <c r="BJL48" s="76"/>
      <c r="BJM48" s="76"/>
      <c r="BJN48" s="76"/>
      <c r="BJO48" s="76"/>
      <c r="BJP48" s="76"/>
      <c r="BJQ48" s="76"/>
      <c r="BJR48" s="76"/>
      <c r="BJS48" s="76"/>
      <c r="BJT48" s="76"/>
      <c r="BJU48" s="76"/>
      <c r="BJV48" s="76"/>
      <c r="BJW48" s="76"/>
      <c r="BJX48" s="76"/>
      <c r="BJY48" s="76"/>
      <c r="BJZ48" s="76"/>
      <c r="BKA48" s="76"/>
      <c r="BKB48" s="76"/>
      <c r="BKC48" s="76"/>
      <c r="BKD48" s="76"/>
      <c r="BKE48" s="76"/>
      <c r="BKF48" s="76"/>
      <c r="BKG48" s="76"/>
      <c r="BKH48" s="76"/>
      <c r="BKI48" s="76"/>
      <c r="BKJ48" s="76"/>
      <c r="BKK48" s="76"/>
      <c r="BKL48" s="76"/>
      <c r="BKM48" s="76"/>
      <c r="BKN48" s="76"/>
      <c r="BKO48" s="76"/>
      <c r="BKP48" s="76"/>
      <c r="BKQ48" s="76"/>
      <c r="BKR48" s="76"/>
      <c r="BKS48" s="76"/>
      <c r="BKT48" s="76"/>
      <c r="BKU48" s="76"/>
      <c r="BKV48" s="76"/>
      <c r="BKW48" s="76"/>
      <c r="BKX48" s="76"/>
      <c r="BKY48" s="76"/>
      <c r="BKZ48" s="76"/>
      <c r="BLA48" s="76"/>
      <c r="BLB48" s="76"/>
      <c r="BLC48" s="76"/>
      <c r="BLD48" s="76"/>
      <c r="BLE48" s="76"/>
      <c r="BLF48" s="76"/>
      <c r="BLG48" s="76"/>
      <c r="BLH48" s="76"/>
      <c r="BLI48" s="76"/>
      <c r="BLJ48" s="76"/>
      <c r="BLK48" s="76"/>
      <c r="BLL48" s="76"/>
      <c r="BLM48" s="76"/>
      <c r="BLN48" s="76"/>
      <c r="BLO48" s="76"/>
      <c r="BLP48" s="76"/>
      <c r="BLQ48" s="76"/>
      <c r="BLR48" s="76"/>
      <c r="BLS48" s="76"/>
      <c r="BLT48" s="76"/>
      <c r="BLU48" s="76"/>
      <c r="BLV48" s="76"/>
      <c r="BLW48" s="76"/>
      <c r="BLX48" s="76"/>
      <c r="BLY48" s="76"/>
      <c r="BLZ48" s="76"/>
      <c r="BMA48" s="76"/>
      <c r="BMB48" s="76"/>
      <c r="BMC48" s="76"/>
      <c r="BMD48" s="76"/>
      <c r="BME48" s="76"/>
      <c r="BMF48" s="76"/>
      <c r="BMG48" s="76"/>
      <c r="BMH48" s="76"/>
      <c r="BMI48" s="76"/>
      <c r="BMJ48" s="76"/>
      <c r="BMK48" s="76"/>
      <c r="BML48" s="76"/>
      <c r="BMM48" s="76"/>
      <c r="BMN48" s="76"/>
      <c r="BMO48" s="76"/>
      <c r="BMP48" s="76"/>
      <c r="BMQ48" s="76"/>
      <c r="BMR48" s="76"/>
      <c r="BMS48" s="76"/>
      <c r="BMT48" s="76"/>
      <c r="BMU48" s="76"/>
      <c r="BMV48" s="76"/>
      <c r="BMW48" s="76"/>
      <c r="BMX48" s="76"/>
      <c r="BMY48" s="76"/>
      <c r="BMZ48" s="76"/>
      <c r="BNA48" s="76"/>
      <c r="BNB48" s="76"/>
      <c r="BNC48" s="76"/>
      <c r="BND48" s="76"/>
      <c r="BNE48" s="76"/>
      <c r="BNF48" s="76"/>
      <c r="BNG48" s="76"/>
      <c r="BNH48" s="76"/>
      <c r="BNI48" s="76"/>
      <c r="BNJ48" s="76"/>
      <c r="BNK48" s="76"/>
      <c r="BNL48" s="76"/>
      <c r="BNM48" s="76"/>
      <c r="BNN48" s="76"/>
      <c r="BNO48" s="76"/>
      <c r="BNP48" s="76"/>
      <c r="BNQ48" s="76"/>
      <c r="BNR48" s="76"/>
      <c r="BNS48" s="76"/>
      <c r="BNT48" s="76"/>
      <c r="BNU48" s="76"/>
      <c r="BNV48" s="76"/>
      <c r="BNW48" s="76"/>
      <c r="BNX48" s="76"/>
      <c r="BNY48" s="76"/>
      <c r="BNZ48" s="76"/>
      <c r="BOA48" s="76"/>
      <c r="BOB48" s="76"/>
      <c r="BOC48" s="76"/>
      <c r="BOD48" s="76"/>
      <c r="BOE48" s="76"/>
      <c r="BOF48" s="76"/>
      <c r="BOG48" s="76"/>
      <c r="BOH48" s="76"/>
      <c r="BOI48" s="76"/>
      <c r="BOJ48" s="76"/>
      <c r="BOK48" s="76"/>
      <c r="BOL48" s="76"/>
      <c r="BOM48" s="76"/>
      <c r="BON48" s="76"/>
      <c r="BOO48" s="76"/>
      <c r="BOP48" s="76"/>
      <c r="BOQ48" s="76"/>
      <c r="BOR48" s="76"/>
      <c r="BOS48" s="76"/>
      <c r="BOT48" s="76"/>
      <c r="BOU48" s="76"/>
      <c r="BOV48" s="76"/>
      <c r="BOW48" s="76"/>
      <c r="BOX48" s="76"/>
      <c r="BOY48" s="76"/>
      <c r="BOZ48" s="76"/>
      <c r="BPA48" s="76"/>
      <c r="BPB48" s="76"/>
      <c r="BPC48" s="76"/>
      <c r="BPD48" s="76"/>
      <c r="BPE48" s="76"/>
      <c r="BPF48" s="76"/>
      <c r="BPG48" s="76"/>
      <c r="BPH48" s="76"/>
      <c r="BPI48" s="76"/>
      <c r="BPJ48" s="76"/>
      <c r="BPK48" s="76"/>
      <c r="BPL48" s="76"/>
      <c r="BPM48" s="76"/>
      <c r="BPN48" s="76"/>
      <c r="BPO48" s="76"/>
      <c r="BPP48" s="76"/>
      <c r="BPQ48" s="76"/>
      <c r="BPR48" s="76"/>
      <c r="BPS48" s="76"/>
      <c r="BPT48" s="76"/>
      <c r="BPU48" s="76"/>
      <c r="BPV48" s="76"/>
      <c r="BPW48" s="76"/>
      <c r="BPX48" s="76"/>
      <c r="BPY48" s="76"/>
      <c r="BPZ48" s="76"/>
      <c r="BQA48" s="76"/>
      <c r="BQB48" s="76"/>
      <c r="BQC48" s="76"/>
      <c r="BQD48" s="76"/>
      <c r="BQE48" s="76"/>
      <c r="BQF48" s="76"/>
      <c r="BQG48" s="76"/>
      <c r="BQH48" s="76"/>
      <c r="BQI48" s="76"/>
      <c r="BQJ48" s="76"/>
      <c r="BQK48" s="76"/>
      <c r="BQL48" s="76"/>
      <c r="BQM48" s="76"/>
      <c r="BQN48" s="76"/>
      <c r="BQO48" s="76"/>
      <c r="BQP48" s="76"/>
      <c r="BQQ48" s="76"/>
      <c r="BQR48" s="76"/>
      <c r="BQS48" s="76"/>
      <c r="BQT48" s="76"/>
      <c r="BQU48" s="76"/>
      <c r="BQV48" s="76"/>
      <c r="BQW48" s="76"/>
      <c r="BQX48" s="76"/>
      <c r="BQY48" s="76"/>
      <c r="BQZ48" s="76"/>
      <c r="BRA48" s="76"/>
      <c r="BRB48" s="76"/>
      <c r="BRC48" s="76"/>
      <c r="BRD48" s="76"/>
      <c r="BRE48" s="76"/>
      <c r="BRF48" s="76"/>
      <c r="BRG48" s="76"/>
      <c r="BRH48" s="76"/>
      <c r="BRI48" s="76"/>
      <c r="BRJ48" s="76"/>
      <c r="BRK48" s="76"/>
      <c r="BRL48" s="76"/>
      <c r="BRM48" s="76"/>
      <c r="BRN48" s="76"/>
      <c r="BRO48" s="76"/>
      <c r="BRP48" s="76"/>
      <c r="BRQ48" s="76"/>
      <c r="BRR48" s="76"/>
      <c r="BRS48" s="76"/>
      <c r="BRT48" s="76"/>
      <c r="BRU48" s="76"/>
      <c r="BRV48" s="76"/>
      <c r="BRW48" s="76"/>
      <c r="BRX48" s="76"/>
      <c r="BRY48" s="76"/>
      <c r="BRZ48" s="76"/>
      <c r="BSA48" s="76"/>
      <c r="BSB48" s="76"/>
      <c r="BSC48" s="76"/>
      <c r="BSD48" s="76"/>
      <c r="BSE48" s="76"/>
      <c r="BSF48" s="76"/>
      <c r="BSG48" s="76"/>
      <c r="BSH48" s="76"/>
      <c r="BSI48" s="76"/>
      <c r="BSJ48" s="76"/>
      <c r="BSK48" s="76"/>
      <c r="BSL48" s="76"/>
      <c r="BSM48" s="76"/>
      <c r="BSN48" s="76"/>
      <c r="BSO48" s="76"/>
      <c r="BSP48" s="76"/>
      <c r="BSQ48" s="76"/>
      <c r="BSR48" s="76"/>
      <c r="BSS48" s="76"/>
      <c r="BST48" s="76"/>
      <c r="BSU48" s="76"/>
      <c r="BSV48" s="76"/>
      <c r="BSW48" s="76"/>
      <c r="BSX48" s="76"/>
      <c r="BSY48" s="76"/>
      <c r="BSZ48" s="76"/>
      <c r="BTA48" s="76"/>
      <c r="BTB48" s="76"/>
      <c r="BTC48" s="76"/>
      <c r="BTD48" s="76"/>
      <c r="BTE48" s="76"/>
      <c r="BTF48" s="76"/>
      <c r="BTG48" s="76"/>
      <c r="BTH48" s="76"/>
      <c r="BTI48" s="76"/>
      <c r="BTJ48" s="76"/>
      <c r="BTK48" s="76"/>
      <c r="BTL48" s="76"/>
      <c r="BTM48" s="76"/>
      <c r="BTN48" s="76"/>
      <c r="BTO48" s="76"/>
      <c r="BTP48" s="76"/>
      <c r="BTQ48" s="76"/>
      <c r="BTR48" s="76"/>
      <c r="BTS48" s="76"/>
      <c r="BTT48" s="76"/>
      <c r="BTU48" s="76"/>
      <c r="BTV48" s="76"/>
      <c r="BTW48" s="76"/>
      <c r="BTX48" s="76"/>
      <c r="BTY48" s="76"/>
      <c r="BTZ48" s="76"/>
      <c r="BUA48" s="76"/>
      <c r="BUB48" s="76"/>
      <c r="BUC48" s="76"/>
      <c r="BUD48" s="76"/>
      <c r="BUE48" s="76"/>
      <c r="BUF48" s="76"/>
      <c r="BUG48" s="76"/>
      <c r="BUH48" s="76"/>
      <c r="BUI48" s="76"/>
      <c r="BUJ48" s="76"/>
      <c r="BUK48" s="76"/>
      <c r="BUL48" s="76"/>
      <c r="BUM48" s="76"/>
      <c r="BUN48" s="76"/>
      <c r="BUO48" s="76"/>
      <c r="BUP48" s="76"/>
      <c r="BUQ48" s="76"/>
      <c r="BUR48" s="76"/>
      <c r="BUS48" s="76"/>
      <c r="BUT48" s="76"/>
      <c r="BUU48" s="76"/>
      <c r="BUV48" s="76"/>
      <c r="BUW48" s="76"/>
      <c r="BUX48" s="76"/>
      <c r="BUY48" s="76"/>
      <c r="BUZ48" s="76"/>
      <c r="BVA48" s="76"/>
      <c r="BVB48" s="76"/>
      <c r="BVC48" s="76"/>
      <c r="BVD48" s="76"/>
      <c r="BVE48" s="76"/>
      <c r="BVF48" s="76"/>
      <c r="BVG48" s="76"/>
      <c r="BVH48" s="76"/>
      <c r="BVI48" s="76"/>
      <c r="BVJ48" s="76"/>
      <c r="BVK48" s="76"/>
      <c r="BVL48" s="76"/>
      <c r="BVM48" s="76"/>
      <c r="BVN48" s="76"/>
      <c r="BVO48" s="76"/>
      <c r="BVP48" s="76"/>
      <c r="BVQ48" s="76"/>
      <c r="BVR48" s="76"/>
      <c r="BVS48" s="76"/>
      <c r="BVT48" s="76"/>
      <c r="BVU48" s="76"/>
      <c r="BVV48" s="76"/>
      <c r="BVW48" s="76"/>
      <c r="BVX48" s="76"/>
      <c r="BVY48" s="76"/>
      <c r="BVZ48" s="76"/>
      <c r="BWA48" s="76"/>
      <c r="BWB48" s="76"/>
      <c r="BWC48" s="76"/>
      <c r="BWD48" s="76"/>
      <c r="BWE48" s="76"/>
      <c r="BWF48" s="76"/>
      <c r="BWG48" s="76"/>
      <c r="BWH48" s="76"/>
      <c r="BWI48" s="76"/>
      <c r="BWJ48" s="76"/>
      <c r="BWK48" s="76"/>
      <c r="BWL48" s="76"/>
      <c r="BWM48" s="76"/>
      <c r="BWN48" s="76"/>
      <c r="BWO48" s="76"/>
      <c r="BWP48" s="76"/>
      <c r="BWQ48" s="76"/>
      <c r="BWR48" s="76"/>
      <c r="BWS48" s="76"/>
      <c r="BWT48" s="76"/>
      <c r="BWU48" s="76"/>
      <c r="BWV48" s="76"/>
      <c r="BWW48" s="76"/>
      <c r="BWX48" s="76"/>
      <c r="BWY48" s="76"/>
      <c r="BWZ48" s="76"/>
      <c r="BXA48" s="76"/>
      <c r="BXB48" s="76"/>
      <c r="BXC48" s="76"/>
      <c r="BXD48" s="76"/>
      <c r="BXE48" s="76"/>
      <c r="BXF48" s="76"/>
      <c r="BXG48" s="76"/>
      <c r="BXH48" s="76"/>
      <c r="BXI48" s="76"/>
      <c r="BXJ48" s="76"/>
      <c r="BXK48" s="76"/>
      <c r="BXL48" s="76"/>
      <c r="BXM48" s="76"/>
      <c r="BXN48" s="76"/>
      <c r="BXO48" s="76"/>
      <c r="BXP48" s="76"/>
      <c r="BXQ48" s="76"/>
      <c r="BXR48" s="76"/>
      <c r="BXS48" s="76"/>
      <c r="BXT48" s="76"/>
      <c r="BXU48" s="76"/>
      <c r="BXV48" s="76"/>
      <c r="BXW48" s="76"/>
      <c r="BXX48" s="76"/>
      <c r="BXY48" s="76"/>
      <c r="BXZ48" s="76"/>
      <c r="BYA48" s="76"/>
      <c r="BYB48" s="76"/>
      <c r="BYC48" s="76"/>
      <c r="BYD48" s="76"/>
      <c r="BYE48" s="76"/>
      <c r="BYF48" s="76"/>
      <c r="BYG48" s="76"/>
      <c r="BYH48" s="76"/>
      <c r="BYI48" s="76"/>
      <c r="BYJ48" s="76"/>
      <c r="BYK48" s="76"/>
      <c r="BYL48" s="76"/>
      <c r="BYM48" s="76"/>
      <c r="BYN48" s="76"/>
      <c r="BYO48" s="76"/>
      <c r="BYP48" s="76"/>
      <c r="BYQ48" s="76"/>
      <c r="BYR48" s="76"/>
      <c r="BYS48" s="76"/>
      <c r="BYT48" s="76"/>
      <c r="BYU48" s="76"/>
      <c r="BYV48" s="76"/>
      <c r="BYW48" s="76"/>
      <c r="BYX48" s="76"/>
      <c r="BYY48" s="76"/>
      <c r="BYZ48" s="76"/>
      <c r="BZA48" s="76"/>
      <c r="BZB48" s="76"/>
      <c r="BZC48" s="76"/>
      <c r="BZD48" s="76"/>
      <c r="BZE48" s="76"/>
      <c r="BZF48" s="76"/>
      <c r="BZG48" s="76"/>
      <c r="BZH48" s="76"/>
      <c r="BZI48" s="76"/>
      <c r="BZJ48" s="76"/>
      <c r="BZK48" s="76"/>
      <c r="BZL48" s="76"/>
      <c r="BZM48" s="76"/>
      <c r="BZN48" s="76"/>
      <c r="BZO48" s="76"/>
      <c r="BZP48" s="76"/>
      <c r="BZQ48" s="76"/>
      <c r="BZR48" s="76"/>
      <c r="BZS48" s="76"/>
      <c r="BZT48" s="76"/>
      <c r="BZU48" s="76"/>
      <c r="BZV48" s="76"/>
      <c r="BZW48" s="76"/>
      <c r="BZX48" s="76"/>
      <c r="BZY48" s="76"/>
      <c r="BZZ48" s="76"/>
      <c r="CAA48" s="76"/>
      <c r="CAB48" s="76"/>
      <c r="CAC48" s="76"/>
      <c r="CAD48" s="76"/>
      <c r="CAE48" s="76"/>
      <c r="CAF48" s="76"/>
      <c r="CAG48" s="76"/>
      <c r="CAH48" s="76"/>
      <c r="CAI48" s="76"/>
      <c r="CAJ48" s="76"/>
      <c r="CAK48" s="76"/>
      <c r="CAL48" s="76"/>
      <c r="CAM48" s="76"/>
      <c r="CAN48" s="76"/>
      <c r="CAO48" s="76"/>
      <c r="CAP48" s="76"/>
      <c r="CAQ48" s="76"/>
      <c r="CAR48" s="76"/>
      <c r="CAS48" s="76"/>
      <c r="CAT48" s="76"/>
      <c r="CAU48" s="76"/>
      <c r="CAV48" s="76"/>
      <c r="CAW48" s="76"/>
      <c r="CAX48" s="76"/>
      <c r="CAY48" s="76"/>
      <c r="CAZ48" s="76"/>
      <c r="CBA48" s="76"/>
      <c r="CBB48" s="76"/>
      <c r="CBC48" s="76"/>
      <c r="CBD48" s="76"/>
      <c r="CBE48" s="76"/>
      <c r="CBF48" s="76"/>
      <c r="CBG48" s="76"/>
      <c r="CBH48" s="76"/>
      <c r="CBI48" s="76"/>
      <c r="CBJ48" s="76"/>
      <c r="CBK48" s="76"/>
      <c r="CBL48" s="76"/>
      <c r="CBM48" s="76"/>
      <c r="CBN48" s="76"/>
      <c r="CBO48" s="76"/>
      <c r="CBP48" s="76"/>
      <c r="CBQ48" s="76"/>
      <c r="CBR48" s="76"/>
      <c r="CBS48" s="76"/>
      <c r="CBT48" s="76"/>
      <c r="CBU48" s="76"/>
      <c r="CBV48" s="76"/>
      <c r="CBW48" s="76"/>
      <c r="CBX48" s="76"/>
      <c r="CBY48" s="76"/>
      <c r="CBZ48" s="76"/>
      <c r="CCA48" s="76"/>
      <c r="CCB48" s="76"/>
      <c r="CCC48" s="76"/>
      <c r="CCD48" s="76"/>
      <c r="CCE48" s="76"/>
      <c r="CCF48" s="76"/>
      <c r="CCG48" s="76"/>
      <c r="CCH48" s="76"/>
      <c r="CCI48" s="76"/>
      <c r="CCJ48" s="76"/>
      <c r="CCK48" s="76"/>
      <c r="CCL48" s="76"/>
      <c r="CCM48" s="76"/>
      <c r="CCN48" s="76"/>
      <c r="CCO48" s="76"/>
      <c r="CCP48" s="76"/>
      <c r="CCQ48" s="76"/>
      <c r="CCR48" s="76"/>
      <c r="CCS48" s="76"/>
      <c r="CCT48" s="76"/>
      <c r="CCU48" s="76"/>
      <c r="CCV48" s="76"/>
      <c r="CCW48" s="76"/>
      <c r="CCX48" s="76"/>
      <c r="CCY48" s="76"/>
      <c r="CCZ48" s="76"/>
      <c r="CDA48" s="76"/>
      <c r="CDB48" s="76"/>
      <c r="CDC48" s="76"/>
      <c r="CDD48" s="76"/>
      <c r="CDE48" s="76"/>
      <c r="CDF48" s="76"/>
      <c r="CDG48" s="76"/>
      <c r="CDH48" s="76"/>
      <c r="CDI48" s="76"/>
      <c r="CDJ48" s="76"/>
      <c r="CDK48" s="76"/>
      <c r="CDL48" s="76"/>
      <c r="CDM48" s="76"/>
      <c r="CDN48" s="76"/>
      <c r="CDO48" s="76"/>
      <c r="CDP48" s="76"/>
      <c r="CDQ48" s="76"/>
      <c r="CDR48" s="76"/>
      <c r="CDS48" s="76"/>
      <c r="CDT48" s="76"/>
      <c r="CDU48" s="76"/>
      <c r="CDV48" s="76"/>
      <c r="CDW48" s="76"/>
      <c r="CDX48" s="76"/>
      <c r="CDY48" s="76"/>
      <c r="CDZ48" s="76"/>
      <c r="CEA48" s="76"/>
      <c r="CEB48" s="76"/>
      <c r="CEC48" s="76"/>
      <c r="CED48" s="76"/>
      <c r="CEE48" s="76"/>
      <c r="CEF48" s="76"/>
      <c r="CEG48" s="76"/>
      <c r="CEH48" s="76"/>
      <c r="CEI48" s="76"/>
      <c r="CEJ48" s="76"/>
      <c r="CEK48" s="76"/>
      <c r="CEL48" s="76"/>
      <c r="CEM48" s="76"/>
      <c r="CEN48" s="76"/>
      <c r="CEO48" s="76"/>
      <c r="CEP48" s="76"/>
      <c r="CEQ48" s="76"/>
      <c r="CER48" s="76"/>
      <c r="CES48" s="76"/>
      <c r="CET48" s="76"/>
      <c r="CEU48" s="76"/>
      <c r="CEV48" s="76"/>
      <c r="CEW48" s="76"/>
      <c r="CEX48" s="76"/>
      <c r="CEY48" s="76"/>
      <c r="CEZ48" s="76"/>
      <c r="CFA48" s="76"/>
      <c r="CFB48" s="76"/>
      <c r="CFC48" s="76"/>
      <c r="CFD48" s="76"/>
      <c r="CFE48" s="76"/>
      <c r="CFF48" s="76"/>
      <c r="CFG48" s="76"/>
      <c r="CFH48" s="76"/>
      <c r="CFI48" s="76"/>
      <c r="CFJ48" s="76"/>
      <c r="CFK48" s="76"/>
      <c r="CFL48" s="76"/>
      <c r="CFM48" s="76"/>
      <c r="CFN48" s="76"/>
      <c r="CFO48" s="76"/>
      <c r="CFP48" s="76"/>
      <c r="CFQ48" s="76"/>
      <c r="CFR48" s="76"/>
      <c r="CFS48" s="76"/>
      <c r="CFT48" s="76"/>
      <c r="CFU48" s="76"/>
      <c r="CFV48" s="76"/>
      <c r="CFW48" s="76"/>
      <c r="CFX48" s="76"/>
      <c r="CFY48" s="76"/>
      <c r="CFZ48" s="76"/>
      <c r="CGA48" s="76"/>
      <c r="CGB48" s="76"/>
      <c r="CGC48" s="76"/>
      <c r="CGD48" s="76"/>
      <c r="CGE48" s="76"/>
      <c r="CGF48" s="76"/>
      <c r="CGG48" s="76"/>
      <c r="CGH48" s="76"/>
      <c r="CGI48" s="76"/>
      <c r="CGJ48" s="76"/>
      <c r="CGK48" s="76"/>
      <c r="CGL48" s="76"/>
      <c r="CGM48" s="76"/>
      <c r="CGN48" s="76"/>
      <c r="CGO48" s="76"/>
      <c r="CGP48" s="76"/>
      <c r="CGQ48" s="76"/>
      <c r="CGR48" s="76"/>
      <c r="CGS48" s="76"/>
      <c r="CGT48" s="76"/>
      <c r="CGU48" s="76"/>
      <c r="CGV48" s="76"/>
      <c r="CGW48" s="76"/>
      <c r="CGX48" s="76"/>
      <c r="CGY48" s="76"/>
      <c r="CGZ48" s="76"/>
      <c r="CHA48" s="76"/>
      <c r="CHB48" s="76"/>
      <c r="CHC48" s="76"/>
      <c r="CHD48" s="76"/>
      <c r="CHE48" s="76"/>
      <c r="CHF48" s="76"/>
      <c r="CHG48" s="76"/>
      <c r="CHH48" s="76"/>
      <c r="CHI48" s="76"/>
      <c r="CHJ48" s="76"/>
      <c r="CHK48" s="76"/>
      <c r="CHL48" s="76"/>
      <c r="CHM48" s="76"/>
      <c r="CHN48" s="76"/>
      <c r="CHO48" s="76"/>
      <c r="CHP48" s="76"/>
      <c r="CHQ48" s="76"/>
      <c r="CHR48" s="76"/>
      <c r="CHS48" s="76"/>
      <c r="CHT48" s="76"/>
      <c r="CHU48" s="76"/>
      <c r="CHV48" s="76"/>
      <c r="CHW48" s="76"/>
      <c r="CHX48" s="76"/>
      <c r="CHY48" s="76"/>
      <c r="CHZ48" s="76"/>
      <c r="CIA48" s="76"/>
      <c r="CIB48" s="76"/>
      <c r="CIC48" s="76"/>
      <c r="CID48" s="76"/>
      <c r="CIE48" s="76"/>
      <c r="CIF48" s="76"/>
      <c r="CIG48" s="76"/>
      <c r="CIH48" s="76"/>
      <c r="CII48" s="76"/>
      <c r="CIJ48" s="76"/>
      <c r="CIK48" s="76"/>
      <c r="CIL48" s="76"/>
      <c r="CIM48" s="76"/>
      <c r="CIN48" s="76"/>
      <c r="CIO48" s="76"/>
      <c r="CIP48" s="76"/>
      <c r="CIQ48" s="76"/>
      <c r="CIR48" s="76"/>
      <c r="CIS48" s="76"/>
      <c r="CIT48" s="76"/>
      <c r="CIU48" s="76"/>
      <c r="CIV48" s="76"/>
      <c r="CIW48" s="76"/>
      <c r="CIX48" s="76"/>
      <c r="CIY48" s="76"/>
      <c r="CIZ48" s="76"/>
      <c r="CJA48" s="76"/>
      <c r="CJB48" s="76"/>
      <c r="CJC48" s="76"/>
      <c r="CJD48" s="76"/>
      <c r="CJE48" s="76"/>
      <c r="CJF48" s="76"/>
      <c r="CJG48" s="76"/>
      <c r="CJH48" s="76"/>
      <c r="CJI48" s="76"/>
      <c r="CJJ48" s="76"/>
      <c r="CJK48" s="76"/>
      <c r="CJL48" s="76"/>
      <c r="CJM48" s="76"/>
      <c r="CJN48" s="76"/>
      <c r="CJO48" s="76"/>
      <c r="CJP48" s="76"/>
      <c r="CJQ48" s="76"/>
      <c r="CJR48" s="76"/>
      <c r="CJS48" s="76"/>
      <c r="CJT48" s="76"/>
      <c r="CJU48" s="76"/>
      <c r="CJV48" s="76"/>
      <c r="CJW48" s="76"/>
      <c r="CJX48" s="76"/>
      <c r="CJY48" s="76"/>
      <c r="CJZ48" s="76"/>
      <c r="CKA48" s="76"/>
      <c r="CKB48" s="76"/>
      <c r="CKC48" s="76"/>
      <c r="CKD48" s="76"/>
      <c r="CKE48" s="76"/>
      <c r="CKF48" s="76"/>
      <c r="CKG48" s="76"/>
      <c r="CKH48" s="76"/>
      <c r="CKI48" s="76"/>
      <c r="CKJ48" s="76"/>
      <c r="CKK48" s="76"/>
      <c r="CKL48" s="76"/>
      <c r="CKM48" s="76"/>
      <c r="CKN48" s="76"/>
      <c r="CKO48" s="76"/>
      <c r="CKP48" s="76"/>
      <c r="CKQ48" s="76"/>
      <c r="CKR48" s="76"/>
      <c r="CKS48" s="76"/>
      <c r="CKT48" s="76"/>
      <c r="CKU48" s="76"/>
      <c r="CKV48" s="76"/>
      <c r="CKW48" s="76"/>
      <c r="CKX48" s="76"/>
      <c r="CKY48" s="76"/>
      <c r="CKZ48" s="76"/>
      <c r="CLA48" s="76"/>
      <c r="CLB48" s="76"/>
      <c r="CLC48" s="76"/>
      <c r="CLD48" s="76"/>
      <c r="CLE48" s="76"/>
      <c r="CLF48" s="76"/>
      <c r="CLG48" s="76"/>
      <c r="CLH48" s="76"/>
      <c r="CLI48" s="76"/>
      <c r="CLJ48" s="76"/>
      <c r="CLK48" s="76"/>
      <c r="CLL48" s="76"/>
      <c r="CLM48" s="76"/>
      <c r="CLN48" s="76"/>
      <c r="CLO48" s="76"/>
      <c r="CLP48" s="76"/>
      <c r="CLQ48" s="76"/>
      <c r="CLR48" s="76"/>
      <c r="CLS48" s="76"/>
      <c r="CLT48" s="76"/>
      <c r="CLU48" s="76"/>
      <c r="CLV48" s="76"/>
      <c r="CLW48" s="76"/>
      <c r="CLX48" s="76"/>
      <c r="CLY48" s="76"/>
      <c r="CLZ48" s="76"/>
      <c r="CMA48" s="76"/>
      <c r="CMB48" s="76"/>
      <c r="CMC48" s="76"/>
      <c r="CMD48" s="76"/>
      <c r="CME48" s="76"/>
      <c r="CMF48" s="76"/>
      <c r="CMG48" s="76"/>
      <c r="CMH48" s="76"/>
      <c r="CMI48" s="76"/>
      <c r="CMJ48" s="76"/>
      <c r="CMK48" s="76"/>
      <c r="CML48" s="76"/>
      <c r="CMM48" s="76"/>
      <c r="CMN48" s="76"/>
      <c r="CMO48" s="76"/>
      <c r="CMP48" s="76"/>
      <c r="CMQ48" s="76"/>
      <c r="CMR48" s="76"/>
      <c r="CMS48" s="76"/>
      <c r="CMT48" s="76"/>
      <c r="CMU48" s="76"/>
      <c r="CMV48" s="76"/>
      <c r="CMW48" s="76"/>
      <c r="CMX48" s="76"/>
      <c r="CMY48" s="76"/>
      <c r="CMZ48" s="76"/>
      <c r="CNA48" s="76"/>
      <c r="CNB48" s="76"/>
      <c r="CNC48" s="76"/>
      <c r="CND48" s="76"/>
      <c r="CNE48" s="76"/>
      <c r="CNF48" s="76"/>
      <c r="CNG48" s="76"/>
      <c r="CNH48" s="76"/>
      <c r="CNI48" s="76"/>
      <c r="CNJ48" s="76"/>
      <c r="CNK48" s="76"/>
      <c r="CNL48" s="76"/>
      <c r="CNM48" s="76"/>
      <c r="CNN48" s="76"/>
      <c r="CNO48" s="76"/>
      <c r="CNP48" s="76"/>
      <c r="CNQ48" s="76"/>
      <c r="CNR48" s="76"/>
      <c r="CNS48" s="76"/>
      <c r="CNT48" s="76"/>
      <c r="CNU48" s="76"/>
      <c r="CNV48" s="76"/>
      <c r="CNW48" s="76"/>
      <c r="CNX48" s="76"/>
      <c r="CNY48" s="76"/>
      <c r="CNZ48" s="76"/>
      <c r="COA48" s="76"/>
      <c r="COB48" s="76"/>
      <c r="COC48" s="76"/>
      <c r="COD48" s="76"/>
      <c r="COE48" s="76"/>
      <c r="COF48" s="76"/>
      <c r="COG48" s="76"/>
      <c r="COH48" s="76"/>
      <c r="COI48" s="76"/>
      <c r="COJ48" s="76"/>
      <c r="COK48" s="76"/>
      <c r="COL48" s="76"/>
      <c r="COM48" s="76"/>
      <c r="CON48" s="76"/>
      <c r="COO48" s="76"/>
      <c r="COP48" s="76"/>
      <c r="COQ48" s="76"/>
      <c r="COR48" s="76"/>
      <c r="COS48" s="76"/>
      <c r="COT48" s="76"/>
      <c r="COU48" s="76"/>
      <c r="COV48" s="76"/>
      <c r="COW48" s="76"/>
      <c r="COX48" s="76"/>
      <c r="COY48" s="76"/>
      <c r="COZ48" s="76"/>
      <c r="CPA48" s="76"/>
      <c r="CPB48" s="76"/>
      <c r="CPC48" s="76"/>
      <c r="CPD48" s="76"/>
      <c r="CPE48" s="76"/>
      <c r="CPF48" s="76"/>
      <c r="CPG48" s="76"/>
      <c r="CPH48" s="76"/>
      <c r="CPI48" s="76"/>
      <c r="CPJ48" s="76"/>
      <c r="CPK48" s="76"/>
      <c r="CPL48" s="76"/>
      <c r="CPM48" s="76"/>
      <c r="CPN48" s="76"/>
      <c r="CPO48" s="76"/>
      <c r="CPP48" s="76"/>
      <c r="CPQ48" s="76"/>
      <c r="CPR48" s="76"/>
      <c r="CPS48" s="76"/>
      <c r="CPT48" s="76"/>
      <c r="CPU48" s="76"/>
      <c r="CPV48" s="76"/>
      <c r="CPW48" s="76"/>
      <c r="CPX48" s="76"/>
      <c r="CPY48" s="76"/>
      <c r="CPZ48" s="76"/>
      <c r="CQA48" s="76"/>
      <c r="CQB48" s="76"/>
      <c r="CQC48" s="76"/>
      <c r="CQD48" s="76"/>
      <c r="CQE48" s="76"/>
      <c r="CQF48" s="76"/>
      <c r="CQG48" s="76"/>
      <c r="CQH48" s="76"/>
      <c r="CQI48" s="76"/>
      <c r="CQJ48" s="76"/>
      <c r="CQK48" s="76"/>
      <c r="CQL48" s="76"/>
      <c r="CQM48" s="76"/>
      <c r="CQN48" s="76"/>
      <c r="CQO48" s="76"/>
      <c r="CQP48" s="76"/>
      <c r="CQQ48" s="76"/>
      <c r="CQR48" s="76"/>
      <c r="CQS48" s="76"/>
      <c r="CQT48" s="76"/>
      <c r="CQU48" s="76"/>
      <c r="CQV48" s="76"/>
      <c r="CQW48" s="76"/>
      <c r="CQX48" s="76"/>
      <c r="CQY48" s="76"/>
      <c r="CQZ48" s="76"/>
      <c r="CRA48" s="76"/>
      <c r="CRB48" s="76"/>
      <c r="CRC48" s="76"/>
      <c r="CRD48" s="76"/>
      <c r="CRE48" s="76"/>
      <c r="CRF48" s="76"/>
      <c r="CRG48" s="76"/>
      <c r="CRH48" s="76"/>
      <c r="CRI48" s="76"/>
      <c r="CRJ48" s="76"/>
      <c r="CRK48" s="76"/>
      <c r="CRL48" s="76"/>
      <c r="CRM48" s="76"/>
      <c r="CRN48" s="76"/>
      <c r="CRO48" s="76"/>
      <c r="CRP48" s="76"/>
      <c r="CRQ48" s="76"/>
      <c r="CRR48" s="76"/>
      <c r="CRS48" s="76"/>
      <c r="CRT48" s="76"/>
      <c r="CRU48" s="76"/>
      <c r="CRV48" s="76"/>
      <c r="CRW48" s="76"/>
      <c r="CRX48" s="76"/>
      <c r="CRY48" s="76"/>
      <c r="CRZ48" s="76"/>
      <c r="CSA48" s="76"/>
      <c r="CSB48" s="76"/>
      <c r="CSC48" s="76"/>
      <c r="CSD48" s="76"/>
      <c r="CSE48" s="76"/>
      <c r="CSF48" s="76"/>
      <c r="CSG48" s="76"/>
      <c r="CSH48" s="76"/>
      <c r="CSI48" s="76"/>
      <c r="CSJ48" s="76"/>
      <c r="CSK48" s="76"/>
      <c r="CSL48" s="76"/>
      <c r="CSM48" s="76"/>
      <c r="CSN48" s="76"/>
      <c r="CSO48" s="76"/>
      <c r="CSP48" s="76"/>
      <c r="CSQ48" s="76"/>
      <c r="CSR48" s="76"/>
      <c r="CSS48" s="76"/>
      <c r="CST48" s="76"/>
      <c r="CSU48" s="76"/>
      <c r="CSV48" s="76"/>
      <c r="CSW48" s="76"/>
      <c r="CSX48" s="76"/>
      <c r="CSY48" s="76"/>
      <c r="CSZ48" s="76"/>
      <c r="CTA48" s="76"/>
      <c r="CTB48" s="76"/>
      <c r="CTC48" s="76"/>
      <c r="CTD48" s="76"/>
      <c r="CTE48" s="76"/>
      <c r="CTF48" s="76"/>
      <c r="CTG48" s="76"/>
      <c r="CTH48" s="76"/>
      <c r="CTI48" s="76"/>
      <c r="CTJ48" s="76"/>
      <c r="CTK48" s="76"/>
      <c r="CTL48" s="76"/>
      <c r="CTM48" s="76"/>
      <c r="CTN48" s="76"/>
      <c r="CTO48" s="76"/>
      <c r="CTP48" s="76"/>
      <c r="CTQ48" s="76"/>
      <c r="CTR48" s="76"/>
      <c r="CTS48" s="76"/>
      <c r="CTT48" s="76"/>
      <c r="CTU48" s="76"/>
      <c r="CTV48" s="76"/>
      <c r="CTW48" s="76"/>
      <c r="CTX48" s="76"/>
      <c r="CTY48" s="76"/>
      <c r="CTZ48" s="76"/>
      <c r="CUA48" s="76"/>
      <c r="CUB48" s="76"/>
      <c r="CUC48" s="76"/>
      <c r="CUD48" s="76"/>
      <c r="CUE48" s="76"/>
      <c r="CUF48" s="76"/>
      <c r="CUG48" s="76"/>
      <c r="CUH48" s="76"/>
      <c r="CUI48" s="76"/>
      <c r="CUJ48" s="76"/>
      <c r="CUK48" s="76"/>
      <c r="CUL48" s="76"/>
      <c r="CUM48" s="76"/>
      <c r="CUN48" s="76"/>
      <c r="CUO48" s="76"/>
      <c r="CUP48" s="76"/>
      <c r="CUQ48" s="76"/>
      <c r="CUR48" s="76"/>
      <c r="CUS48" s="76"/>
      <c r="CUT48" s="76"/>
      <c r="CUU48" s="76"/>
      <c r="CUV48" s="76"/>
      <c r="CUW48" s="76"/>
      <c r="CUX48" s="76"/>
      <c r="CUY48" s="76"/>
      <c r="CUZ48" s="76"/>
      <c r="CVA48" s="76"/>
      <c r="CVB48" s="76"/>
      <c r="CVC48" s="76"/>
      <c r="CVD48" s="76"/>
      <c r="CVE48" s="76"/>
      <c r="CVF48" s="76"/>
      <c r="CVG48" s="76"/>
      <c r="CVH48" s="76"/>
      <c r="CVI48" s="76"/>
      <c r="CVJ48" s="76"/>
      <c r="CVK48" s="76"/>
      <c r="CVL48" s="76"/>
      <c r="CVM48" s="76"/>
      <c r="CVN48" s="76"/>
      <c r="CVO48" s="76"/>
      <c r="CVP48" s="76"/>
      <c r="CVQ48" s="76"/>
      <c r="CVR48" s="76"/>
      <c r="CVS48" s="76"/>
      <c r="CVT48" s="76"/>
      <c r="CVU48" s="76"/>
      <c r="CVV48" s="76"/>
      <c r="CVW48" s="76"/>
      <c r="CVX48" s="76"/>
      <c r="CVY48" s="76"/>
      <c r="CVZ48" s="76"/>
      <c r="CWA48" s="76"/>
      <c r="CWB48" s="76"/>
      <c r="CWC48" s="76"/>
      <c r="CWD48" s="76"/>
      <c r="CWE48" s="76"/>
      <c r="CWF48" s="76"/>
      <c r="CWG48" s="76"/>
      <c r="CWH48" s="76"/>
      <c r="CWI48" s="76"/>
      <c r="CWJ48" s="76"/>
      <c r="CWK48" s="76"/>
      <c r="CWL48" s="76"/>
      <c r="CWM48" s="76"/>
      <c r="CWN48" s="76"/>
      <c r="CWO48" s="76"/>
      <c r="CWP48" s="76"/>
      <c r="CWQ48" s="76"/>
      <c r="CWR48" s="76"/>
      <c r="CWS48" s="76"/>
      <c r="CWT48" s="76"/>
      <c r="CWU48" s="76"/>
      <c r="CWV48" s="76"/>
      <c r="CWW48" s="76"/>
      <c r="CWX48" s="76"/>
      <c r="CWY48" s="76"/>
      <c r="CWZ48" s="76"/>
      <c r="CXA48" s="76"/>
      <c r="CXB48" s="76"/>
      <c r="CXC48" s="76"/>
      <c r="CXD48" s="76"/>
      <c r="CXE48" s="76"/>
      <c r="CXF48" s="76"/>
      <c r="CXG48" s="76"/>
      <c r="CXH48" s="76"/>
      <c r="CXI48" s="76"/>
      <c r="CXJ48" s="76"/>
      <c r="CXK48" s="76"/>
      <c r="CXL48" s="76"/>
      <c r="CXM48" s="76"/>
      <c r="CXN48" s="76"/>
      <c r="CXO48" s="76"/>
      <c r="CXP48" s="76"/>
      <c r="CXQ48" s="76"/>
      <c r="CXR48" s="76"/>
      <c r="CXS48" s="76"/>
      <c r="CXT48" s="76"/>
      <c r="CXU48" s="76"/>
      <c r="CXV48" s="76"/>
      <c r="CXW48" s="76"/>
      <c r="CXX48" s="76"/>
      <c r="CXY48" s="76"/>
      <c r="CXZ48" s="76"/>
      <c r="CYA48" s="76"/>
      <c r="CYB48" s="76"/>
      <c r="CYC48" s="76"/>
      <c r="CYD48" s="76"/>
      <c r="CYE48" s="76"/>
      <c r="CYF48" s="76"/>
      <c r="CYG48" s="76"/>
      <c r="CYH48" s="76"/>
      <c r="CYI48" s="76"/>
      <c r="CYJ48" s="76"/>
      <c r="CYK48" s="76"/>
      <c r="CYL48" s="76"/>
      <c r="CYM48" s="76"/>
      <c r="CYN48" s="76"/>
      <c r="CYO48" s="76"/>
      <c r="CYP48" s="76"/>
      <c r="CYQ48" s="76"/>
      <c r="CYR48" s="76"/>
      <c r="CYS48" s="76"/>
      <c r="CYT48" s="76"/>
      <c r="CYU48" s="76"/>
      <c r="CYV48" s="76"/>
      <c r="CYW48" s="76"/>
      <c r="CYX48" s="76"/>
      <c r="CYY48" s="76"/>
      <c r="CYZ48" s="76"/>
      <c r="CZA48" s="76"/>
      <c r="CZB48" s="76"/>
      <c r="CZC48" s="76"/>
      <c r="CZD48" s="76"/>
      <c r="CZE48" s="76"/>
      <c r="CZF48" s="76"/>
      <c r="CZG48" s="76"/>
      <c r="CZH48" s="76"/>
      <c r="CZI48" s="76"/>
      <c r="CZJ48" s="76"/>
      <c r="CZK48" s="76"/>
      <c r="CZL48" s="76"/>
      <c r="CZM48" s="76"/>
      <c r="CZN48" s="76"/>
      <c r="CZO48" s="76"/>
      <c r="CZP48" s="76"/>
      <c r="CZQ48" s="76"/>
      <c r="CZR48" s="76"/>
      <c r="CZS48" s="76"/>
      <c r="CZT48" s="76"/>
      <c r="CZU48" s="76"/>
      <c r="CZV48" s="76"/>
      <c r="CZW48" s="76"/>
      <c r="CZX48" s="76"/>
      <c r="CZY48" s="76"/>
      <c r="CZZ48" s="76"/>
      <c r="DAA48" s="76"/>
      <c r="DAB48" s="76"/>
      <c r="DAC48" s="76"/>
      <c r="DAD48" s="76"/>
      <c r="DAE48" s="76"/>
      <c r="DAF48" s="76"/>
      <c r="DAG48" s="76"/>
      <c r="DAH48" s="76"/>
      <c r="DAI48" s="76"/>
      <c r="DAJ48" s="76"/>
      <c r="DAK48" s="76"/>
      <c r="DAL48" s="76"/>
      <c r="DAM48" s="76"/>
      <c r="DAN48" s="76"/>
      <c r="DAO48" s="76"/>
      <c r="DAP48" s="76"/>
      <c r="DAQ48" s="76"/>
      <c r="DAR48" s="76"/>
      <c r="DAS48" s="76"/>
      <c r="DAT48" s="76"/>
      <c r="DAU48" s="76"/>
      <c r="DAV48" s="76"/>
      <c r="DAW48" s="76"/>
      <c r="DAX48" s="76"/>
      <c r="DAY48" s="76"/>
      <c r="DAZ48" s="76"/>
      <c r="DBA48" s="76"/>
      <c r="DBB48" s="76"/>
      <c r="DBC48" s="76"/>
      <c r="DBD48" s="76"/>
      <c r="DBE48" s="76"/>
      <c r="DBF48" s="76"/>
      <c r="DBG48" s="76"/>
      <c r="DBH48" s="76"/>
      <c r="DBI48" s="76"/>
      <c r="DBJ48" s="76"/>
      <c r="DBK48" s="76"/>
      <c r="DBL48" s="76"/>
      <c r="DBM48" s="76"/>
      <c r="DBN48" s="76"/>
      <c r="DBO48" s="76"/>
      <c r="DBP48" s="76"/>
      <c r="DBQ48" s="76"/>
      <c r="DBR48" s="76"/>
      <c r="DBS48" s="76"/>
      <c r="DBT48" s="76"/>
      <c r="DBU48" s="76"/>
      <c r="DBV48" s="76"/>
      <c r="DBW48" s="76"/>
      <c r="DBX48" s="76"/>
      <c r="DBY48" s="76"/>
      <c r="DBZ48" s="76"/>
      <c r="DCA48" s="76"/>
      <c r="DCB48" s="76"/>
      <c r="DCC48" s="76"/>
      <c r="DCD48" s="76"/>
      <c r="DCE48" s="76"/>
      <c r="DCF48" s="76"/>
      <c r="DCG48" s="76"/>
      <c r="DCH48" s="76"/>
      <c r="DCI48" s="76"/>
      <c r="DCJ48" s="76"/>
      <c r="DCK48" s="76"/>
      <c r="DCL48" s="76"/>
      <c r="DCM48" s="76"/>
      <c r="DCN48" s="76"/>
      <c r="DCO48" s="76"/>
      <c r="DCP48" s="76"/>
      <c r="DCQ48" s="76"/>
      <c r="DCR48" s="76"/>
      <c r="DCS48" s="76"/>
      <c r="DCT48" s="76"/>
      <c r="DCU48" s="76"/>
      <c r="DCV48" s="76"/>
      <c r="DCW48" s="76"/>
      <c r="DCX48" s="76"/>
      <c r="DCY48" s="76"/>
      <c r="DCZ48" s="76"/>
      <c r="DDA48" s="76"/>
      <c r="DDB48" s="76"/>
      <c r="DDC48" s="76"/>
      <c r="DDD48" s="76"/>
      <c r="DDE48" s="76"/>
      <c r="DDF48" s="76"/>
      <c r="DDG48" s="76"/>
      <c r="DDH48" s="76"/>
      <c r="DDI48" s="76"/>
      <c r="DDJ48" s="76"/>
      <c r="DDK48" s="76"/>
      <c r="DDL48" s="76"/>
      <c r="DDM48" s="76"/>
      <c r="DDN48" s="76"/>
      <c r="DDO48" s="76"/>
      <c r="DDP48" s="76"/>
      <c r="DDQ48" s="76"/>
      <c r="DDR48" s="76"/>
      <c r="DDS48" s="76"/>
      <c r="DDT48" s="76"/>
      <c r="DDU48" s="76"/>
      <c r="DDV48" s="76"/>
      <c r="DDW48" s="76"/>
      <c r="DDX48" s="76"/>
      <c r="DDY48" s="76"/>
      <c r="DDZ48" s="76"/>
      <c r="DEA48" s="76"/>
      <c r="DEB48" s="76"/>
      <c r="DEC48" s="76"/>
      <c r="DED48" s="76"/>
      <c r="DEE48" s="76"/>
      <c r="DEF48" s="76"/>
      <c r="DEG48" s="76"/>
      <c r="DEH48" s="76"/>
      <c r="DEI48" s="76"/>
      <c r="DEJ48" s="76"/>
      <c r="DEK48" s="76"/>
      <c r="DEL48" s="76"/>
      <c r="DEM48" s="76"/>
      <c r="DEN48" s="76"/>
      <c r="DEO48" s="76"/>
      <c r="DEP48" s="76"/>
      <c r="DEQ48" s="76"/>
      <c r="DER48" s="76"/>
      <c r="DES48" s="76"/>
      <c r="DET48" s="76"/>
      <c r="DEU48" s="76"/>
      <c r="DEV48" s="76"/>
      <c r="DEW48" s="76"/>
      <c r="DEX48" s="76"/>
      <c r="DEY48" s="76"/>
      <c r="DEZ48" s="76"/>
      <c r="DFA48" s="76"/>
      <c r="DFB48" s="76"/>
      <c r="DFC48" s="76"/>
      <c r="DFD48" s="76"/>
      <c r="DFE48" s="76"/>
      <c r="DFF48" s="76"/>
      <c r="DFG48" s="76"/>
      <c r="DFH48" s="76"/>
      <c r="DFI48" s="76"/>
      <c r="DFJ48" s="76"/>
      <c r="DFK48" s="76"/>
      <c r="DFL48" s="76"/>
      <c r="DFM48" s="76"/>
      <c r="DFN48" s="76"/>
      <c r="DFO48" s="76"/>
      <c r="DFP48" s="76"/>
      <c r="DFQ48" s="76"/>
      <c r="DFR48" s="76"/>
      <c r="DFS48" s="76"/>
      <c r="DFT48" s="76"/>
      <c r="DFU48" s="76"/>
      <c r="DFV48" s="76"/>
      <c r="DFW48" s="76"/>
      <c r="DFX48" s="76"/>
      <c r="DFY48" s="76"/>
      <c r="DFZ48" s="76"/>
      <c r="DGA48" s="76"/>
      <c r="DGB48" s="76"/>
      <c r="DGC48" s="76"/>
      <c r="DGD48" s="76"/>
      <c r="DGE48" s="76"/>
      <c r="DGF48" s="76"/>
      <c r="DGG48" s="76"/>
      <c r="DGH48" s="76"/>
      <c r="DGI48" s="76"/>
      <c r="DGJ48" s="76"/>
      <c r="DGK48" s="76"/>
      <c r="DGL48" s="76"/>
      <c r="DGM48" s="76"/>
      <c r="DGN48" s="76"/>
      <c r="DGO48" s="76"/>
      <c r="DGP48" s="76"/>
      <c r="DGQ48" s="76"/>
      <c r="DGR48" s="76"/>
      <c r="DGS48" s="76"/>
      <c r="DGT48" s="76"/>
      <c r="DGU48" s="76"/>
      <c r="DGV48" s="76"/>
      <c r="DGW48" s="76"/>
      <c r="DGX48" s="76"/>
      <c r="DGY48" s="76"/>
      <c r="DGZ48" s="76"/>
      <c r="DHA48" s="76"/>
      <c r="DHB48" s="76"/>
      <c r="DHC48" s="76"/>
      <c r="DHD48" s="76"/>
      <c r="DHE48" s="76"/>
      <c r="DHF48" s="76"/>
      <c r="DHG48" s="76"/>
      <c r="DHH48" s="76"/>
      <c r="DHI48" s="76"/>
      <c r="DHJ48" s="76"/>
      <c r="DHK48" s="76"/>
      <c r="DHL48" s="76"/>
      <c r="DHM48" s="76"/>
      <c r="DHN48" s="76"/>
      <c r="DHO48" s="76"/>
      <c r="DHP48" s="76"/>
      <c r="DHQ48" s="76"/>
      <c r="DHR48" s="76"/>
      <c r="DHS48" s="76"/>
      <c r="DHT48" s="76"/>
      <c r="DHU48" s="76"/>
      <c r="DHV48" s="76"/>
      <c r="DHW48" s="76"/>
      <c r="DHX48" s="76"/>
      <c r="DHY48" s="76"/>
      <c r="DHZ48" s="76"/>
      <c r="DIA48" s="76"/>
      <c r="DIB48" s="76"/>
      <c r="DIC48" s="76"/>
      <c r="DID48" s="76"/>
      <c r="DIE48" s="76"/>
      <c r="DIF48" s="76"/>
      <c r="DIG48" s="76"/>
      <c r="DIH48" s="76"/>
      <c r="DII48" s="76"/>
      <c r="DIJ48" s="76"/>
      <c r="DIK48" s="76"/>
      <c r="DIL48" s="76"/>
      <c r="DIM48" s="76"/>
      <c r="DIN48" s="76"/>
      <c r="DIO48" s="76"/>
      <c r="DIP48" s="76"/>
      <c r="DIQ48" s="76"/>
      <c r="DIR48" s="76"/>
      <c r="DIS48" s="76"/>
      <c r="DIT48" s="76"/>
      <c r="DIU48" s="76"/>
      <c r="DIV48" s="76"/>
      <c r="DIW48" s="76"/>
      <c r="DIX48" s="76"/>
      <c r="DIY48" s="76"/>
      <c r="DIZ48" s="76"/>
      <c r="DJA48" s="76"/>
      <c r="DJB48" s="76"/>
      <c r="DJC48" s="76"/>
      <c r="DJD48" s="76"/>
      <c r="DJE48" s="76"/>
      <c r="DJF48" s="76"/>
      <c r="DJG48" s="76"/>
      <c r="DJH48" s="76"/>
      <c r="DJI48" s="76"/>
      <c r="DJJ48" s="76"/>
      <c r="DJK48" s="76"/>
      <c r="DJL48" s="76"/>
      <c r="DJM48" s="76"/>
      <c r="DJN48" s="76"/>
      <c r="DJO48" s="76"/>
      <c r="DJP48" s="76"/>
      <c r="DJQ48" s="76"/>
      <c r="DJR48" s="76"/>
      <c r="DJS48" s="76"/>
      <c r="DJT48" s="76"/>
      <c r="DJU48" s="76"/>
      <c r="DJV48" s="76"/>
      <c r="DJW48" s="76"/>
      <c r="DJX48" s="76"/>
      <c r="DJY48" s="76"/>
      <c r="DJZ48" s="76"/>
      <c r="DKA48" s="76"/>
      <c r="DKB48" s="76"/>
      <c r="DKC48" s="76"/>
      <c r="DKD48" s="76"/>
      <c r="DKE48" s="76"/>
      <c r="DKF48" s="76"/>
      <c r="DKG48" s="76"/>
      <c r="DKH48" s="76"/>
      <c r="DKI48" s="76"/>
      <c r="DKJ48" s="76"/>
      <c r="DKK48" s="76"/>
      <c r="DKL48" s="76"/>
      <c r="DKM48" s="76"/>
      <c r="DKN48" s="76"/>
      <c r="DKO48" s="76"/>
      <c r="DKP48" s="76"/>
      <c r="DKQ48" s="76"/>
      <c r="DKR48" s="76"/>
      <c r="DKS48" s="76"/>
      <c r="DKT48" s="76"/>
      <c r="DKU48" s="76"/>
      <c r="DKV48" s="76"/>
      <c r="DKW48" s="76"/>
      <c r="DKX48" s="76"/>
      <c r="DKY48" s="76"/>
      <c r="DKZ48" s="76"/>
      <c r="DLA48" s="76"/>
      <c r="DLB48" s="76"/>
      <c r="DLC48" s="76"/>
      <c r="DLD48" s="76"/>
      <c r="DLE48" s="76"/>
      <c r="DLF48" s="76"/>
      <c r="DLG48" s="76"/>
      <c r="DLH48" s="76"/>
      <c r="DLI48" s="76"/>
      <c r="DLJ48" s="76"/>
      <c r="DLK48" s="76"/>
      <c r="DLL48" s="76"/>
      <c r="DLM48" s="76"/>
      <c r="DLN48" s="76"/>
      <c r="DLO48" s="76"/>
      <c r="DLP48" s="76"/>
      <c r="DLQ48" s="76"/>
      <c r="DLR48" s="76"/>
      <c r="DLS48" s="76"/>
      <c r="DLT48" s="76"/>
      <c r="DLU48" s="76"/>
      <c r="DLV48" s="76"/>
      <c r="DLW48" s="76"/>
      <c r="DLX48" s="76"/>
      <c r="DLY48" s="76"/>
      <c r="DLZ48" s="76"/>
      <c r="DMA48" s="76"/>
      <c r="DMB48" s="76"/>
      <c r="DMC48" s="76"/>
      <c r="DMD48" s="76"/>
      <c r="DME48" s="76"/>
      <c r="DMF48" s="76"/>
      <c r="DMG48" s="76"/>
      <c r="DMH48" s="76"/>
      <c r="DMI48" s="76"/>
      <c r="DMJ48" s="76"/>
      <c r="DMK48" s="76"/>
      <c r="DML48" s="76"/>
      <c r="DMM48" s="76"/>
      <c r="DMN48" s="76"/>
      <c r="DMO48" s="76"/>
      <c r="DMP48" s="76"/>
      <c r="DMQ48" s="76"/>
      <c r="DMR48" s="76"/>
      <c r="DMS48" s="76"/>
      <c r="DMT48" s="76"/>
      <c r="DMU48" s="76"/>
      <c r="DMV48" s="76"/>
      <c r="DMW48" s="76"/>
      <c r="DMX48" s="76"/>
      <c r="DMY48" s="76"/>
      <c r="DMZ48" s="76"/>
      <c r="DNA48" s="76"/>
      <c r="DNB48" s="76"/>
      <c r="DNC48" s="76"/>
      <c r="DND48" s="76"/>
      <c r="DNE48" s="76"/>
      <c r="DNF48" s="76"/>
      <c r="DNG48" s="76"/>
      <c r="DNH48" s="76"/>
      <c r="DNI48" s="76"/>
      <c r="DNJ48" s="76"/>
      <c r="DNK48" s="76"/>
      <c r="DNL48" s="76"/>
      <c r="DNM48" s="76"/>
      <c r="DNN48" s="76"/>
      <c r="DNO48" s="76"/>
      <c r="DNP48" s="76"/>
      <c r="DNQ48" s="76"/>
      <c r="DNR48" s="76"/>
      <c r="DNS48" s="76"/>
      <c r="DNT48" s="76"/>
      <c r="DNU48" s="76"/>
      <c r="DNV48" s="76"/>
      <c r="DNW48" s="76"/>
      <c r="DNX48" s="76"/>
      <c r="DNY48" s="76"/>
      <c r="DNZ48" s="76"/>
      <c r="DOA48" s="76"/>
      <c r="DOB48" s="76"/>
      <c r="DOC48" s="76"/>
      <c r="DOD48" s="76"/>
      <c r="DOE48" s="76"/>
      <c r="DOF48" s="76"/>
      <c r="DOG48" s="76"/>
      <c r="DOH48" s="76"/>
      <c r="DOI48" s="76"/>
      <c r="DOJ48" s="76"/>
      <c r="DOK48" s="76"/>
      <c r="DOL48" s="76"/>
      <c r="DOM48" s="76"/>
      <c r="DON48" s="76"/>
      <c r="DOO48" s="76"/>
      <c r="DOP48" s="76"/>
      <c r="DOQ48" s="76"/>
      <c r="DOR48" s="76"/>
      <c r="DOS48" s="76"/>
      <c r="DOT48" s="76"/>
      <c r="DOU48" s="76"/>
      <c r="DOV48" s="76"/>
      <c r="DOW48" s="76"/>
      <c r="DOX48" s="76"/>
      <c r="DOY48" s="76"/>
      <c r="DOZ48" s="76"/>
      <c r="DPA48" s="76"/>
      <c r="DPB48" s="76"/>
      <c r="DPC48" s="76"/>
      <c r="DPD48" s="76"/>
      <c r="DPE48" s="76"/>
      <c r="DPF48" s="76"/>
      <c r="DPG48" s="76"/>
      <c r="DPH48" s="76"/>
      <c r="DPI48" s="76"/>
      <c r="DPJ48" s="76"/>
      <c r="DPK48" s="76"/>
      <c r="DPL48" s="76"/>
      <c r="DPM48" s="76"/>
      <c r="DPN48" s="76"/>
      <c r="DPO48" s="76"/>
      <c r="DPP48" s="76"/>
      <c r="DPQ48" s="76"/>
      <c r="DPR48" s="76"/>
      <c r="DPS48" s="76"/>
      <c r="DPT48" s="76"/>
      <c r="DPU48" s="76"/>
      <c r="DPV48" s="76"/>
      <c r="DPW48" s="76"/>
      <c r="DPX48" s="76"/>
      <c r="DPY48" s="76"/>
      <c r="DPZ48" s="76"/>
      <c r="DQA48" s="76"/>
      <c r="DQB48" s="76"/>
      <c r="DQC48" s="76"/>
      <c r="DQD48" s="76"/>
      <c r="DQE48" s="76"/>
      <c r="DQF48" s="76"/>
      <c r="DQG48" s="76"/>
      <c r="DQH48" s="76"/>
      <c r="DQI48" s="76"/>
      <c r="DQJ48" s="76"/>
      <c r="DQK48" s="76"/>
      <c r="DQL48" s="76"/>
      <c r="DQM48" s="76"/>
      <c r="DQN48" s="76"/>
      <c r="DQO48" s="76"/>
      <c r="DQP48" s="76"/>
      <c r="DQQ48" s="76"/>
      <c r="DQR48" s="76"/>
      <c r="DQS48" s="76"/>
      <c r="DQT48" s="76"/>
      <c r="DQU48" s="76"/>
      <c r="DQV48" s="76"/>
      <c r="DQW48" s="76"/>
      <c r="DQX48" s="76"/>
      <c r="DQY48" s="76"/>
      <c r="DQZ48" s="76"/>
      <c r="DRA48" s="76"/>
      <c r="DRB48" s="76"/>
      <c r="DRC48" s="76"/>
      <c r="DRD48" s="76"/>
      <c r="DRE48" s="76"/>
      <c r="DRF48" s="76"/>
      <c r="DRG48" s="76"/>
      <c r="DRH48" s="76"/>
      <c r="DRI48" s="76"/>
      <c r="DRJ48" s="76"/>
      <c r="DRK48" s="76"/>
      <c r="DRL48" s="76"/>
      <c r="DRM48" s="76"/>
      <c r="DRN48" s="76"/>
      <c r="DRO48" s="76"/>
      <c r="DRP48" s="76"/>
      <c r="DRQ48" s="76"/>
      <c r="DRR48" s="76"/>
      <c r="DRS48" s="76"/>
      <c r="DRT48" s="76"/>
      <c r="DRU48" s="76"/>
      <c r="DRV48" s="76"/>
      <c r="DRW48" s="76"/>
      <c r="DRX48" s="76"/>
      <c r="DRY48" s="76"/>
      <c r="DRZ48" s="76"/>
      <c r="DSA48" s="76"/>
      <c r="DSB48" s="76"/>
      <c r="DSC48" s="76"/>
      <c r="DSD48" s="76"/>
      <c r="DSE48" s="76"/>
      <c r="DSF48" s="76"/>
      <c r="DSG48" s="76"/>
      <c r="DSH48" s="76"/>
      <c r="DSI48" s="76"/>
      <c r="DSJ48" s="76"/>
      <c r="DSK48" s="76"/>
      <c r="DSL48" s="76"/>
      <c r="DSM48" s="76"/>
      <c r="DSN48" s="76"/>
      <c r="DSO48" s="76"/>
      <c r="DSP48" s="76"/>
      <c r="DSQ48" s="76"/>
      <c r="DSR48" s="76"/>
      <c r="DSS48" s="76"/>
      <c r="DST48" s="76"/>
      <c r="DSU48" s="76"/>
      <c r="DSV48" s="76"/>
      <c r="DSW48" s="76"/>
      <c r="DSX48" s="76"/>
      <c r="DSY48" s="76"/>
      <c r="DSZ48" s="76"/>
      <c r="DTA48" s="76"/>
      <c r="DTB48" s="76"/>
      <c r="DTC48" s="76"/>
      <c r="DTD48" s="76"/>
      <c r="DTE48" s="76"/>
      <c r="DTF48" s="76"/>
      <c r="DTG48" s="76"/>
      <c r="DTH48" s="76"/>
      <c r="DTI48" s="76"/>
      <c r="DTJ48" s="76"/>
      <c r="DTK48" s="76"/>
      <c r="DTL48" s="76"/>
      <c r="DTM48" s="76"/>
      <c r="DTN48" s="76"/>
      <c r="DTO48" s="76"/>
      <c r="DTP48" s="76"/>
      <c r="DTQ48" s="76"/>
      <c r="DTR48" s="76"/>
      <c r="DTS48" s="76"/>
      <c r="DTT48" s="76"/>
      <c r="DTU48" s="76"/>
      <c r="DTV48" s="76"/>
      <c r="DTW48" s="76"/>
      <c r="DTX48" s="76"/>
      <c r="DTY48" s="76"/>
      <c r="DTZ48" s="76"/>
      <c r="DUA48" s="76"/>
      <c r="DUB48" s="76"/>
      <c r="DUC48" s="76"/>
      <c r="DUD48" s="76"/>
      <c r="DUE48" s="76"/>
      <c r="DUF48" s="76"/>
      <c r="DUG48" s="76"/>
      <c r="DUH48" s="76"/>
      <c r="DUI48" s="76"/>
      <c r="DUJ48" s="76"/>
      <c r="DUK48" s="76"/>
      <c r="DUL48" s="76"/>
      <c r="DUM48" s="76"/>
      <c r="DUN48" s="76"/>
      <c r="DUO48" s="76"/>
      <c r="DUP48" s="76"/>
      <c r="DUQ48" s="76"/>
      <c r="DUR48" s="76"/>
      <c r="DUS48" s="76"/>
      <c r="DUT48" s="76"/>
      <c r="DUU48" s="76"/>
      <c r="DUV48" s="76"/>
      <c r="DUW48" s="76"/>
      <c r="DUX48" s="76"/>
      <c r="DUY48" s="76"/>
      <c r="DUZ48" s="76"/>
      <c r="DVA48" s="76"/>
      <c r="DVB48" s="76"/>
      <c r="DVC48" s="76"/>
      <c r="DVD48" s="76"/>
      <c r="DVE48" s="76"/>
      <c r="DVF48" s="76"/>
      <c r="DVG48" s="76"/>
      <c r="DVH48" s="76"/>
      <c r="DVI48" s="76"/>
      <c r="DVJ48" s="76"/>
      <c r="DVK48" s="76"/>
      <c r="DVL48" s="76"/>
      <c r="DVM48" s="76"/>
      <c r="DVN48" s="76"/>
      <c r="DVO48" s="76"/>
      <c r="DVP48" s="76"/>
      <c r="DVQ48" s="76"/>
      <c r="DVR48" s="76"/>
      <c r="DVS48" s="76"/>
      <c r="DVT48" s="76"/>
      <c r="DVU48" s="76"/>
      <c r="DVV48" s="76"/>
      <c r="DVW48" s="76"/>
      <c r="DVX48" s="76"/>
      <c r="DVY48" s="76"/>
      <c r="DVZ48" s="76"/>
      <c r="DWA48" s="76"/>
      <c r="DWB48" s="76"/>
      <c r="DWC48" s="76"/>
      <c r="DWD48" s="76"/>
      <c r="DWE48" s="76"/>
      <c r="DWF48" s="76"/>
      <c r="DWG48" s="76"/>
      <c r="DWH48" s="76"/>
      <c r="DWI48" s="76"/>
      <c r="DWJ48" s="76"/>
      <c r="DWK48" s="76"/>
      <c r="DWL48" s="76"/>
      <c r="DWM48" s="76"/>
      <c r="DWN48" s="76"/>
      <c r="DWO48" s="76"/>
      <c r="DWP48" s="76"/>
      <c r="DWQ48" s="76"/>
      <c r="DWR48" s="76"/>
      <c r="DWS48" s="76"/>
      <c r="DWT48" s="76"/>
      <c r="DWU48" s="76"/>
      <c r="DWV48" s="76"/>
      <c r="DWW48" s="76"/>
      <c r="DWX48" s="76"/>
      <c r="DWY48" s="76"/>
      <c r="DWZ48" s="76"/>
      <c r="DXA48" s="76"/>
      <c r="DXB48" s="76"/>
      <c r="DXC48" s="76"/>
      <c r="DXD48" s="76"/>
      <c r="DXE48" s="76"/>
      <c r="DXF48" s="76"/>
      <c r="DXG48" s="76"/>
      <c r="DXH48" s="76"/>
      <c r="DXI48" s="76"/>
      <c r="DXJ48" s="76"/>
      <c r="DXK48" s="76"/>
      <c r="DXL48" s="76"/>
      <c r="DXM48" s="76"/>
      <c r="DXN48" s="76"/>
      <c r="DXO48" s="76"/>
      <c r="DXP48" s="76"/>
      <c r="DXQ48" s="76"/>
      <c r="DXR48" s="76"/>
      <c r="DXS48" s="76"/>
      <c r="DXT48" s="76"/>
      <c r="DXU48" s="76"/>
      <c r="DXV48" s="76"/>
      <c r="DXW48" s="76"/>
      <c r="DXX48" s="76"/>
      <c r="DXY48" s="76"/>
      <c r="DXZ48" s="76"/>
      <c r="DYA48" s="76"/>
      <c r="DYB48" s="76"/>
      <c r="DYC48" s="76"/>
      <c r="DYD48" s="76"/>
      <c r="DYE48" s="76"/>
      <c r="DYF48" s="76"/>
      <c r="DYG48" s="76"/>
      <c r="DYH48" s="76"/>
      <c r="DYI48" s="76"/>
      <c r="DYJ48" s="76"/>
      <c r="DYK48" s="76"/>
      <c r="DYL48" s="76"/>
      <c r="DYM48" s="76"/>
      <c r="DYN48" s="76"/>
      <c r="DYO48" s="76"/>
      <c r="DYP48" s="76"/>
      <c r="DYQ48" s="76"/>
      <c r="DYR48" s="76"/>
      <c r="DYS48" s="76"/>
      <c r="DYT48" s="76"/>
      <c r="DYU48" s="76"/>
      <c r="DYV48" s="76"/>
      <c r="DYW48" s="76"/>
      <c r="DYX48" s="76"/>
      <c r="DYY48" s="76"/>
      <c r="DYZ48" s="76"/>
      <c r="DZA48" s="76"/>
      <c r="DZB48" s="76"/>
      <c r="DZC48" s="76"/>
      <c r="DZD48" s="76"/>
      <c r="DZE48" s="76"/>
      <c r="DZF48" s="76"/>
      <c r="DZG48" s="76"/>
      <c r="DZH48" s="76"/>
      <c r="DZI48" s="76"/>
      <c r="DZJ48" s="76"/>
      <c r="DZK48" s="76"/>
      <c r="DZL48" s="76"/>
      <c r="DZM48" s="76"/>
      <c r="DZN48" s="76"/>
      <c r="DZO48" s="76"/>
      <c r="DZP48" s="76"/>
      <c r="DZQ48" s="76"/>
      <c r="DZR48" s="76"/>
      <c r="DZS48" s="76"/>
      <c r="DZT48" s="76"/>
      <c r="DZU48" s="76"/>
      <c r="DZV48" s="76"/>
      <c r="DZW48" s="76"/>
      <c r="DZX48" s="76"/>
      <c r="DZY48" s="76"/>
      <c r="DZZ48" s="76"/>
      <c r="EAA48" s="76"/>
      <c r="EAB48" s="76"/>
      <c r="EAC48" s="76"/>
      <c r="EAD48" s="76"/>
      <c r="EAE48" s="76"/>
      <c r="EAF48" s="76"/>
      <c r="EAG48" s="76"/>
      <c r="EAH48" s="76"/>
      <c r="EAI48" s="76"/>
      <c r="EAJ48" s="76"/>
      <c r="EAK48" s="76"/>
      <c r="EAL48" s="76"/>
      <c r="EAM48" s="76"/>
      <c r="EAN48" s="76"/>
      <c r="EAO48" s="76"/>
      <c r="EAP48" s="76"/>
      <c r="EAQ48" s="76"/>
      <c r="EAR48" s="76"/>
      <c r="EAS48" s="76"/>
      <c r="EAT48" s="76"/>
      <c r="EAU48" s="76"/>
      <c r="EAV48" s="76"/>
      <c r="EAW48" s="76"/>
      <c r="EAX48" s="76"/>
      <c r="EAY48" s="76"/>
      <c r="EAZ48" s="76"/>
      <c r="EBA48" s="76"/>
      <c r="EBB48" s="76"/>
      <c r="EBC48" s="76"/>
      <c r="EBD48" s="76"/>
      <c r="EBE48" s="76"/>
      <c r="EBF48" s="76"/>
      <c r="EBG48" s="76"/>
      <c r="EBH48" s="76"/>
      <c r="EBI48" s="76"/>
      <c r="EBJ48" s="76"/>
      <c r="EBK48" s="76"/>
      <c r="EBL48" s="76"/>
      <c r="EBM48" s="76"/>
      <c r="EBN48" s="76"/>
      <c r="EBO48" s="76"/>
      <c r="EBP48" s="76"/>
      <c r="EBQ48" s="76"/>
      <c r="EBR48" s="76"/>
      <c r="EBS48" s="76"/>
      <c r="EBT48" s="76"/>
      <c r="EBU48" s="76"/>
      <c r="EBV48" s="76"/>
      <c r="EBW48" s="76"/>
      <c r="EBX48" s="76"/>
      <c r="EBY48" s="76"/>
      <c r="EBZ48" s="76"/>
      <c r="ECA48" s="76"/>
      <c r="ECB48" s="76"/>
      <c r="ECC48" s="76"/>
      <c r="ECD48" s="76"/>
      <c r="ECE48" s="76"/>
      <c r="ECF48" s="76"/>
      <c r="ECG48" s="76"/>
      <c r="ECH48" s="76"/>
      <c r="ECI48" s="76"/>
      <c r="ECJ48" s="76"/>
      <c r="ECK48" s="76"/>
      <c r="ECL48" s="76"/>
      <c r="ECM48" s="76"/>
      <c r="ECN48" s="76"/>
      <c r="ECO48" s="76"/>
      <c r="ECP48" s="76"/>
      <c r="ECQ48" s="76"/>
      <c r="ECR48" s="76"/>
      <c r="ECS48" s="76"/>
      <c r="ECT48" s="76"/>
      <c r="ECU48" s="76"/>
      <c r="ECV48" s="76"/>
      <c r="ECW48" s="76"/>
      <c r="ECX48" s="76"/>
      <c r="ECY48" s="76"/>
      <c r="ECZ48" s="76"/>
      <c r="EDA48" s="76"/>
      <c r="EDB48" s="76"/>
      <c r="EDC48" s="76"/>
      <c r="EDD48" s="76"/>
      <c r="EDE48" s="76"/>
      <c r="EDF48" s="76"/>
      <c r="EDG48" s="76"/>
      <c r="EDH48" s="76"/>
      <c r="EDI48" s="76"/>
      <c r="EDJ48" s="76"/>
      <c r="EDK48" s="76"/>
      <c r="EDL48" s="76"/>
      <c r="EDM48" s="76"/>
      <c r="EDN48" s="76"/>
      <c r="EDO48" s="76"/>
      <c r="EDP48" s="76"/>
      <c r="EDQ48" s="76"/>
      <c r="EDR48" s="76"/>
      <c r="EDS48" s="76"/>
      <c r="EDT48" s="76"/>
      <c r="EDU48" s="76"/>
      <c r="EDV48" s="76"/>
      <c r="EDW48" s="76"/>
      <c r="EDX48" s="76"/>
      <c r="EDY48" s="76"/>
      <c r="EDZ48" s="76"/>
      <c r="EEA48" s="76"/>
      <c r="EEB48" s="76"/>
      <c r="EEC48" s="76"/>
      <c r="EED48" s="76"/>
      <c r="EEE48" s="76"/>
      <c r="EEF48" s="76"/>
      <c r="EEG48" s="76"/>
      <c r="EEH48" s="76"/>
      <c r="EEI48" s="76"/>
      <c r="EEJ48" s="76"/>
      <c r="EEK48" s="76"/>
      <c r="EEL48" s="76"/>
      <c r="EEM48" s="76"/>
      <c r="EEN48" s="76"/>
      <c r="EEO48" s="76"/>
      <c r="EEP48" s="76"/>
      <c r="EEQ48" s="76"/>
      <c r="EER48" s="76"/>
      <c r="EES48" s="76"/>
      <c r="EET48" s="76"/>
      <c r="EEU48" s="76"/>
      <c r="EEV48" s="76"/>
      <c r="EEW48" s="76"/>
      <c r="EEX48" s="76"/>
      <c r="EEY48" s="76"/>
      <c r="EEZ48" s="76"/>
      <c r="EFA48" s="76"/>
      <c r="EFB48" s="76"/>
      <c r="EFC48" s="76"/>
      <c r="EFD48" s="76"/>
      <c r="EFE48" s="76"/>
      <c r="EFF48" s="76"/>
      <c r="EFG48" s="76"/>
      <c r="EFH48" s="76"/>
      <c r="EFI48" s="76"/>
      <c r="EFJ48" s="76"/>
      <c r="EFK48" s="76"/>
      <c r="EFL48" s="76"/>
      <c r="EFM48" s="76"/>
      <c r="EFN48" s="76"/>
      <c r="EFO48" s="76"/>
      <c r="EFP48" s="76"/>
      <c r="EFQ48" s="76"/>
      <c r="EFR48" s="76"/>
      <c r="EFS48" s="76"/>
      <c r="EFT48" s="76"/>
      <c r="EFU48" s="76"/>
      <c r="EFV48" s="76"/>
      <c r="EFW48" s="76"/>
      <c r="EFX48" s="76"/>
      <c r="EFY48" s="76"/>
      <c r="EFZ48" s="76"/>
      <c r="EGA48" s="76"/>
      <c r="EGB48" s="76"/>
      <c r="EGC48" s="76"/>
      <c r="EGD48" s="76"/>
      <c r="EGE48" s="76"/>
      <c r="EGF48" s="76"/>
      <c r="EGG48" s="76"/>
      <c r="EGH48" s="76"/>
      <c r="EGI48" s="76"/>
      <c r="EGJ48" s="76"/>
      <c r="EGK48" s="76"/>
      <c r="EGL48" s="76"/>
      <c r="EGM48" s="76"/>
      <c r="EGN48" s="76"/>
      <c r="EGO48" s="76"/>
      <c r="EGP48" s="76"/>
      <c r="EGQ48" s="76"/>
      <c r="EGR48" s="76"/>
      <c r="EGS48" s="76"/>
      <c r="EGT48" s="76"/>
      <c r="EGU48" s="76"/>
      <c r="EGV48" s="76"/>
      <c r="EGW48" s="76"/>
      <c r="EGX48" s="76"/>
      <c r="EGY48" s="76"/>
      <c r="EGZ48" s="76"/>
      <c r="EHA48" s="76"/>
      <c r="EHB48" s="76"/>
      <c r="EHC48" s="76"/>
      <c r="EHD48" s="76"/>
      <c r="EHE48" s="76"/>
      <c r="EHF48" s="76"/>
      <c r="EHG48" s="76"/>
      <c r="EHH48" s="76"/>
      <c r="EHI48" s="76"/>
      <c r="EHJ48" s="76"/>
      <c r="EHK48" s="76"/>
      <c r="EHL48" s="76"/>
      <c r="EHM48" s="76"/>
      <c r="EHN48" s="76"/>
      <c r="EHO48" s="76"/>
      <c r="EHP48" s="76"/>
      <c r="EHQ48" s="76"/>
      <c r="EHR48" s="76"/>
      <c r="EHS48" s="76"/>
      <c r="EHT48" s="76"/>
      <c r="EHU48" s="76"/>
      <c r="EHV48" s="76"/>
      <c r="EHW48" s="76"/>
      <c r="EHX48" s="76"/>
      <c r="EHY48" s="76"/>
      <c r="EHZ48" s="76"/>
      <c r="EIA48" s="76"/>
      <c r="EIB48" s="76"/>
      <c r="EIC48" s="76"/>
      <c r="EID48" s="76"/>
      <c r="EIE48" s="76"/>
      <c r="EIF48" s="76"/>
      <c r="EIG48" s="76"/>
      <c r="EIH48" s="76"/>
      <c r="EII48" s="76"/>
      <c r="EIJ48" s="76"/>
      <c r="EIK48" s="76"/>
      <c r="EIL48" s="76"/>
      <c r="EIM48" s="76"/>
      <c r="EIN48" s="76"/>
      <c r="EIO48" s="76"/>
      <c r="EIP48" s="76"/>
      <c r="EIQ48" s="76"/>
      <c r="EIR48" s="76"/>
      <c r="EIS48" s="76"/>
      <c r="EIT48" s="76"/>
      <c r="EIU48" s="76"/>
      <c r="EIV48" s="76"/>
      <c r="EIW48" s="76"/>
      <c r="EIX48" s="76"/>
      <c r="EIY48" s="76"/>
      <c r="EIZ48" s="76"/>
      <c r="EJA48" s="76"/>
      <c r="EJB48" s="76"/>
      <c r="EJC48" s="76"/>
      <c r="EJD48" s="76"/>
      <c r="EJE48" s="76"/>
      <c r="EJF48" s="76"/>
      <c r="EJG48" s="76"/>
      <c r="EJH48" s="76"/>
      <c r="EJI48" s="76"/>
      <c r="EJJ48" s="76"/>
      <c r="EJK48" s="76"/>
      <c r="EJL48" s="76"/>
      <c r="EJM48" s="76"/>
      <c r="EJN48" s="76"/>
      <c r="EJO48" s="76"/>
      <c r="EJP48" s="76"/>
      <c r="EJQ48" s="76"/>
      <c r="EJR48" s="76"/>
      <c r="EJS48" s="76"/>
      <c r="EJT48" s="76"/>
      <c r="EJU48" s="76"/>
      <c r="EJV48" s="76"/>
      <c r="EJW48" s="76"/>
      <c r="EJX48" s="76"/>
      <c r="EJY48" s="76"/>
      <c r="EJZ48" s="76"/>
      <c r="EKA48" s="76"/>
      <c r="EKB48" s="76"/>
      <c r="EKC48" s="76"/>
      <c r="EKD48" s="76"/>
      <c r="EKE48" s="76"/>
      <c r="EKF48" s="76"/>
      <c r="EKG48" s="76"/>
      <c r="EKH48" s="76"/>
      <c r="EKI48" s="76"/>
      <c r="EKJ48" s="76"/>
      <c r="EKK48" s="76"/>
      <c r="EKL48" s="76"/>
      <c r="EKM48" s="76"/>
      <c r="EKN48" s="76"/>
      <c r="EKO48" s="76"/>
      <c r="EKP48" s="76"/>
      <c r="EKQ48" s="76"/>
      <c r="EKR48" s="76"/>
      <c r="EKS48" s="76"/>
      <c r="EKT48" s="76"/>
      <c r="EKU48" s="76"/>
      <c r="EKV48" s="76"/>
      <c r="EKW48" s="76"/>
      <c r="EKX48" s="76"/>
      <c r="EKY48" s="76"/>
      <c r="EKZ48" s="76"/>
      <c r="ELA48" s="76"/>
      <c r="ELB48" s="76"/>
      <c r="ELC48" s="76"/>
      <c r="ELD48" s="76"/>
      <c r="ELE48" s="76"/>
      <c r="ELF48" s="76"/>
      <c r="ELG48" s="76"/>
      <c r="ELH48" s="76"/>
      <c r="ELI48" s="76"/>
      <c r="ELJ48" s="76"/>
      <c r="ELK48" s="76"/>
      <c r="ELL48" s="76"/>
      <c r="ELM48" s="76"/>
      <c r="ELN48" s="76"/>
      <c r="ELO48" s="76"/>
      <c r="ELP48" s="76"/>
      <c r="ELQ48" s="76"/>
      <c r="ELR48" s="76"/>
      <c r="ELS48" s="76"/>
      <c r="ELT48" s="76"/>
      <c r="ELU48" s="76"/>
      <c r="ELV48" s="76"/>
      <c r="ELW48" s="76"/>
      <c r="ELX48" s="76"/>
      <c r="ELY48" s="76"/>
      <c r="ELZ48" s="76"/>
      <c r="EMA48" s="76"/>
      <c r="EMB48" s="76"/>
      <c r="EMC48" s="76"/>
      <c r="EMD48" s="76"/>
      <c r="EME48" s="76"/>
      <c r="EMF48" s="76"/>
      <c r="EMG48" s="76"/>
      <c r="EMH48" s="76"/>
      <c r="EMI48" s="76"/>
      <c r="EMJ48" s="76"/>
      <c r="EMK48" s="76"/>
      <c r="EML48" s="76"/>
      <c r="EMM48" s="76"/>
      <c r="EMN48" s="76"/>
      <c r="EMO48" s="76"/>
      <c r="EMP48" s="76"/>
      <c r="EMQ48" s="76"/>
      <c r="EMR48" s="76"/>
      <c r="EMS48" s="76"/>
      <c r="EMT48" s="76"/>
      <c r="EMU48" s="76"/>
      <c r="EMV48" s="76"/>
      <c r="EMW48" s="76"/>
      <c r="EMX48" s="76"/>
      <c r="EMY48" s="76"/>
      <c r="EMZ48" s="76"/>
      <c r="ENA48" s="76"/>
      <c r="ENB48" s="76"/>
      <c r="ENC48" s="76"/>
      <c r="END48" s="76"/>
      <c r="ENE48" s="76"/>
      <c r="ENF48" s="76"/>
      <c r="ENG48" s="76"/>
      <c r="ENH48" s="76"/>
      <c r="ENI48" s="76"/>
      <c r="ENJ48" s="76"/>
      <c r="ENK48" s="76"/>
      <c r="ENL48" s="76"/>
      <c r="ENM48" s="76"/>
      <c r="ENN48" s="76"/>
      <c r="ENO48" s="76"/>
      <c r="ENP48" s="76"/>
      <c r="ENQ48" s="76"/>
      <c r="ENR48" s="76"/>
      <c r="ENS48" s="76"/>
      <c r="ENT48" s="76"/>
      <c r="ENU48" s="76"/>
      <c r="ENV48" s="76"/>
      <c r="ENW48" s="76"/>
      <c r="ENX48" s="76"/>
      <c r="ENY48" s="76"/>
      <c r="ENZ48" s="76"/>
      <c r="EOA48" s="76"/>
      <c r="EOB48" s="76"/>
      <c r="EOC48" s="76"/>
      <c r="EOD48" s="76"/>
      <c r="EOE48" s="76"/>
      <c r="EOF48" s="76"/>
      <c r="EOG48" s="76"/>
      <c r="EOH48" s="76"/>
      <c r="EOI48" s="76"/>
      <c r="EOJ48" s="76"/>
      <c r="EOK48" s="76"/>
      <c r="EOL48" s="76"/>
      <c r="EOM48" s="76"/>
      <c r="EON48" s="76"/>
      <c r="EOO48" s="76"/>
      <c r="EOP48" s="76"/>
      <c r="EOQ48" s="76"/>
      <c r="EOR48" s="76"/>
      <c r="EOS48" s="76"/>
      <c r="EOT48" s="76"/>
      <c r="EOU48" s="76"/>
      <c r="EOV48" s="76"/>
      <c r="EOW48" s="76"/>
      <c r="EOX48" s="76"/>
      <c r="EOY48" s="76"/>
      <c r="EOZ48" s="76"/>
      <c r="EPA48" s="76"/>
      <c r="EPB48" s="76"/>
      <c r="EPC48" s="76"/>
      <c r="EPD48" s="76"/>
      <c r="EPE48" s="76"/>
      <c r="EPF48" s="76"/>
      <c r="EPG48" s="76"/>
      <c r="EPH48" s="76"/>
      <c r="EPI48" s="76"/>
      <c r="EPJ48" s="76"/>
      <c r="EPK48" s="76"/>
      <c r="EPL48" s="76"/>
      <c r="EPM48" s="76"/>
      <c r="EPN48" s="76"/>
      <c r="EPO48" s="76"/>
      <c r="EPP48" s="76"/>
      <c r="EPQ48" s="76"/>
      <c r="EPR48" s="76"/>
      <c r="EPS48" s="76"/>
      <c r="EPT48" s="76"/>
      <c r="EPU48" s="76"/>
      <c r="EPV48" s="76"/>
      <c r="EPW48" s="76"/>
      <c r="EPX48" s="76"/>
      <c r="EPY48" s="76"/>
      <c r="EPZ48" s="76"/>
      <c r="EQA48" s="76"/>
      <c r="EQB48" s="76"/>
      <c r="EQC48" s="76"/>
      <c r="EQD48" s="76"/>
      <c r="EQE48" s="76"/>
      <c r="EQF48" s="76"/>
      <c r="EQG48" s="76"/>
      <c r="EQH48" s="76"/>
      <c r="EQI48" s="76"/>
      <c r="EQJ48" s="76"/>
      <c r="EQK48" s="76"/>
      <c r="EQL48" s="76"/>
      <c r="EQM48" s="76"/>
      <c r="EQN48" s="76"/>
      <c r="EQO48" s="76"/>
      <c r="EQP48" s="76"/>
      <c r="EQQ48" s="76"/>
      <c r="EQR48" s="76"/>
      <c r="EQS48" s="76"/>
      <c r="EQT48" s="76"/>
      <c r="EQU48" s="76"/>
      <c r="EQV48" s="76"/>
      <c r="EQW48" s="76"/>
      <c r="EQX48" s="76"/>
      <c r="EQY48" s="76"/>
      <c r="EQZ48" s="76"/>
      <c r="ERA48" s="76"/>
      <c r="ERB48" s="76"/>
      <c r="ERC48" s="76"/>
      <c r="ERD48" s="76"/>
      <c r="ERE48" s="76"/>
      <c r="ERF48" s="76"/>
      <c r="ERG48" s="76"/>
      <c r="ERH48" s="76"/>
      <c r="ERI48" s="76"/>
      <c r="ERJ48" s="76"/>
      <c r="ERK48" s="76"/>
      <c r="ERL48" s="76"/>
      <c r="ERM48" s="76"/>
      <c r="ERN48" s="76"/>
      <c r="ERO48" s="76"/>
      <c r="ERP48" s="76"/>
      <c r="ERQ48" s="76"/>
      <c r="ERR48" s="76"/>
      <c r="ERS48" s="76"/>
      <c r="ERT48" s="76"/>
      <c r="ERU48" s="76"/>
      <c r="ERV48" s="76"/>
      <c r="ERW48" s="76"/>
      <c r="ERX48" s="76"/>
      <c r="ERY48" s="76"/>
      <c r="ERZ48" s="76"/>
      <c r="ESA48" s="76"/>
      <c r="ESB48" s="76"/>
      <c r="ESC48" s="76"/>
      <c r="ESD48" s="76"/>
      <c r="ESE48" s="76"/>
      <c r="ESF48" s="76"/>
      <c r="ESG48" s="76"/>
      <c r="ESH48" s="76"/>
      <c r="ESI48" s="76"/>
      <c r="ESJ48" s="76"/>
      <c r="ESK48" s="76"/>
      <c r="ESL48" s="76"/>
      <c r="ESM48" s="76"/>
      <c r="ESN48" s="76"/>
      <c r="ESO48" s="76"/>
      <c r="ESP48" s="76"/>
      <c r="ESQ48" s="76"/>
      <c r="ESR48" s="76"/>
      <c r="ESS48" s="76"/>
      <c r="EST48" s="76"/>
      <c r="ESU48" s="76"/>
      <c r="ESV48" s="76"/>
      <c r="ESW48" s="76"/>
      <c r="ESX48" s="76"/>
      <c r="ESY48" s="76"/>
      <c r="ESZ48" s="76"/>
      <c r="ETA48" s="76"/>
      <c r="ETB48" s="76"/>
      <c r="ETC48" s="76"/>
      <c r="ETD48" s="76"/>
      <c r="ETE48" s="76"/>
      <c r="ETF48" s="76"/>
      <c r="ETG48" s="76"/>
      <c r="ETH48" s="76"/>
      <c r="ETI48" s="76"/>
      <c r="ETJ48" s="76"/>
      <c r="ETK48" s="76"/>
      <c r="ETL48" s="76"/>
      <c r="ETM48" s="76"/>
      <c r="ETN48" s="76"/>
      <c r="ETO48" s="76"/>
      <c r="ETP48" s="76"/>
      <c r="ETQ48" s="76"/>
      <c r="ETR48" s="76"/>
      <c r="ETS48" s="76"/>
      <c r="ETT48" s="76"/>
      <c r="ETU48" s="76"/>
      <c r="ETV48" s="76"/>
      <c r="ETW48" s="76"/>
      <c r="ETX48" s="76"/>
      <c r="ETY48" s="76"/>
      <c r="ETZ48" s="76"/>
      <c r="EUA48" s="76"/>
      <c r="EUB48" s="76"/>
      <c r="EUC48" s="76"/>
      <c r="EUD48" s="76"/>
      <c r="EUE48" s="76"/>
      <c r="EUF48" s="76"/>
      <c r="EUG48" s="76"/>
      <c r="EUH48" s="76"/>
      <c r="EUI48" s="76"/>
      <c r="EUJ48" s="76"/>
      <c r="EUK48" s="76"/>
      <c r="EUL48" s="76"/>
      <c r="EUM48" s="76"/>
      <c r="EUN48" s="76"/>
      <c r="EUO48" s="76"/>
      <c r="EUP48" s="76"/>
      <c r="EUQ48" s="76"/>
      <c r="EUR48" s="76"/>
      <c r="EUS48" s="76"/>
      <c r="EUT48" s="76"/>
      <c r="EUU48" s="76"/>
      <c r="EUV48" s="76"/>
      <c r="EUW48" s="76"/>
      <c r="EUX48" s="76"/>
      <c r="EUY48" s="76"/>
      <c r="EUZ48" s="76"/>
      <c r="EVA48" s="76"/>
      <c r="EVB48" s="76"/>
      <c r="EVC48" s="76"/>
      <c r="EVD48" s="76"/>
      <c r="EVE48" s="76"/>
      <c r="EVF48" s="76"/>
      <c r="EVG48" s="76"/>
      <c r="EVH48" s="76"/>
      <c r="EVI48" s="76"/>
      <c r="EVJ48" s="76"/>
      <c r="EVK48" s="76"/>
      <c r="EVL48" s="76"/>
      <c r="EVM48" s="76"/>
      <c r="EVN48" s="76"/>
      <c r="EVO48" s="76"/>
      <c r="EVP48" s="76"/>
      <c r="EVQ48" s="76"/>
      <c r="EVR48" s="76"/>
      <c r="EVS48" s="76"/>
      <c r="EVT48" s="76"/>
      <c r="EVU48" s="76"/>
      <c r="EVV48" s="76"/>
      <c r="EVW48" s="76"/>
      <c r="EVX48" s="76"/>
      <c r="EVY48" s="76"/>
      <c r="EVZ48" s="76"/>
      <c r="EWA48" s="76"/>
      <c r="EWB48" s="76"/>
      <c r="EWC48" s="76"/>
      <c r="EWD48" s="76"/>
      <c r="EWE48" s="76"/>
      <c r="EWF48" s="76"/>
      <c r="EWG48" s="76"/>
      <c r="EWH48" s="76"/>
      <c r="EWI48" s="76"/>
      <c r="EWJ48" s="76"/>
      <c r="EWK48" s="76"/>
      <c r="EWL48" s="76"/>
      <c r="EWM48" s="76"/>
      <c r="EWN48" s="76"/>
      <c r="EWO48" s="76"/>
      <c r="EWP48" s="76"/>
      <c r="EWQ48" s="76"/>
      <c r="EWR48" s="76"/>
      <c r="EWS48" s="76"/>
      <c r="EWT48" s="76"/>
      <c r="EWU48" s="76"/>
      <c r="EWV48" s="76"/>
      <c r="EWW48" s="76"/>
      <c r="EWX48" s="76"/>
      <c r="EWY48" s="76"/>
      <c r="EWZ48" s="76"/>
      <c r="EXA48" s="76"/>
      <c r="EXB48" s="76"/>
      <c r="EXC48" s="76"/>
      <c r="EXD48" s="76"/>
      <c r="EXE48" s="76"/>
      <c r="EXF48" s="76"/>
      <c r="EXG48" s="76"/>
      <c r="EXH48" s="76"/>
      <c r="EXI48" s="76"/>
      <c r="EXJ48" s="76"/>
      <c r="EXK48" s="76"/>
      <c r="EXL48" s="76"/>
      <c r="EXM48" s="76"/>
      <c r="EXN48" s="76"/>
      <c r="EXO48" s="76"/>
      <c r="EXP48" s="76"/>
      <c r="EXQ48" s="76"/>
      <c r="EXR48" s="76"/>
      <c r="EXS48" s="76"/>
      <c r="EXT48" s="76"/>
      <c r="EXU48" s="76"/>
      <c r="EXV48" s="76"/>
      <c r="EXW48" s="76"/>
      <c r="EXX48" s="76"/>
      <c r="EXY48" s="76"/>
      <c r="EXZ48" s="76"/>
      <c r="EYA48" s="76"/>
      <c r="EYB48" s="76"/>
      <c r="EYC48" s="76"/>
      <c r="EYD48" s="76"/>
      <c r="EYE48" s="76"/>
      <c r="EYF48" s="76"/>
      <c r="EYG48" s="76"/>
      <c r="EYH48" s="76"/>
      <c r="EYI48" s="76"/>
      <c r="EYJ48" s="76"/>
      <c r="EYK48" s="76"/>
      <c r="EYL48" s="76"/>
      <c r="EYM48" s="76"/>
      <c r="EYN48" s="76"/>
      <c r="EYO48" s="76"/>
      <c r="EYP48" s="76"/>
      <c r="EYQ48" s="76"/>
      <c r="EYR48" s="76"/>
      <c r="EYS48" s="76"/>
      <c r="EYT48" s="76"/>
      <c r="EYU48" s="76"/>
      <c r="EYV48" s="76"/>
      <c r="EYW48" s="76"/>
      <c r="EYX48" s="76"/>
      <c r="EYY48" s="76"/>
      <c r="EYZ48" s="76"/>
      <c r="EZA48" s="76"/>
      <c r="EZB48" s="76"/>
      <c r="EZC48" s="76"/>
      <c r="EZD48" s="76"/>
      <c r="EZE48" s="76"/>
      <c r="EZF48" s="76"/>
      <c r="EZG48" s="76"/>
      <c r="EZH48" s="76"/>
      <c r="EZI48" s="76"/>
      <c r="EZJ48" s="76"/>
      <c r="EZK48" s="76"/>
      <c r="EZL48" s="76"/>
      <c r="EZM48" s="76"/>
      <c r="EZN48" s="76"/>
      <c r="EZO48" s="76"/>
      <c r="EZP48" s="76"/>
      <c r="EZQ48" s="76"/>
      <c r="EZR48" s="76"/>
      <c r="EZS48" s="76"/>
      <c r="EZT48" s="76"/>
      <c r="EZU48" s="76"/>
      <c r="EZV48" s="76"/>
      <c r="EZW48" s="76"/>
      <c r="EZX48" s="76"/>
      <c r="EZY48" s="76"/>
      <c r="EZZ48" s="76"/>
      <c r="FAA48" s="76"/>
      <c r="FAB48" s="76"/>
      <c r="FAC48" s="76"/>
      <c r="FAD48" s="76"/>
      <c r="FAE48" s="76"/>
      <c r="FAF48" s="76"/>
      <c r="FAG48" s="76"/>
      <c r="FAH48" s="76"/>
      <c r="FAI48" s="76"/>
      <c r="FAJ48" s="76"/>
      <c r="FAK48" s="76"/>
      <c r="FAL48" s="76"/>
      <c r="FAM48" s="76"/>
      <c r="FAN48" s="76"/>
      <c r="FAO48" s="76"/>
      <c r="FAP48" s="76"/>
      <c r="FAQ48" s="76"/>
      <c r="FAR48" s="76"/>
      <c r="FAS48" s="76"/>
      <c r="FAT48" s="76"/>
      <c r="FAU48" s="76"/>
      <c r="FAV48" s="76"/>
      <c r="FAW48" s="76"/>
      <c r="FAX48" s="76"/>
      <c r="FAY48" s="76"/>
      <c r="FAZ48" s="76"/>
      <c r="FBA48" s="76"/>
      <c r="FBB48" s="76"/>
      <c r="FBC48" s="76"/>
      <c r="FBD48" s="76"/>
      <c r="FBE48" s="76"/>
      <c r="FBF48" s="76"/>
      <c r="FBG48" s="76"/>
      <c r="FBH48" s="76"/>
      <c r="FBI48" s="76"/>
      <c r="FBJ48" s="76"/>
      <c r="FBK48" s="76"/>
      <c r="FBL48" s="76"/>
      <c r="FBM48" s="76"/>
      <c r="FBN48" s="76"/>
      <c r="FBO48" s="76"/>
      <c r="FBP48" s="76"/>
      <c r="FBQ48" s="76"/>
      <c r="FBR48" s="76"/>
      <c r="FBS48" s="76"/>
      <c r="FBT48" s="76"/>
      <c r="FBU48" s="76"/>
      <c r="FBV48" s="76"/>
      <c r="FBW48" s="76"/>
      <c r="FBX48" s="76"/>
      <c r="FBY48" s="76"/>
      <c r="FBZ48" s="76"/>
      <c r="FCA48" s="76"/>
      <c r="FCB48" s="76"/>
      <c r="FCC48" s="76"/>
      <c r="FCD48" s="76"/>
      <c r="FCE48" s="76"/>
      <c r="FCF48" s="76"/>
      <c r="FCG48" s="76"/>
      <c r="FCH48" s="76"/>
      <c r="FCI48" s="76"/>
      <c r="FCJ48" s="76"/>
      <c r="FCK48" s="76"/>
      <c r="FCL48" s="76"/>
      <c r="FCM48" s="76"/>
      <c r="FCN48" s="76"/>
      <c r="FCO48" s="76"/>
      <c r="FCP48" s="76"/>
      <c r="FCQ48" s="76"/>
      <c r="FCR48" s="76"/>
      <c r="FCS48" s="76"/>
      <c r="FCT48" s="76"/>
      <c r="FCU48" s="76"/>
      <c r="FCV48" s="76"/>
      <c r="FCW48" s="76"/>
      <c r="FCX48" s="76"/>
      <c r="FCY48" s="76"/>
      <c r="FCZ48" s="76"/>
      <c r="FDA48" s="76"/>
      <c r="FDB48" s="76"/>
      <c r="FDC48" s="76"/>
      <c r="FDD48" s="76"/>
      <c r="FDE48" s="76"/>
      <c r="FDF48" s="76"/>
      <c r="FDG48" s="76"/>
      <c r="FDH48" s="76"/>
      <c r="FDI48" s="76"/>
      <c r="FDJ48" s="76"/>
      <c r="FDK48" s="76"/>
      <c r="FDL48" s="76"/>
      <c r="FDM48" s="76"/>
      <c r="FDN48" s="76"/>
      <c r="FDO48" s="76"/>
      <c r="FDP48" s="76"/>
      <c r="FDQ48" s="76"/>
      <c r="FDR48" s="76"/>
      <c r="FDS48" s="76"/>
      <c r="FDT48" s="76"/>
      <c r="FDU48" s="76"/>
      <c r="FDV48" s="76"/>
      <c r="FDW48" s="76"/>
      <c r="FDX48" s="76"/>
      <c r="FDY48" s="76"/>
      <c r="FDZ48" s="76"/>
      <c r="FEA48" s="76"/>
      <c r="FEB48" s="76"/>
      <c r="FEC48" s="76"/>
      <c r="FED48" s="76"/>
      <c r="FEE48" s="76"/>
      <c r="FEF48" s="76"/>
      <c r="FEG48" s="76"/>
      <c r="FEH48" s="76"/>
      <c r="FEI48" s="76"/>
      <c r="FEJ48" s="76"/>
      <c r="FEK48" s="76"/>
      <c r="FEL48" s="76"/>
      <c r="FEM48" s="76"/>
      <c r="FEN48" s="76"/>
      <c r="FEO48" s="76"/>
      <c r="FEP48" s="76"/>
      <c r="FEQ48" s="76"/>
      <c r="FER48" s="76"/>
      <c r="FES48" s="76"/>
      <c r="FET48" s="76"/>
      <c r="FEU48" s="76"/>
      <c r="FEV48" s="76"/>
      <c r="FEW48" s="76"/>
      <c r="FEX48" s="76"/>
      <c r="FEY48" s="76"/>
      <c r="FEZ48" s="76"/>
      <c r="FFA48" s="76"/>
      <c r="FFB48" s="76"/>
      <c r="FFC48" s="76"/>
      <c r="FFD48" s="76"/>
      <c r="FFE48" s="76"/>
      <c r="FFF48" s="76"/>
      <c r="FFG48" s="76"/>
      <c r="FFH48" s="76"/>
      <c r="FFI48" s="76"/>
      <c r="FFJ48" s="76"/>
      <c r="FFK48" s="76"/>
      <c r="FFL48" s="76"/>
      <c r="FFM48" s="76"/>
      <c r="FFN48" s="76"/>
      <c r="FFO48" s="76"/>
      <c r="FFP48" s="76"/>
      <c r="FFQ48" s="76"/>
      <c r="FFR48" s="76"/>
      <c r="FFS48" s="76"/>
      <c r="FFT48" s="76"/>
      <c r="FFU48" s="76"/>
      <c r="FFV48" s="76"/>
      <c r="FFW48" s="76"/>
      <c r="FFX48" s="76"/>
      <c r="FFY48" s="76"/>
      <c r="FFZ48" s="76"/>
      <c r="FGA48" s="76"/>
      <c r="FGB48" s="76"/>
      <c r="FGC48" s="76"/>
      <c r="FGD48" s="76"/>
      <c r="FGE48" s="76"/>
      <c r="FGF48" s="76"/>
      <c r="FGG48" s="76"/>
      <c r="FGH48" s="76"/>
      <c r="FGI48" s="76"/>
      <c r="FGJ48" s="76"/>
      <c r="FGK48" s="76"/>
      <c r="FGL48" s="76"/>
      <c r="FGM48" s="76"/>
      <c r="FGN48" s="76"/>
      <c r="FGO48" s="76"/>
      <c r="FGP48" s="76"/>
      <c r="FGQ48" s="76"/>
      <c r="FGR48" s="76"/>
      <c r="FGS48" s="76"/>
      <c r="FGT48" s="76"/>
      <c r="FGU48" s="76"/>
      <c r="FGV48" s="76"/>
      <c r="FGW48" s="76"/>
      <c r="FGX48" s="76"/>
      <c r="FGY48" s="76"/>
      <c r="FGZ48" s="76"/>
      <c r="FHA48" s="76"/>
      <c r="FHB48" s="76"/>
      <c r="FHC48" s="76"/>
      <c r="FHD48" s="76"/>
      <c r="FHE48" s="76"/>
      <c r="FHF48" s="76"/>
      <c r="FHG48" s="76"/>
      <c r="FHH48" s="76"/>
      <c r="FHI48" s="76"/>
      <c r="FHJ48" s="76"/>
      <c r="FHK48" s="76"/>
      <c r="FHL48" s="76"/>
      <c r="FHM48" s="76"/>
      <c r="FHN48" s="76"/>
      <c r="FHO48" s="76"/>
      <c r="FHP48" s="76"/>
      <c r="FHQ48" s="76"/>
      <c r="FHR48" s="76"/>
      <c r="FHS48" s="76"/>
      <c r="FHT48" s="76"/>
      <c r="FHU48" s="76"/>
      <c r="FHV48" s="76"/>
      <c r="FHW48" s="76"/>
      <c r="FHX48" s="76"/>
      <c r="FHY48" s="76"/>
      <c r="FHZ48" s="76"/>
      <c r="FIA48" s="76"/>
      <c r="FIB48" s="76"/>
      <c r="FIC48" s="76"/>
      <c r="FID48" s="76"/>
      <c r="FIE48" s="76"/>
      <c r="FIF48" s="76"/>
      <c r="FIG48" s="76"/>
      <c r="FIH48" s="76"/>
      <c r="FII48" s="76"/>
      <c r="FIJ48" s="76"/>
      <c r="FIK48" s="76"/>
      <c r="FIL48" s="76"/>
      <c r="FIM48" s="76"/>
      <c r="FIN48" s="76"/>
      <c r="FIO48" s="76"/>
      <c r="FIP48" s="76"/>
      <c r="FIQ48" s="76"/>
      <c r="FIR48" s="76"/>
      <c r="FIS48" s="76"/>
      <c r="FIT48" s="76"/>
      <c r="FIU48" s="76"/>
      <c r="FIV48" s="76"/>
      <c r="FIW48" s="76"/>
      <c r="FIX48" s="76"/>
      <c r="FIY48" s="76"/>
      <c r="FIZ48" s="76"/>
      <c r="FJA48" s="76"/>
      <c r="FJB48" s="76"/>
      <c r="FJC48" s="76"/>
      <c r="FJD48" s="76"/>
      <c r="FJE48" s="76"/>
      <c r="FJF48" s="76"/>
      <c r="FJG48" s="76"/>
      <c r="FJH48" s="76"/>
      <c r="FJI48" s="76"/>
      <c r="FJJ48" s="76"/>
      <c r="FJK48" s="76"/>
      <c r="FJL48" s="76"/>
      <c r="FJM48" s="76"/>
      <c r="FJN48" s="76"/>
      <c r="FJO48" s="76"/>
      <c r="FJP48" s="76"/>
      <c r="FJQ48" s="76"/>
      <c r="FJR48" s="76"/>
      <c r="FJS48" s="76"/>
      <c r="FJT48" s="76"/>
      <c r="FJU48" s="76"/>
      <c r="FJV48" s="76"/>
      <c r="FJW48" s="76"/>
      <c r="FJX48" s="76"/>
      <c r="FJY48" s="76"/>
      <c r="FJZ48" s="76"/>
      <c r="FKA48" s="76"/>
      <c r="FKB48" s="76"/>
      <c r="FKC48" s="76"/>
      <c r="FKD48" s="76"/>
      <c r="FKE48" s="76"/>
      <c r="FKF48" s="76"/>
      <c r="FKG48" s="76"/>
      <c r="FKH48" s="76"/>
      <c r="FKI48" s="76"/>
      <c r="FKJ48" s="76"/>
      <c r="FKK48" s="76"/>
      <c r="FKL48" s="76"/>
      <c r="FKM48" s="76"/>
      <c r="FKN48" s="76"/>
      <c r="FKO48" s="76"/>
      <c r="FKP48" s="76"/>
      <c r="FKQ48" s="76"/>
      <c r="FKR48" s="76"/>
      <c r="FKS48" s="76"/>
      <c r="FKT48" s="76"/>
      <c r="FKU48" s="76"/>
      <c r="FKV48" s="76"/>
      <c r="FKW48" s="76"/>
      <c r="FKX48" s="76"/>
      <c r="FKY48" s="76"/>
      <c r="FKZ48" s="76"/>
      <c r="FLA48" s="76"/>
      <c r="FLB48" s="76"/>
      <c r="FLC48" s="76"/>
      <c r="FLD48" s="76"/>
      <c r="FLE48" s="76"/>
      <c r="FLF48" s="76"/>
      <c r="FLG48" s="76"/>
      <c r="FLH48" s="76"/>
      <c r="FLI48" s="76"/>
      <c r="FLJ48" s="76"/>
      <c r="FLK48" s="76"/>
      <c r="FLL48" s="76"/>
      <c r="FLM48" s="76"/>
      <c r="FLN48" s="76"/>
      <c r="FLO48" s="76"/>
      <c r="FLP48" s="76"/>
      <c r="FLQ48" s="76"/>
      <c r="FLR48" s="76"/>
      <c r="FLS48" s="76"/>
      <c r="FLT48" s="76"/>
      <c r="FLU48" s="76"/>
      <c r="FLV48" s="76"/>
      <c r="FLW48" s="76"/>
      <c r="FLX48" s="76"/>
      <c r="FLY48" s="76"/>
      <c r="FLZ48" s="76"/>
      <c r="FMA48" s="76"/>
      <c r="FMB48" s="76"/>
      <c r="FMC48" s="76"/>
      <c r="FMD48" s="76"/>
      <c r="FME48" s="76"/>
      <c r="FMF48" s="76"/>
      <c r="FMG48" s="76"/>
      <c r="FMH48" s="76"/>
      <c r="FMI48" s="76"/>
      <c r="FMJ48" s="76"/>
      <c r="FMK48" s="76"/>
      <c r="FML48" s="76"/>
      <c r="FMM48" s="76"/>
      <c r="FMN48" s="76"/>
      <c r="FMO48" s="76"/>
      <c r="FMP48" s="76"/>
      <c r="FMQ48" s="76"/>
      <c r="FMR48" s="76"/>
      <c r="FMS48" s="76"/>
      <c r="FMT48" s="76"/>
      <c r="FMU48" s="76"/>
      <c r="FMV48" s="76"/>
      <c r="FMW48" s="76"/>
      <c r="FMX48" s="76"/>
      <c r="FMY48" s="76"/>
      <c r="FMZ48" s="76"/>
      <c r="FNA48" s="76"/>
      <c r="FNB48" s="76"/>
      <c r="FNC48" s="76"/>
      <c r="FND48" s="76"/>
      <c r="FNE48" s="76"/>
      <c r="FNF48" s="76"/>
      <c r="FNG48" s="76"/>
      <c r="FNH48" s="76"/>
      <c r="FNI48" s="76"/>
      <c r="FNJ48" s="76"/>
      <c r="FNK48" s="76"/>
      <c r="FNL48" s="76"/>
      <c r="FNM48" s="76"/>
      <c r="FNN48" s="76"/>
      <c r="FNO48" s="76"/>
      <c r="FNP48" s="76"/>
      <c r="FNQ48" s="76"/>
      <c r="FNR48" s="76"/>
      <c r="FNS48" s="76"/>
      <c r="FNT48" s="76"/>
      <c r="FNU48" s="76"/>
      <c r="FNV48" s="76"/>
      <c r="FNW48" s="76"/>
      <c r="FNX48" s="76"/>
      <c r="FNY48" s="76"/>
      <c r="FNZ48" s="76"/>
      <c r="FOA48" s="76"/>
      <c r="FOB48" s="76"/>
      <c r="FOC48" s="76"/>
      <c r="FOD48" s="76"/>
      <c r="FOE48" s="76"/>
      <c r="FOF48" s="76"/>
      <c r="FOG48" s="76"/>
      <c r="FOH48" s="76"/>
      <c r="FOI48" s="76"/>
      <c r="FOJ48" s="76"/>
      <c r="FOK48" s="76"/>
      <c r="FOL48" s="76"/>
      <c r="FOM48" s="76"/>
      <c r="FON48" s="76"/>
      <c r="FOO48" s="76"/>
      <c r="FOP48" s="76"/>
      <c r="FOQ48" s="76"/>
      <c r="FOR48" s="76"/>
      <c r="FOS48" s="76"/>
      <c r="FOT48" s="76"/>
      <c r="FOU48" s="76"/>
      <c r="FOV48" s="76"/>
      <c r="FOW48" s="76"/>
      <c r="FOX48" s="76"/>
      <c r="FOY48" s="76"/>
      <c r="FOZ48" s="76"/>
      <c r="FPA48" s="76"/>
      <c r="FPB48" s="76"/>
      <c r="FPC48" s="76"/>
      <c r="FPD48" s="76"/>
      <c r="FPE48" s="76"/>
      <c r="FPF48" s="76"/>
      <c r="FPG48" s="76"/>
      <c r="FPH48" s="76"/>
      <c r="FPI48" s="76"/>
      <c r="FPJ48" s="76"/>
      <c r="FPK48" s="76"/>
      <c r="FPL48" s="76"/>
      <c r="FPM48" s="76"/>
      <c r="FPN48" s="76"/>
      <c r="FPO48" s="76"/>
      <c r="FPP48" s="76"/>
      <c r="FPQ48" s="76"/>
      <c r="FPR48" s="76"/>
      <c r="FPS48" s="76"/>
      <c r="FPT48" s="76"/>
      <c r="FPU48" s="76"/>
      <c r="FPV48" s="76"/>
      <c r="FPW48" s="76"/>
      <c r="FPX48" s="76"/>
      <c r="FPY48" s="76"/>
      <c r="FPZ48" s="76"/>
      <c r="FQA48" s="76"/>
      <c r="FQB48" s="76"/>
      <c r="FQC48" s="76"/>
      <c r="FQD48" s="76"/>
      <c r="FQE48" s="76"/>
      <c r="FQF48" s="76"/>
      <c r="FQG48" s="76"/>
      <c r="FQH48" s="76"/>
      <c r="FQI48" s="76"/>
      <c r="FQJ48" s="76"/>
      <c r="FQK48" s="76"/>
      <c r="FQL48" s="76"/>
      <c r="FQM48" s="76"/>
      <c r="FQN48" s="76"/>
      <c r="FQO48" s="76"/>
      <c r="FQP48" s="76"/>
      <c r="FQQ48" s="76"/>
      <c r="FQR48" s="76"/>
      <c r="FQS48" s="76"/>
      <c r="FQT48" s="76"/>
      <c r="FQU48" s="76"/>
      <c r="FQV48" s="76"/>
      <c r="FQW48" s="76"/>
      <c r="FQX48" s="76"/>
      <c r="FQY48" s="76"/>
      <c r="FQZ48" s="76"/>
      <c r="FRA48" s="76"/>
      <c r="FRB48" s="76"/>
      <c r="FRC48" s="76"/>
      <c r="FRD48" s="76"/>
      <c r="FRE48" s="76"/>
      <c r="FRF48" s="76"/>
      <c r="FRG48" s="76"/>
      <c r="FRH48" s="76"/>
      <c r="FRI48" s="76"/>
      <c r="FRJ48" s="76"/>
      <c r="FRK48" s="76"/>
      <c r="FRL48" s="76"/>
      <c r="FRM48" s="76"/>
      <c r="FRN48" s="76"/>
      <c r="FRO48" s="76"/>
      <c r="FRP48" s="76"/>
      <c r="FRQ48" s="76"/>
      <c r="FRR48" s="76"/>
      <c r="FRS48" s="76"/>
      <c r="FRT48" s="76"/>
      <c r="FRU48" s="76"/>
      <c r="FRV48" s="76"/>
      <c r="FRW48" s="76"/>
      <c r="FRX48" s="76"/>
      <c r="FRY48" s="76"/>
      <c r="FRZ48" s="76"/>
      <c r="FSA48" s="76"/>
      <c r="FSB48" s="76"/>
      <c r="FSC48" s="76"/>
      <c r="FSD48" s="76"/>
      <c r="FSE48" s="76"/>
      <c r="FSF48" s="76"/>
      <c r="FSG48" s="76"/>
      <c r="FSH48" s="76"/>
      <c r="FSI48" s="76"/>
      <c r="FSJ48" s="76"/>
      <c r="FSK48" s="76"/>
      <c r="FSL48" s="76"/>
      <c r="FSM48" s="76"/>
      <c r="FSN48" s="76"/>
      <c r="FSO48" s="76"/>
      <c r="FSP48" s="76"/>
      <c r="FSQ48" s="76"/>
      <c r="FSR48" s="76"/>
      <c r="FSS48" s="76"/>
      <c r="FST48" s="76"/>
      <c r="FSU48" s="76"/>
      <c r="FSV48" s="76"/>
      <c r="FSW48" s="76"/>
      <c r="FSX48" s="76"/>
      <c r="FSY48" s="76"/>
      <c r="FSZ48" s="76"/>
      <c r="FTA48" s="76"/>
      <c r="FTB48" s="76"/>
      <c r="FTC48" s="76"/>
      <c r="FTD48" s="76"/>
      <c r="FTE48" s="76"/>
      <c r="FTF48" s="76"/>
      <c r="FTG48" s="76"/>
      <c r="FTH48" s="76"/>
      <c r="FTI48" s="76"/>
      <c r="FTJ48" s="76"/>
      <c r="FTK48" s="76"/>
      <c r="FTL48" s="76"/>
      <c r="FTM48" s="76"/>
      <c r="FTN48" s="76"/>
      <c r="FTO48" s="76"/>
      <c r="FTP48" s="76"/>
      <c r="FTQ48" s="76"/>
      <c r="FTR48" s="76"/>
      <c r="FTS48" s="76"/>
      <c r="FTT48" s="76"/>
      <c r="FTU48" s="76"/>
      <c r="FTV48" s="76"/>
      <c r="FTW48" s="76"/>
      <c r="FTX48" s="76"/>
      <c r="FTY48" s="76"/>
      <c r="FTZ48" s="76"/>
      <c r="FUA48" s="76"/>
      <c r="FUB48" s="76"/>
      <c r="FUC48" s="76"/>
      <c r="FUD48" s="76"/>
      <c r="FUE48" s="76"/>
      <c r="FUF48" s="76"/>
      <c r="FUG48" s="76"/>
      <c r="FUH48" s="76"/>
      <c r="FUI48" s="76"/>
      <c r="FUJ48" s="76"/>
      <c r="FUK48" s="76"/>
      <c r="FUL48" s="76"/>
      <c r="FUM48" s="76"/>
      <c r="FUN48" s="76"/>
      <c r="FUO48" s="76"/>
      <c r="FUP48" s="76"/>
      <c r="FUQ48" s="76"/>
      <c r="FUR48" s="76"/>
      <c r="FUS48" s="76"/>
      <c r="FUT48" s="76"/>
      <c r="FUU48" s="76"/>
      <c r="FUV48" s="76"/>
      <c r="FUW48" s="76"/>
      <c r="FUX48" s="76"/>
      <c r="FUY48" s="76"/>
      <c r="FUZ48" s="76"/>
      <c r="FVA48" s="76"/>
      <c r="FVB48" s="76"/>
      <c r="FVC48" s="76"/>
      <c r="FVD48" s="76"/>
      <c r="FVE48" s="76"/>
      <c r="FVF48" s="76"/>
      <c r="FVG48" s="76"/>
      <c r="FVH48" s="76"/>
      <c r="FVI48" s="76"/>
      <c r="FVJ48" s="76"/>
      <c r="FVK48" s="76"/>
      <c r="FVL48" s="76"/>
      <c r="FVM48" s="76"/>
      <c r="FVN48" s="76"/>
      <c r="FVO48" s="76"/>
      <c r="FVP48" s="76"/>
      <c r="FVQ48" s="76"/>
      <c r="FVR48" s="76"/>
      <c r="FVS48" s="76"/>
      <c r="FVT48" s="76"/>
      <c r="FVU48" s="76"/>
      <c r="FVV48" s="76"/>
      <c r="FVW48" s="76"/>
      <c r="FVX48" s="76"/>
      <c r="FVY48" s="76"/>
      <c r="FVZ48" s="76"/>
      <c r="FWA48" s="76"/>
      <c r="FWB48" s="76"/>
      <c r="FWC48" s="76"/>
      <c r="FWD48" s="76"/>
      <c r="FWE48" s="76"/>
      <c r="FWF48" s="76"/>
      <c r="FWG48" s="76"/>
      <c r="FWH48" s="76"/>
      <c r="FWI48" s="76"/>
      <c r="FWJ48" s="76"/>
      <c r="FWK48" s="76"/>
      <c r="FWL48" s="76"/>
      <c r="FWM48" s="76"/>
      <c r="FWN48" s="76"/>
      <c r="FWO48" s="76"/>
      <c r="FWP48" s="76"/>
      <c r="FWQ48" s="76"/>
      <c r="FWR48" s="76"/>
      <c r="FWS48" s="76"/>
      <c r="FWT48" s="76"/>
      <c r="FWU48" s="76"/>
      <c r="FWV48" s="76"/>
      <c r="FWW48" s="76"/>
      <c r="FWX48" s="76"/>
      <c r="FWY48" s="76"/>
      <c r="FWZ48" s="76"/>
      <c r="FXA48" s="76"/>
      <c r="FXB48" s="76"/>
      <c r="FXC48" s="76"/>
      <c r="FXD48" s="76"/>
      <c r="FXE48" s="76"/>
      <c r="FXF48" s="76"/>
      <c r="FXG48" s="76"/>
      <c r="FXH48" s="76"/>
      <c r="FXI48" s="76"/>
      <c r="FXJ48" s="76"/>
      <c r="FXK48" s="76"/>
      <c r="FXL48" s="76"/>
      <c r="FXM48" s="76"/>
      <c r="FXN48" s="76"/>
      <c r="FXO48" s="76"/>
      <c r="FXP48" s="76"/>
      <c r="FXQ48" s="76"/>
      <c r="FXR48" s="76"/>
      <c r="FXS48" s="76"/>
      <c r="FXT48" s="76"/>
      <c r="FXU48" s="76"/>
      <c r="FXV48" s="76"/>
      <c r="FXW48" s="76"/>
      <c r="FXX48" s="76"/>
      <c r="FXY48" s="76"/>
      <c r="FXZ48" s="76"/>
      <c r="FYA48" s="76"/>
      <c r="FYB48" s="76"/>
      <c r="FYC48" s="76"/>
      <c r="FYD48" s="76"/>
      <c r="FYE48" s="76"/>
      <c r="FYF48" s="76"/>
      <c r="FYG48" s="76"/>
      <c r="FYH48" s="76"/>
      <c r="FYI48" s="76"/>
      <c r="FYJ48" s="76"/>
      <c r="FYK48" s="76"/>
      <c r="FYL48" s="76"/>
      <c r="FYM48" s="76"/>
      <c r="FYN48" s="76"/>
      <c r="FYO48" s="76"/>
      <c r="FYP48" s="76"/>
      <c r="FYQ48" s="76"/>
      <c r="FYR48" s="76"/>
      <c r="FYS48" s="76"/>
      <c r="FYT48" s="76"/>
      <c r="FYU48" s="76"/>
      <c r="FYV48" s="76"/>
      <c r="FYW48" s="76"/>
      <c r="FYX48" s="76"/>
      <c r="FYY48" s="76"/>
      <c r="FYZ48" s="76"/>
      <c r="FZA48" s="76"/>
      <c r="FZB48" s="76"/>
      <c r="FZC48" s="76"/>
      <c r="FZD48" s="76"/>
      <c r="FZE48" s="76"/>
      <c r="FZF48" s="76"/>
      <c r="FZG48" s="76"/>
      <c r="FZH48" s="76"/>
      <c r="FZI48" s="76"/>
      <c r="FZJ48" s="76"/>
      <c r="FZK48" s="76"/>
      <c r="FZL48" s="76"/>
      <c r="FZM48" s="76"/>
      <c r="FZN48" s="76"/>
      <c r="FZO48" s="76"/>
      <c r="FZP48" s="76"/>
      <c r="FZQ48" s="76"/>
      <c r="FZR48" s="76"/>
      <c r="FZS48" s="76"/>
      <c r="FZT48" s="76"/>
      <c r="FZU48" s="76"/>
      <c r="FZV48" s="76"/>
      <c r="FZW48" s="76"/>
      <c r="FZX48" s="76"/>
      <c r="FZY48" s="76"/>
      <c r="FZZ48" s="76"/>
      <c r="GAA48" s="76"/>
      <c r="GAB48" s="76"/>
      <c r="GAC48" s="76"/>
      <c r="GAD48" s="76"/>
      <c r="GAE48" s="76"/>
      <c r="GAF48" s="76"/>
      <c r="GAG48" s="76"/>
      <c r="GAH48" s="76"/>
      <c r="GAI48" s="76"/>
      <c r="GAJ48" s="76"/>
      <c r="GAK48" s="76"/>
      <c r="GAL48" s="76"/>
      <c r="GAM48" s="76"/>
      <c r="GAN48" s="76"/>
      <c r="GAO48" s="76"/>
      <c r="GAP48" s="76"/>
      <c r="GAQ48" s="76"/>
      <c r="GAR48" s="76"/>
      <c r="GAS48" s="76"/>
      <c r="GAT48" s="76"/>
      <c r="GAU48" s="76"/>
      <c r="GAV48" s="76"/>
      <c r="GAW48" s="76"/>
      <c r="GAX48" s="76"/>
      <c r="GAY48" s="76"/>
      <c r="GAZ48" s="76"/>
      <c r="GBA48" s="76"/>
      <c r="GBB48" s="76"/>
      <c r="GBC48" s="76"/>
      <c r="GBD48" s="76"/>
      <c r="GBE48" s="76"/>
      <c r="GBF48" s="76"/>
      <c r="GBG48" s="76"/>
      <c r="GBH48" s="76"/>
      <c r="GBI48" s="76"/>
      <c r="GBJ48" s="76"/>
      <c r="GBK48" s="76"/>
      <c r="GBL48" s="76"/>
      <c r="GBM48" s="76"/>
      <c r="GBN48" s="76"/>
      <c r="GBO48" s="76"/>
      <c r="GBP48" s="76"/>
      <c r="GBQ48" s="76"/>
      <c r="GBR48" s="76"/>
      <c r="GBS48" s="76"/>
      <c r="GBT48" s="76"/>
      <c r="GBU48" s="76"/>
      <c r="GBV48" s="76"/>
      <c r="GBW48" s="76"/>
      <c r="GBX48" s="76"/>
      <c r="GBY48" s="76"/>
      <c r="GBZ48" s="76"/>
      <c r="GCA48" s="76"/>
      <c r="GCB48" s="76"/>
      <c r="GCC48" s="76"/>
      <c r="GCD48" s="76"/>
      <c r="GCE48" s="76"/>
      <c r="GCF48" s="76"/>
      <c r="GCG48" s="76"/>
      <c r="GCH48" s="76"/>
      <c r="GCI48" s="76"/>
      <c r="GCJ48" s="76"/>
      <c r="GCK48" s="76"/>
      <c r="GCL48" s="76"/>
      <c r="GCM48" s="76"/>
      <c r="GCN48" s="76"/>
      <c r="GCO48" s="76"/>
      <c r="GCP48" s="76"/>
      <c r="GCQ48" s="76"/>
      <c r="GCR48" s="76"/>
      <c r="GCS48" s="76"/>
      <c r="GCT48" s="76"/>
      <c r="GCU48" s="76"/>
      <c r="GCV48" s="76"/>
      <c r="GCW48" s="76"/>
      <c r="GCX48" s="76"/>
      <c r="GCY48" s="76"/>
      <c r="GCZ48" s="76"/>
      <c r="GDA48" s="76"/>
      <c r="GDB48" s="76"/>
      <c r="GDC48" s="76"/>
      <c r="GDD48" s="76"/>
      <c r="GDE48" s="76"/>
      <c r="GDF48" s="76"/>
      <c r="GDG48" s="76"/>
      <c r="GDH48" s="76"/>
      <c r="GDI48" s="76"/>
      <c r="GDJ48" s="76"/>
      <c r="GDK48" s="76"/>
      <c r="GDL48" s="76"/>
      <c r="GDM48" s="76"/>
      <c r="GDN48" s="76"/>
      <c r="GDO48" s="76"/>
      <c r="GDP48" s="76"/>
      <c r="GDQ48" s="76"/>
      <c r="GDR48" s="76"/>
      <c r="GDS48" s="76"/>
      <c r="GDT48" s="76"/>
      <c r="GDU48" s="76"/>
      <c r="GDV48" s="76"/>
      <c r="GDW48" s="76"/>
      <c r="GDX48" s="76"/>
      <c r="GDY48" s="76"/>
      <c r="GDZ48" s="76"/>
      <c r="GEA48" s="76"/>
      <c r="GEB48" s="76"/>
      <c r="GEC48" s="76"/>
      <c r="GED48" s="76"/>
      <c r="GEE48" s="76"/>
      <c r="GEF48" s="76"/>
      <c r="GEG48" s="76"/>
      <c r="GEH48" s="76"/>
      <c r="GEI48" s="76"/>
      <c r="GEJ48" s="76"/>
      <c r="GEK48" s="76"/>
      <c r="GEL48" s="76"/>
      <c r="GEM48" s="76"/>
      <c r="GEN48" s="76"/>
      <c r="GEO48" s="76"/>
      <c r="GEP48" s="76"/>
      <c r="GEQ48" s="76"/>
      <c r="GER48" s="76"/>
      <c r="GES48" s="76"/>
      <c r="GET48" s="76"/>
      <c r="GEU48" s="76"/>
      <c r="GEV48" s="76"/>
      <c r="GEW48" s="76"/>
      <c r="GEX48" s="76"/>
      <c r="GEY48" s="76"/>
      <c r="GEZ48" s="76"/>
      <c r="GFA48" s="76"/>
      <c r="GFB48" s="76"/>
      <c r="GFC48" s="76"/>
      <c r="GFD48" s="76"/>
      <c r="GFE48" s="76"/>
      <c r="GFF48" s="76"/>
      <c r="GFG48" s="76"/>
      <c r="GFH48" s="76"/>
      <c r="GFI48" s="76"/>
      <c r="GFJ48" s="76"/>
      <c r="GFK48" s="76"/>
      <c r="GFL48" s="76"/>
      <c r="GFM48" s="76"/>
      <c r="GFN48" s="76"/>
      <c r="GFO48" s="76"/>
      <c r="GFP48" s="76"/>
      <c r="GFQ48" s="76"/>
      <c r="GFR48" s="76"/>
      <c r="GFS48" s="76"/>
      <c r="GFT48" s="76"/>
      <c r="GFU48" s="76"/>
      <c r="GFV48" s="76"/>
      <c r="GFW48" s="76"/>
      <c r="GFX48" s="76"/>
      <c r="GFY48" s="76"/>
      <c r="GFZ48" s="76"/>
      <c r="GGA48" s="76"/>
      <c r="GGB48" s="76"/>
      <c r="GGC48" s="76"/>
      <c r="GGD48" s="76"/>
      <c r="GGE48" s="76"/>
      <c r="GGF48" s="76"/>
      <c r="GGG48" s="76"/>
      <c r="GGH48" s="76"/>
      <c r="GGI48" s="76"/>
      <c r="GGJ48" s="76"/>
      <c r="GGK48" s="76"/>
      <c r="GGL48" s="76"/>
      <c r="GGM48" s="76"/>
      <c r="GGN48" s="76"/>
      <c r="GGO48" s="76"/>
      <c r="GGP48" s="76"/>
      <c r="GGQ48" s="76"/>
      <c r="GGR48" s="76"/>
      <c r="GGS48" s="76"/>
      <c r="GGT48" s="76"/>
      <c r="GGU48" s="76"/>
      <c r="GGV48" s="76"/>
      <c r="GGW48" s="76"/>
      <c r="GGX48" s="76"/>
      <c r="GGY48" s="76"/>
      <c r="GGZ48" s="76"/>
      <c r="GHA48" s="76"/>
      <c r="GHB48" s="76"/>
      <c r="GHC48" s="76"/>
      <c r="GHD48" s="76"/>
      <c r="GHE48" s="76"/>
      <c r="GHF48" s="76"/>
      <c r="GHG48" s="76"/>
      <c r="GHH48" s="76"/>
      <c r="GHI48" s="76"/>
      <c r="GHJ48" s="76"/>
      <c r="GHK48" s="76"/>
      <c r="GHL48" s="76"/>
      <c r="GHM48" s="76"/>
      <c r="GHN48" s="76"/>
      <c r="GHO48" s="76"/>
      <c r="GHP48" s="76"/>
      <c r="GHQ48" s="76"/>
      <c r="GHR48" s="76"/>
      <c r="GHS48" s="76"/>
      <c r="GHT48" s="76"/>
      <c r="GHU48" s="76"/>
      <c r="GHV48" s="76"/>
      <c r="GHW48" s="76"/>
      <c r="GHX48" s="76"/>
      <c r="GHY48" s="76"/>
      <c r="GHZ48" s="76"/>
      <c r="GIA48" s="76"/>
      <c r="GIB48" s="76"/>
      <c r="GIC48" s="76"/>
      <c r="GID48" s="76"/>
      <c r="GIE48" s="76"/>
      <c r="GIF48" s="76"/>
      <c r="GIG48" s="76"/>
      <c r="GIH48" s="76"/>
      <c r="GII48" s="76"/>
      <c r="GIJ48" s="76"/>
      <c r="GIK48" s="76"/>
      <c r="GIL48" s="76"/>
      <c r="GIM48" s="76"/>
      <c r="GIN48" s="76"/>
      <c r="GIO48" s="76"/>
      <c r="GIP48" s="76"/>
      <c r="GIQ48" s="76"/>
      <c r="GIR48" s="76"/>
      <c r="GIS48" s="76"/>
      <c r="GIT48" s="76"/>
      <c r="GIU48" s="76"/>
      <c r="GIV48" s="76"/>
      <c r="GIW48" s="76"/>
      <c r="GIX48" s="76"/>
      <c r="GIY48" s="76"/>
      <c r="GIZ48" s="76"/>
      <c r="GJA48" s="76"/>
      <c r="GJB48" s="76"/>
      <c r="GJC48" s="76"/>
      <c r="GJD48" s="76"/>
      <c r="GJE48" s="76"/>
      <c r="GJF48" s="76"/>
      <c r="GJG48" s="76"/>
      <c r="GJH48" s="76"/>
      <c r="GJI48" s="76"/>
      <c r="GJJ48" s="76"/>
      <c r="GJK48" s="76"/>
      <c r="GJL48" s="76"/>
      <c r="GJM48" s="76"/>
      <c r="GJN48" s="76"/>
      <c r="GJO48" s="76"/>
      <c r="GJP48" s="76"/>
      <c r="GJQ48" s="76"/>
      <c r="GJR48" s="76"/>
      <c r="GJS48" s="76"/>
      <c r="GJT48" s="76"/>
      <c r="GJU48" s="76"/>
      <c r="GJV48" s="76"/>
      <c r="GJW48" s="76"/>
      <c r="GJX48" s="76"/>
      <c r="GJY48" s="76"/>
      <c r="GJZ48" s="76"/>
      <c r="GKA48" s="76"/>
      <c r="GKB48" s="76"/>
      <c r="GKC48" s="76"/>
      <c r="GKD48" s="76"/>
      <c r="GKE48" s="76"/>
      <c r="GKF48" s="76"/>
      <c r="GKG48" s="76"/>
      <c r="GKH48" s="76"/>
      <c r="GKI48" s="76"/>
      <c r="GKJ48" s="76"/>
      <c r="GKK48" s="76"/>
      <c r="GKL48" s="76"/>
      <c r="GKM48" s="76"/>
      <c r="GKN48" s="76"/>
      <c r="GKO48" s="76"/>
      <c r="GKP48" s="76"/>
      <c r="GKQ48" s="76"/>
      <c r="GKR48" s="76"/>
      <c r="GKS48" s="76"/>
      <c r="GKT48" s="76"/>
      <c r="GKU48" s="76"/>
      <c r="GKV48" s="76"/>
      <c r="GKW48" s="76"/>
      <c r="GKX48" s="76"/>
      <c r="GKY48" s="76"/>
      <c r="GKZ48" s="76"/>
      <c r="GLA48" s="76"/>
      <c r="GLB48" s="76"/>
      <c r="GLC48" s="76"/>
      <c r="GLD48" s="76"/>
      <c r="GLE48" s="76"/>
      <c r="GLF48" s="76"/>
      <c r="GLG48" s="76"/>
      <c r="GLH48" s="76"/>
      <c r="GLI48" s="76"/>
      <c r="GLJ48" s="76"/>
      <c r="GLK48" s="76"/>
      <c r="GLL48" s="76"/>
      <c r="GLM48" s="76"/>
      <c r="GLN48" s="76"/>
      <c r="GLO48" s="76"/>
      <c r="GLP48" s="76"/>
      <c r="GLQ48" s="76"/>
      <c r="GLR48" s="76"/>
      <c r="GLS48" s="76"/>
      <c r="GLT48" s="76"/>
      <c r="GLU48" s="76"/>
      <c r="GLV48" s="76"/>
      <c r="GLW48" s="76"/>
      <c r="GLX48" s="76"/>
      <c r="GLY48" s="76"/>
      <c r="GLZ48" s="76"/>
      <c r="GMA48" s="76"/>
      <c r="GMB48" s="76"/>
      <c r="GMC48" s="76"/>
      <c r="GMD48" s="76"/>
      <c r="GME48" s="76"/>
      <c r="GMF48" s="76"/>
      <c r="GMG48" s="76"/>
      <c r="GMH48" s="76"/>
      <c r="GMI48" s="76"/>
      <c r="GMJ48" s="76"/>
      <c r="GMK48" s="76"/>
      <c r="GML48" s="76"/>
      <c r="GMM48" s="76"/>
      <c r="GMN48" s="76"/>
      <c r="GMO48" s="76"/>
      <c r="GMP48" s="76"/>
      <c r="GMQ48" s="76"/>
      <c r="GMR48" s="76"/>
      <c r="GMS48" s="76"/>
      <c r="GMT48" s="76"/>
      <c r="GMU48" s="76"/>
      <c r="GMV48" s="76"/>
      <c r="GMW48" s="76"/>
      <c r="GMX48" s="76"/>
      <c r="GMY48" s="76"/>
      <c r="GMZ48" s="76"/>
      <c r="GNA48" s="76"/>
      <c r="GNB48" s="76"/>
      <c r="GNC48" s="76"/>
      <c r="GND48" s="76"/>
      <c r="GNE48" s="76"/>
      <c r="GNF48" s="76"/>
      <c r="GNG48" s="76"/>
      <c r="GNH48" s="76"/>
      <c r="GNI48" s="76"/>
      <c r="GNJ48" s="76"/>
      <c r="GNK48" s="76"/>
      <c r="GNL48" s="76"/>
      <c r="GNM48" s="76"/>
      <c r="GNN48" s="76"/>
      <c r="GNO48" s="76"/>
      <c r="GNP48" s="76"/>
      <c r="GNQ48" s="76"/>
      <c r="GNR48" s="76"/>
      <c r="GNS48" s="76"/>
      <c r="GNT48" s="76"/>
      <c r="GNU48" s="76"/>
      <c r="GNV48" s="76"/>
      <c r="GNW48" s="76"/>
      <c r="GNX48" s="76"/>
      <c r="GNY48" s="76"/>
      <c r="GNZ48" s="76"/>
      <c r="GOA48" s="76"/>
      <c r="GOB48" s="76"/>
      <c r="GOC48" s="76"/>
      <c r="GOD48" s="76"/>
      <c r="GOE48" s="76"/>
      <c r="GOF48" s="76"/>
      <c r="GOG48" s="76"/>
      <c r="GOH48" s="76"/>
      <c r="GOI48" s="76"/>
      <c r="GOJ48" s="76"/>
      <c r="GOK48" s="76"/>
      <c r="GOL48" s="76"/>
      <c r="GOM48" s="76"/>
      <c r="GON48" s="76"/>
      <c r="GOO48" s="76"/>
      <c r="GOP48" s="76"/>
      <c r="GOQ48" s="76"/>
      <c r="GOR48" s="76"/>
      <c r="GOS48" s="76"/>
      <c r="GOT48" s="76"/>
      <c r="GOU48" s="76"/>
      <c r="GOV48" s="76"/>
      <c r="GOW48" s="76"/>
      <c r="GOX48" s="76"/>
      <c r="GOY48" s="76"/>
      <c r="GOZ48" s="76"/>
      <c r="GPA48" s="76"/>
      <c r="GPB48" s="76"/>
      <c r="GPC48" s="76"/>
      <c r="GPD48" s="76"/>
      <c r="GPE48" s="76"/>
      <c r="GPF48" s="76"/>
      <c r="GPG48" s="76"/>
      <c r="GPH48" s="76"/>
      <c r="GPI48" s="76"/>
      <c r="GPJ48" s="76"/>
      <c r="GPK48" s="76"/>
      <c r="GPL48" s="76"/>
      <c r="GPM48" s="76"/>
      <c r="GPN48" s="76"/>
      <c r="GPO48" s="76"/>
      <c r="GPP48" s="76"/>
      <c r="GPQ48" s="76"/>
      <c r="GPR48" s="76"/>
      <c r="GPS48" s="76"/>
      <c r="GPT48" s="76"/>
      <c r="GPU48" s="76"/>
      <c r="GPV48" s="76"/>
      <c r="GPW48" s="76"/>
      <c r="GPX48" s="76"/>
      <c r="GPY48" s="76"/>
      <c r="GPZ48" s="76"/>
      <c r="GQA48" s="76"/>
      <c r="GQB48" s="76"/>
      <c r="GQC48" s="76"/>
      <c r="GQD48" s="76"/>
      <c r="GQE48" s="76"/>
      <c r="GQF48" s="76"/>
      <c r="GQG48" s="76"/>
      <c r="GQH48" s="76"/>
      <c r="GQI48" s="76"/>
      <c r="GQJ48" s="76"/>
      <c r="GQK48" s="76"/>
      <c r="GQL48" s="76"/>
      <c r="GQM48" s="76"/>
      <c r="GQN48" s="76"/>
      <c r="GQO48" s="76"/>
      <c r="GQP48" s="76"/>
      <c r="GQQ48" s="76"/>
      <c r="GQR48" s="76"/>
      <c r="GQS48" s="76"/>
      <c r="GQT48" s="76"/>
      <c r="GQU48" s="76"/>
      <c r="GQV48" s="76"/>
      <c r="GQW48" s="76"/>
      <c r="GQX48" s="76"/>
      <c r="GQY48" s="76"/>
      <c r="GQZ48" s="76"/>
      <c r="GRA48" s="76"/>
      <c r="GRB48" s="76"/>
      <c r="GRC48" s="76"/>
      <c r="GRD48" s="76"/>
      <c r="GRE48" s="76"/>
      <c r="GRF48" s="76"/>
      <c r="GRG48" s="76"/>
      <c r="GRH48" s="76"/>
      <c r="GRI48" s="76"/>
      <c r="GRJ48" s="76"/>
      <c r="GRK48" s="76"/>
      <c r="GRL48" s="76"/>
      <c r="GRM48" s="76"/>
      <c r="GRN48" s="76"/>
      <c r="GRO48" s="76"/>
      <c r="GRP48" s="76"/>
      <c r="GRQ48" s="76"/>
      <c r="GRR48" s="76"/>
      <c r="GRS48" s="76"/>
      <c r="GRT48" s="76"/>
      <c r="GRU48" s="76"/>
      <c r="GRV48" s="76"/>
      <c r="GRW48" s="76"/>
      <c r="GRX48" s="76"/>
      <c r="GRY48" s="76"/>
      <c r="GRZ48" s="76"/>
      <c r="GSA48" s="76"/>
      <c r="GSB48" s="76"/>
      <c r="GSC48" s="76"/>
      <c r="GSD48" s="76"/>
      <c r="GSE48" s="76"/>
      <c r="GSF48" s="76"/>
      <c r="GSG48" s="76"/>
      <c r="GSH48" s="76"/>
      <c r="GSI48" s="76"/>
      <c r="GSJ48" s="76"/>
      <c r="GSK48" s="76"/>
      <c r="GSL48" s="76"/>
      <c r="GSM48" s="76"/>
      <c r="GSN48" s="76"/>
      <c r="GSO48" s="76"/>
      <c r="GSP48" s="76"/>
      <c r="GSQ48" s="76"/>
      <c r="GSR48" s="76"/>
      <c r="GSS48" s="76"/>
      <c r="GST48" s="76"/>
      <c r="GSU48" s="76"/>
      <c r="GSV48" s="76"/>
      <c r="GSW48" s="76"/>
      <c r="GSX48" s="76"/>
      <c r="GSY48" s="76"/>
      <c r="GSZ48" s="76"/>
      <c r="GTA48" s="76"/>
      <c r="GTB48" s="76"/>
      <c r="GTC48" s="76"/>
      <c r="GTD48" s="76"/>
      <c r="GTE48" s="76"/>
      <c r="GTF48" s="76"/>
      <c r="GTG48" s="76"/>
      <c r="GTH48" s="76"/>
      <c r="GTI48" s="76"/>
      <c r="GTJ48" s="76"/>
      <c r="GTK48" s="76"/>
      <c r="GTL48" s="76"/>
      <c r="GTM48" s="76"/>
      <c r="GTN48" s="76"/>
      <c r="GTO48" s="76"/>
      <c r="GTP48" s="76"/>
      <c r="GTQ48" s="76"/>
      <c r="GTR48" s="76"/>
      <c r="GTS48" s="76"/>
      <c r="GTT48" s="76"/>
      <c r="GTU48" s="76"/>
      <c r="GTV48" s="76"/>
      <c r="GTW48" s="76"/>
      <c r="GTX48" s="76"/>
      <c r="GTY48" s="76"/>
      <c r="GTZ48" s="76"/>
      <c r="GUA48" s="76"/>
      <c r="GUB48" s="76"/>
      <c r="GUC48" s="76"/>
      <c r="GUD48" s="76"/>
      <c r="GUE48" s="76"/>
      <c r="GUF48" s="76"/>
      <c r="GUG48" s="76"/>
      <c r="GUH48" s="76"/>
      <c r="GUI48" s="76"/>
      <c r="GUJ48" s="76"/>
      <c r="GUK48" s="76"/>
      <c r="GUL48" s="76"/>
      <c r="GUM48" s="76"/>
      <c r="GUN48" s="76"/>
      <c r="GUO48" s="76"/>
      <c r="GUP48" s="76"/>
      <c r="GUQ48" s="76"/>
      <c r="GUR48" s="76"/>
      <c r="GUS48" s="76"/>
      <c r="GUT48" s="76"/>
      <c r="GUU48" s="76"/>
      <c r="GUV48" s="76"/>
      <c r="GUW48" s="76"/>
      <c r="GUX48" s="76"/>
      <c r="GUY48" s="76"/>
      <c r="GUZ48" s="76"/>
      <c r="GVA48" s="76"/>
      <c r="GVB48" s="76"/>
      <c r="GVC48" s="76"/>
      <c r="GVD48" s="76"/>
      <c r="GVE48" s="76"/>
      <c r="GVF48" s="76"/>
      <c r="GVG48" s="76"/>
      <c r="GVH48" s="76"/>
      <c r="GVI48" s="76"/>
      <c r="GVJ48" s="76"/>
      <c r="GVK48" s="76"/>
      <c r="GVL48" s="76"/>
      <c r="GVM48" s="76"/>
      <c r="GVN48" s="76"/>
      <c r="GVO48" s="76"/>
      <c r="GVP48" s="76"/>
      <c r="GVQ48" s="76"/>
      <c r="GVR48" s="76"/>
      <c r="GVS48" s="76"/>
      <c r="GVT48" s="76"/>
      <c r="GVU48" s="76"/>
      <c r="GVV48" s="76"/>
      <c r="GVW48" s="76"/>
      <c r="GVX48" s="76"/>
      <c r="GVY48" s="76"/>
      <c r="GVZ48" s="76"/>
      <c r="GWA48" s="76"/>
      <c r="GWB48" s="76"/>
      <c r="GWC48" s="76"/>
      <c r="GWD48" s="76"/>
      <c r="GWE48" s="76"/>
      <c r="GWF48" s="76"/>
      <c r="GWG48" s="76"/>
      <c r="GWH48" s="76"/>
      <c r="GWI48" s="76"/>
      <c r="GWJ48" s="76"/>
      <c r="GWK48" s="76"/>
      <c r="GWL48" s="76"/>
      <c r="GWM48" s="76"/>
      <c r="GWN48" s="76"/>
      <c r="GWO48" s="76"/>
      <c r="GWP48" s="76"/>
      <c r="GWQ48" s="76"/>
      <c r="GWR48" s="76"/>
      <c r="GWS48" s="76"/>
      <c r="GWT48" s="76"/>
      <c r="GWU48" s="76"/>
      <c r="GWV48" s="76"/>
      <c r="GWW48" s="76"/>
      <c r="GWX48" s="76"/>
      <c r="GWY48" s="76"/>
      <c r="GWZ48" s="76"/>
      <c r="GXA48" s="76"/>
      <c r="GXB48" s="76"/>
      <c r="GXC48" s="76"/>
      <c r="GXD48" s="76"/>
      <c r="GXE48" s="76"/>
      <c r="GXF48" s="76"/>
      <c r="GXG48" s="76"/>
      <c r="GXH48" s="76"/>
      <c r="GXI48" s="76"/>
      <c r="GXJ48" s="76"/>
      <c r="GXK48" s="76"/>
      <c r="GXL48" s="76"/>
      <c r="GXM48" s="76"/>
      <c r="GXN48" s="76"/>
      <c r="GXO48" s="76"/>
      <c r="GXP48" s="76"/>
      <c r="GXQ48" s="76"/>
      <c r="GXR48" s="76"/>
      <c r="GXS48" s="76"/>
      <c r="GXT48" s="76"/>
      <c r="GXU48" s="76"/>
      <c r="GXV48" s="76"/>
      <c r="GXW48" s="76"/>
      <c r="GXX48" s="76"/>
      <c r="GXY48" s="76"/>
      <c r="GXZ48" s="76"/>
      <c r="GYA48" s="76"/>
      <c r="GYB48" s="76"/>
      <c r="GYC48" s="76"/>
      <c r="GYD48" s="76"/>
      <c r="GYE48" s="76"/>
      <c r="GYF48" s="76"/>
      <c r="GYG48" s="76"/>
      <c r="GYH48" s="76"/>
      <c r="GYI48" s="76"/>
      <c r="GYJ48" s="76"/>
      <c r="GYK48" s="76"/>
      <c r="GYL48" s="76"/>
      <c r="GYM48" s="76"/>
      <c r="GYN48" s="76"/>
      <c r="GYO48" s="76"/>
      <c r="GYP48" s="76"/>
      <c r="GYQ48" s="76"/>
      <c r="GYR48" s="76"/>
      <c r="GYS48" s="76"/>
      <c r="GYT48" s="76"/>
      <c r="GYU48" s="76"/>
      <c r="GYV48" s="76"/>
      <c r="GYW48" s="76"/>
      <c r="GYX48" s="76"/>
      <c r="GYY48" s="76"/>
      <c r="GYZ48" s="76"/>
      <c r="GZA48" s="76"/>
      <c r="GZB48" s="76"/>
      <c r="GZC48" s="76"/>
      <c r="GZD48" s="76"/>
      <c r="GZE48" s="76"/>
      <c r="GZF48" s="76"/>
      <c r="GZG48" s="76"/>
      <c r="GZH48" s="76"/>
      <c r="GZI48" s="76"/>
      <c r="GZJ48" s="76"/>
      <c r="GZK48" s="76"/>
      <c r="GZL48" s="76"/>
      <c r="GZM48" s="76"/>
      <c r="GZN48" s="76"/>
      <c r="GZO48" s="76"/>
      <c r="GZP48" s="76"/>
      <c r="GZQ48" s="76"/>
      <c r="GZR48" s="76"/>
      <c r="GZS48" s="76"/>
      <c r="GZT48" s="76"/>
      <c r="GZU48" s="76"/>
      <c r="GZV48" s="76"/>
      <c r="GZW48" s="76"/>
      <c r="GZX48" s="76"/>
      <c r="GZY48" s="76"/>
      <c r="GZZ48" s="76"/>
      <c r="HAA48" s="76"/>
      <c r="HAB48" s="76"/>
      <c r="HAC48" s="76"/>
      <c r="HAD48" s="76"/>
      <c r="HAE48" s="76"/>
      <c r="HAF48" s="76"/>
      <c r="HAG48" s="76"/>
      <c r="HAH48" s="76"/>
      <c r="HAI48" s="76"/>
      <c r="HAJ48" s="76"/>
      <c r="HAK48" s="76"/>
      <c r="HAL48" s="76"/>
      <c r="HAM48" s="76"/>
      <c r="HAN48" s="76"/>
      <c r="HAO48" s="76"/>
      <c r="HAP48" s="76"/>
      <c r="HAQ48" s="76"/>
      <c r="HAR48" s="76"/>
      <c r="HAS48" s="76"/>
      <c r="HAT48" s="76"/>
      <c r="HAU48" s="76"/>
      <c r="HAV48" s="76"/>
      <c r="HAW48" s="76"/>
      <c r="HAX48" s="76"/>
      <c r="HAY48" s="76"/>
      <c r="HAZ48" s="76"/>
      <c r="HBA48" s="76"/>
      <c r="HBB48" s="76"/>
      <c r="HBC48" s="76"/>
      <c r="HBD48" s="76"/>
      <c r="HBE48" s="76"/>
      <c r="HBF48" s="76"/>
      <c r="HBG48" s="76"/>
      <c r="HBH48" s="76"/>
      <c r="HBI48" s="76"/>
      <c r="HBJ48" s="76"/>
      <c r="HBK48" s="76"/>
      <c r="HBL48" s="76"/>
      <c r="HBM48" s="76"/>
      <c r="HBN48" s="76"/>
      <c r="HBO48" s="76"/>
      <c r="HBP48" s="76"/>
      <c r="HBQ48" s="76"/>
      <c r="HBR48" s="76"/>
      <c r="HBS48" s="76"/>
      <c r="HBT48" s="76"/>
      <c r="HBU48" s="76"/>
      <c r="HBV48" s="76"/>
      <c r="HBW48" s="76"/>
      <c r="HBX48" s="76"/>
      <c r="HBY48" s="76"/>
      <c r="HBZ48" s="76"/>
      <c r="HCA48" s="76"/>
      <c r="HCB48" s="76"/>
      <c r="HCC48" s="76"/>
      <c r="HCD48" s="76"/>
      <c r="HCE48" s="76"/>
      <c r="HCF48" s="76"/>
      <c r="HCG48" s="76"/>
      <c r="HCH48" s="76"/>
      <c r="HCI48" s="76"/>
      <c r="HCJ48" s="76"/>
      <c r="HCK48" s="76"/>
      <c r="HCL48" s="76"/>
      <c r="HCM48" s="76"/>
      <c r="HCN48" s="76"/>
      <c r="HCO48" s="76"/>
      <c r="HCP48" s="76"/>
      <c r="HCQ48" s="76"/>
      <c r="HCR48" s="76"/>
      <c r="HCS48" s="76"/>
      <c r="HCT48" s="76"/>
      <c r="HCU48" s="76"/>
      <c r="HCV48" s="76"/>
      <c r="HCW48" s="76"/>
      <c r="HCX48" s="76"/>
      <c r="HCY48" s="76"/>
      <c r="HCZ48" s="76"/>
      <c r="HDA48" s="76"/>
      <c r="HDB48" s="76"/>
      <c r="HDC48" s="76"/>
      <c r="HDD48" s="76"/>
      <c r="HDE48" s="76"/>
      <c r="HDF48" s="76"/>
      <c r="HDG48" s="76"/>
      <c r="HDH48" s="76"/>
      <c r="HDI48" s="76"/>
      <c r="HDJ48" s="76"/>
      <c r="HDK48" s="76"/>
      <c r="HDL48" s="76"/>
      <c r="HDM48" s="76"/>
      <c r="HDN48" s="76"/>
      <c r="HDO48" s="76"/>
      <c r="HDP48" s="76"/>
      <c r="HDQ48" s="76"/>
      <c r="HDR48" s="76"/>
      <c r="HDS48" s="76"/>
      <c r="HDT48" s="76"/>
      <c r="HDU48" s="76"/>
      <c r="HDV48" s="76"/>
      <c r="HDW48" s="76"/>
      <c r="HDX48" s="76"/>
      <c r="HDY48" s="76"/>
      <c r="HDZ48" s="76"/>
      <c r="HEA48" s="76"/>
      <c r="HEB48" s="76"/>
      <c r="HEC48" s="76"/>
      <c r="HED48" s="76"/>
      <c r="HEE48" s="76"/>
      <c r="HEF48" s="76"/>
      <c r="HEG48" s="76"/>
      <c r="HEH48" s="76"/>
      <c r="HEI48" s="76"/>
      <c r="HEJ48" s="76"/>
      <c r="HEK48" s="76"/>
      <c r="HEL48" s="76"/>
      <c r="HEM48" s="76"/>
      <c r="HEN48" s="76"/>
      <c r="HEO48" s="76"/>
      <c r="HEP48" s="76"/>
      <c r="HEQ48" s="76"/>
      <c r="HER48" s="76"/>
      <c r="HES48" s="76"/>
      <c r="HET48" s="76"/>
      <c r="HEU48" s="76"/>
      <c r="HEV48" s="76"/>
      <c r="HEW48" s="76"/>
      <c r="HEX48" s="76"/>
      <c r="HEY48" s="76"/>
      <c r="HEZ48" s="76"/>
      <c r="HFA48" s="76"/>
      <c r="HFB48" s="76"/>
      <c r="HFC48" s="76"/>
      <c r="HFD48" s="76"/>
      <c r="HFE48" s="76"/>
      <c r="HFF48" s="76"/>
      <c r="HFG48" s="76"/>
      <c r="HFH48" s="76"/>
      <c r="HFI48" s="76"/>
      <c r="HFJ48" s="76"/>
      <c r="HFK48" s="76"/>
      <c r="HFL48" s="76"/>
      <c r="HFM48" s="76"/>
      <c r="HFN48" s="76"/>
      <c r="HFO48" s="76"/>
      <c r="HFP48" s="76"/>
      <c r="HFQ48" s="76"/>
      <c r="HFR48" s="76"/>
      <c r="HFS48" s="76"/>
      <c r="HFT48" s="76"/>
      <c r="HFU48" s="76"/>
      <c r="HFV48" s="76"/>
      <c r="HFW48" s="76"/>
      <c r="HFX48" s="76"/>
      <c r="HFY48" s="76"/>
      <c r="HFZ48" s="76"/>
      <c r="HGA48" s="76"/>
      <c r="HGB48" s="76"/>
      <c r="HGC48" s="76"/>
      <c r="HGD48" s="76"/>
      <c r="HGE48" s="76"/>
      <c r="HGF48" s="76"/>
      <c r="HGG48" s="76"/>
      <c r="HGH48" s="76"/>
      <c r="HGI48" s="76"/>
      <c r="HGJ48" s="76"/>
      <c r="HGK48" s="76"/>
      <c r="HGL48" s="76"/>
      <c r="HGM48" s="76"/>
      <c r="HGN48" s="76"/>
      <c r="HGO48" s="76"/>
      <c r="HGP48" s="76"/>
      <c r="HGQ48" s="76"/>
      <c r="HGR48" s="76"/>
      <c r="HGS48" s="76"/>
      <c r="HGT48" s="76"/>
      <c r="HGU48" s="76"/>
      <c r="HGV48" s="76"/>
      <c r="HGW48" s="76"/>
      <c r="HGX48" s="76"/>
      <c r="HGY48" s="76"/>
      <c r="HGZ48" s="76"/>
      <c r="HHA48" s="76"/>
      <c r="HHB48" s="76"/>
      <c r="HHC48" s="76"/>
      <c r="HHD48" s="76"/>
      <c r="HHE48" s="76"/>
      <c r="HHF48" s="76"/>
      <c r="HHG48" s="76"/>
      <c r="HHH48" s="76"/>
      <c r="HHI48" s="76"/>
      <c r="HHJ48" s="76"/>
      <c r="HHK48" s="76"/>
      <c r="HHL48" s="76"/>
      <c r="HHM48" s="76"/>
      <c r="HHN48" s="76"/>
      <c r="HHO48" s="76"/>
      <c r="HHP48" s="76"/>
      <c r="HHQ48" s="76"/>
      <c r="HHR48" s="76"/>
      <c r="HHS48" s="76"/>
      <c r="HHT48" s="76"/>
      <c r="HHU48" s="76"/>
      <c r="HHV48" s="76"/>
      <c r="HHW48" s="76"/>
      <c r="HHX48" s="76"/>
      <c r="HHY48" s="76"/>
      <c r="HHZ48" s="76"/>
      <c r="HIA48" s="76"/>
      <c r="HIB48" s="76"/>
      <c r="HIC48" s="76"/>
      <c r="HID48" s="76"/>
      <c r="HIE48" s="76"/>
      <c r="HIF48" s="76"/>
      <c r="HIG48" s="76"/>
      <c r="HIH48" s="76"/>
      <c r="HII48" s="76"/>
      <c r="HIJ48" s="76"/>
      <c r="HIK48" s="76"/>
      <c r="HIL48" s="76"/>
      <c r="HIM48" s="76"/>
      <c r="HIN48" s="76"/>
      <c r="HIO48" s="76"/>
      <c r="HIP48" s="76"/>
      <c r="HIQ48" s="76"/>
      <c r="HIR48" s="76"/>
      <c r="HIS48" s="76"/>
      <c r="HIT48" s="76"/>
      <c r="HIU48" s="76"/>
      <c r="HIV48" s="76"/>
      <c r="HIW48" s="76"/>
      <c r="HIX48" s="76"/>
      <c r="HIY48" s="76"/>
      <c r="HIZ48" s="76"/>
      <c r="HJA48" s="76"/>
      <c r="HJB48" s="76"/>
      <c r="HJC48" s="76"/>
      <c r="HJD48" s="76"/>
      <c r="HJE48" s="76"/>
      <c r="HJF48" s="76"/>
      <c r="HJG48" s="76"/>
      <c r="HJH48" s="76"/>
      <c r="HJI48" s="76"/>
      <c r="HJJ48" s="76"/>
      <c r="HJK48" s="76"/>
      <c r="HJL48" s="76"/>
      <c r="HJM48" s="76"/>
      <c r="HJN48" s="76"/>
      <c r="HJO48" s="76"/>
      <c r="HJP48" s="76"/>
      <c r="HJQ48" s="76"/>
      <c r="HJR48" s="76"/>
      <c r="HJS48" s="76"/>
      <c r="HJT48" s="76"/>
      <c r="HJU48" s="76"/>
      <c r="HJV48" s="76"/>
      <c r="HJW48" s="76"/>
      <c r="HJX48" s="76"/>
      <c r="HJY48" s="76"/>
      <c r="HJZ48" s="76"/>
      <c r="HKA48" s="76"/>
      <c r="HKB48" s="76"/>
      <c r="HKC48" s="76"/>
      <c r="HKD48" s="76"/>
      <c r="HKE48" s="76"/>
      <c r="HKF48" s="76"/>
      <c r="HKG48" s="76"/>
      <c r="HKH48" s="76"/>
      <c r="HKI48" s="76"/>
      <c r="HKJ48" s="76"/>
      <c r="HKK48" s="76"/>
      <c r="HKL48" s="76"/>
      <c r="HKM48" s="76"/>
      <c r="HKN48" s="76"/>
      <c r="HKO48" s="76"/>
      <c r="HKP48" s="76"/>
      <c r="HKQ48" s="76"/>
      <c r="HKR48" s="76"/>
      <c r="HKS48" s="76"/>
      <c r="HKT48" s="76"/>
      <c r="HKU48" s="76"/>
      <c r="HKV48" s="76"/>
      <c r="HKW48" s="76"/>
      <c r="HKX48" s="76"/>
      <c r="HKY48" s="76"/>
      <c r="HKZ48" s="76"/>
      <c r="HLA48" s="76"/>
      <c r="HLB48" s="76"/>
      <c r="HLC48" s="76"/>
      <c r="HLD48" s="76"/>
      <c r="HLE48" s="76"/>
      <c r="HLF48" s="76"/>
      <c r="HLG48" s="76"/>
      <c r="HLH48" s="76"/>
      <c r="HLI48" s="76"/>
      <c r="HLJ48" s="76"/>
      <c r="HLK48" s="76"/>
      <c r="HLL48" s="76"/>
      <c r="HLM48" s="76"/>
      <c r="HLN48" s="76"/>
      <c r="HLO48" s="76"/>
      <c r="HLP48" s="76"/>
      <c r="HLQ48" s="76"/>
      <c r="HLR48" s="76"/>
      <c r="HLS48" s="76"/>
      <c r="HLT48" s="76"/>
      <c r="HLU48" s="76"/>
      <c r="HLV48" s="76"/>
      <c r="HLW48" s="76"/>
      <c r="HLX48" s="76"/>
      <c r="HLY48" s="76"/>
      <c r="HLZ48" s="76"/>
      <c r="HMA48" s="76"/>
      <c r="HMB48" s="76"/>
      <c r="HMC48" s="76"/>
      <c r="HMD48" s="76"/>
      <c r="HME48" s="76"/>
      <c r="HMF48" s="76"/>
      <c r="HMG48" s="76"/>
      <c r="HMH48" s="76"/>
      <c r="HMI48" s="76"/>
      <c r="HMJ48" s="76"/>
      <c r="HMK48" s="76"/>
      <c r="HML48" s="76"/>
      <c r="HMM48" s="76"/>
      <c r="HMN48" s="76"/>
      <c r="HMO48" s="76"/>
      <c r="HMP48" s="76"/>
      <c r="HMQ48" s="76"/>
      <c r="HMR48" s="76"/>
      <c r="HMS48" s="76"/>
      <c r="HMT48" s="76"/>
      <c r="HMU48" s="76"/>
      <c r="HMV48" s="76"/>
      <c r="HMW48" s="76"/>
      <c r="HMX48" s="76"/>
      <c r="HMY48" s="76"/>
      <c r="HMZ48" s="76"/>
      <c r="HNA48" s="76"/>
      <c r="HNB48" s="76"/>
      <c r="HNC48" s="76"/>
      <c r="HND48" s="76"/>
      <c r="HNE48" s="76"/>
      <c r="HNF48" s="76"/>
      <c r="HNG48" s="76"/>
      <c r="HNH48" s="76"/>
      <c r="HNI48" s="76"/>
      <c r="HNJ48" s="76"/>
      <c r="HNK48" s="76"/>
      <c r="HNL48" s="76"/>
      <c r="HNM48" s="76"/>
      <c r="HNN48" s="76"/>
      <c r="HNO48" s="76"/>
      <c r="HNP48" s="76"/>
      <c r="HNQ48" s="76"/>
      <c r="HNR48" s="76"/>
      <c r="HNS48" s="76"/>
      <c r="HNT48" s="76"/>
      <c r="HNU48" s="76"/>
      <c r="HNV48" s="76"/>
      <c r="HNW48" s="76"/>
      <c r="HNX48" s="76"/>
      <c r="HNY48" s="76"/>
      <c r="HNZ48" s="76"/>
      <c r="HOA48" s="76"/>
      <c r="HOB48" s="76"/>
      <c r="HOC48" s="76"/>
      <c r="HOD48" s="76"/>
      <c r="HOE48" s="76"/>
      <c r="HOF48" s="76"/>
      <c r="HOG48" s="76"/>
      <c r="HOH48" s="76"/>
      <c r="HOI48" s="76"/>
      <c r="HOJ48" s="76"/>
      <c r="HOK48" s="76"/>
      <c r="HOL48" s="76"/>
      <c r="HOM48" s="76"/>
      <c r="HON48" s="76"/>
      <c r="HOO48" s="76"/>
      <c r="HOP48" s="76"/>
      <c r="HOQ48" s="76"/>
      <c r="HOR48" s="76"/>
      <c r="HOS48" s="76"/>
      <c r="HOT48" s="76"/>
      <c r="HOU48" s="76"/>
      <c r="HOV48" s="76"/>
      <c r="HOW48" s="76"/>
      <c r="HOX48" s="76"/>
      <c r="HOY48" s="76"/>
      <c r="HOZ48" s="76"/>
      <c r="HPA48" s="76"/>
      <c r="HPB48" s="76"/>
      <c r="HPC48" s="76"/>
      <c r="HPD48" s="76"/>
      <c r="HPE48" s="76"/>
      <c r="HPF48" s="76"/>
      <c r="HPG48" s="76"/>
      <c r="HPH48" s="76"/>
      <c r="HPI48" s="76"/>
      <c r="HPJ48" s="76"/>
      <c r="HPK48" s="76"/>
      <c r="HPL48" s="76"/>
      <c r="HPM48" s="76"/>
      <c r="HPN48" s="76"/>
      <c r="HPO48" s="76"/>
      <c r="HPP48" s="76"/>
      <c r="HPQ48" s="76"/>
      <c r="HPR48" s="76"/>
      <c r="HPS48" s="76"/>
      <c r="HPT48" s="76"/>
      <c r="HPU48" s="76"/>
      <c r="HPV48" s="76"/>
      <c r="HPW48" s="76"/>
      <c r="HPX48" s="76"/>
      <c r="HPY48" s="76"/>
      <c r="HPZ48" s="76"/>
      <c r="HQA48" s="76"/>
      <c r="HQB48" s="76"/>
      <c r="HQC48" s="76"/>
      <c r="HQD48" s="76"/>
      <c r="HQE48" s="76"/>
      <c r="HQF48" s="76"/>
      <c r="HQG48" s="76"/>
      <c r="HQH48" s="76"/>
      <c r="HQI48" s="76"/>
      <c r="HQJ48" s="76"/>
      <c r="HQK48" s="76"/>
      <c r="HQL48" s="76"/>
      <c r="HQM48" s="76"/>
      <c r="HQN48" s="76"/>
      <c r="HQO48" s="76"/>
      <c r="HQP48" s="76"/>
      <c r="HQQ48" s="76"/>
      <c r="HQR48" s="76"/>
      <c r="HQS48" s="76"/>
      <c r="HQT48" s="76"/>
      <c r="HQU48" s="76"/>
      <c r="HQV48" s="76"/>
      <c r="HQW48" s="76"/>
      <c r="HQX48" s="76"/>
      <c r="HQY48" s="76"/>
      <c r="HQZ48" s="76"/>
      <c r="HRA48" s="76"/>
      <c r="HRB48" s="76"/>
      <c r="HRC48" s="76"/>
      <c r="HRD48" s="76"/>
      <c r="HRE48" s="76"/>
      <c r="HRF48" s="76"/>
      <c r="HRG48" s="76"/>
      <c r="HRH48" s="76"/>
      <c r="HRI48" s="76"/>
      <c r="HRJ48" s="76"/>
      <c r="HRK48" s="76"/>
      <c r="HRL48" s="76"/>
      <c r="HRM48" s="76"/>
      <c r="HRN48" s="76"/>
      <c r="HRO48" s="76"/>
      <c r="HRP48" s="76"/>
      <c r="HRQ48" s="76"/>
      <c r="HRR48" s="76"/>
      <c r="HRS48" s="76"/>
      <c r="HRT48" s="76"/>
      <c r="HRU48" s="76"/>
      <c r="HRV48" s="76"/>
      <c r="HRW48" s="76"/>
      <c r="HRX48" s="76"/>
      <c r="HRY48" s="76"/>
      <c r="HRZ48" s="76"/>
      <c r="HSA48" s="76"/>
      <c r="HSB48" s="76"/>
      <c r="HSC48" s="76"/>
      <c r="HSD48" s="76"/>
      <c r="HSE48" s="76"/>
      <c r="HSF48" s="76"/>
      <c r="HSG48" s="76"/>
      <c r="HSH48" s="76"/>
      <c r="HSI48" s="76"/>
      <c r="HSJ48" s="76"/>
      <c r="HSK48" s="76"/>
      <c r="HSL48" s="76"/>
      <c r="HSM48" s="76"/>
      <c r="HSN48" s="76"/>
      <c r="HSO48" s="76"/>
      <c r="HSP48" s="76"/>
      <c r="HSQ48" s="76"/>
      <c r="HSR48" s="76"/>
      <c r="HSS48" s="76"/>
      <c r="HST48" s="76"/>
      <c r="HSU48" s="76"/>
      <c r="HSV48" s="76"/>
      <c r="HSW48" s="76"/>
      <c r="HSX48" s="76"/>
      <c r="HSY48" s="76"/>
      <c r="HSZ48" s="76"/>
      <c r="HTA48" s="76"/>
      <c r="HTB48" s="76"/>
      <c r="HTC48" s="76"/>
      <c r="HTD48" s="76"/>
      <c r="HTE48" s="76"/>
      <c r="HTF48" s="76"/>
      <c r="HTG48" s="76"/>
      <c r="HTH48" s="76"/>
      <c r="HTI48" s="76"/>
      <c r="HTJ48" s="76"/>
      <c r="HTK48" s="76"/>
      <c r="HTL48" s="76"/>
      <c r="HTM48" s="76"/>
      <c r="HTN48" s="76"/>
      <c r="HTO48" s="76"/>
      <c r="HTP48" s="76"/>
      <c r="HTQ48" s="76"/>
      <c r="HTR48" s="76"/>
      <c r="HTS48" s="76"/>
      <c r="HTT48" s="76"/>
      <c r="HTU48" s="76"/>
      <c r="HTV48" s="76"/>
      <c r="HTW48" s="76"/>
      <c r="HTX48" s="76"/>
      <c r="HTY48" s="76"/>
      <c r="HTZ48" s="76"/>
      <c r="HUA48" s="76"/>
      <c r="HUB48" s="76"/>
      <c r="HUC48" s="76"/>
      <c r="HUD48" s="76"/>
      <c r="HUE48" s="76"/>
      <c r="HUF48" s="76"/>
      <c r="HUG48" s="76"/>
      <c r="HUH48" s="76"/>
      <c r="HUI48" s="76"/>
      <c r="HUJ48" s="76"/>
      <c r="HUK48" s="76"/>
      <c r="HUL48" s="76"/>
      <c r="HUM48" s="76"/>
      <c r="HUN48" s="76"/>
      <c r="HUO48" s="76"/>
      <c r="HUP48" s="76"/>
      <c r="HUQ48" s="76"/>
      <c r="HUR48" s="76"/>
      <c r="HUS48" s="76"/>
      <c r="HUT48" s="76"/>
      <c r="HUU48" s="76"/>
      <c r="HUV48" s="76"/>
      <c r="HUW48" s="76"/>
      <c r="HUX48" s="76"/>
      <c r="HUY48" s="76"/>
      <c r="HUZ48" s="76"/>
      <c r="HVA48" s="76"/>
      <c r="HVB48" s="76"/>
      <c r="HVC48" s="76"/>
      <c r="HVD48" s="76"/>
      <c r="HVE48" s="76"/>
      <c r="HVF48" s="76"/>
      <c r="HVG48" s="76"/>
      <c r="HVH48" s="76"/>
      <c r="HVI48" s="76"/>
      <c r="HVJ48" s="76"/>
      <c r="HVK48" s="76"/>
      <c r="HVL48" s="76"/>
      <c r="HVM48" s="76"/>
      <c r="HVN48" s="76"/>
      <c r="HVO48" s="76"/>
      <c r="HVP48" s="76"/>
      <c r="HVQ48" s="76"/>
      <c r="HVR48" s="76"/>
      <c r="HVS48" s="76"/>
      <c r="HVT48" s="76"/>
      <c r="HVU48" s="76"/>
      <c r="HVV48" s="76"/>
      <c r="HVW48" s="76"/>
      <c r="HVX48" s="76"/>
      <c r="HVY48" s="76"/>
      <c r="HVZ48" s="76"/>
      <c r="HWA48" s="76"/>
      <c r="HWB48" s="76"/>
      <c r="HWC48" s="76"/>
      <c r="HWD48" s="76"/>
      <c r="HWE48" s="76"/>
      <c r="HWF48" s="76"/>
      <c r="HWG48" s="76"/>
      <c r="HWH48" s="76"/>
      <c r="HWI48" s="76"/>
      <c r="HWJ48" s="76"/>
      <c r="HWK48" s="76"/>
      <c r="HWL48" s="76"/>
      <c r="HWM48" s="76"/>
      <c r="HWN48" s="76"/>
      <c r="HWO48" s="76"/>
      <c r="HWP48" s="76"/>
      <c r="HWQ48" s="76"/>
      <c r="HWR48" s="76"/>
      <c r="HWS48" s="76"/>
      <c r="HWT48" s="76"/>
      <c r="HWU48" s="76"/>
      <c r="HWV48" s="76"/>
      <c r="HWW48" s="76"/>
      <c r="HWX48" s="76"/>
      <c r="HWY48" s="76"/>
      <c r="HWZ48" s="76"/>
      <c r="HXA48" s="76"/>
      <c r="HXB48" s="76"/>
      <c r="HXC48" s="76"/>
      <c r="HXD48" s="76"/>
      <c r="HXE48" s="76"/>
      <c r="HXF48" s="76"/>
      <c r="HXG48" s="76"/>
      <c r="HXH48" s="76"/>
      <c r="HXI48" s="76"/>
      <c r="HXJ48" s="76"/>
      <c r="HXK48" s="76"/>
      <c r="HXL48" s="76"/>
      <c r="HXM48" s="76"/>
      <c r="HXN48" s="76"/>
      <c r="HXO48" s="76"/>
      <c r="HXP48" s="76"/>
      <c r="HXQ48" s="76"/>
      <c r="HXR48" s="76"/>
      <c r="HXS48" s="76"/>
      <c r="HXT48" s="76"/>
      <c r="HXU48" s="76"/>
      <c r="HXV48" s="76"/>
      <c r="HXW48" s="76"/>
      <c r="HXX48" s="76"/>
      <c r="HXY48" s="76"/>
      <c r="HXZ48" s="76"/>
      <c r="HYA48" s="76"/>
      <c r="HYB48" s="76"/>
      <c r="HYC48" s="76"/>
      <c r="HYD48" s="76"/>
      <c r="HYE48" s="76"/>
      <c r="HYF48" s="76"/>
      <c r="HYG48" s="76"/>
      <c r="HYH48" s="76"/>
      <c r="HYI48" s="76"/>
      <c r="HYJ48" s="76"/>
      <c r="HYK48" s="76"/>
      <c r="HYL48" s="76"/>
      <c r="HYM48" s="76"/>
      <c r="HYN48" s="76"/>
      <c r="HYO48" s="76"/>
      <c r="HYP48" s="76"/>
      <c r="HYQ48" s="76"/>
      <c r="HYR48" s="76"/>
      <c r="HYS48" s="76"/>
      <c r="HYT48" s="76"/>
      <c r="HYU48" s="76"/>
      <c r="HYV48" s="76"/>
      <c r="HYW48" s="76"/>
      <c r="HYX48" s="76"/>
      <c r="HYY48" s="76"/>
      <c r="HYZ48" s="76"/>
      <c r="HZA48" s="76"/>
      <c r="HZB48" s="76"/>
      <c r="HZC48" s="76"/>
      <c r="HZD48" s="76"/>
      <c r="HZE48" s="76"/>
      <c r="HZF48" s="76"/>
      <c r="HZG48" s="76"/>
      <c r="HZH48" s="76"/>
      <c r="HZI48" s="76"/>
      <c r="HZJ48" s="76"/>
      <c r="HZK48" s="76"/>
      <c r="HZL48" s="76"/>
      <c r="HZM48" s="76"/>
      <c r="HZN48" s="76"/>
      <c r="HZO48" s="76"/>
      <c r="HZP48" s="76"/>
      <c r="HZQ48" s="76"/>
      <c r="HZR48" s="76"/>
      <c r="HZS48" s="76"/>
      <c r="HZT48" s="76"/>
      <c r="HZU48" s="76"/>
      <c r="HZV48" s="76"/>
      <c r="HZW48" s="76"/>
      <c r="HZX48" s="76"/>
      <c r="HZY48" s="76"/>
      <c r="HZZ48" s="76"/>
      <c r="IAA48" s="76"/>
      <c r="IAB48" s="76"/>
      <c r="IAC48" s="76"/>
      <c r="IAD48" s="76"/>
      <c r="IAE48" s="76"/>
      <c r="IAF48" s="76"/>
      <c r="IAG48" s="76"/>
      <c r="IAH48" s="76"/>
      <c r="IAI48" s="76"/>
      <c r="IAJ48" s="76"/>
      <c r="IAK48" s="76"/>
      <c r="IAL48" s="76"/>
      <c r="IAM48" s="76"/>
      <c r="IAN48" s="76"/>
      <c r="IAO48" s="76"/>
      <c r="IAP48" s="76"/>
      <c r="IAQ48" s="76"/>
      <c r="IAR48" s="76"/>
      <c r="IAS48" s="76"/>
      <c r="IAT48" s="76"/>
      <c r="IAU48" s="76"/>
      <c r="IAV48" s="76"/>
      <c r="IAW48" s="76"/>
      <c r="IAX48" s="76"/>
      <c r="IAY48" s="76"/>
      <c r="IAZ48" s="76"/>
      <c r="IBA48" s="76"/>
      <c r="IBB48" s="76"/>
      <c r="IBC48" s="76"/>
      <c r="IBD48" s="76"/>
      <c r="IBE48" s="76"/>
      <c r="IBF48" s="76"/>
      <c r="IBG48" s="76"/>
      <c r="IBH48" s="76"/>
      <c r="IBI48" s="76"/>
      <c r="IBJ48" s="76"/>
      <c r="IBK48" s="76"/>
      <c r="IBL48" s="76"/>
      <c r="IBM48" s="76"/>
      <c r="IBN48" s="76"/>
      <c r="IBO48" s="76"/>
      <c r="IBP48" s="76"/>
      <c r="IBQ48" s="76"/>
      <c r="IBR48" s="76"/>
      <c r="IBS48" s="76"/>
      <c r="IBT48" s="76"/>
      <c r="IBU48" s="76"/>
      <c r="IBV48" s="76"/>
      <c r="IBW48" s="76"/>
      <c r="IBX48" s="76"/>
      <c r="IBY48" s="76"/>
      <c r="IBZ48" s="76"/>
      <c r="ICA48" s="76"/>
      <c r="ICB48" s="76"/>
      <c r="ICC48" s="76"/>
      <c r="ICD48" s="76"/>
      <c r="ICE48" s="76"/>
      <c r="ICF48" s="76"/>
      <c r="ICG48" s="76"/>
      <c r="ICH48" s="76"/>
      <c r="ICI48" s="76"/>
      <c r="ICJ48" s="76"/>
      <c r="ICK48" s="76"/>
      <c r="ICL48" s="76"/>
      <c r="ICM48" s="76"/>
      <c r="ICN48" s="76"/>
      <c r="ICO48" s="76"/>
      <c r="ICP48" s="76"/>
      <c r="ICQ48" s="76"/>
      <c r="ICR48" s="76"/>
      <c r="ICS48" s="76"/>
      <c r="ICT48" s="76"/>
      <c r="ICU48" s="76"/>
      <c r="ICV48" s="76"/>
      <c r="ICW48" s="76"/>
      <c r="ICX48" s="76"/>
      <c r="ICY48" s="76"/>
      <c r="ICZ48" s="76"/>
      <c r="IDA48" s="76"/>
      <c r="IDB48" s="76"/>
      <c r="IDC48" s="76"/>
      <c r="IDD48" s="76"/>
      <c r="IDE48" s="76"/>
      <c r="IDF48" s="76"/>
      <c r="IDG48" s="76"/>
      <c r="IDH48" s="76"/>
      <c r="IDI48" s="76"/>
      <c r="IDJ48" s="76"/>
      <c r="IDK48" s="76"/>
      <c r="IDL48" s="76"/>
      <c r="IDM48" s="76"/>
      <c r="IDN48" s="76"/>
      <c r="IDO48" s="76"/>
      <c r="IDP48" s="76"/>
      <c r="IDQ48" s="76"/>
      <c r="IDR48" s="76"/>
      <c r="IDS48" s="76"/>
      <c r="IDT48" s="76"/>
      <c r="IDU48" s="76"/>
      <c r="IDV48" s="76"/>
      <c r="IDW48" s="76"/>
      <c r="IDX48" s="76"/>
      <c r="IDY48" s="76"/>
      <c r="IDZ48" s="76"/>
      <c r="IEA48" s="76"/>
      <c r="IEB48" s="76"/>
      <c r="IEC48" s="76"/>
      <c r="IED48" s="76"/>
      <c r="IEE48" s="76"/>
      <c r="IEF48" s="76"/>
      <c r="IEG48" s="76"/>
      <c r="IEH48" s="76"/>
      <c r="IEI48" s="76"/>
      <c r="IEJ48" s="76"/>
      <c r="IEK48" s="76"/>
      <c r="IEL48" s="76"/>
      <c r="IEM48" s="76"/>
      <c r="IEN48" s="76"/>
      <c r="IEO48" s="76"/>
      <c r="IEP48" s="76"/>
      <c r="IEQ48" s="76"/>
      <c r="IER48" s="76"/>
      <c r="IES48" s="76"/>
      <c r="IET48" s="76"/>
      <c r="IEU48" s="76"/>
      <c r="IEV48" s="76"/>
      <c r="IEW48" s="76"/>
      <c r="IEX48" s="76"/>
      <c r="IEY48" s="76"/>
      <c r="IEZ48" s="76"/>
      <c r="IFA48" s="76"/>
      <c r="IFB48" s="76"/>
      <c r="IFC48" s="76"/>
      <c r="IFD48" s="76"/>
      <c r="IFE48" s="76"/>
      <c r="IFF48" s="76"/>
      <c r="IFG48" s="76"/>
      <c r="IFH48" s="76"/>
      <c r="IFI48" s="76"/>
      <c r="IFJ48" s="76"/>
      <c r="IFK48" s="76"/>
      <c r="IFL48" s="76"/>
      <c r="IFM48" s="76"/>
      <c r="IFN48" s="76"/>
      <c r="IFO48" s="76"/>
      <c r="IFP48" s="76"/>
      <c r="IFQ48" s="76"/>
      <c r="IFR48" s="76"/>
      <c r="IFS48" s="76"/>
      <c r="IFT48" s="76"/>
      <c r="IFU48" s="76"/>
      <c r="IFV48" s="76"/>
      <c r="IFW48" s="76"/>
      <c r="IFX48" s="76"/>
      <c r="IFY48" s="76"/>
      <c r="IFZ48" s="76"/>
      <c r="IGA48" s="76"/>
      <c r="IGB48" s="76"/>
      <c r="IGC48" s="76"/>
      <c r="IGD48" s="76"/>
      <c r="IGE48" s="76"/>
      <c r="IGF48" s="76"/>
      <c r="IGG48" s="76"/>
      <c r="IGH48" s="76"/>
      <c r="IGI48" s="76"/>
      <c r="IGJ48" s="76"/>
      <c r="IGK48" s="76"/>
      <c r="IGL48" s="76"/>
      <c r="IGM48" s="76"/>
      <c r="IGN48" s="76"/>
      <c r="IGO48" s="76"/>
      <c r="IGP48" s="76"/>
      <c r="IGQ48" s="76"/>
      <c r="IGR48" s="76"/>
      <c r="IGS48" s="76"/>
      <c r="IGT48" s="76"/>
      <c r="IGU48" s="76"/>
      <c r="IGV48" s="76"/>
      <c r="IGW48" s="76"/>
      <c r="IGX48" s="76"/>
      <c r="IGY48" s="76"/>
      <c r="IGZ48" s="76"/>
      <c r="IHA48" s="76"/>
      <c r="IHB48" s="76"/>
      <c r="IHC48" s="76"/>
      <c r="IHD48" s="76"/>
      <c r="IHE48" s="76"/>
      <c r="IHF48" s="76"/>
      <c r="IHG48" s="76"/>
      <c r="IHH48" s="76"/>
      <c r="IHI48" s="76"/>
      <c r="IHJ48" s="76"/>
      <c r="IHK48" s="76"/>
      <c r="IHL48" s="76"/>
      <c r="IHM48" s="76"/>
      <c r="IHN48" s="76"/>
      <c r="IHO48" s="76"/>
      <c r="IHP48" s="76"/>
      <c r="IHQ48" s="76"/>
      <c r="IHR48" s="76"/>
      <c r="IHS48" s="76"/>
      <c r="IHT48" s="76"/>
      <c r="IHU48" s="76"/>
      <c r="IHV48" s="76"/>
      <c r="IHW48" s="76"/>
      <c r="IHX48" s="76"/>
      <c r="IHY48" s="76"/>
      <c r="IHZ48" s="76"/>
      <c r="IIA48" s="76"/>
      <c r="IIB48" s="76"/>
      <c r="IIC48" s="76"/>
      <c r="IID48" s="76"/>
      <c r="IIE48" s="76"/>
      <c r="IIF48" s="76"/>
      <c r="IIG48" s="76"/>
      <c r="IIH48" s="76"/>
      <c r="III48" s="76"/>
      <c r="IIJ48" s="76"/>
      <c r="IIK48" s="76"/>
      <c r="IIL48" s="76"/>
      <c r="IIM48" s="76"/>
      <c r="IIN48" s="76"/>
      <c r="IIO48" s="76"/>
      <c r="IIP48" s="76"/>
      <c r="IIQ48" s="76"/>
      <c r="IIR48" s="76"/>
      <c r="IIS48" s="76"/>
      <c r="IIT48" s="76"/>
      <c r="IIU48" s="76"/>
      <c r="IIV48" s="76"/>
      <c r="IIW48" s="76"/>
      <c r="IIX48" s="76"/>
      <c r="IIY48" s="76"/>
      <c r="IIZ48" s="76"/>
      <c r="IJA48" s="76"/>
      <c r="IJB48" s="76"/>
      <c r="IJC48" s="76"/>
      <c r="IJD48" s="76"/>
      <c r="IJE48" s="76"/>
      <c r="IJF48" s="76"/>
      <c r="IJG48" s="76"/>
      <c r="IJH48" s="76"/>
      <c r="IJI48" s="76"/>
      <c r="IJJ48" s="76"/>
      <c r="IJK48" s="76"/>
      <c r="IJL48" s="76"/>
      <c r="IJM48" s="76"/>
      <c r="IJN48" s="76"/>
      <c r="IJO48" s="76"/>
      <c r="IJP48" s="76"/>
      <c r="IJQ48" s="76"/>
      <c r="IJR48" s="76"/>
      <c r="IJS48" s="76"/>
      <c r="IJT48" s="76"/>
      <c r="IJU48" s="76"/>
      <c r="IJV48" s="76"/>
      <c r="IJW48" s="76"/>
      <c r="IJX48" s="76"/>
      <c r="IJY48" s="76"/>
      <c r="IJZ48" s="76"/>
      <c r="IKA48" s="76"/>
      <c r="IKB48" s="76"/>
      <c r="IKC48" s="76"/>
      <c r="IKD48" s="76"/>
      <c r="IKE48" s="76"/>
      <c r="IKF48" s="76"/>
      <c r="IKG48" s="76"/>
      <c r="IKH48" s="76"/>
      <c r="IKI48" s="76"/>
      <c r="IKJ48" s="76"/>
      <c r="IKK48" s="76"/>
      <c r="IKL48" s="76"/>
      <c r="IKM48" s="76"/>
      <c r="IKN48" s="76"/>
      <c r="IKO48" s="76"/>
      <c r="IKP48" s="76"/>
      <c r="IKQ48" s="76"/>
      <c r="IKR48" s="76"/>
      <c r="IKS48" s="76"/>
      <c r="IKT48" s="76"/>
      <c r="IKU48" s="76"/>
      <c r="IKV48" s="76"/>
      <c r="IKW48" s="76"/>
      <c r="IKX48" s="76"/>
      <c r="IKY48" s="76"/>
      <c r="IKZ48" s="76"/>
      <c r="ILA48" s="76"/>
      <c r="ILB48" s="76"/>
      <c r="ILC48" s="76"/>
      <c r="ILD48" s="76"/>
      <c r="ILE48" s="76"/>
      <c r="ILF48" s="76"/>
      <c r="ILG48" s="76"/>
      <c r="ILH48" s="76"/>
      <c r="ILI48" s="76"/>
      <c r="ILJ48" s="76"/>
      <c r="ILK48" s="76"/>
      <c r="ILL48" s="76"/>
      <c r="ILM48" s="76"/>
      <c r="ILN48" s="76"/>
      <c r="ILO48" s="76"/>
      <c r="ILP48" s="76"/>
      <c r="ILQ48" s="76"/>
      <c r="ILR48" s="76"/>
      <c r="ILS48" s="76"/>
      <c r="ILT48" s="76"/>
      <c r="ILU48" s="76"/>
      <c r="ILV48" s="76"/>
      <c r="ILW48" s="76"/>
      <c r="ILX48" s="76"/>
      <c r="ILY48" s="76"/>
      <c r="ILZ48" s="76"/>
      <c r="IMA48" s="76"/>
      <c r="IMB48" s="76"/>
      <c r="IMC48" s="76"/>
      <c r="IMD48" s="76"/>
      <c r="IME48" s="76"/>
      <c r="IMF48" s="76"/>
      <c r="IMG48" s="76"/>
      <c r="IMH48" s="76"/>
      <c r="IMI48" s="76"/>
      <c r="IMJ48" s="76"/>
      <c r="IMK48" s="76"/>
      <c r="IML48" s="76"/>
      <c r="IMM48" s="76"/>
      <c r="IMN48" s="76"/>
      <c r="IMO48" s="76"/>
      <c r="IMP48" s="76"/>
      <c r="IMQ48" s="76"/>
      <c r="IMR48" s="76"/>
      <c r="IMS48" s="76"/>
      <c r="IMT48" s="76"/>
      <c r="IMU48" s="76"/>
      <c r="IMV48" s="76"/>
      <c r="IMW48" s="76"/>
      <c r="IMX48" s="76"/>
      <c r="IMY48" s="76"/>
      <c r="IMZ48" s="76"/>
      <c r="INA48" s="76"/>
      <c r="INB48" s="76"/>
      <c r="INC48" s="76"/>
      <c r="IND48" s="76"/>
      <c r="INE48" s="76"/>
      <c r="INF48" s="76"/>
      <c r="ING48" s="76"/>
      <c r="INH48" s="76"/>
      <c r="INI48" s="76"/>
      <c r="INJ48" s="76"/>
      <c r="INK48" s="76"/>
      <c r="INL48" s="76"/>
      <c r="INM48" s="76"/>
      <c r="INN48" s="76"/>
      <c r="INO48" s="76"/>
      <c r="INP48" s="76"/>
      <c r="INQ48" s="76"/>
      <c r="INR48" s="76"/>
      <c r="INS48" s="76"/>
      <c r="INT48" s="76"/>
      <c r="INU48" s="76"/>
      <c r="INV48" s="76"/>
      <c r="INW48" s="76"/>
      <c r="INX48" s="76"/>
      <c r="INY48" s="76"/>
      <c r="INZ48" s="76"/>
      <c r="IOA48" s="76"/>
      <c r="IOB48" s="76"/>
      <c r="IOC48" s="76"/>
      <c r="IOD48" s="76"/>
      <c r="IOE48" s="76"/>
      <c r="IOF48" s="76"/>
      <c r="IOG48" s="76"/>
      <c r="IOH48" s="76"/>
      <c r="IOI48" s="76"/>
      <c r="IOJ48" s="76"/>
      <c r="IOK48" s="76"/>
      <c r="IOL48" s="76"/>
      <c r="IOM48" s="76"/>
      <c r="ION48" s="76"/>
      <c r="IOO48" s="76"/>
      <c r="IOP48" s="76"/>
      <c r="IOQ48" s="76"/>
      <c r="IOR48" s="76"/>
      <c r="IOS48" s="76"/>
      <c r="IOT48" s="76"/>
      <c r="IOU48" s="76"/>
      <c r="IOV48" s="76"/>
      <c r="IOW48" s="76"/>
      <c r="IOX48" s="76"/>
      <c r="IOY48" s="76"/>
      <c r="IOZ48" s="76"/>
      <c r="IPA48" s="76"/>
      <c r="IPB48" s="76"/>
      <c r="IPC48" s="76"/>
      <c r="IPD48" s="76"/>
      <c r="IPE48" s="76"/>
      <c r="IPF48" s="76"/>
      <c r="IPG48" s="76"/>
      <c r="IPH48" s="76"/>
      <c r="IPI48" s="76"/>
      <c r="IPJ48" s="76"/>
      <c r="IPK48" s="76"/>
      <c r="IPL48" s="76"/>
      <c r="IPM48" s="76"/>
      <c r="IPN48" s="76"/>
      <c r="IPO48" s="76"/>
      <c r="IPP48" s="76"/>
      <c r="IPQ48" s="76"/>
      <c r="IPR48" s="76"/>
      <c r="IPS48" s="76"/>
      <c r="IPT48" s="76"/>
      <c r="IPU48" s="76"/>
      <c r="IPV48" s="76"/>
      <c r="IPW48" s="76"/>
      <c r="IPX48" s="76"/>
      <c r="IPY48" s="76"/>
      <c r="IPZ48" s="76"/>
      <c r="IQA48" s="76"/>
      <c r="IQB48" s="76"/>
      <c r="IQC48" s="76"/>
      <c r="IQD48" s="76"/>
      <c r="IQE48" s="76"/>
      <c r="IQF48" s="76"/>
      <c r="IQG48" s="76"/>
      <c r="IQH48" s="76"/>
      <c r="IQI48" s="76"/>
      <c r="IQJ48" s="76"/>
      <c r="IQK48" s="76"/>
      <c r="IQL48" s="76"/>
      <c r="IQM48" s="76"/>
      <c r="IQN48" s="76"/>
      <c r="IQO48" s="76"/>
      <c r="IQP48" s="76"/>
      <c r="IQQ48" s="76"/>
      <c r="IQR48" s="76"/>
      <c r="IQS48" s="76"/>
      <c r="IQT48" s="76"/>
      <c r="IQU48" s="76"/>
      <c r="IQV48" s="76"/>
      <c r="IQW48" s="76"/>
      <c r="IQX48" s="76"/>
      <c r="IQY48" s="76"/>
      <c r="IQZ48" s="76"/>
      <c r="IRA48" s="76"/>
      <c r="IRB48" s="76"/>
      <c r="IRC48" s="76"/>
      <c r="IRD48" s="76"/>
      <c r="IRE48" s="76"/>
      <c r="IRF48" s="76"/>
      <c r="IRG48" s="76"/>
      <c r="IRH48" s="76"/>
      <c r="IRI48" s="76"/>
      <c r="IRJ48" s="76"/>
      <c r="IRK48" s="76"/>
      <c r="IRL48" s="76"/>
      <c r="IRM48" s="76"/>
      <c r="IRN48" s="76"/>
      <c r="IRO48" s="76"/>
      <c r="IRP48" s="76"/>
      <c r="IRQ48" s="76"/>
      <c r="IRR48" s="76"/>
      <c r="IRS48" s="76"/>
      <c r="IRT48" s="76"/>
      <c r="IRU48" s="76"/>
      <c r="IRV48" s="76"/>
      <c r="IRW48" s="76"/>
      <c r="IRX48" s="76"/>
      <c r="IRY48" s="76"/>
      <c r="IRZ48" s="76"/>
      <c r="ISA48" s="76"/>
      <c r="ISB48" s="76"/>
      <c r="ISC48" s="76"/>
      <c r="ISD48" s="76"/>
      <c r="ISE48" s="76"/>
      <c r="ISF48" s="76"/>
      <c r="ISG48" s="76"/>
      <c r="ISH48" s="76"/>
      <c r="ISI48" s="76"/>
      <c r="ISJ48" s="76"/>
      <c r="ISK48" s="76"/>
      <c r="ISL48" s="76"/>
      <c r="ISM48" s="76"/>
      <c r="ISN48" s="76"/>
      <c r="ISO48" s="76"/>
      <c r="ISP48" s="76"/>
      <c r="ISQ48" s="76"/>
      <c r="ISR48" s="76"/>
      <c r="ISS48" s="76"/>
      <c r="IST48" s="76"/>
      <c r="ISU48" s="76"/>
      <c r="ISV48" s="76"/>
      <c r="ISW48" s="76"/>
      <c r="ISX48" s="76"/>
      <c r="ISY48" s="76"/>
      <c r="ISZ48" s="76"/>
      <c r="ITA48" s="76"/>
      <c r="ITB48" s="76"/>
      <c r="ITC48" s="76"/>
      <c r="ITD48" s="76"/>
      <c r="ITE48" s="76"/>
      <c r="ITF48" s="76"/>
      <c r="ITG48" s="76"/>
      <c r="ITH48" s="76"/>
      <c r="ITI48" s="76"/>
      <c r="ITJ48" s="76"/>
      <c r="ITK48" s="76"/>
      <c r="ITL48" s="76"/>
      <c r="ITM48" s="76"/>
      <c r="ITN48" s="76"/>
      <c r="ITO48" s="76"/>
      <c r="ITP48" s="76"/>
      <c r="ITQ48" s="76"/>
      <c r="ITR48" s="76"/>
      <c r="ITS48" s="76"/>
      <c r="ITT48" s="76"/>
      <c r="ITU48" s="76"/>
      <c r="ITV48" s="76"/>
      <c r="ITW48" s="76"/>
      <c r="ITX48" s="76"/>
      <c r="ITY48" s="76"/>
      <c r="ITZ48" s="76"/>
      <c r="IUA48" s="76"/>
      <c r="IUB48" s="76"/>
      <c r="IUC48" s="76"/>
      <c r="IUD48" s="76"/>
      <c r="IUE48" s="76"/>
      <c r="IUF48" s="76"/>
      <c r="IUG48" s="76"/>
      <c r="IUH48" s="76"/>
      <c r="IUI48" s="76"/>
      <c r="IUJ48" s="76"/>
      <c r="IUK48" s="76"/>
      <c r="IUL48" s="76"/>
      <c r="IUM48" s="76"/>
      <c r="IUN48" s="76"/>
      <c r="IUO48" s="76"/>
      <c r="IUP48" s="76"/>
      <c r="IUQ48" s="76"/>
      <c r="IUR48" s="76"/>
      <c r="IUS48" s="76"/>
      <c r="IUT48" s="76"/>
      <c r="IUU48" s="76"/>
      <c r="IUV48" s="76"/>
      <c r="IUW48" s="76"/>
      <c r="IUX48" s="76"/>
      <c r="IUY48" s="76"/>
      <c r="IUZ48" s="76"/>
      <c r="IVA48" s="76"/>
      <c r="IVB48" s="76"/>
      <c r="IVC48" s="76"/>
      <c r="IVD48" s="76"/>
      <c r="IVE48" s="76"/>
      <c r="IVF48" s="76"/>
      <c r="IVG48" s="76"/>
      <c r="IVH48" s="76"/>
      <c r="IVI48" s="76"/>
      <c r="IVJ48" s="76"/>
      <c r="IVK48" s="76"/>
      <c r="IVL48" s="76"/>
      <c r="IVM48" s="76"/>
      <c r="IVN48" s="76"/>
      <c r="IVO48" s="76"/>
      <c r="IVP48" s="76"/>
      <c r="IVQ48" s="76"/>
      <c r="IVR48" s="76"/>
      <c r="IVS48" s="76"/>
      <c r="IVT48" s="76"/>
      <c r="IVU48" s="76"/>
      <c r="IVV48" s="76"/>
      <c r="IVW48" s="76"/>
      <c r="IVX48" s="76"/>
      <c r="IVY48" s="76"/>
      <c r="IVZ48" s="76"/>
      <c r="IWA48" s="76"/>
      <c r="IWB48" s="76"/>
      <c r="IWC48" s="76"/>
      <c r="IWD48" s="76"/>
      <c r="IWE48" s="76"/>
      <c r="IWF48" s="76"/>
      <c r="IWG48" s="76"/>
      <c r="IWH48" s="76"/>
      <c r="IWI48" s="76"/>
      <c r="IWJ48" s="76"/>
      <c r="IWK48" s="76"/>
      <c r="IWL48" s="76"/>
      <c r="IWM48" s="76"/>
      <c r="IWN48" s="76"/>
      <c r="IWO48" s="76"/>
      <c r="IWP48" s="76"/>
      <c r="IWQ48" s="76"/>
      <c r="IWR48" s="76"/>
      <c r="IWS48" s="76"/>
      <c r="IWT48" s="76"/>
      <c r="IWU48" s="76"/>
      <c r="IWV48" s="76"/>
      <c r="IWW48" s="76"/>
      <c r="IWX48" s="76"/>
      <c r="IWY48" s="76"/>
      <c r="IWZ48" s="76"/>
      <c r="IXA48" s="76"/>
      <c r="IXB48" s="76"/>
      <c r="IXC48" s="76"/>
      <c r="IXD48" s="76"/>
      <c r="IXE48" s="76"/>
      <c r="IXF48" s="76"/>
      <c r="IXG48" s="76"/>
      <c r="IXH48" s="76"/>
      <c r="IXI48" s="76"/>
      <c r="IXJ48" s="76"/>
      <c r="IXK48" s="76"/>
      <c r="IXL48" s="76"/>
      <c r="IXM48" s="76"/>
      <c r="IXN48" s="76"/>
      <c r="IXO48" s="76"/>
      <c r="IXP48" s="76"/>
      <c r="IXQ48" s="76"/>
      <c r="IXR48" s="76"/>
      <c r="IXS48" s="76"/>
      <c r="IXT48" s="76"/>
      <c r="IXU48" s="76"/>
      <c r="IXV48" s="76"/>
      <c r="IXW48" s="76"/>
      <c r="IXX48" s="76"/>
      <c r="IXY48" s="76"/>
      <c r="IXZ48" s="76"/>
      <c r="IYA48" s="76"/>
      <c r="IYB48" s="76"/>
      <c r="IYC48" s="76"/>
      <c r="IYD48" s="76"/>
      <c r="IYE48" s="76"/>
      <c r="IYF48" s="76"/>
      <c r="IYG48" s="76"/>
      <c r="IYH48" s="76"/>
      <c r="IYI48" s="76"/>
      <c r="IYJ48" s="76"/>
      <c r="IYK48" s="76"/>
      <c r="IYL48" s="76"/>
      <c r="IYM48" s="76"/>
      <c r="IYN48" s="76"/>
      <c r="IYO48" s="76"/>
      <c r="IYP48" s="76"/>
      <c r="IYQ48" s="76"/>
      <c r="IYR48" s="76"/>
      <c r="IYS48" s="76"/>
      <c r="IYT48" s="76"/>
      <c r="IYU48" s="76"/>
      <c r="IYV48" s="76"/>
      <c r="IYW48" s="76"/>
      <c r="IYX48" s="76"/>
      <c r="IYY48" s="76"/>
      <c r="IYZ48" s="76"/>
      <c r="IZA48" s="76"/>
      <c r="IZB48" s="76"/>
      <c r="IZC48" s="76"/>
      <c r="IZD48" s="76"/>
      <c r="IZE48" s="76"/>
      <c r="IZF48" s="76"/>
      <c r="IZG48" s="76"/>
      <c r="IZH48" s="76"/>
      <c r="IZI48" s="76"/>
      <c r="IZJ48" s="76"/>
      <c r="IZK48" s="76"/>
      <c r="IZL48" s="76"/>
      <c r="IZM48" s="76"/>
      <c r="IZN48" s="76"/>
      <c r="IZO48" s="76"/>
      <c r="IZP48" s="76"/>
      <c r="IZQ48" s="76"/>
      <c r="IZR48" s="76"/>
      <c r="IZS48" s="76"/>
      <c r="IZT48" s="76"/>
      <c r="IZU48" s="76"/>
      <c r="IZV48" s="76"/>
      <c r="IZW48" s="76"/>
      <c r="IZX48" s="76"/>
      <c r="IZY48" s="76"/>
      <c r="IZZ48" s="76"/>
      <c r="JAA48" s="76"/>
      <c r="JAB48" s="76"/>
      <c r="JAC48" s="76"/>
      <c r="JAD48" s="76"/>
      <c r="JAE48" s="76"/>
      <c r="JAF48" s="76"/>
      <c r="JAG48" s="76"/>
      <c r="JAH48" s="76"/>
      <c r="JAI48" s="76"/>
      <c r="JAJ48" s="76"/>
      <c r="JAK48" s="76"/>
      <c r="JAL48" s="76"/>
      <c r="JAM48" s="76"/>
      <c r="JAN48" s="76"/>
      <c r="JAO48" s="76"/>
      <c r="JAP48" s="76"/>
      <c r="JAQ48" s="76"/>
      <c r="JAR48" s="76"/>
      <c r="JAS48" s="76"/>
      <c r="JAT48" s="76"/>
      <c r="JAU48" s="76"/>
      <c r="JAV48" s="76"/>
      <c r="JAW48" s="76"/>
      <c r="JAX48" s="76"/>
      <c r="JAY48" s="76"/>
      <c r="JAZ48" s="76"/>
      <c r="JBA48" s="76"/>
      <c r="JBB48" s="76"/>
      <c r="JBC48" s="76"/>
      <c r="JBD48" s="76"/>
      <c r="JBE48" s="76"/>
      <c r="JBF48" s="76"/>
      <c r="JBG48" s="76"/>
      <c r="JBH48" s="76"/>
      <c r="JBI48" s="76"/>
      <c r="JBJ48" s="76"/>
      <c r="JBK48" s="76"/>
      <c r="JBL48" s="76"/>
      <c r="JBM48" s="76"/>
      <c r="JBN48" s="76"/>
      <c r="JBO48" s="76"/>
      <c r="JBP48" s="76"/>
      <c r="JBQ48" s="76"/>
      <c r="JBR48" s="76"/>
      <c r="JBS48" s="76"/>
      <c r="JBT48" s="76"/>
      <c r="JBU48" s="76"/>
      <c r="JBV48" s="76"/>
      <c r="JBW48" s="76"/>
      <c r="JBX48" s="76"/>
      <c r="JBY48" s="76"/>
      <c r="JBZ48" s="76"/>
      <c r="JCA48" s="76"/>
      <c r="JCB48" s="76"/>
      <c r="JCC48" s="76"/>
      <c r="JCD48" s="76"/>
      <c r="JCE48" s="76"/>
      <c r="JCF48" s="76"/>
      <c r="JCG48" s="76"/>
      <c r="JCH48" s="76"/>
      <c r="JCI48" s="76"/>
      <c r="JCJ48" s="76"/>
      <c r="JCK48" s="76"/>
      <c r="JCL48" s="76"/>
      <c r="JCM48" s="76"/>
      <c r="JCN48" s="76"/>
      <c r="JCO48" s="76"/>
      <c r="JCP48" s="76"/>
      <c r="JCQ48" s="76"/>
      <c r="JCR48" s="76"/>
      <c r="JCS48" s="76"/>
      <c r="JCT48" s="76"/>
      <c r="JCU48" s="76"/>
      <c r="JCV48" s="76"/>
      <c r="JCW48" s="76"/>
      <c r="JCX48" s="76"/>
      <c r="JCY48" s="76"/>
      <c r="JCZ48" s="76"/>
      <c r="JDA48" s="76"/>
      <c r="JDB48" s="76"/>
      <c r="JDC48" s="76"/>
      <c r="JDD48" s="76"/>
      <c r="JDE48" s="76"/>
      <c r="JDF48" s="76"/>
      <c r="JDG48" s="76"/>
      <c r="JDH48" s="76"/>
      <c r="JDI48" s="76"/>
      <c r="JDJ48" s="76"/>
      <c r="JDK48" s="76"/>
      <c r="JDL48" s="76"/>
      <c r="JDM48" s="76"/>
      <c r="JDN48" s="76"/>
      <c r="JDO48" s="76"/>
      <c r="JDP48" s="76"/>
      <c r="JDQ48" s="76"/>
      <c r="JDR48" s="76"/>
      <c r="JDS48" s="76"/>
      <c r="JDT48" s="76"/>
      <c r="JDU48" s="76"/>
      <c r="JDV48" s="76"/>
      <c r="JDW48" s="76"/>
      <c r="JDX48" s="76"/>
      <c r="JDY48" s="76"/>
      <c r="JDZ48" s="76"/>
      <c r="JEA48" s="76"/>
      <c r="JEB48" s="76"/>
      <c r="JEC48" s="76"/>
      <c r="JED48" s="76"/>
      <c r="JEE48" s="76"/>
      <c r="JEF48" s="76"/>
      <c r="JEG48" s="76"/>
      <c r="JEH48" s="76"/>
      <c r="JEI48" s="76"/>
      <c r="JEJ48" s="76"/>
      <c r="JEK48" s="76"/>
      <c r="JEL48" s="76"/>
      <c r="JEM48" s="76"/>
      <c r="JEN48" s="76"/>
      <c r="JEO48" s="76"/>
      <c r="JEP48" s="76"/>
      <c r="JEQ48" s="76"/>
      <c r="JER48" s="76"/>
      <c r="JES48" s="76"/>
      <c r="JET48" s="76"/>
      <c r="JEU48" s="76"/>
      <c r="JEV48" s="76"/>
      <c r="JEW48" s="76"/>
      <c r="JEX48" s="76"/>
      <c r="JEY48" s="76"/>
      <c r="JEZ48" s="76"/>
      <c r="JFA48" s="76"/>
      <c r="JFB48" s="76"/>
      <c r="JFC48" s="76"/>
      <c r="JFD48" s="76"/>
      <c r="JFE48" s="76"/>
      <c r="JFF48" s="76"/>
      <c r="JFG48" s="76"/>
      <c r="JFH48" s="76"/>
      <c r="JFI48" s="76"/>
      <c r="JFJ48" s="76"/>
      <c r="JFK48" s="76"/>
      <c r="JFL48" s="76"/>
      <c r="JFM48" s="76"/>
      <c r="JFN48" s="76"/>
      <c r="JFO48" s="76"/>
      <c r="JFP48" s="76"/>
      <c r="JFQ48" s="76"/>
      <c r="JFR48" s="76"/>
      <c r="JFS48" s="76"/>
      <c r="JFT48" s="76"/>
      <c r="JFU48" s="76"/>
      <c r="JFV48" s="76"/>
      <c r="JFW48" s="76"/>
      <c r="JFX48" s="76"/>
      <c r="JFY48" s="76"/>
      <c r="JFZ48" s="76"/>
      <c r="JGA48" s="76"/>
      <c r="JGB48" s="76"/>
      <c r="JGC48" s="76"/>
      <c r="JGD48" s="76"/>
      <c r="JGE48" s="76"/>
      <c r="JGF48" s="76"/>
      <c r="JGG48" s="76"/>
      <c r="JGH48" s="76"/>
      <c r="JGI48" s="76"/>
      <c r="JGJ48" s="76"/>
      <c r="JGK48" s="76"/>
      <c r="JGL48" s="76"/>
      <c r="JGM48" s="76"/>
      <c r="JGN48" s="76"/>
      <c r="JGO48" s="76"/>
      <c r="JGP48" s="76"/>
      <c r="JGQ48" s="76"/>
      <c r="JGR48" s="76"/>
      <c r="JGS48" s="76"/>
      <c r="JGT48" s="76"/>
      <c r="JGU48" s="76"/>
      <c r="JGV48" s="76"/>
      <c r="JGW48" s="76"/>
      <c r="JGX48" s="76"/>
      <c r="JGY48" s="76"/>
      <c r="JGZ48" s="76"/>
      <c r="JHA48" s="76"/>
      <c r="JHB48" s="76"/>
      <c r="JHC48" s="76"/>
      <c r="JHD48" s="76"/>
      <c r="JHE48" s="76"/>
      <c r="JHF48" s="76"/>
      <c r="JHG48" s="76"/>
      <c r="JHH48" s="76"/>
      <c r="JHI48" s="76"/>
      <c r="JHJ48" s="76"/>
      <c r="JHK48" s="76"/>
      <c r="JHL48" s="76"/>
      <c r="JHM48" s="76"/>
      <c r="JHN48" s="76"/>
      <c r="JHO48" s="76"/>
      <c r="JHP48" s="76"/>
      <c r="JHQ48" s="76"/>
      <c r="JHR48" s="76"/>
      <c r="JHS48" s="76"/>
      <c r="JHT48" s="76"/>
      <c r="JHU48" s="76"/>
      <c r="JHV48" s="76"/>
      <c r="JHW48" s="76"/>
      <c r="JHX48" s="76"/>
      <c r="JHY48" s="76"/>
      <c r="JHZ48" s="76"/>
      <c r="JIA48" s="76"/>
      <c r="JIB48" s="76"/>
      <c r="JIC48" s="76"/>
      <c r="JID48" s="76"/>
      <c r="JIE48" s="76"/>
      <c r="JIF48" s="76"/>
      <c r="JIG48" s="76"/>
      <c r="JIH48" s="76"/>
      <c r="JII48" s="76"/>
      <c r="JIJ48" s="76"/>
      <c r="JIK48" s="76"/>
      <c r="JIL48" s="76"/>
      <c r="JIM48" s="76"/>
      <c r="JIN48" s="76"/>
      <c r="JIO48" s="76"/>
      <c r="JIP48" s="76"/>
      <c r="JIQ48" s="76"/>
      <c r="JIR48" s="76"/>
      <c r="JIS48" s="76"/>
      <c r="JIT48" s="76"/>
      <c r="JIU48" s="76"/>
      <c r="JIV48" s="76"/>
      <c r="JIW48" s="76"/>
      <c r="JIX48" s="76"/>
      <c r="JIY48" s="76"/>
      <c r="JIZ48" s="76"/>
      <c r="JJA48" s="76"/>
      <c r="JJB48" s="76"/>
      <c r="JJC48" s="76"/>
      <c r="JJD48" s="76"/>
      <c r="JJE48" s="76"/>
      <c r="JJF48" s="76"/>
      <c r="JJG48" s="76"/>
      <c r="JJH48" s="76"/>
      <c r="JJI48" s="76"/>
      <c r="JJJ48" s="76"/>
      <c r="JJK48" s="76"/>
      <c r="JJL48" s="76"/>
      <c r="JJM48" s="76"/>
      <c r="JJN48" s="76"/>
      <c r="JJO48" s="76"/>
      <c r="JJP48" s="76"/>
      <c r="JJQ48" s="76"/>
      <c r="JJR48" s="76"/>
      <c r="JJS48" s="76"/>
      <c r="JJT48" s="76"/>
      <c r="JJU48" s="76"/>
      <c r="JJV48" s="76"/>
      <c r="JJW48" s="76"/>
      <c r="JJX48" s="76"/>
      <c r="JJY48" s="76"/>
      <c r="JJZ48" s="76"/>
      <c r="JKA48" s="76"/>
      <c r="JKB48" s="76"/>
      <c r="JKC48" s="76"/>
      <c r="JKD48" s="76"/>
      <c r="JKE48" s="76"/>
      <c r="JKF48" s="76"/>
      <c r="JKG48" s="76"/>
      <c r="JKH48" s="76"/>
      <c r="JKI48" s="76"/>
      <c r="JKJ48" s="76"/>
      <c r="JKK48" s="76"/>
      <c r="JKL48" s="76"/>
      <c r="JKM48" s="76"/>
      <c r="JKN48" s="76"/>
      <c r="JKO48" s="76"/>
      <c r="JKP48" s="76"/>
      <c r="JKQ48" s="76"/>
      <c r="JKR48" s="76"/>
      <c r="JKS48" s="76"/>
      <c r="JKT48" s="76"/>
      <c r="JKU48" s="76"/>
      <c r="JKV48" s="76"/>
      <c r="JKW48" s="76"/>
      <c r="JKX48" s="76"/>
      <c r="JKY48" s="76"/>
      <c r="JKZ48" s="76"/>
      <c r="JLA48" s="76"/>
      <c r="JLB48" s="76"/>
      <c r="JLC48" s="76"/>
      <c r="JLD48" s="76"/>
      <c r="JLE48" s="76"/>
      <c r="JLF48" s="76"/>
      <c r="JLG48" s="76"/>
      <c r="JLH48" s="76"/>
      <c r="JLI48" s="76"/>
      <c r="JLJ48" s="76"/>
      <c r="JLK48" s="76"/>
      <c r="JLL48" s="76"/>
      <c r="JLM48" s="76"/>
      <c r="JLN48" s="76"/>
      <c r="JLO48" s="76"/>
      <c r="JLP48" s="76"/>
      <c r="JLQ48" s="76"/>
      <c r="JLR48" s="76"/>
      <c r="JLS48" s="76"/>
      <c r="JLT48" s="76"/>
      <c r="JLU48" s="76"/>
      <c r="JLV48" s="76"/>
      <c r="JLW48" s="76"/>
      <c r="JLX48" s="76"/>
      <c r="JLY48" s="76"/>
      <c r="JLZ48" s="76"/>
      <c r="JMA48" s="76"/>
      <c r="JMB48" s="76"/>
      <c r="JMC48" s="76"/>
      <c r="JMD48" s="76"/>
      <c r="JME48" s="76"/>
      <c r="JMF48" s="76"/>
      <c r="JMG48" s="76"/>
      <c r="JMH48" s="76"/>
      <c r="JMI48" s="76"/>
      <c r="JMJ48" s="76"/>
      <c r="JMK48" s="76"/>
      <c r="JML48" s="76"/>
      <c r="JMM48" s="76"/>
      <c r="JMN48" s="76"/>
      <c r="JMO48" s="76"/>
      <c r="JMP48" s="76"/>
      <c r="JMQ48" s="76"/>
      <c r="JMR48" s="76"/>
      <c r="JMS48" s="76"/>
      <c r="JMT48" s="76"/>
      <c r="JMU48" s="76"/>
      <c r="JMV48" s="76"/>
      <c r="JMW48" s="76"/>
      <c r="JMX48" s="76"/>
      <c r="JMY48" s="76"/>
      <c r="JMZ48" s="76"/>
      <c r="JNA48" s="76"/>
      <c r="JNB48" s="76"/>
      <c r="JNC48" s="76"/>
      <c r="JND48" s="76"/>
      <c r="JNE48" s="76"/>
      <c r="JNF48" s="76"/>
      <c r="JNG48" s="76"/>
      <c r="JNH48" s="76"/>
      <c r="JNI48" s="76"/>
      <c r="JNJ48" s="76"/>
      <c r="JNK48" s="76"/>
      <c r="JNL48" s="76"/>
      <c r="JNM48" s="76"/>
      <c r="JNN48" s="76"/>
      <c r="JNO48" s="76"/>
      <c r="JNP48" s="76"/>
      <c r="JNQ48" s="76"/>
      <c r="JNR48" s="76"/>
      <c r="JNS48" s="76"/>
      <c r="JNT48" s="76"/>
      <c r="JNU48" s="76"/>
      <c r="JNV48" s="76"/>
      <c r="JNW48" s="76"/>
      <c r="JNX48" s="76"/>
      <c r="JNY48" s="76"/>
      <c r="JNZ48" s="76"/>
      <c r="JOA48" s="76"/>
      <c r="JOB48" s="76"/>
      <c r="JOC48" s="76"/>
      <c r="JOD48" s="76"/>
      <c r="JOE48" s="76"/>
      <c r="JOF48" s="76"/>
      <c r="JOG48" s="76"/>
      <c r="JOH48" s="76"/>
      <c r="JOI48" s="76"/>
      <c r="JOJ48" s="76"/>
      <c r="JOK48" s="76"/>
      <c r="JOL48" s="76"/>
      <c r="JOM48" s="76"/>
      <c r="JON48" s="76"/>
      <c r="JOO48" s="76"/>
      <c r="JOP48" s="76"/>
      <c r="JOQ48" s="76"/>
      <c r="JOR48" s="76"/>
      <c r="JOS48" s="76"/>
      <c r="JOT48" s="76"/>
      <c r="JOU48" s="76"/>
      <c r="JOV48" s="76"/>
      <c r="JOW48" s="76"/>
      <c r="JOX48" s="76"/>
      <c r="JOY48" s="76"/>
      <c r="JOZ48" s="76"/>
      <c r="JPA48" s="76"/>
      <c r="JPB48" s="76"/>
      <c r="JPC48" s="76"/>
      <c r="JPD48" s="76"/>
      <c r="JPE48" s="76"/>
      <c r="JPF48" s="76"/>
      <c r="JPG48" s="76"/>
      <c r="JPH48" s="76"/>
      <c r="JPI48" s="76"/>
      <c r="JPJ48" s="76"/>
      <c r="JPK48" s="76"/>
      <c r="JPL48" s="76"/>
      <c r="JPM48" s="76"/>
      <c r="JPN48" s="76"/>
      <c r="JPO48" s="76"/>
      <c r="JPP48" s="76"/>
      <c r="JPQ48" s="76"/>
      <c r="JPR48" s="76"/>
      <c r="JPS48" s="76"/>
      <c r="JPT48" s="76"/>
      <c r="JPU48" s="76"/>
      <c r="JPV48" s="76"/>
      <c r="JPW48" s="76"/>
      <c r="JPX48" s="76"/>
      <c r="JPY48" s="76"/>
      <c r="JPZ48" s="76"/>
      <c r="JQA48" s="76"/>
      <c r="JQB48" s="76"/>
      <c r="JQC48" s="76"/>
      <c r="JQD48" s="76"/>
      <c r="JQE48" s="76"/>
      <c r="JQF48" s="76"/>
      <c r="JQG48" s="76"/>
      <c r="JQH48" s="76"/>
      <c r="JQI48" s="76"/>
      <c r="JQJ48" s="76"/>
      <c r="JQK48" s="76"/>
      <c r="JQL48" s="76"/>
      <c r="JQM48" s="76"/>
      <c r="JQN48" s="76"/>
      <c r="JQO48" s="76"/>
      <c r="JQP48" s="76"/>
      <c r="JQQ48" s="76"/>
      <c r="JQR48" s="76"/>
      <c r="JQS48" s="76"/>
      <c r="JQT48" s="76"/>
      <c r="JQU48" s="76"/>
      <c r="JQV48" s="76"/>
      <c r="JQW48" s="76"/>
      <c r="JQX48" s="76"/>
      <c r="JQY48" s="76"/>
      <c r="JQZ48" s="76"/>
      <c r="JRA48" s="76"/>
      <c r="JRB48" s="76"/>
      <c r="JRC48" s="76"/>
      <c r="JRD48" s="76"/>
      <c r="JRE48" s="76"/>
      <c r="JRF48" s="76"/>
      <c r="JRG48" s="76"/>
      <c r="JRH48" s="76"/>
      <c r="JRI48" s="76"/>
      <c r="JRJ48" s="76"/>
      <c r="JRK48" s="76"/>
      <c r="JRL48" s="76"/>
      <c r="JRM48" s="76"/>
      <c r="JRN48" s="76"/>
      <c r="JRO48" s="76"/>
      <c r="JRP48" s="76"/>
      <c r="JRQ48" s="76"/>
      <c r="JRR48" s="76"/>
      <c r="JRS48" s="76"/>
      <c r="JRT48" s="76"/>
      <c r="JRU48" s="76"/>
      <c r="JRV48" s="76"/>
      <c r="JRW48" s="76"/>
      <c r="JRX48" s="76"/>
      <c r="JRY48" s="76"/>
      <c r="JRZ48" s="76"/>
      <c r="JSA48" s="76"/>
      <c r="JSB48" s="76"/>
      <c r="JSC48" s="76"/>
      <c r="JSD48" s="76"/>
      <c r="JSE48" s="76"/>
      <c r="JSF48" s="76"/>
      <c r="JSG48" s="76"/>
      <c r="JSH48" s="76"/>
      <c r="JSI48" s="76"/>
      <c r="JSJ48" s="76"/>
      <c r="JSK48" s="76"/>
      <c r="JSL48" s="76"/>
      <c r="JSM48" s="76"/>
      <c r="JSN48" s="76"/>
      <c r="JSO48" s="76"/>
      <c r="JSP48" s="76"/>
      <c r="JSQ48" s="76"/>
      <c r="JSR48" s="76"/>
      <c r="JSS48" s="76"/>
      <c r="JST48" s="76"/>
      <c r="JSU48" s="76"/>
      <c r="JSV48" s="76"/>
      <c r="JSW48" s="76"/>
      <c r="JSX48" s="76"/>
      <c r="JSY48" s="76"/>
      <c r="JSZ48" s="76"/>
      <c r="JTA48" s="76"/>
      <c r="JTB48" s="76"/>
      <c r="JTC48" s="76"/>
      <c r="JTD48" s="76"/>
      <c r="JTE48" s="76"/>
      <c r="JTF48" s="76"/>
      <c r="JTG48" s="76"/>
      <c r="JTH48" s="76"/>
      <c r="JTI48" s="76"/>
      <c r="JTJ48" s="76"/>
      <c r="JTK48" s="76"/>
      <c r="JTL48" s="76"/>
      <c r="JTM48" s="76"/>
      <c r="JTN48" s="76"/>
      <c r="JTO48" s="76"/>
      <c r="JTP48" s="76"/>
      <c r="JTQ48" s="76"/>
      <c r="JTR48" s="76"/>
      <c r="JTS48" s="76"/>
      <c r="JTT48" s="76"/>
      <c r="JTU48" s="76"/>
      <c r="JTV48" s="76"/>
      <c r="JTW48" s="76"/>
      <c r="JTX48" s="76"/>
      <c r="JTY48" s="76"/>
      <c r="JTZ48" s="76"/>
      <c r="JUA48" s="76"/>
      <c r="JUB48" s="76"/>
      <c r="JUC48" s="76"/>
      <c r="JUD48" s="76"/>
      <c r="JUE48" s="76"/>
      <c r="JUF48" s="76"/>
      <c r="JUG48" s="76"/>
      <c r="JUH48" s="76"/>
      <c r="JUI48" s="76"/>
      <c r="JUJ48" s="76"/>
      <c r="JUK48" s="76"/>
      <c r="JUL48" s="76"/>
      <c r="JUM48" s="76"/>
      <c r="JUN48" s="76"/>
      <c r="JUO48" s="76"/>
      <c r="JUP48" s="76"/>
      <c r="JUQ48" s="76"/>
      <c r="JUR48" s="76"/>
      <c r="JUS48" s="76"/>
      <c r="JUT48" s="76"/>
      <c r="JUU48" s="76"/>
      <c r="JUV48" s="76"/>
      <c r="JUW48" s="76"/>
      <c r="JUX48" s="76"/>
      <c r="JUY48" s="76"/>
      <c r="JUZ48" s="76"/>
      <c r="JVA48" s="76"/>
      <c r="JVB48" s="76"/>
      <c r="JVC48" s="76"/>
      <c r="JVD48" s="76"/>
      <c r="JVE48" s="76"/>
      <c r="JVF48" s="76"/>
      <c r="JVG48" s="76"/>
      <c r="JVH48" s="76"/>
      <c r="JVI48" s="76"/>
      <c r="JVJ48" s="76"/>
      <c r="JVK48" s="76"/>
      <c r="JVL48" s="76"/>
      <c r="JVM48" s="76"/>
      <c r="JVN48" s="76"/>
      <c r="JVO48" s="76"/>
      <c r="JVP48" s="76"/>
      <c r="JVQ48" s="76"/>
      <c r="JVR48" s="76"/>
      <c r="JVS48" s="76"/>
      <c r="JVT48" s="76"/>
      <c r="JVU48" s="76"/>
      <c r="JVV48" s="76"/>
      <c r="JVW48" s="76"/>
      <c r="JVX48" s="76"/>
      <c r="JVY48" s="76"/>
      <c r="JVZ48" s="76"/>
      <c r="JWA48" s="76"/>
      <c r="JWB48" s="76"/>
      <c r="JWC48" s="76"/>
      <c r="JWD48" s="76"/>
      <c r="JWE48" s="76"/>
      <c r="JWF48" s="76"/>
      <c r="JWG48" s="76"/>
      <c r="JWH48" s="76"/>
      <c r="JWI48" s="76"/>
      <c r="JWJ48" s="76"/>
      <c r="JWK48" s="76"/>
      <c r="JWL48" s="76"/>
      <c r="JWM48" s="76"/>
      <c r="JWN48" s="76"/>
      <c r="JWO48" s="76"/>
      <c r="JWP48" s="76"/>
      <c r="JWQ48" s="76"/>
      <c r="JWR48" s="76"/>
      <c r="JWS48" s="76"/>
      <c r="JWT48" s="76"/>
      <c r="JWU48" s="76"/>
      <c r="JWV48" s="76"/>
      <c r="JWW48" s="76"/>
      <c r="JWX48" s="76"/>
      <c r="JWY48" s="76"/>
      <c r="JWZ48" s="76"/>
      <c r="JXA48" s="76"/>
      <c r="JXB48" s="76"/>
      <c r="JXC48" s="76"/>
      <c r="JXD48" s="76"/>
      <c r="JXE48" s="76"/>
      <c r="JXF48" s="76"/>
      <c r="JXG48" s="76"/>
      <c r="JXH48" s="76"/>
      <c r="JXI48" s="76"/>
      <c r="JXJ48" s="76"/>
      <c r="JXK48" s="76"/>
      <c r="JXL48" s="76"/>
      <c r="JXM48" s="76"/>
      <c r="JXN48" s="76"/>
      <c r="JXO48" s="76"/>
      <c r="JXP48" s="76"/>
      <c r="JXQ48" s="76"/>
      <c r="JXR48" s="76"/>
      <c r="JXS48" s="76"/>
      <c r="JXT48" s="76"/>
      <c r="JXU48" s="76"/>
      <c r="JXV48" s="76"/>
      <c r="JXW48" s="76"/>
      <c r="JXX48" s="76"/>
      <c r="JXY48" s="76"/>
      <c r="JXZ48" s="76"/>
      <c r="JYA48" s="76"/>
      <c r="JYB48" s="76"/>
      <c r="JYC48" s="76"/>
      <c r="JYD48" s="76"/>
      <c r="JYE48" s="76"/>
      <c r="JYF48" s="76"/>
      <c r="JYG48" s="76"/>
      <c r="JYH48" s="76"/>
      <c r="JYI48" s="76"/>
      <c r="JYJ48" s="76"/>
      <c r="JYK48" s="76"/>
      <c r="JYL48" s="76"/>
      <c r="JYM48" s="76"/>
      <c r="JYN48" s="76"/>
      <c r="JYO48" s="76"/>
      <c r="JYP48" s="76"/>
      <c r="JYQ48" s="76"/>
      <c r="JYR48" s="76"/>
      <c r="JYS48" s="76"/>
      <c r="JYT48" s="76"/>
      <c r="JYU48" s="76"/>
      <c r="JYV48" s="76"/>
      <c r="JYW48" s="76"/>
      <c r="JYX48" s="76"/>
      <c r="JYY48" s="76"/>
      <c r="JYZ48" s="76"/>
      <c r="JZA48" s="76"/>
      <c r="JZB48" s="76"/>
      <c r="JZC48" s="76"/>
      <c r="JZD48" s="76"/>
      <c r="JZE48" s="76"/>
      <c r="JZF48" s="76"/>
      <c r="JZG48" s="76"/>
      <c r="JZH48" s="76"/>
      <c r="JZI48" s="76"/>
      <c r="JZJ48" s="76"/>
      <c r="JZK48" s="76"/>
      <c r="JZL48" s="76"/>
      <c r="JZM48" s="76"/>
      <c r="JZN48" s="76"/>
      <c r="JZO48" s="76"/>
      <c r="JZP48" s="76"/>
      <c r="JZQ48" s="76"/>
      <c r="JZR48" s="76"/>
      <c r="JZS48" s="76"/>
      <c r="JZT48" s="76"/>
      <c r="JZU48" s="76"/>
      <c r="JZV48" s="76"/>
      <c r="JZW48" s="76"/>
      <c r="JZX48" s="76"/>
      <c r="JZY48" s="76"/>
      <c r="JZZ48" s="76"/>
      <c r="KAA48" s="76"/>
      <c r="KAB48" s="76"/>
      <c r="KAC48" s="76"/>
      <c r="KAD48" s="76"/>
      <c r="KAE48" s="76"/>
      <c r="KAF48" s="76"/>
      <c r="KAG48" s="76"/>
      <c r="KAH48" s="76"/>
      <c r="KAI48" s="76"/>
      <c r="KAJ48" s="76"/>
      <c r="KAK48" s="76"/>
      <c r="KAL48" s="76"/>
      <c r="KAM48" s="76"/>
      <c r="KAN48" s="76"/>
      <c r="KAO48" s="76"/>
      <c r="KAP48" s="76"/>
      <c r="KAQ48" s="76"/>
      <c r="KAR48" s="76"/>
      <c r="KAS48" s="76"/>
      <c r="KAT48" s="76"/>
      <c r="KAU48" s="76"/>
      <c r="KAV48" s="76"/>
      <c r="KAW48" s="76"/>
      <c r="KAX48" s="76"/>
      <c r="KAY48" s="76"/>
      <c r="KAZ48" s="76"/>
      <c r="KBA48" s="76"/>
      <c r="KBB48" s="76"/>
      <c r="KBC48" s="76"/>
      <c r="KBD48" s="76"/>
      <c r="KBE48" s="76"/>
      <c r="KBF48" s="76"/>
      <c r="KBG48" s="76"/>
      <c r="KBH48" s="76"/>
      <c r="KBI48" s="76"/>
      <c r="KBJ48" s="76"/>
      <c r="KBK48" s="76"/>
      <c r="KBL48" s="76"/>
      <c r="KBM48" s="76"/>
      <c r="KBN48" s="76"/>
      <c r="KBO48" s="76"/>
      <c r="KBP48" s="76"/>
      <c r="KBQ48" s="76"/>
      <c r="KBR48" s="76"/>
      <c r="KBS48" s="76"/>
      <c r="KBT48" s="76"/>
      <c r="KBU48" s="76"/>
      <c r="KBV48" s="76"/>
      <c r="KBW48" s="76"/>
      <c r="KBX48" s="76"/>
      <c r="KBY48" s="76"/>
      <c r="KBZ48" s="76"/>
      <c r="KCA48" s="76"/>
      <c r="KCB48" s="76"/>
      <c r="KCC48" s="76"/>
      <c r="KCD48" s="76"/>
      <c r="KCE48" s="76"/>
      <c r="KCF48" s="76"/>
      <c r="KCG48" s="76"/>
      <c r="KCH48" s="76"/>
      <c r="KCI48" s="76"/>
      <c r="KCJ48" s="76"/>
      <c r="KCK48" s="76"/>
      <c r="KCL48" s="76"/>
      <c r="KCM48" s="76"/>
      <c r="KCN48" s="76"/>
      <c r="KCO48" s="76"/>
      <c r="KCP48" s="76"/>
      <c r="KCQ48" s="76"/>
      <c r="KCR48" s="76"/>
      <c r="KCS48" s="76"/>
      <c r="KCT48" s="76"/>
      <c r="KCU48" s="76"/>
      <c r="KCV48" s="76"/>
      <c r="KCW48" s="76"/>
      <c r="KCX48" s="76"/>
      <c r="KCY48" s="76"/>
      <c r="KCZ48" s="76"/>
      <c r="KDA48" s="76"/>
      <c r="KDB48" s="76"/>
      <c r="KDC48" s="76"/>
      <c r="KDD48" s="76"/>
      <c r="KDE48" s="76"/>
      <c r="KDF48" s="76"/>
      <c r="KDG48" s="76"/>
      <c r="KDH48" s="76"/>
      <c r="KDI48" s="76"/>
      <c r="KDJ48" s="76"/>
      <c r="KDK48" s="76"/>
      <c r="KDL48" s="76"/>
      <c r="KDM48" s="76"/>
      <c r="KDN48" s="76"/>
      <c r="KDO48" s="76"/>
      <c r="KDP48" s="76"/>
      <c r="KDQ48" s="76"/>
      <c r="KDR48" s="76"/>
      <c r="KDS48" s="76"/>
      <c r="KDT48" s="76"/>
      <c r="KDU48" s="76"/>
      <c r="KDV48" s="76"/>
      <c r="KDW48" s="76"/>
      <c r="KDX48" s="76"/>
      <c r="KDY48" s="76"/>
      <c r="KDZ48" s="76"/>
      <c r="KEA48" s="76"/>
      <c r="KEB48" s="76"/>
      <c r="KEC48" s="76"/>
      <c r="KED48" s="76"/>
      <c r="KEE48" s="76"/>
      <c r="KEF48" s="76"/>
      <c r="KEG48" s="76"/>
      <c r="KEH48" s="76"/>
      <c r="KEI48" s="76"/>
      <c r="KEJ48" s="76"/>
      <c r="KEK48" s="76"/>
      <c r="KEL48" s="76"/>
      <c r="KEM48" s="76"/>
      <c r="KEN48" s="76"/>
      <c r="KEO48" s="76"/>
      <c r="KEP48" s="76"/>
      <c r="KEQ48" s="76"/>
      <c r="KER48" s="76"/>
      <c r="KES48" s="76"/>
      <c r="KET48" s="76"/>
      <c r="KEU48" s="76"/>
      <c r="KEV48" s="76"/>
      <c r="KEW48" s="76"/>
      <c r="KEX48" s="76"/>
      <c r="KEY48" s="76"/>
      <c r="KEZ48" s="76"/>
      <c r="KFA48" s="76"/>
      <c r="KFB48" s="76"/>
      <c r="KFC48" s="76"/>
      <c r="KFD48" s="76"/>
      <c r="KFE48" s="76"/>
      <c r="KFF48" s="76"/>
      <c r="KFG48" s="76"/>
      <c r="KFH48" s="76"/>
      <c r="KFI48" s="76"/>
      <c r="KFJ48" s="76"/>
      <c r="KFK48" s="76"/>
      <c r="KFL48" s="76"/>
      <c r="KFM48" s="76"/>
      <c r="KFN48" s="76"/>
      <c r="KFO48" s="76"/>
      <c r="KFP48" s="76"/>
      <c r="KFQ48" s="76"/>
      <c r="KFR48" s="76"/>
      <c r="KFS48" s="76"/>
      <c r="KFT48" s="76"/>
      <c r="KFU48" s="76"/>
      <c r="KFV48" s="76"/>
      <c r="KFW48" s="76"/>
      <c r="KFX48" s="76"/>
      <c r="KFY48" s="76"/>
      <c r="KFZ48" s="76"/>
      <c r="KGA48" s="76"/>
      <c r="KGB48" s="76"/>
      <c r="KGC48" s="76"/>
      <c r="KGD48" s="76"/>
      <c r="KGE48" s="76"/>
      <c r="KGF48" s="76"/>
      <c r="KGG48" s="76"/>
      <c r="KGH48" s="76"/>
      <c r="KGI48" s="76"/>
      <c r="KGJ48" s="76"/>
      <c r="KGK48" s="76"/>
      <c r="KGL48" s="76"/>
      <c r="KGM48" s="76"/>
      <c r="KGN48" s="76"/>
      <c r="KGO48" s="76"/>
      <c r="KGP48" s="76"/>
      <c r="KGQ48" s="76"/>
      <c r="KGR48" s="76"/>
      <c r="KGS48" s="76"/>
      <c r="KGT48" s="76"/>
      <c r="KGU48" s="76"/>
      <c r="KGV48" s="76"/>
      <c r="KGW48" s="76"/>
      <c r="KGX48" s="76"/>
      <c r="KGY48" s="76"/>
      <c r="KGZ48" s="76"/>
      <c r="KHA48" s="76"/>
      <c r="KHB48" s="76"/>
      <c r="KHC48" s="76"/>
      <c r="KHD48" s="76"/>
      <c r="KHE48" s="76"/>
      <c r="KHF48" s="76"/>
      <c r="KHG48" s="76"/>
      <c r="KHH48" s="76"/>
      <c r="KHI48" s="76"/>
      <c r="KHJ48" s="76"/>
      <c r="KHK48" s="76"/>
      <c r="KHL48" s="76"/>
      <c r="KHM48" s="76"/>
      <c r="KHN48" s="76"/>
      <c r="KHO48" s="76"/>
      <c r="KHP48" s="76"/>
      <c r="KHQ48" s="76"/>
      <c r="KHR48" s="76"/>
      <c r="KHS48" s="76"/>
      <c r="KHT48" s="76"/>
      <c r="KHU48" s="76"/>
      <c r="KHV48" s="76"/>
      <c r="KHW48" s="76"/>
      <c r="KHX48" s="76"/>
      <c r="KHY48" s="76"/>
      <c r="KHZ48" s="76"/>
      <c r="KIA48" s="76"/>
      <c r="KIB48" s="76"/>
      <c r="KIC48" s="76"/>
      <c r="KID48" s="76"/>
      <c r="KIE48" s="76"/>
      <c r="KIF48" s="76"/>
      <c r="KIG48" s="76"/>
      <c r="KIH48" s="76"/>
      <c r="KII48" s="76"/>
      <c r="KIJ48" s="76"/>
      <c r="KIK48" s="76"/>
      <c r="KIL48" s="76"/>
      <c r="KIM48" s="76"/>
      <c r="KIN48" s="76"/>
      <c r="KIO48" s="76"/>
      <c r="KIP48" s="76"/>
      <c r="KIQ48" s="76"/>
      <c r="KIR48" s="76"/>
      <c r="KIS48" s="76"/>
      <c r="KIT48" s="76"/>
      <c r="KIU48" s="76"/>
      <c r="KIV48" s="76"/>
      <c r="KIW48" s="76"/>
      <c r="KIX48" s="76"/>
      <c r="KIY48" s="76"/>
      <c r="KIZ48" s="76"/>
      <c r="KJA48" s="76"/>
      <c r="KJB48" s="76"/>
      <c r="KJC48" s="76"/>
      <c r="KJD48" s="76"/>
      <c r="KJE48" s="76"/>
      <c r="KJF48" s="76"/>
      <c r="KJG48" s="76"/>
      <c r="KJH48" s="76"/>
      <c r="KJI48" s="76"/>
      <c r="KJJ48" s="76"/>
      <c r="KJK48" s="76"/>
      <c r="KJL48" s="76"/>
      <c r="KJM48" s="76"/>
      <c r="KJN48" s="76"/>
      <c r="KJO48" s="76"/>
      <c r="KJP48" s="76"/>
      <c r="KJQ48" s="76"/>
      <c r="KJR48" s="76"/>
      <c r="KJS48" s="76"/>
      <c r="KJT48" s="76"/>
      <c r="KJU48" s="76"/>
      <c r="KJV48" s="76"/>
      <c r="KJW48" s="76"/>
      <c r="KJX48" s="76"/>
      <c r="KJY48" s="76"/>
      <c r="KJZ48" s="76"/>
      <c r="KKA48" s="76"/>
      <c r="KKB48" s="76"/>
      <c r="KKC48" s="76"/>
      <c r="KKD48" s="76"/>
      <c r="KKE48" s="76"/>
      <c r="KKF48" s="76"/>
      <c r="KKG48" s="76"/>
      <c r="KKH48" s="76"/>
      <c r="KKI48" s="76"/>
      <c r="KKJ48" s="76"/>
      <c r="KKK48" s="76"/>
      <c r="KKL48" s="76"/>
      <c r="KKM48" s="76"/>
      <c r="KKN48" s="76"/>
      <c r="KKO48" s="76"/>
      <c r="KKP48" s="76"/>
      <c r="KKQ48" s="76"/>
      <c r="KKR48" s="76"/>
      <c r="KKS48" s="76"/>
      <c r="KKT48" s="76"/>
      <c r="KKU48" s="76"/>
      <c r="KKV48" s="76"/>
      <c r="KKW48" s="76"/>
      <c r="KKX48" s="76"/>
      <c r="KKY48" s="76"/>
      <c r="KKZ48" s="76"/>
      <c r="KLA48" s="76"/>
      <c r="KLB48" s="76"/>
      <c r="KLC48" s="76"/>
      <c r="KLD48" s="76"/>
      <c r="KLE48" s="76"/>
      <c r="KLF48" s="76"/>
      <c r="KLG48" s="76"/>
      <c r="KLH48" s="76"/>
      <c r="KLI48" s="76"/>
      <c r="KLJ48" s="76"/>
      <c r="KLK48" s="76"/>
      <c r="KLL48" s="76"/>
      <c r="KLM48" s="76"/>
      <c r="KLN48" s="76"/>
      <c r="KLO48" s="76"/>
      <c r="KLP48" s="76"/>
      <c r="KLQ48" s="76"/>
      <c r="KLR48" s="76"/>
      <c r="KLS48" s="76"/>
      <c r="KLT48" s="76"/>
      <c r="KLU48" s="76"/>
      <c r="KLV48" s="76"/>
      <c r="KLW48" s="76"/>
      <c r="KLX48" s="76"/>
      <c r="KLY48" s="76"/>
      <c r="KLZ48" s="76"/>
      <c r="KMA48" s="76"/>
      <c r="KMB48" s="76"/>
      <c r="KMC48" s="76"/>
      <c r="KMD48" s="76"/>
      <c r="KME48" s="76"/>
      <c r="KMF48" s="76"/>
      <c r="KMG48" s="76"/>
      <c r="KMH48" s="76"/>
      <c r="KMI48" s="76"/>
      <c r="KMJ48" s="76"/>
      <c r="KMK48" s="76"/>
      <c r="KML48" s="76"/>
      <c r="KMM48" s="76"/>
      <c r="KMN48" s="76"/>
      <c r="KMO48" s="76"/>
      <c r="KMP48" s="76"/>
      <c r="KMQ48" s="76"/>
      <c r="KMR48" s="76"/>
      <c r="KMS48" s="76"/>
      <c r="KMT48" s="76"/>
      <c r="KMU48" s="76"/>
      <c r="KMV48" s="76"/>
      <c r="KMW48" s="76"/>
      <c r="KMX48" s="76"/>
      <c r="KMY48" s="76"/>
      <c r="KMZ48" s="76"/>
      <c r="KNA48" s="76"/>
      <c r="KNB48" s="76"/>
      <c r="KNC48" s="76"/>
      <c r="KND48" s="76"/>
      <c r="KNE48" s="76"/>
      <c r="KNF48" s="76"/>
      <c r="KNG48" s="76"/>
      <c r="KNH48" s="76"/>
      <c r="KNI48" s="76"/>
      <c r="KNJ48" s="76"/>
      <c r="KNK48" s="76"/>
      <c r="KNL48" s="76"/>
      <c r="KNM48" s="76"/>
      <c r="KNN48" s="76"/>
      <c r="KNO48" s="76"/>
      <c r="KNP48" s="76"/>
      <c r="KNQ48" s="76"/>
      <c r="KNR48" s="76"/>
      <c r="KNS48" s="76"/>
      <c r="KNT48" s="76"/>
      <c r="KNU48" s="76"/>
      <c r="KNV48" s="76"/>
      <c r="KNW48" s="76"/>
      <c r="KNX48" s="76"/>
      <c r="KNY48" s="76"/>
      <c r="KNZ48" s="76"/>
      <c r="KOA48" s="76"/>
      <c r="KOB48" s="76"/>
      <c r="KOC48" s="76"/>
      <c r="KOD48" s="76"/>
      <c r="KOE48" s="76"/>
      <c r="KOF48" s="76"/>
      <c r="KOG48" s="76"/>
      <c r="KOH48" s="76"/>
      <c r="KOI48" s="76"/>
      <c r="KOJ48" s="76"/>
      <c r="KOK48" s="76"/>
      <c r="KOL48" s="76"/>
      <c r="KOM48" s="76"/>
      <c r="KON48" s="76"/>
      <c r="KOO48" s="76"/>
      <c r="KOP48" s="76"/>
      <c r="KOQ48" s="76"/>
      <c r="KOR48" s="76"/>
      <c r="KOS48" s="76"/>
      <c r="KOT48" s="76"/>
      <c r="KOU48" s="76"/>
      <c r="KOV48" s="76"/>
      <c r="KOW48" s="76"/>
      <c r="KOX48" s="76"/>
      <c r="KOY48" s="76"/>
      <c r="KOZ48" s="76"/>
      <c r="KPA48" s="76"/>
      <c r="KPB48" s="76"/>
      <c r="KPC48" s="76"/>
      <c r="KPD48" s="76"/>
      <c r="KPE48" s="76"/>
      <c r="KPF48" s="76"/>
      <c r="KPG48" s="76"/>
      <c r="KPH48" s="76"/>
      <c r="KPI48" s="76"/>
      <c r="KPJ48" s="76"/>
      <c r="KPK48" s="76"/>
      <c r="KPL48" s="76"/>
      <c r="KPM48" s="76"/>
      <c r="KPN48" s="76"/>
      <c r="KPO48" s="76"/>
      <c r="KPP48" s="76"/>
      <c r="KPQ48" s="76"/>
      <c r="KPR48" s="76"/>
      <c r="KPS48" s="76"/>
      <c r="KPT48" s="76"/>
      <c r="KPU48" s="76"/>
      <c r="KPV48" s="76"/>
      <c r="KPW48" s="76"/>
      <c r="KPX48" s="76"/>
      <c r="KPY48" s="76"/>
      <c r="KPZ48" s="76"/>
      <c r="KQA48" s="76"/>
      <c r="KQB48" s="76"/>
      <c r="KQC48" s="76"/>
      <c r="KQD48" s="76"/>
      <c r="KQE48" s="76"/>
      <c r="KQF48" s="76"/>
      <c r="KQG48" s="76"/>
      <c r="KQH48" s="76"/>
      <c r="KQI48" s="76"/>
      <c r="KQJ48" s="76"/>
      <c r="KQK48" s="76"/>
      <c r="KQL48" s="76"/>
      <c r="KQM48" s="76"/>
      <c r="KQN48" s="76"/>
      <c r="KQO48" s="76"/>
      <c r="KQP48" s="76"/>
      <c r="KQQ48" s="76"/>
      <c r="KQR48" s="76"/>
      <c r="KQS48" s="76"/>
      <c r="KQT48" s="76"/>
      <c r="KQU48" s="76"/>
      <c r="KQV48" s="76"/>
      <c r="KQW48" s="76"/>
      <c r="KQX48" s="76"/>
      <c r="KQY48" s="76"/>
      <c r="KQZ48" s="76"/>
      <c r="KRA48" s="76"/>
      <c r="KRB48" s="76"/>
      <c r="KRC48" s="76"/>
      <c r="KRD48" s="76"/>
      <c r="KRE48" s="76"/>
      <c r="KRF48" s="76"/>
      <c r="KRG48" s="76"/>
      <c r="KRH48" s="76"/>
      <c r="KRI48" s="76"/>
      <c r="KRJ48" s="76"/>
      <c r="KRK48" s="76"/>
      <c r="KRL48" s="76"/>
      <c r="KRM48" s="76"/>
      <c r="KRN48" s="76"/>
      <c r="KRO48" s="76"/>
      <c r="KRP48" s="76"/>
      <c r="KRQ48" s="76"/>
      <c r="KRR48" s="76"/>
      <c r="KRS48" s="76"/>
      <c r="KRT48" s="76"/>
      <c r="KRU48" s="76"/>
      <c r="KRV48" s="76"/>
      <c r="KRW48" s="76"/>
      <c r="KRX48" s="76"/>
      <c r="KRY48" s="76"/>
      <c r="KRZ48" s="76"/>
      <c r="KSA48" s="76"/>
      <c r="KSB48" s="76"/>
      <c r="KSC48" s="76"/>
      <c r="KSD48" s="76"/>
      <c r="KSE48" s="76"/>
      <c r="KSF48" s="76"/>
      <c r="KSG48" s="76"/>
      <c r="KSH48" s="76"/>
      <c r="KSI48" s="76"/>
      <c r="KSJ48" s="76"/>
      <c r="KSK48" s="76"/>
      <c r="KSL48" s="76"/>
      <c r="KSM48" s="76"/>
      <c r="KSN48" s="76"/>
      <c r="KSO48" s="76"/>
      <c r="KSP48" s="76"/>
      <c r="KSQ48" s="76"/>
      <c r="KSR48" s="76"/>
      <c r="KSS48" s="76"/>
      <c r="KST48" s="76"/>
      <c r="KSU48" s="76"/>
      <c r="KSV48" s="76"/>
      <c r="KSW48" s="76"/>
      <c r="KSX48" s="76"/>
      <c r="KSY48" s="76"/>
      <c r="KSZ48" s="76"/>
      <c r="KTA48" s="76"/>
      <c r="KTB48" s="76"/>
      <c r="KTC48" s="76"/>
      <c r="KTD48" s="76"/>
      <c r="KTE48" s="76"/>
      <c r="KTF48" s="76"/>
      <c r="KTG48" s="76"/>
      <c r="KTH48" s="76"/>
      <c r="KTI48" s="76"/>
      <c r="KTJ48" s="76"/>
      <c r="KTK48" s="76"/>
      <c r="KTL48" s="76"/>
      <c r="KTM48" s="76"/>
      <c r="KTN48" s="76"/>
      <c r="KTO48" s="76"/>
      <c r="KTP48" s="76"/>
      <c r="KTQ48" s="76"/>
      <c r="KTR48" s="76"/>
      <c r="KTS48" s="76"/>
      <c r="KTT48" s="76"/>
      <c r="KTU48" s="76"/>
      <c r="KTV48" s="76"/>
      <c r="KTW48" s="76"/>
      <c r="KTX48" s="76"/>
      <c r="KTY48" s="76"/>
      <c r="KTZ48" s="76"/>
      <c r="KUA48" s="76"/>
      <c r="KUB48" s="76"/>
      <c r="KUC48" s="76"/>
      <c r="KUD48" s="76"/>
      <c r="KUE48" s="76"/>
      <c r="KUF48" s="76"/>
      <c r="KUG48" s="76"/>
      <c r="KUH48" s="76"/>
      <c r="KUI48" s="76"/>
      <c r="KUJ48" s="76"/>
      <c r="KUK48" s="76"/>
      <c r="KUL48" s="76"/>
      <c r="KUM48" s="76"/>
      <c r="KUN48" s="76"/>
      <c r="KUO48" s="76"/>
      <c r="KUP48" s="76"/>
      <c r="KUQ48" s="76"/>
      <c r="KUR48" s="76"/>
      <c r="KUS48" s="76"/>
      <c r="KUT48" s="76"/>
      <c r="KUU48" s="76"/>
      <c r="KUV48" s="76"/>
      <c r="KUW48" s="76"/>
      <c r="KUX48" s="76"/>
      <c r="KUY48" s="76"/>
      <c r="KUZ48" s="76"/>
      <c r="KVA48" s="76"/>
      <c r="KVB48" s="76"/>
      <c r="KVC48" s="76"/>
      <c r="KVD48" s="76"/>
      <c r="KVE48" s="76"/>
      <c r="KVF48" s="76"/>
      <c r="KVG48" s="76"/>
      <c r="KVH48" s="76"/>
      <c r="KVI48" s="76"/>
      <c r="KVJ48" s="76"/>
      <c r="KVK48" s="76"/>
      <c r="KVL48" s="76"/>
      <c r="KVM48" s="76"/>
      <c r="KVN48" s="76"/>
      <c r="KVO48" s="76"/>
      <c r="KVP48" s="76"/>
      <c r="KVQ48" s="76"/>
      <c r="KVR48" s="76"/>
      <c r="KVS48" s="76"/>
      <c r="KVT48" s="76"/>
      <c r="KVU48" s="76"/>
      <c r="KVV48" s="76"/>
      <c r="KVW48" s="76"/>
      <c r="KVX48" s="76"/>
      <c r="KVY48" s="76"/>
      <c r="KVZ48" s="76"/>
      <c r="KWA48" s="76"/>
      <c r="KWB48" s="76"/>
      <c r="KWC48" s="76"/>
      <c r="KWD48" s="76"/>
      <c r="KWE48" s="76"/>
      <c r="KWF48" s="76"/>
      <c r="KWG48" s="76"/>
      <c r="KWH48" s="76"/>
      <c r="KWI48" s="76"/>
      <c r="KWJ48" s="76"/>
      <c r="KWK48" s="76"/>
      <c r="KWL48" s="76"/>
      <c r="KWM48" s="76"/>
      <c r="KWN48" s="76"/>
      <c r="KWO48" s="76"/>
      <c r="KWP48" s="76"/>
      <c r="KWQ48" s="76"/>
      <c r="KWR48" s="76"/>
      <c r="KWS48" s="76"/>
      <c r="KWT48" s="76"/>
      <c r="KWU48" s="76"/>
      <c r="KWV48" s="76"/>
      <c r="KWW48" s="76"/>
      <c r="KWX48" s="76"/>
      <c r="KWY48" s="76"/>
      <c r="KWZ48" s="76"/>
      <c r="KXA48" s="76"/>
      <c r="KXB48" s="76"/>
      <c r="KXC48" s="76"/>
      <c r="KXD48" s="76"/>
      <c r="KXE48" s="76"/>
      <c r="KXF48" s="76"/>
      <c r="KXG48" s="76"/>
      <c r="KXH48" s="76"/>
      <c r="KXI48" s="76"/>
      <c r="KXJ48" s="76"/>
      <c r="KXK48" s="76"/>
      <c r="KXL48" s="76"/>
      <c r="KXM48" s="76"/>
      <c r="KXN48" s="76"/>
      <c r="KXO48" s="76"/>
      <c r="KXP48" s="76"/>
      <c r="KXQ48" s="76"/>
      <c r="KXR48" s="76"/>
      <c r="KXS48" s="76"/>
      <c r="KXT48" s="76"/>
      <c r="KXU48" s="76"/>
      <c r="KXV48" s="76"/>
      <c r="KXW48" s="76"/>
      <c r="KXX48" s="76"/>
      <c r="KXY48" s="76"/>
      <c r="KXZ48" s="76"/>
      <c r="KYA48" s="76"/>
      <c r="KYB48" s="76"/>
      <c r="KYC48" s="76"/>
      <c r="KYD48" s="76"/>
      <c r="KYE48" s="76"/>
      <c r="KYF48" s="76"/>
      <c r="KYG48" s="76"/>
      <c r="KYH48" s="76"/>
      <c r="KYI48" s="76"/>
      <c r="KYJ48" s="76"/>
      <c r="KYK48" s="76"/>
      <c r="KYL48" s="76"/>
      <c r="KYM48" s="76"/>
      <c r="KYN48" s="76"/>
      <c r="KYO48" s="76"/>
      <c r="KYP48" s="76"/>
      <c r="KYQ48" s="76"/>
      <c r="KYR48" s="76"/>
      <c r="KYS48" s="76"/>
      <c r="KYT48" s="76"/>
      <c r="KYU48" s="76"/>
      <c r="KYV48" s="76"/>
      <c r="KYW48" s="76"/>
      <c r="KYX48" s="76"/>
      <c r="KYY48" s="76"/>
      <c r="KYZ48" s="76"/>
      <c r="KZA48" s="76"/>
      <c r="KZB48" s="76"/>
      <c r="KZC48" s="76"/>
      <c r="KZD48" s="76"/>
      <c r="KZE48" s="76"/>
      <c r="KZF48" s="76"/>
      <c r="KZG48" s="76"/>
      <c r="KZH48" s="76"/>
      <c r="KZI48" s="76"/>
      <c r="KZJ48" s="76"/>
      <c r="KZK48" s="76"/>
      <c r="KZL48" s="76"/>
      <c r="KZM48" s="76"/>
      <c r="KZN48" s="76"/>
      <c r="KZO48" s="76"/>
      <c r="KZP48" s="76"/>
      <c r="KZQ48" s="76"/>
      <c r="KZR48" s="76"/>
      <c r="KZS48" s="76"/>
      <c r="KZT48" s="76"/>
      <c r="KZU48" s="76"/>
      <c r="KZV48" s="76"/>
      <c r="KZW48" s="76"/>
      <c r="KZX48" s="76"/>
      <c r="KZY48" s="76"/>
      <c r="KZZ48" s="76"/>
      <c r="LAA48" s="76"/>
      <c r="LAB48" s="76"/>
      <c r="LAC48" s="76"/>
      <c r="LAD48" s="76"/>
      <c r="LAE48" s="76"/>
      <c r="LAF48" s="76"/>
      <c r="LAG48" s="76"/>
      <c r="LAH48" s="76"/>
      <c r="LAI48" s="76"/>
      <c r="LAJ48" s="76"/>
      <c r="LAK48" s="76"/>
      <c r="LAL48" s="76"/>
      <c r="LAM48" s="76"/>
      <c r="LAN48" s="76"/>
      <c r="LAO48" s="76"/>
      <c r="LAP48" s="76"/>
      <c r="LAQ48" s="76"/>
      <c r="LAR48" s="76"/>
      <c r="LAS48" s="76"/>
      <c r="LAT48" s="76"/>
      <c r="LAU48" s="76"/>
      <c r="LAV48" s="76"/>
      <c r="LAW48" s="76"/>
      <c r="LAX48" s="76"/>
      <c r="LAY48" s="76"/>
      <c r="LAZ48" s="76"/>
      <c r="LBA48" s="76"/>
      <c r="LBB48" s="76"/>
      <c r="LBC48" s="76"/>
      <c r="LBD48" s="76"/>
      <c r="LBE48" s="76"/>
      <c r="LBF48" s="76"/>
      <c r="LBG48" s="76"/>
      <c r="LBH48" s="76"/>
      <c r="LBI48" s="76"/>
      <c r="LBJ48" s="76"/>
      <c r="LBK48" s="76"/>
      <c r="LBL48" s="76"/>
      <c r="LBM48" s="76"/>
      <c r="LBN48" s="76"/>
      <c r="LBO48" s="76"/>
      <c r="LBP48" s="76"/>
      <c r="LBQ48" s="76"/>
      <c r="LBR48" s="76"/>
      <c r="LBS48" s="76"/>
      <c r="LBT48" s="76"/>
      <c r="LBU48" s="76"/>
      <c r="LBV48" s="76"/>
      <c r="LBW48" s="76"/>
      <c r="LBX48" s="76"/>
      <c r="LBY48" s="76"/>
      <c r="LBZ48" s="76"/>
      <c r="LCA48" s="76"/>
      <c r="LCB48" s="76"/>
      <c r="LCC48" s="76"/>
      <c r="LCD48" s="76"/>
      <c r="LCE48" s="76"/>
      <c r="LCF48" s="76"/>
      <c r="LCG48" s="76"/>
      <c r="LCH48" s="76"/>
      <c r="LCI48" s="76"/>
      <c r="LCJ48" s="76"/>
      <c r="LCK48" s="76"/>
      <c r="LCL48" s="76"/>
      <c r="LCM48" s="76"/>
      <c r="LCN48" s="76"/>
      <c r="LCO48" s="76"/>
      <c r="LCP48" s="76"/>
      <c r="LCQ48" s="76"/>
      <c r="LCR48" s="76"/>
      <c r="LCS48" s="76"/>
      <c r="LCT48" s="76"/>
      <c r="LCU48" s="76"/>
      <c r="LCV48" s="76"/>
      <c r="LCW48" s="76"/>
      <c r="LCX48" s="76"/>
      <c r="LCY48" s="76"/>
      <c r="LCZ48" s="76"/>
      <c r="LDA48" s="76"/>
      <c r="LDB48" s="76"/>
      <c r="LDC48" s="76"/>
      <c r="LDD48" s="76"/>
      <c r="LDE48" s="76"/>
      <c r="LDF48" s="76"/>
      <c r="LDG48" s="76"/>
      <c r="LDH48" s="76"/>
      <c r="LDI48" s="76"/>
      <c r="LDJ48" s="76"/>
      <c r="LDK48" s="76"/>
      <c r="LDL48" s="76"/>
      <c r="LDM48" s="76"/>
      <c r="LDN48" s="76"/>
      <c r="LDO48" s="76"/>
      <c r="LDP48" s="76"/>
      <c r="LDQ48" s="76"/>
      <c r="LDR48" s="76"/>
      <c r="LDS48" s="76"/>
      <c r="LDT48" s="76"/>
      <c r="LDU48" s="76"/>
      <c r="LDV48" s="76"/>
      <c r="LDW48" s="76"/>
      <c r="LDX48" s="76"/>
      <c r="LDY48" s="76"/>
      <c r="LDZ48" s="76"/>
      <c r="LEA48" s="76"/>
      <c r="LEB48" s="76"/>
      <c r="LEC48" s="76"/>
      <c r="LED48" s="76"/>
      <c r="LEE48" s="76"/>
      <c r="LEF48" s="76"/>
      <c r="LEG48" s="76"/>
      <c r="LEH48" s="76"/>
      <c r="LEI48" s="76"/>
      <c r="LEJ48" s="76"/>
      <c r="LEK48" s="76"/>
      <c r="LEL48" s="76"/>
      <c r="LEM48" s="76"/>
      <c r="LEN48" s="76"/>
      <c r="LEO48" s="76"/>
      <c r="LEP48" s="76"/>
      <c r="LEQ48" s="76"/>
      <c r="LER48" s="76"/>
      <c r="LES48" s="76"/>
      <c r="LET48" s="76"/>
      <c r="LEU48" s="76"/>
      <c r="LEV48" s="76"/>
      <c r="LEW48" s="76"/>
      <c r="LEX48" s="76"/>
      <c r="LEY48" s="76"/>
      <c r="LEZ48" s="76"/>
      <c r="LFA48" s="76"/>
      <c r="LFB48" s="76"/>
      <c r="LFC48" s="76"/>
      <c r="LFD48" s="76"/>
      <c r="LFE48" s="76"/>
      <c r="LFF48" s="76"/>
      <c r="LFG48" s="76"/>
      <c r="LFH48" s="76"/>
      <c r="LFI48" s="76"/>
      <c r="LFJ48" s="76"/>
      <c r="LFK48" s="76"/>
      <c r="LFL48" s="76"/>
      <c r="LFM48" s="76"/>
      <c r="LFN48" s="76"/>
      <c r="LFO48" s="76"/>
      <c r="LFP48" s="76"/>
      <c r="LFQ48" s="76"/>
      <c r="LFR48" s="76"/>
      <c r="LFS48" s="76"/>
      <c r="LFT48" s="76"/>
      <c r="LFU48" s="76"/>
      <c r="LFV48" s="76"/>
      <c r="LFW48" s="76"/>
      <c r="LFX48" s="76"/>
      <c r="LFY48" s="76"/>
      <c r="LFZ48" s="76"/>
      <c r="LGA48" s="76"/>
      <c r="LGB48" s="76"/>
      <c r="LGC48" s="76"/>
      <c r="LGD48" s="76"/>
      <c r="LGE48" s="76"/>
      <c r="LGF48" s="76"/>
      <c r="LGG48" s="76"/>
      <c r="LGH48" s="76"/>
      <c r="LGI48" s="76"/>
      <c r="LGJ48" s="76"/>
      <c r="LGK48" s="76"/>
      <c r="LGL48" s="76"/>
      <c r="LGM48" s="76"/>
      <c r="LGN48" s="76"/>
      <c r="LGO48" s="76"/>
      <c r="LGP48" s="76"/>
      <c r="LGQ48" s="76"/>
      <c r="LGR48" s="76"/>
      <c r="LGS48" s="76"/>
      <c r="LGT48" s="76"/>
      <c r="LGU48" s="76"/>
      <c r="LGV48" s="76"/>
      <c r="LGW48" s="76"/>
      <c r="LGX48" s="76"/>
      <c r="LGY48" s="76"/>
      <c r="LGZ48" s="76"/>
      <c r="LHA48" s="76"/>
      <c r="LHB48" s="76"/>
      <c r="LHC48" s="76"/>
      <c r="LHD48" s="76"/>
      <c r="LHE48" s="76"/>
      <c r="LHF48" s="76"/>
      <c r="LHG48" s="76"/>
      <c r="LHH48" s="76"/>
      <c r="LHI48" s="76"/>
      <c r="LHJ48" s="76"/>
      <c r="LHK48" s="76"/>
      <c r="LHL48" s="76"/>
      <c r="LHM48" s="76"/>
      <c r="LHN48" s="76"/>
      <c r="LHO48" s="76"/>
      <c r="LHP48" s="76"/>
      <c r="LHQ48" s="76"/>
      <c r="LHR48" s="76"/>
      <c r="LHS48" s="76"/>
      <c r="LHT48" s="76"/>
      <c r="LHU48" s="76"/>
      <c r="LHV48" s="76"/>
      <c r="LHW48" s="76"/>
      <c r="LHX48" s="76"/>
      <c r="LHY48" s="76"/>
      <c r="LHZ48" s="76"/>
      <c r="LIA48" s="76"/>
      <c r="LIB48" s="76"/>
      <c r="LIC48" s="76"/>
      <c r="LID48" s="76"/>
      <c r="LIE48" s="76"/>
      <c r="LIF48" s="76"/>
      <c r="LIG48" s="76"/>
      <c r="LIH48" s="76"/>
      <c r="LII48" s="76"/>
      <c r="LIJ48" s="76"/>
      <c r="LIK48" s="76"/>
      <c r="LIL48" s="76"/>
      <c r="LIM48" s="76"/>
      <c r="LIN48" s="76"/>
      <c r="LIO48" s="76"/>
      <c r="LIP48" s="76"/>
      <c r="LIQ48" s="76"/>
      <c r="LIR48" s="76"/>
      <c r="LIS48" s="76"/>
      <c r="LIT48" s="76"/>
      <c r="LIU48" s="76"/>
      <c r="LIV48" s="76"/>
      <c r="LIW48" s="76"/>
      <c r="LIX48" s="76"/>
      <c r="LIY48" s="76"/>
      <c r="LIZ48" s="76"/>
      <c r="LJA48" s="76"/>
      <c r="LJB48" s="76"/>
      <c r="LJC48" s="76"/>
      <c r="LJD48" s="76"/>
      <c r="LJE48" s="76"/>
      <c r="LJF48" s="76"/>
      <c r="LJG48" s="76"/>
      <c r="LJH48" s="76"/>
      <c r="LJI48" s="76"/>
      <c r="LJJ48" s="76"/>
      <c r="LJK48" s="76"/>
      <c r="LJL48" s="76"/>
      <c r="LJM48" s="76"/>
      <c r="LJN48" s="76"/>
      <c r="LJO48" s="76"/>
      <c r="LJP48" s="76"/>
      <c r="LJQ48" s="76"/>
      <c r="LJR48" s="76"/>
      <c r="LJS48" s="76"/>
      <c r="LJT48" s="76"/>
      <c r="LJU48" s="76"/>
      <c r="LJV48" s="76"/>
      <c r="LJW48" s="76"/>
      <c r="LJX48" s="76"/>
      <c r="LJY48" s="76"/>
      <c r="LJZ48" s="76"/>
      <c r="LKA48" s="76"/>
      <c r="LKB48" s="76"/>
      <c r="LKC48" s="76"/>
      <c r="LKD48" s="76"/>
      <c r="LKE48" s="76"/>
      <c r="LKF48" s="76"/>
      <c r="LKG48" s="76"/>
      <c r="LKH48" s="76"/>
      <c r="LKI48" s="76"/>
      <c r="LKJ48" s="76"/>
      <c r="LKK48" s="76"/>
      <c r="LKL48" s="76"/>
      <c r="LKM48" s="76"/>
      <c r="LKN48" s="76"/>
      <c r="LKO48" s="76"/>
      <c r="LKP48" s="76"/>
      <c r="LKQ48" s="76"/>
      <c r="LKR48" s="76"/>
      <c r="LKS48" s="76"/>
      <c r="LKT48" s="76"/>
      <c r="LKU48" s="76"/>
      <c r="LKV48" s="76"/>
      <c r="LKW48" s="76"/>
      <c r="LKX48" s="76"/>
      <c r="LKY48" s="76"/>
      <c r="LKZ48" s="76"/>
      <c r="LLA48" s="76"/>
      <c r="LLB48" s="76"/>
      <c r="LLC48" s="76"/>
      <c r="LLD48" s="76"/>
      <c r="LLE48" s="76"/>
      <c r="LLF48" s="76"/>
      <c r="LLG48" s="76"/>
      <c r="LLH48" s="76"/>
      <c r="LLI48" s="76"/>
      <c r="LLJ48" s="76"/>
      <c r="LLK48" s="76"/>
      <c r="LLL48" s="76"/>
      <c r="LLM48" s="76"/>
      <c r="LLN48" s="76"/>
      <c r="LLO48" s="76"/>
      <c r="LLP48" s="76"/>
      <c r="LLQ48" s="76"/>
      <c r="LLR48" s="76"/>
      <c r="LLS48" s="76"/>
      <c r="LLT48" s="76"/>
      <c r="LLU48" s="76"/>
      <c r="LLV48" s="76"/>
      <c r="LLW48" s="76"/>
      <c r="LLX48" s="76"/>
      <c r="LLY48" s="76"/>
      <c r="LLZ48" s="76"/>
      <c r="LMA48" s="76"/>
      <c r="LMB48" s="76"/>
      <c r="LMC48" s="76"/>
      <c r="LMD48" s="76"/>
      <c r="LME48" s="76"/>
      <c r="LMF48" s="76"/>
      <c r="LMG48" s="76"/>
      <c r="LMH48" s="76"/>
      <c r="LMI48" s="76"/>
      <c r="LMJ48" s="76"/>
      <c r="LMK48" s="76"/>
      <c r="LML48" s="76"/>
      <c r="LMM48" s="76"/>
      <c r="LMN48" s="76"/>
      <c r="LMO48" s="76"/>
      <c r="LMP48" s="76"/>
      <c r="LMQ48" s="76"/>
      <c r="LMR48" s="76"/>
      <c r="LMS48" s="76"/>
      <c r="LMT48" s="76"/>
      <c r="LMU48" s="76"/>
      <c r="LMV48" s="76"/>
      <c r="LMW48" s="76"/>
      <c r="LMX48" s="76"/>
      <c r="LMY48" s="76"/>
      <c r="LMZ48" s="76"/>
      <c r="LNA48" s="76"/>
      <c r="LNB48" s="76"/>
      <c r="LNC48" s="76"/>
      <c r="LND48" s="76"/>
      <c r="LNE48" s="76"/>
      <c r="LNF48" s="76"/>
      <c r="LNG48" s="76"/>
      <c r="LNH48" s="76"/>
      <c r="LNI48" s="76"/>
      <c r="LNJ48" s="76"/>
      <c r="LNK48" s="76"/>
      <c r="LNL48" s="76"/>
      <c r="LNM48" s="76"/>
      <c r="LNN48" s="76"/>
      <c r="LNO48" s="76"/>
      <c r="LNP48" s="76"/>
      <c r="LNQ48" s="76"/>
      <c r="LNR48" s="76"/>
      <c r="LNS48" s="76"/>
      <c r="LNT48" s="76"/>
      <c r="LNU48" s="76"/>
      <c r="LNV48" s="76"/>
      <c r="LNW48" s="76"/>
      <c r="LNX48" s="76"/>
      <c r="LNY48" s="76"/>
      <c r="LNZ48" s="76"/>
      <c r="LOA48" s="76"/>
      <c r="LOB48" s="76"/>
      <c r="LOC48" s="76"/>
      <c r="LOD48" s="76"/>
      <c r="LOE48" s="76"/>
      <c r="LOF48" s="76"/>
      <c r="LOG48" s="76"/>
      <c r="LOH48" s="76"/>
      <c r="LOI48" s="76"/>
      <c r="LOJ48" s="76"/>
      <c r="LOK48" s="76"/>
      <c r="LOL48" s="76"/>
      <c r="LOM48" s="76"/>
      <c r="LON48" s="76"/>
      <c r="LOO48" s="76"/>
      <c r="LOP48" s="76"/>
      <c r="LOQ48" s="76"/>
      <c r="LOR48" s="76"/>
      <c r="LOS48" s="76"/>
      <c r="LOT48" s="76"/>
      <c r="LOU48" s="76"/>
      <c r="LOV48" s="76"/>
      <c r="LOW48" s="76"/>
      <c r="LOX48" s="76"/>
      <c r="LOY48" s="76"/>
      <c r="LOZ48" s="76"/>
      <c r="LPA48" s="76"/>
      <c r="LPB48" s="76"/>
      <c r="LPC48" s="76"/>
      <c r="LPD48" s="76"/>
      <c r="LPE48" s="76"/>
      <c r="LPF48" s="76"/>
      <c r="LPG48" s="76"/>
      <c r="LPH48" s="76"/>
      <c r="LPI48" s="76"/>
      <c r="LPJ48" s="76"/>
      <c r="LPK48" s="76"/>
      <c r="LPL48" s="76"/>
      <c r="LPM48" s="76"/>
      <c r="LPN48" s="76"/>
      <c r="LPO48" s="76"/>
      <c r="LPP48" s="76"/>
      <c r="LPQ48" s="76"/>
      <c r="LPR48" s="76"/>
      <c r="LPS48" s="76"/>
      <c r="LPT48" s="76"/>
      <c r="LPU48" s="76"/>
      <c r="LPV48" s="76"/>
      <c r="LPW48" s="76"/>
      <c r="LPX48" s="76"/>
      <c r="LPY48" s="76"/>
      <c r="LPZ48" s="76"/>
      <c r="LQA48" s="76"/>
      <c r="LQB48" s="76"/>
      <c r="LQC48" s="76"/>
      <c r="LQD48" s="76"/>
      <c r="LQE48" s="76"/>
      <c r="LQF48" s="76"/>
      <c r="LQG48" s="76"/>
      <c r="LQH48" s="76"/>
      <c r="LQI48" s="76"/>
      <c r="LQJ48" s="76"/>
      <c r="LQK48" s="76"/>
      <c r="LQL48" s="76"/>
      <c r="LQM48" s="76"/>
      <c r="LQN48" s="76"/>
      <c r="LQO48" s="76"/>
      <c r="LQP48" s="76"/>
      <c r="LQQ48" s="76"/>
      <c r="LQR48" s="76"/>
      <c r="LQS48" s="76"/>
      <c r="LQT48" s="76"/>
      <c r="LQU48" s="76"/>
      <c r="LQV48" s="76"/>
      <c r="LQW48" s="76"/>
      <c r="LQX48" s="76"/>
      <c r="LQY48" s="76"/>
      <c r="LQZ48" s="76"/>
      <c r="LRA48" s="76"/>
      <c r="LRB48" s="76"/>
      <c r="LRC48" s="76"/>
      <c r="LRD48" s="76"/>
      <c r="LRE48" s="76"/>
      <c r="LRF48" s="76"/>
      <c r="LRG48" s="76"/>
      <c r="LRH48" s="76"/>
      <c r="LRI48" s="76"/>
      <c r="LRJ48" s="76"/>
      <c r="LRK48" s="76"/>
      <c r="LRL48" s="76"/>
      <c r="LRM48" s="76"/>
      <c r="LRN48" s="76"/>
      <c r="LRO48" s="76"/>
      <c r="LRP48" s="76"/>
      <c r="LRQ48" s="76"/>
      <c r="LRR48" s="76"/>
      <c r="LRS48" s="76"/>
      <c r="LRT48" s="76"/>
      <c r="LRU48" s="76"/>
      <c r="LRV48" s="76"/>
      <c r="LRW48" s="76"/>
      <c r="LRX48" s="76"/>
      <c r="LRY48" s="76"/>
      <c r="LRZ48" s="76"/>
      <c r="LSA48" s="76"/>
      <c r="LSB48" s="76"/>
      <c r="LSC48" s="76"/>
      <c r="LSD48" s="76"/>
      <c r="LSE48" s="76"/>
      <c r="LSF48" s="76"/>
      <c r="LSG48" s="76"/>
      <c r="LSH48" s="76"/>
      <c r="LSI48" s="76"/>
      <c r="LSJ48" s="76"/>
      <c r="LSK48" s="76"/>
      <c r="LSL48" s="76"/>
      <c r="LSM48" s="76"/>
      <c r="LSN48" s="76"/>
      <c r="LSO48" s="76"/>
      <c r="LSP48" s="76"/>
      <c r="LSQ48" s="76"/>
      <c r="LSR48" s="76"/>
      <c r="LSS48" s="76"/>
      <c r="LST48" s="76"/>
      <c r="LSU48" s="76"/>
      <c r="LSV48" s="76"/>
      <c r="LSW48" s="76"/>
      <c r="LSX48" s="76"/>
      <c r="LSY48" s="76"/>
      <c r="LSZ48" s="76"/>
      <c r="LTA48" s="76"/>
      <c r="LTB48" s="76"/>
      <c r="LTC48" s="76"/>
      <c r="LTD48" s="76"/>
      <c r="LTE48" s="76"/>
      <c r="LTF48" s="76"/>
      <c r="LTG48" s="76"/>
      <c r="LTH48" s="76"/>
      <c r="LTI48" s="76"/>
      <c r="LTJ48" s="76"/>
      <c r="LTK48" s="76"/>
      <c r="LTL48" s="76"/>
      <c r="LTM48" s="76"/>
      <c r="LTN48" s="76"/>
      <c r="LTO48" s="76"/>
      <c r="LTP48" s="76"/>
      <c r="LTQ48" s="76"/>
      <c r="LTR48" s="76"/>
      <c r="LTS48" s="76"/>
      <c r="LTT48" s="76"/>
      <c r="LTU48" s="76"/>
      <c r="LTV48" s="76"/>
      <c r="LTW48" s="76"/>
      <c r="LTX48" s="76"/>
      <c r="LTY48" s="76"/>
      <c r="LTZ48" s="76"/>
      <c r="LUA48" s="76"/>
      <c r="LUB48" s="76"/>
      <c r="LUC48" s="76"/>
      <c r="LUD48" s="76"/>
      <c r="LUE48" s="76"/>
      <c r="LUF48" s="76"/>
      <c r="LUG48" s="76"/>
      <c r="LUH48" s="76"/>
      <c r="LUI48" s="76"/>
      <c r="LUJ48" s="76"/>
      <c r="LUK48" s="76"/>
      <c r="LUL48" s="76"/>
      <c r="LUM48" s="76"/>
      <c r="LUN48" s="76"/>
      <c r="LUO48" s="76"/>
      <c r="LUP48" s="76"/>
      <c r="LUQ48" s="76"/>
      <c r="LUR48" s="76"/>
      <c r="LUS48" s="76"/>
      <c r="LUT48" s="76"/>
      <c r="LUU48" s="76"/>
      <c r="LUV48" s="76"/>
      <c r="LUW48" s="76"/>
      <c r="LUX48" s="76"/>
      <c r="LUY48" s="76"/>
      <c r="LUZ48" s="76"/>
      <c r="LVA48" s="76"/>
      <c r="LVB48" s="76"/>
      <c r="LVC48" s="76"/>
      <c r="LVD48" s="76"/>
      <c r="LVE48" s="76"/>
      <c r="LVF48" s="76"/>
      <c r="LVG48" s="76"/>
      <c r="LVH48" s="76"/>
      <c r="LVI48" s="76"/>
      <c r="LVJ48" s="76"/>
      <c r="LVK48" s="76"/>
      <c r="LVL48" s="76"/>
      <c r="LVM48" s="76"/>
      <c r="LVN48" s="76"/>
      <c r="LVO48" s="76"/>
      <c r="LVP48" s="76"/>
      <c r="LVQ48" s="76"/>
      <c r="LVR48" s="76"/>
      <c r="LVS48" s="76"/>
      <c r="LVT48" s="76"/>
      <c r="LVU48" s="76"/>
      <c r="LVV48" s="76"/>
      <c r="LVW48" s="76"/>
      <c r="LVX48" s="76"/>
      <c r="LVY48" s="76"/>
      <c r="LVZ48" s="76"/>
      <c r="LWA48" s="76"/>
      <c r="LWB48" s="76"/>
      <c r="LWC48" s="76"/>
      <c r="LWD48" s="76"/>
      <c r="LWE48" s="76"/>
      <c r="LWF48" s="76"/>
      <c r="LWG48" s="76"/>
      <c r="LWH48" s="76"/>
      <c r="LWI48" s="76"/>
      <c r="LWJ48" s="76"/>
      <c r="LWK48" s="76"/>
      <c r="LWL48" s="76"/>
      <c r="LWM48" s="76"/>
      <c r="LWN48" s="76"/>
      <c r="LWO48" s="76"/>
      <c r="LWP48" s="76"/>
      <c r="LWQ48" s="76"/>
      <c r="LWR48" s="76"/>
      <c r="LWS48" s="76"/>
      <c r="LWT48" s="76"/>
      <c r="LWU48" s="76"/>
      <c r="LWV48" s="76"/>
      <c r="LWW48" s="76"/>
      <c r="LWX48" s="76"/>
      <c r="LWY48" s="76"/>
      <c r="LWZ48" s="76"/>
      <c r="LXA48" s="76"/>
      <c r="LXB48" s="76"/>
      <c r="LXC48" s="76"/>
      <c r="LXD48" s="76"/>
      <c r="LXE48" s="76"/>
      <c r="LXF48" s="76"/>
      <c r="LXG48" s="76"/>
      <c r="LXH48" s="76"/>
      <c r="LXI48" s="76"/>
      <c r="LXJ48" s="76"/>
      <c r="LXK48" s="76"/>
      <c r="LXL48" s="76"/>
      <c r="LXM48" s="76"/>
      <c r="LXN48" s="76"/>
      <c r="LXO48" s="76"/>
      <c r="LXP48" s="76"/>
      <c r="LXQ48" s="76"/>
      <c r="LXR48" s="76"/>
      <c r="LXS48" s="76"/>
      <c r="LXT48" s="76"/>
      <c r="LXU48" s="76"/>
      <c r="LXV48" s="76"/>
      <c r="LXW48" s="76"/>
      <c r="LXX48" s="76"/>
      <c r="LXY48" s="76"/>
      <c r="LXZ48" s="76"/>
      <c r="LYA48" s="76"/>
      <c r="LYB48" s="76"/>
      <c r="LYC48" s="76"/>
      <c r="LYD48" s="76"/>
      <c r="LYE48" s="76"/>
      <c r="LYF48" s="76"/>
      <c r="LYG48" s="76"/>
      <c r="LYH48" s="76"/>
      <c r="LYI48" s="76"/>
      <c r="LYJ48" s="76"/>
      <c r="LYK48" s="76"/>
      <c r="LYL48" s="76"/>
      <c r="LYM48" s="76"/>
      <c r="LYN48" s="76"/>
      <c r="LYO48" s="76"/>
      <c r="LYP48" s="76"/>
      <c r="LYQ48" s="76"/>
      <c r="LYR48" s="76"/>
      <c r="LYS48" s="76"/>
      <c r="LYT48" s="76"/>
      <c r="LYU48" s="76"/>
      <c r="LYV48" s="76"/>
      <c r="LYW48" s="76"/>
      <c r="LYX48" s="76"/>
      <c r="LYY48" s="76"/>
      <c r="LYZ48" s="76"/>
      <c r="LZA48" s="76"/>
      <c r="LZB48" s="76"/>
      <c r="LZC48" s="76"/>
      <c r="LZD48" s="76"/>
      <c r="LZE48" s="76"/>
      <c r="LZF48" s="76"/>
      <c r="LZG48" s="76"/>
      <c r="LZH48" s="76"/>
      <c r="LZI48" s="76"/>
      <c r="LZJ48" s="76"/>
      <c r="LZK48" s="76"/>
      <c r="LZL48" s="76"/>
      <c r="LZM48" s="76"/>
      <c r="LZN48" s="76"/>
      <c r="LZO48" s="76"/>
      <c r="LZP48" s="76"/>
      <c r="LZQ48" s="76"/>
      <c r="LZR48" s="76"/>
      <c r="LZS48" s="76"/>
      <c r="LZT48" s="76"/>
      <c r="LZU48" s="76"/>
      <c r="LZV48" s="76"/>
      <c r="LZW48" s="76"/>
      <c r="LZX48" s="76"/>
      <c r="LZY48" s="76"/>
      <c r="LZZ48" s="76"/>
      <c r="MAA48" s="76"/>
      <c r="MAB48" s="76"/>
      <c r="MAC48" s="76"/>
      <c r="MAD48" s="76"/>
      <c r="MAE48" s="76"/>
      <c r="MAF48" s="76"/>
      <c r="MAG48" s="76"/>
      <c r="MAH48" s="76"/>
      <c r="MAI48" s="76"/>
      <c r="MAJ48" s="76"/>
      <c r="MAK48" s="76"/>
      <c r="MAL48" s="76"/>
      <c r="MAM48" s="76"/>
      <c r="MAN48" s="76"/>
      <c r="MAO48" s="76"/>
      <c r="MAP48" s="76"/>
      <c r="MAQ48" s="76"/>
      <c r="MAR48" s="76"/>
      <c r="MAS48" s="76"/>
      <c r="MAT48" s="76"/>
      <c r="MAU48" s="76"/>
      <c r="MAV48" s="76"/>
      <c r="MAW48" s="76"/>
      <c r="MAX48" s="76"/>
      <c r="MAY48" s="76"/>
      <c r="MAZ48" s="76"/>
      <c r="MBA48" s="76"/>
      <c r="MBB48" s="76"/>
      <c r="MBC48" s="76"/>
      <c r="MBD48" s="76"/>
      <c r="MBE48" s="76"/>
      <c r="MBF48" s="76"/>
      <c r="MBG48" s="76"/>
      <c r="MBH48" s="76"/>
      <c r="MBI48" s="76"/>
      <c r="MBJ48" s="76"/>
      <c r="MBK48" s="76"/>
      <c r="MBL48" s="76"/>
      <c r="MBM48" s="76"/>
      <c r="MBN48" s="76"/>
      <c r="MBO48" s="76"/>
      <c r="MBP48" s="76"/>
      <c r="MBQ48" s="76"/>
      <c r="MBR48" s="76"/>
      <c r="MBS48" s="76"/>
      <c r="MBT48" s="76"/>
      <c r="MBU48" s="76"/>
      <c r="MBV48" s="76"/>
      <c r="MBW48" s="76"/>
      <c r="MBX48" s="76"/>
      <c r="MBY48" s="76"/>
      <c r="MBZ48" s="76"/>
      <c r="MCA48" s="76"/>
      <c r="MCB48" s="76"/>
      <c r="MCC48" s="76"/>
      <c r="MCD48" s="76"/>
      <c r="MCE48" s="76"/>
      <c r="MCF48" s="76"/>
      <c r="MCG48" s="76"/>
      <c r="MCH48" s="76"/>
      <c r="MCI48" s="76"/>
      <c r="MCJ48" s="76"/>
      <c r="MCK48" s="76"/>
      <c r="MCL48" s="76"/>
      <c r="MCM48" s="76"/>
      <c r="MCN48" s="76"/>
      <c r="MCO48" s="76"/>
      <c r="MCP48" s="76"/>
      <c r="MCQ48" s="76"/>
      <c r="MCR48" s="76"/>
      <c r="MCS48" s="76"/>
      <c r="MCT48" s="76"/>
      <c r="MCU48" s="76"/>
      <c r="MCV48" s="76"/>
      <c r="MCW48" s="76"/>
      <c r="MCX48" s="76"/>
      <c r="MCY48" s="76"/>
      <c r="MCZ48" s="76"/>
      <c r="MDA48" s="76"/>
      <c r="MDB48" s="76"/>
      <c r="MDC48" s="76"/>
      <c r="MDD48" s="76"/>
      <c r="MDE48" s="76"/>
      <c r="MDF48" s="76"/>
      <c r="MDG48" s="76"/>
      <c r="MDH48" s="76"/>
      <c r="MDI48" s="76"/>
      <c r="MDJ48" s="76"/>
      <c r="MDK48" s="76"/>
      <c r="MDL48" s="76"/>
      <c r="MDM48" s="76"/>
      <c r="MDN48" s="76"/>
      <c r="MDO48" s="76"/>
      <c r="MDP48" s="76"/>
      <c r="MDQ48" s="76"/>
      <c r="MDR48" s="76"/>
      <c r="MDS48" s="76"/>
      <c r="MDT48" s="76"/>
      <c r="MDU48" s="76"/>
      <c r="MDV48" s="76"/>
      <c r="MDW48" s="76"/>
      <c r="MDX48" s="76"/>
      <c r="MDY48" s="76"/>
      <c r="MDZ48" s="76"/>
      <c r="MEA48" s="76"/>
      <c r="MEB48" s="76"/>
      <c r="MEC48" s="76"/>
      <c r="MED48" s="76"/>
      <c r="MEE48" s="76"/>
      <c r="MEF48" s="76"/>
      <c r="MEG48" s="76"/>
      <c r="MEH48" s="76"/>
      <c r="MEI48" s="76"/>
      <c r="MEJ48" s="76"/>
      <c r="MEK48" s="76"/>
      <c r="MEL48" s="76"/>
      <c r="MEM48" s="76"/>
      <c r="MEN48" s="76"/>
      <c r="MEO48" s="76"/>
      <c r="MEP48" s="76"/>
      <c r="MEQ48" s="76"/>
      <c r="MER48" s="76"/>
      <c r="MES48" s="76"/>
      <c r="MET48" s="76"/>
      <c r="MEU48" s="76"/>
      <c r="MEV48" s="76"/>
      <c r="MEW48" s="76"/>
      <c r="MEX48" s="76"/>
      <c r="MEY48" s="76"/>
      <c r="MEZ48" s="76"/>
      <c r="MFA48" s="76"/>
      <c r="MFB48" s="76"/>
      <c r="MFC48" s="76"/>
      <c r="MFD48" s="76"/>
      <c r="MFE48" s="76"/>
      <c r="MFF48" s="76"/>
      <c r="MFG48" s="76"/>
      <c r="MFH48" s="76"/>
      <c r="MFI48" s="76"/>
      <c r="MFJ48" s="76"/>
      <c r="MFK48" s="76"/>
      <c r="MFL48" s="76"/>
      <c r="MFM48" s="76"/>
      <c r="MFN48" s="76"/>
      <c r="MFO48" s="76"/>
      <c r="MFP48" s="76"/>
      <c r="MFQ48" s="76"/>
      <c r="MFR48" s="76"/>
      <c r="MFS48" s="76"/>
      <c r="MFT48" s="76"/>
      <c r="MFU48" s="76"/>
      <c r="MFV48" s="76"/>
      <c r="MFW48" s="76"/>
      <c r="MFX48" s="76"/>
      <c r="MFY48" s="76"/>
      <c r="MFZ48" s="76"/>
      <c r="MGA48" s="76"/>
      <c r="MGB48" s="76"/>
      <c r="MGC48" s="76"/>
      <c r="MGD48" s="76"/>
      <c r="MGE48" s="76"/>
      <c r="MGF48" s="76"/>
      <c r="MGG48" s="76"/>
      <c r="MGH48" s="76"/>
      <c r="MGI48" s="76"/>
      <c r="MGJ48" s="76"/>
      <c r="MGK48" s="76"/>
      <c r="MGL48" s="76"/>
      <c r="MGM48" s="76"/>
      <c r="MGN48" s="76"/>
      <c r="MGO48" s="76"/>
      <c r="MGP48" s="76"/>
      <c r="MGQ48" s="76"/>
      <c r="MGR48" s="76"/>
      <c r="MGS48" s="76"/>
      <c r="MGT48" s="76"/>
      <c r="MGU48" s="76"/>
      <c r="MGV48" s="76"/>
      <c r="MGW48" s="76"/>
      <c r="MGX48" s="76"/>
      <c r="MGY48" s="76"/>
      <c r="MGZ48" s="76"/>
      <c r="MHA48" s="76"/>
      <c r="MHB48" s="76"/>
      <c r="MHC48" s="76"/>
      <c r="MHD48" s="76"/>
      <c r="MHE48" s="76"/>
      <c r="MHF48" s="76"/>
      <c r="MHG48" s="76"/>
      <c r="MHH48" s="76"/>
      <c r="MHI48" s="76"/>
      <c r="MHJ48" s="76"/>
      <c r="MHK48" s="76"/>
      <c r="MHL48" s="76"/>
      <c r="MHM48" s="76"/>
      <c r="MHN48" s="76"/>
      <c r="MHO48" s="76"/>
      <c r="MHP48" s="76"/>
      <c r="MHQ48" s="76"/>
      <c r="MHR48" s="76"/>
      <c r="MHS48" s="76"/>
      <c r="MHT48" s="76"/>
      <c r="MHU48" s="76"/>
      <c r="MHV48" s="76"/>
      <c r="MHW48" s="76"/>
      <c r="MHX48" s="76"/>
      <c r="MHY48" s="76"/>
      <c r="MHZ48" s="76"/>
      <c r="MIA48" s="76"/>
      <c r="MIB48" s="76"/>
      <c r="MIC48" s="76"/>
      <c r="MID48" s="76"/>
      <c r="MIE48" s="76"/>
      <c r="MIF48" s="76"/>
      <c r="MIG48" s="76"/>
      <c r="MIH48" s="76"/>
      <c r="MII48" s="76"/>
      <c r="MIJ48" s="76"/>
      <c r="MIK48" s="76"/>
      <c r="MIL48" s="76"/>
      <c r="MIM48" s="76"/>
      <c r="MIN48" s="76"/>
      <c r="MIO48" s="76"/>
      <c r="MIP48" s="76"/>
      <c r="MIQ48" s="76"/>
      <c r="MIR48" s="76"/>
      <c r="MIS48" s="76"/>
      <c r="MIT48" s="76"/>
      <c r="MIU48" s="76"/>
      <c r="MIV48" s="76"/>
      <c r="MIW48" s="76"/>
      <c r="MIX48" s="76"/>
      <c r="MIY48" s="76"/>
      <c r="MIZ48" s="76"/>
      <c r="MJA48" s="76"/>
      <c r="MJB48" s="76"/>
      <c r="MJC48" s="76"/>
      <c r="MJD48" s="76"/>
      <c r="MJE48" s="76"/>
      <c r="MJF48" s="76"/>
      <c r="MJG48" s="76"/>
      <c r="MJH48" s="76"/>
      <c r="MJI48" s="76"/>
      <c r="MJJ48" s="76"/>
      <c r="MJK48" s="76"/>
      <c r="MJL48" s="76"/>
      <c r="MJM48" s="76"/>
      <c r="MJN48" s="76"/>
      <c r="MJO48" s="76"/>
      <c r="MJP48" s="76"/>
      <c r="MJQ48" s="76"/>
      <c r="MJR48" s="76"/>
      <c r="MJS48" s="76"/>
      <c r="MJT48" s="76"/>
      <c r="MJU48" s="76"/>
      <c r="MJV48" s="76"/>
      <c r="MJW48" s="76"/>
      <c r="MJX48" s="76"/>
      <c r="MJY48" s="76"/>
      <c r="MJZ48" s="76"/>
      <c r="MKA48" s="76"/>
      <c r="MKB48" s="76"/>
      <c r="MKC48" s="76"/>
      <c r="MKD48" s="76"/>
      <c r="MKE48" s="76"/>
      <c r="MKF48" s="76"/>
      <c r="MKG48" s="76"/>
      <c r="MKH48" s="76"/>
      <c r="MKI48" s="76"/>
      <c r="MKJ48" s="76"/>
      <c r="MKK48" s="76"/>
      <c r="MKL48" s="76"/>
      <c r="MKM48" s="76"/>
      <c r="MKN48" s="76"/>
      <c r="MKO48" s="76"/>
      <c r="MKP48" s="76"/>
      <c r="MKQ48" s="76"/>
      <c r="MKR48" s="76"/>
      <c r="MKS48" s="76"/>
      <c r="MKT48" s="76"/>
      <c r="MKU48" s="76"/>
      <c r="MKV48" s="76"/>
      <c r="MKW48" s="76"/>
      <c r="MKX48" s="76"/>
      <c r="MKY48" s="76"/>
      <c r="MKZ48" s="76"/>
      <c r="MLA48" s="76"/>
      <c r="MLB48" s="76"/>
      <c r="MLC48" s="76"/>
      <c r="MLD48" s="76"/>
      <c r="MLE48" s="76"/>
      <c r="MLF48" s="76"/>
      <c r="MLG48" s="76"/>
      <c r="MLH48" s="76"/>
      <c r="MLI48" s="76"/>
      <c r="MLJ48" s="76"/>
      <c r="MLK48" s="76"/>
      <c r="MLL48" s="76"/>
      <c r="MLM48" s="76"/>
      <c r="MLN48" s="76"/>
      <c r="MLO48" s="76"/>
      <c r="MLP48" s="76"/>
      <c r="MLQ48" s="76"/>
      <c r="MLR48" s="76"/>
      <c r="MLS48" s="76"/>
      <c r="MLT48" s="76"/>
      <c r="MLU48" s="76"/>
      <c r="MLV48" s="76"/>
      <c r="MLW48" s="76"/>
      <c r="MLX48" s="76"/>
      <c r="MLY48" s="76"/>
      <c r="MLZ48" s="76"/>
      <c r="MMA48" s="76"/>
      <c r="MMB48" s="76"/>
      <c r="MMC48" s="76"/>
      <c r="MMD48" s="76"/>
      <c r="MME48" s="76"/>
      <c r="MMF48" s="76"/>
      <c r="MMG48" s="76"/>
      <c r="MMH48" s="76"/>
      <c r="MMI48" s="76"/>
      <c r="MMJ48" s="76"/>
      <c r="MMK48" s="76"/>
      <c r="MML48" s="76"/>
      <c r="MMM48" s="76"/>
      <c r="MMN48" s="76"/>
      <c r="MMO48" s="76"/>
      <c r="MMP48" s="76"/>
      <c r="MMQ48" s="76"/>
      <c r="MMR48" s="76"/>
      <c r="MMS48" s="76"/>
      <c r="MMT48" s="76"/>
      <c r="MMU48" s="76"/>
      <c r="MMV48" s="76"/>
      <c r="MMW48" s="76"/>
      <c r="MMX48" s="76"/>
      <c r="MMY48" s="76"/>
      <c r="MMZ48" s="76"/>
      <c r="MNA48" s="76"/>
      <c r="MNB48" s="76"/>
      <c r="MNC48" s="76"/>
      <c r="MND48" s="76"/>
      <c r="MNE48" s="76"/>
      <c r="MNF48" s="76"/>
      <c r="MNG48" s="76"/>
      <c r="MNH48" s="76"/>
      <c r="MNI48" s="76"/>
      <c r="MNJ48" s="76"/>
      <c r="MNK48" s="76"/>
      <c r="MNL48" s="76"/>
      <c r="MNM48" s="76"/>
      <c r="MNN48" s="76"/>
      <c r="MNO48" s="76"/>
      <c r="MNP48" s="76"/>
      <c r="MNQ48" s="76"/>
      <c r="MNR48" s="76"/>
      <c r="MNS48" s="76"/>
      <c r="MNT48" s="76"/>
      <c r="MNU48" s="76"/>
      <c r="MNV48" s="76"/>
      <c r="MNW48" s="76"/>
      <c r="MNX48" s="76"/>
      <c r="MNY48" s="76"/>
      <c r="MNZ48" s="76"/>
      <c r="MOA48" s="76"/>
      <c r="MOB48" s="76"/>
      <c r="MOC48" s="76"/>
      <c r="MOD48" s="76"/>
      <c r="MOE48" s="76"/>
      <c r="MOF48" s="76"/>
      <c r="MOG48" s="76"/>
      <c r="MOH48" s="76"/>
      <c r="MOI48" s="76"/>
      <c r="MOJ48" s="76"/>
      <c r="MOK48" s="76"/>
      <c r="MOL48" s="76"/>
      <c r="MOM48" s="76"/>
      <c r="MON48" s="76"/>
      <c r="MOO48" s="76"/>
      <c r="MOP48" s="76"/>
      <c r="MOQ48" s="76"/>
      <c r="MOR48" s="76"/>
      <c r="MOS48" s="76"/>
      <c r="MOT48" s="76"/>
      <c r="MOU48" s="76"/>
      <c r="MOV48" s="76"/>
      <c r="MOW48" s="76"/>
      <c r="MOX48" s="76"/>
      <c r="MOY48" s="76"/>
      <c r="MOZ48" s="76"/>
      <c r="MPA48" s="76"/>
      <c r="MPB48" s="76"/>
      <c r="MPC48" s="76"/>
      <c r="MPD48" s="76"/>
      <c r="MPE48" s="76"/>
      <c r="MPF48" s="76"/>
      <c r="MPG48" s="76"/>
      <c r="MPH48" s="76"/>
      <c r="MPI48" s="76"/>
      <c r="MPJ48" s="76"/>
      <c r="MPK48" s="76"/>
      <c r="MPL48" s="76"/>
      <c r="MPM48" s="76"/>
      <c r="MPN48" s="76"/>
      <c r="MPO48" s="76"/>
      <c r="MPP48" s="76"/>
      <c r="MPQ48" s="76"/>
      <c r="MPR48" s="76"/>
      <c r="MPS48" s="76"/>
      <c r="MPT48" s="76"/>
      <c r="MPU48" s="76"/>
      <c r="MPV48" s="76"/>
      <c r="MPW48" s="76"/>
      <c r="MPX48" s="76"/>
      <c r="MPY48" s="76"/>
      <c r="MPZ48" s="76"/>
      <c r="MQA48" s="76"/>
      <c r="MQB48" s="76"/>
      <c r="MQC48" s="76"/>
      <c r="MQD48" s="76"/>
      <c r="MQE48" s="76"/>
      <c r="MQF48" s="76"/>
      <c r="MQG48" s="76"/>
      <c r="MQH48" s="76"/>
      <c r="MQI48" s="76"/>
      <c r="MQJ48" s="76"/>
      <c r="MQK48" s="76"/>
      <c r="MQL48" s="76"/>
      <c r="MQM48" s="76"/>
      <c r="MQN48" s="76"/>
      <c r="MQO48" s="76"/>
      <c r="MQP48" s="76"/>
      <c r="MQQ48" s="76"/>
      <c r="MQR48" s="76"/>
      <c r="MQS48" s="76"/>
      <c r="MQT48" s="76"/>
      <c r="MQU48" s="76"/>
      <c r="MQV48" s="76"/>
      <c r="MQW48" s="76"/>
      <c r="MQX48" s="76"/>
      <c r="MQY48" s="76"/>
      <c r="MQZ48" s="76"/>
      <c r="MRA48" s="76"/>
      <c r="MRB48" s="76"/>
      <c r="MRC48" s="76"/>
      <c r="MRD48" s="76"/>
      <c r="MRE48" s="76"/>
      <c r="MRF48" s="76"/>
      <c r="MRG48" s="76"/>
      <c r="MRH48" s="76"/>
      <c r="MRI48" s="76"/>
      <c r="MRJ48" s="76"/>
      <c r="MRK48" s="76"/>
      <c r="MRL48" s="76"/>
      <c r="MRM48" s="76"/>
      <c r="MRN48" s="76"/>
      <c r="MRO48" s="76"/>
      <c r="MRP48" s="76"/>
      <c r="MRQ48" s="76"/>
      <c r="MRR48" s="76"/>
      <c r="MRS48" s="76"/>
      <c r="MRT48" s="76"/>
      <c r="MRU48" s="76"/>
      <c r="MRV48" s="76"/>
      <c r="MRW48" s="76"/>
      <c r="MRX48" s="76"/>
      <c r="MRY48" s="76"/>
      <c r="MRZ48" s="76"/>
      <c r="MSA48" s="76"/>
      <c r="MSB48" s="76"/>
      <c r="MSC48" s="76"/>
      <c r="MSD48" s="76"/>
      <c r="MSE48" s="76"/>
      <c r="MSF48" s="76"/>
      <c r="MSG48" s="76"/>
      <c r="MSH48" s="76"/>
      <c r="MSI48" s="76"/>
      <c r="MSJ48" s="76"/>
      <c r="MSK48" s="76"/>
      <c r="MSL48" s="76"/>
      <c r="MSM48" s="76"/>
      <c r="MSN48" s="76"/>
      <c r="MSO48" s="76"/>
      <c r="MSP48" s="76"/>
      <c r="MSQ48" s="76"/>
      <c r="MSR48" s="76"/>
      <c r="MSS48" s="76"/>
      <c r="MST48" s="76"/>
      <c r="MSU48" s="76"/>
      <c r="MSV48" s="76"/>
      <c r="MSW48" s="76"/>
      <c r="MSX48" s="76"/>
      <c r="MSY48" s="76"/>
      <c r="MSZ48" s="76"/>
      <c r="MTA48" s="76"/>
      <c r="MTB48" s="76"/>
      <c r="MTC48" s="76"/>
      <c r="MTD48" s="76"/>
      <c r="MTE48" s="76"/>
      <c r="MTF48" s="76"/>
      <c r="MTG48" s="76"/>
      <c r="MTH48" s="76"/>
      <c r="MTI48" s="76"/>
      <c r="MTJ48" s="76"/>
      <c r="MTK48" s="76"/>
      <c r="MTL48" s="76"/>
      <c r="MTM48" s="76"/>
      <c r="MTN48" s="76"/>
      <c r="MTO48" s="76"/>
      <c r="MTP48" s="76"/>
      <c r="MTQ48" s="76"/>
      <c r="MTR48" s="76"/>
      <c r="MTS48" s="76"/>
      <c r="MTT48" s="76"/>
      <c r="MTU48" s="76"/>
      <c r="MTV48" s="76"/>
      <c r="MTW48" s="76"/>
      <c r="MTX48" s="76"/>
      <c r="MTY48" s="76"/>
      <c r="MTZ48" s="76"/>
      <c r="MUA48" s="76"/>
      <c r="MUB48" s="76"/>
      <c r="MUC48" s="76"/>
      <c r="MUD48" s="76"/>
      <c r="MUE48" s="76"/>
      <c r="MUF48" s="76"/>
      <c r="MUG48" s="76"/>
      <c r="MUH48" s="76"/>
      <c r="MUI48" s="76"/>
      <c r="MUJ48" s="76"/>
      <c r="MUK48" s="76"/>
      <c r="MUL48" s="76"/>
      <c r="MUM48" s="76"/>
      <c r="MUN48" s="76"/>
      <c r="MUO48" s="76"/>
      <c r="MUP48" s="76"/>
      <c r="MUQ48" s="76"/>
      <c r="MUR48" s="76"/>
      <c r="MUS48" s="76"/>
      <c r="MUT48" s="76"/>
      <c r="MUU48" s="76"/>
      <c r="MUV48" s="76"/>
      <c r="MUW48" s="76"/>
      <c r="MUX48" s="76"/>
      <c r="MUY48" s="76"/>
      <c r="MUZ48" s="76"/>
      <c r="MVA48" s="76"/>
      <c r="MVB48" s="76"/>
      <c r="MVC48" s="76"/>
      <c r="MVD48" s="76"/>
      <c r="MVE48" s="76"/>
      <c r="MVF48" s="76"/>
      <c r="MVG48" s="76"/>
      <c r="MVH48" s="76"/>
      <c r="MVI48" s="76"/>
      <c r="MVJ48" s="76"/>
      <c r="MVK48" s="76"/>
      <c r="MVL48" s="76"/>
      <c r="MVM48" s="76"/>
      <c r="MVN48" s="76"/>
      <c r="MVO48" s="76"/>
      <c r="MVP48" s="76"/>
      <c r="MVQ48" s="76"/>
      <c r="MVR48" s="76"/>
      <c r="MVS48" s="76"/>
      <c r="MVT48" s="76"/>
      <c r="MVU48" s="76"/>
      <c r="MVV48" s="76"/>
      <c r="MVW48" s="76"/>
      <c r="MVX48" s="76"/>
      <c r="MVY48" s="76"/>
      <c r="MVZ48" s="76"/>
      <c r="MWA48" s="76"/>
      <c r="MWB48" s="76"/>
      <c r="MWC48" s="76"/>
      <c r="MWD48" s="76"/>
      <c r="MWE48" s="76"/>
      <c r="MWF48" s="76"/>
      <c r="MWG48" s="76"/>
      <c r="MWH48" s="76"/>
      <c r="MWI48" s="76"/>
      <c r="MWJ48" s="76"/>
      <c r="MWK48" s="76"/>
      <c r="MWL48" s="76"/>
      <c r="MWM48" s="76"/>
      <c r="MWN48" s="76"/>
      <c r="MWO48" s="76"/>
      <c r="MWP48" s="76"/>
      <c r="MWQ48" s="76"/>
      <c r="MWR48" s="76"/>
      <c r="MWS48" s="76"/>
      <c r="MWT48" s="76"/>
      <c r="MWU48" s="76"/>
      <c r="MWV48" s="76"/>
      <c r="MWW48" s="76"/>
      <c r="MWX48" s="76"/>
      <c r="MWY48" s="76"/>
      <c r="MWZ48" s="76"/>
      <c r="MXA48" s="76"/>
      <c r="MXB48" s="76"/>
      <c r="MXC48" s="76"/>
      <c r="MXD48" s="76"/>
      <c r="MXE48" s="76"/>
      <c r="MXF48" s="76"/>
      <c r="MXG48" s="76"/>
      <c r="MXH48" s="76"/>
      <c r="MXI48" s="76"/>
      <c r="MXJ48" s="76"/>
      <c r="MXK48" s="76"/>
      <c r="MXL48" s="76"/>
      <c r="MXM48" s="76"/>
      <c r="MXN48" s="76"/>
      <c r="MXO48" s="76"/>
      <c r="MXP48" s="76"/>
      <c r="MXQ48" s="76"/>
      <c r="MXR48" s="76"/>
      <c r="MXS48" s="76"/>
      <c r="MXT48" s="76"/>
      <c r="MXU48" s="76"/>
      <c r="MXV48" s="76"/>
      <c r="MXW48" s="76"/>
      <c r="MXX48" s="76"/>
      <c r="MXY48" s="76"/>
      <c r="MXZ48" s="76"/>
      <c r="MYA48" s="76"/>
      <c r="MYB48" s="76"/>
      <c r="MYC48" s="76"/>
      <c r="MYD48" s="76"/>
      <c r="MYE48" s="76"/>
      <c r="MYF48" s="76"/>
      <c r="MYG48" s="76"/>
      <c r="MYH48" s="76"/>
      <c r="MYI48" s="76"/>
      <c r="MYJ48" s="76"/>
      <c r="MYK48" s="76"/>
      <c r="MYL48" s="76"/>
      <c r="MYM48" s="76"/>
      <c r="MYN48" s="76"/>
      <c r="MYO48" s="76"/>
      <c r="MYP48" s="76"/>
      <c r="MYQ48" s="76"/>
      <c r="MYR48" s="76"/>
      <c r="MYS48" s="76"/>
      <c r="MYT48" s="76"/>
      <c r="MYU48" s="76"/>
      <c r="MYV48" s="76"/>
      <c r="MYW48" s="76"/>
      <c r="MYX48" s="76"/>
      <c r="MYY48" s="76"/>
      <c r="MYZ48" s="76"/>
      <c r="MZA48" s="76"/>
      <c r="MZB48" s="76"/>
      <c r="MZC48" s="76"/>
      <c r="MZD48" s="76"/>
      <c r="MZE48" s="76"/>
      <c r="MZF48" s="76"/>
      <c r="MZG48" s="76"/>
      <c r="MZH48" s="76"/>
      <c r="MZI48" s="76"/>
      <c r="MZJ48" s="76"/>
      <c r="MZK48" s="76"/>
      <c r="MZL48" s="76"/>
      <c r="MZM48" s="76"/>
      <c r="MZN48" s="76"/>
      <c r="MZO48" s="76"/>
      <c r="MZP48" s="76"/>
      <c r="MZQ48" s="76"/>
      <c r="MZR48" s="76"/>
      <c r="MZS48" s="76"/>
      <c r="MZT48" s="76"/>
      <c r="MZU48" s="76"/>
      <c r="MZV48" s="76"/>
      <c r="MZW48" s="76"/>
      <c r="MZX48" s="76"/>
      <c r="MZY48" s="76"/>
      <c r="MZZ48" s="76"/>
      <c r="NAA48" s="76"/>
      <c r="NAB48" s="76"/>
      <c r="NAC48" s="76"/>
      <c r="NAD48" s="76"/>
      <c r="NAE48" s="76"/>
      <c r="NAF48" s="76"/>
      <c r="NAG48" s="76"/>
      <c r="NAH48" s="76"/>
      <c r="NAI48" s="76"/>
      <c r="NAJ48" s="76"/>
      <c r="NAK48" s="76"/>
      <c r="NAL48" s="76"/>
      <c r="NAM48" s="76"/>
      <c r="NAN48" s="76"/>
      <c r="NAO48" s="76"/>
      <c r="NAP48" s="76"/>
      <c r="NAQ48" s="76"/>
      <c r="NAR48" s="76"/>
      <c r="NAS48" s="76"/>
      <c r="NAT48" s="76"/>
      <c r="NAU48" s="76"/>
      <c r="NAV48" s="76"/>
      <c r="NAW48" s="76"/>
      <c r="NAX48" s="76"/>
      <c r="NAY48" s="76"/>
      <c r="NAZ48" s="76"/>
      <c r="NBA48" s="76"/>
      <c r="NBB48" s="76"/>
      <c r="NBC48" s="76"/>
      <c r="NBD48" s="76"/>
      <c r="NBE48" s="76"/>
      <c r="NBF48" s="76"/>
      <c r="NBG48" s="76"/>
      <c r="NBH48" s="76"/>
      <c r="NBI48" s="76"/>
      <c r="NBJ48" s="76"/>
      <c r="NBK48" s="76"/>
      <c r="NBL48" s="76"/>
      <c r="NBM48" s="76"/>
      <c r="NBN48" s="76"/>
      <c r="NBO48" s="76"/>
      <c r="NBP48" s="76"/>
      <c r="NBQ48" s="76"/>
      <c r="NBR48" s="76"/>
      <c r="NBS48" s="76"/>
      <c r="NBT48" s="76"/>
      <c r="NBU48" s="76"/>
      <c r="NBV48" s="76"/>
      <c r="NBW48" s="76"/>
      <c r="NBX48" s="76"/>
      <c r="NBY48" s="76"/>
      <c r="NBZ48" s="76"/>
      <c r="NCA48" s="76"/>
      <c r="NCB48" s="76"/>
      <c r="NCC48" s="76"/>
      <c r="NCD48" s="76"/>
      <c r="NCE48" s="76"/>
      <c r="NCF48" s="76"/>
      <c r="NCG48" s="76"/>
      <c r="NCH48" s="76"/>
      <c r="NCI48" s="76"/>
      <c r="NCJ48" s="76"/>
      <c r="NCK48" s="76"/>
      <c r="NCL48" s="76"/>
      <c r="NCM48" s="76"/>
      <c r="NCN48" s="76"/>
      <c r="NCO48" s="76"/>
      <c r="NCP48" s="76"/>
      <c r="NCQ48" s="76"/>
      <c r="NCR48" s="76"/>
      <c r="NCS48" s="76"/>
      <c r="NCT48" s="76"/>
      <c r="NCU48" s="76"/>
      <c r="NCV48" s="76"/>
      <c r="NCW48" s="76"/>
      <c r="NCX48" s="76"/>
      <c r="NCY48" s="76"/>
      <c r="NCZ48" s="76"/>
      <c r="NDA48" s="76"/>
      <c r="NDB48" s="76"/>
      <c r="NDC48" s="76"/>
      <c r="NDD48" s="76"/>
      <c r="NDE48" s="76"/>
      <c r="NDF48" s="76"/>
      <c r="NDG48" s="76"/>
      <c r="NDH48" s="76"/>
      <c r="NDI48" s="76"/>
      <c r="NDJ48" s="76"/>
      <c r="NDK48" s="76"/>
      <c r="NDL48" s="76"/>
      <c r="NDM48" s="76"/>
      <c r="NDN48" s="76"/>
      <c r="NDO48" s="76"/>
      <c r="NDP48" s="76"/>
      <c r="NDQ48" s="76"/>
      <c r="NDR48" s="76"/>
      <c r="NDS48" s="76"/>
      <c r="NDT48" s="76"/>
      <c r="NDU48" s="76"/>
      <c r="NDV48" s="76"/>
      <c r="NDW48" s="76"/>
      <c r="NDX48" s="76"/>
      <c r="NDY48" s="76"/>
      <c r="NDZ48" s="76"/>
      <c r="NEA48" s="76"/>
      <c r="NEB48" s="76"/>
      <c r="NEC48" s="76"/>
      <c r="NED48" s="76"/>
      <c r="NEE48" s="76"/>
      <c r="NEF48" s="76"/>
      <c r="NEG48" s="76"/>
      <c r="NEH48" s="76"/>
      <c r="NEI48" s="76"/>
      <c r="NEJ48" s="76"/>
      <c r="NEK48" s="76"/>
      <c r="NEL48" s="76"/>
      <c r="NEM48" s="76"/>
      <c r="NEN48" s="76"/>
      <c r="NEO48" s="76"/>
      <c r="NEP48" s="76"/>
      <c r="NEQ48" s="76"/>
      <c r="NER48" s="76"/>
      <c r="NES48" s="76"/>
      <c r="NET48" s="76"/>
      <c r="NEU48" s="76"/>
      <c r="NEV48" s="76"/>
      <c r="NEW48" s="76"/>
      <c r="NEX48" s="76"/>
      <c r="NEY48" s="76"/>
      <c r="NEZ48" s="76"/>
      <c r="NFA48" s="76"/>
      <c r="NFB48" s="76"/>
      <c r="NFC48" s="76"/>
      <c r="NFD48" s="76"/>
      <c r="NFE48" s="76"/>
      <c r="NFF48" s="76"/>
      <c r="NFG48" s="76"/>
      <c r="NFH48" s="76"/>
      <c r="NFI48" s="76"/>
      <c r="NFJ48" s="76"/>
      <c r="NFK48" s="76"/>
      <c r="NFL48" s="76"/>
      <c r="NFM48" s="76"/>
      <c r="NFN48" s="76"/>
      <c r="NFO48" s="76"/>
      <c r="NFP48" s="76"/>
      <c r="NFQ48" s="76"/>
      <c r="NFR48" s="76"/>
      <c r="NFS48" s="76"/>
      <c r="NFT48" s="76"/>
      <c r="NFU48" s="76"/>
      <c r="NFV48" s="76"/>
      <c r="NFW48" s="76"/>
      <c r="NFX48" s="76"/>
      <c r="NFY48" s="76"/>
      <c r="NFZ48" s="76"/>
      <c r="NGA48" s="76"/>
      <c r="NGB48" s="76"/>
      <c r="NGC48" s="76"/>
      <c r="NGD48" s="76"/>
      <c r="NGE48" s="76"/>
      <c r="NGF48" s="76"/>
      <c r="NGG48" s="76"/>
      <c r="NGH48" s="76"/>
      <c r="NGI48" s="76"/>
      <c r="NGJ48" s="76"/>
      <c r="NGK48" s="76"/>
      <c r="NGL48" s="76"/>
      <c r="NGM48" s="76"/>
      <c r="NGN48" s="76"/>
      <c r="NGO48" s="76"/>
      <c r="NGP48" s="76"/>
      <c r="NGQ48" s="76"/>
      <c r="NGR48" s="76"/>
      <c r="NGS48" s="76"/>
      <c r="NGT48" s="76"/>
      <c r="NGU48" s="76"/>
      <c r="NGV48" s="76"/>
      <c r="NGW48" s="76"/>
      <c r="NGX48" s="76"/>
      <c r="NGY48" s="76"/>
      <c r="NGZ48" s="76"/>
      <c r="NHA48" s="76"/>
      <c r="NHB48" s="76"/>
      <c r="NHC48" s="76"/>
      <c r="NHD48" s="76"/>
      <c r="NHE48" s="76"/>
      <c r="NHF48" s="76"/>
      <c r="NHG48" s="76"/>
      <c r="NHH48" s="76"/>
      <c r="NHI48" s="76"/>
      <c r="NHJ48" s="76"/>
      <c r="NHK48" s="76"/>
      <c r="NHL48" s="76"/>
      <c r="NHM48" s="76"/>
      <c r="NHN48" s="76"/>
      <c r="NHO48" s="76"/>
      <c r="NHP48" s="76"/>
      <c r="NHQ48" s="76"/>
      <c r="NHR48" s="76"/>
      <c r="NHS48" s="76"/>
      <c r="NHT48" s="76"/>
      <c r="NHU48" s="76"/>
      <c r="NHV48" s="76"/>
      <c r="NHW48" s="76"/>
      <c r="NHX48" s="76"/>
      <c r="NHY48" s="76"/>
      <c r="NHZ48" s="76"/>
      <c r="NIA48" s="76"/>
      <c r="NIB48" s="76"/>
      <c r="NIC48" s="76"/>
      <c r="NID48" s="76"/>
      <c r="NIE48" s="76"/>
      <c r="NIF48" s="76"/>
      <c r="NIG48" s="76"/>
      <c r="NIH48" s="76"/>
      <c r="NII48" s="76"/>
      <c r="NIJ48" s="76"/>
      <c r="NIK48" s="76"/>
      <c r="NIL48" s="76"/>
      <c r="NIM48" s="76"/>
      <c r="NIN48" s="76"/>
      <c r="NIO48" s="76"/>
      <c r="NIP48" s="76"/>
      <c r="NIQ48" s="76"/>
      <c r="NIR48" s="76"/>
      <c r="NIS48" s="76"/>
      <c r="NIT48" s="76"/>
      <c r="NIU48" s="76"/>
      <c r="NIV48" s="76"/>
      <c r="NIW48" s="76"/>
      <c r="NIX48" s="76"/>
      <c r="NIY48" s="76"/>
      <c r="NIZ48" s="76"/>
      <c r="NJA48" s="76"/>
      <c r="NJB48" s="76"/>
      <c r="NJC48" s="76"/>
      <c r="NJD48" s="76"/>
      <c r="NJE48" s="76"/>
      <c r="NJF48" s="76"/>
      <c r="NJG48" s="76"/>
      <c r="NJH48" s="76"/>
      <c r="NJI48" s="76"/>
      <c r="NJJ48" s="76"/>
      <c r="NJK48" s="76"/>
      <c r="NJL48" s="76"/>
      <c r="NJM48" s="76"/>
      <c r="NJN48" s="76"/>
      <c r="NJO48" s="76"/>
      <c r="NJP48" s="76"/>
      <c r="NJQ48" s="76"/>
      <c r="NJR48" s="76"/>
      <c r="NJS48" s="76"/>
      <c r="NJT48" s="76"/>
      <c r="NJU48" s="76"/>
      <c r="NJV48" s="76"/>
      <c r="NJW48" s="76"/>
      <c r="NJX48" s="76"/>
      <c r="NJY48" s="76"/>
      <c r="NJZ48" s="76"/>
      <c r="NKA48" s="76"/>
      <c r="NKB48" s="76"/>
      <c r="NKC48" s="76"/>
      <c r="NKD48" s="76"/>
      <c r="NKE48" s="76"/>
      <c r="NKF48" s="76"/>
      <c r="NKG48" s="76"/>
      <c r="NKH48" s="76"/>
      <c r="NKI48" s="76"/>
      <c r="NKJ48" s="76"/>
      <c r="NKK48" s="76"/>
      <c r="NKL48" s="76"/>
      <c r="NKM48" s="76"/>
      <c r="NKN48" s="76"/>
      <c r="NKO48" s="76"/>
      <c r="NKP48" s="76"/>
      <c r="NKQ48" s="76"/>
      <c r="NKR48" s="76"/>
      <c r="NKS48" s="76"/>
      <c r="NKT48" s="76"/>
      <c r="NKU48" s="76"/>
      <c r="NKV48" s="76"/>
      <c r="NKW48" s="76"/>
      <c r="NKX48" s="76"/>
      <c r="NKY48" s="76"/>
      <c r="NKZ48" s="76"/>
      <c r="NLA48" s="76"/>
      <c r="NLB48" s="76"/>
      <c r="NLC48" s="76"/>
      <c r="NLD48" s="76"/>
      <c r="NLE48" s="76"/>
      <c r="NLF48" s="76"/>
      <c r="NLG48" s="76"/>
      <c r="NLH48" s="76"/>
      <c r="NLI48" s="76"/>
      <c r="NLJ48" s="76"/>
      <c r="NLK48" s="76"/>
      <c r="NLL48" s="76"/>
      <c r="NLM48" s="76"/>
      <c r="NLN48" s="76"/>
      <c r="NLO48" s="76"/>
      <c r="NLP48" s="76"/>
      <c r="NLQ48" s="76"/>
      <c r="NLR48" s="76"/>
      <c r="NLS48" s="76"/>
      <c r="NLT48" s="76"/>
      <c r="NLU48" s="76"/>
      <c r="NLV48" s="76"/>
      <c r="NLW48" s="76"/>
      <c r="NLX48" s="76"/>
      <c r="NLY48" s="76"/>
      <c r="NLZ48" s="76"/>
      <c r="NMA48" s="76"/>
      <c r="NMB48" s="76"/>
      <c r="NMC48" s="76"/>
      <c r="NMD48" s="76"/>
      <c r="NME48" s="76"/>
      <c r="NMF48" s="76"/>
      <c r="NMG48" s="76"/>
      <c r="NMH48" s="76"/>
      <c r="NMI48" s="76"/>
      <c r="NMJ48" s="76"/>
      <c r="NMK48" s="76"/>
      <c r="NML48" s="76"/>
      <c r="NMM48" s="76"/>
      <c r="NMN48" s="76"/>
      <c r="NMO48" s="76"/>
      <c r="NMP48" s="76"/>
      <c r="NMQ48" s="76"/>
      <c r="NMR48" s="76"/>
      <c r="NMS48" s="76"/>
      <c r="NMT48" s="76"/>
      <c r="NMU48" s="76"/>
      <c r="NMV48" s="76"/>
      <c r="NMW48" s="76"/>
      <c r="NMX48" s="76"/>
      <c r="NMY48" s="76"/>
      <c r="NMZ48" s="76"/>
      <c r="NNA48" s="76"/>
      <c r="NNB48" s="76"/>
      <c r="NNC48" s="76"/>
      <c r="NND48" s="76"/>
      <c r="NNE48" s="76"/>
      <c r="NNF48" s="76"/>
      <c r="NNG48" s="76"/>
      <c r="NNH48" s="76"/>
      <c r="NNI48" s="76"/>
      <c r="NNJ48" s="76"/>
      <c r="NNK48" s="76"/>
      <c r="NNL48" s="76"/>
      <c r="NNM48" s="76"/>
      <c r="NNN48" s="76"/>
      <c r="NNO48" s="76"/>
      <c r="NNP48" s="76"/>
      <c r="NNQ48" s="76"/>
      <c r="NNR48" s="76"/>
      <c r="NNS48" s="76"/>
      <c r="NNT48" s="76"/>
      <c r="NNU48" s="76"/>
      <c r="NNV48" s="76"/>
      <c r="NNW48" s="76"/>
      <c r="NNX48" s="76"/>
      <c r="NNY48" s="76"/>
      <c r="NNZ48" s="76"/>
      <c r="NOA48" s="76"/>
      <c r="NOB48" s="76"/>
      <c r="NOC48" s="76"/>
      <c r="NOD48" s="76"/>
      <c r="NOE48" s="76"/>
      <c r="NOF48" s="76"/>
      <c r="NOG48" s="76"/>
      <c r="NOH48" s="76"/>
      <c r="NOI48" s="76"/>
      <c r="NOJ48" s="76"/>
      <c r="NOK48" s="76"/>
      <c r="NOL48" s="76"/>
      <c r="NOM48" s="76"/>
      <c r="NON48" s="76"/>
      <c r="NOO48" s="76"/>
      <c r="NOP48" s="76"/>
      <c r="NOQ48" s="76"/>
      <c r="NOR48" s="76"/>
      <c r="NOS48" s="76"/>
      <c r="NOT48" s="76"/>
      <c r="NOU48" s="76"/>
      <c r="NOV48" s="76"/>
      <c r="NOW48" s="76"/>
      <c r="NOX48" s="76"/>
      <c r="NOY48" s="76"/>
      <c r="NOZ48" s="76"/>
      <c r="NPA48" s="76"/>
      <c r="NPB48" s="76"/>
      <c r="NPC48" s="76"/>
      <c r="NPD48" s="76"/>
      <c r="NPE48" s="76"/>
      <c r="NPF48" s="76"/>
      <c r="NPG48" s="76"/>
      <c r="NPH48" s="76"/>
      <c r="NPI48" s="76"/>
      <c r="NPJ48" s="76"/>
      <c r="NPK48" s="76"/>
      <c r="NPL48" s="76"/>
      <c r="NPM48" s="76"/>
      <c r="NPN48" s="76"/>
      <c r="NPO48" s="76"/>
      <c r="NPP48" s="76"/>
      <c r="NPQ48" s="76"/>
      <c r="NPR48" s="76"/>
      <c r="NPS48" s="76"/>
      <c r="NPT48" s="76"/>
      <c r="NPU48" s="76"/>
      <c r="NPV48" s="76"/>
      <c r="NPW48" s="76"/>
      <c r="NPX48" s="76"/>
      <c r="NPY48" s="76"/>
      <c r="NPZ48" s="76"/>
      <c r="NQA48" s="76"/>
      <c r="NQB48" s="76"/>
      <c r="NQC48" s="76"/>
      <c r="NQD48" s="76"/>
      <c r="NQE48" s="76"/>
      <c r="NQF48" s="76"/>
      <c r="NQG48" s="76"/>
      <c r="NQH48" s="76"/>
      <c r="NQI48" s="76"/>
      <c r="NQJ48" s="76"/>
      <c r="NQK48" s="76"/>
      <c r="NQL48" s="76"/>
      <c r="NQM48" s="76"/>
      <c r="NQN48" s="76"/>
      <c r="NQO48" s="76"/>
      <c r="NQP48" s="76"/>
      <c r="NQQ48" s="76"/>
      <c r="NQR48" s="76"/>
      <c r="NQS48" s="76"/>
      <c r="NQT48" s="76"/>
      <c r="NQU48" s="76"/>
      <c r="NQV48" s="76"/>
      <c r="NQW48" s="76"/>
      <c r="NQX48" s="76"/>
      <c r="NQY48" s="76"/>
      <c r="NQZ48" s="76"/>
      <c r="NRA48" s="76"/>
      <c r="NRB48" s="76"/>
      <c r="NRC48" s="76"/>
      <c r="NRD48" s="76"/>
      <c r="NRE48" s="76"/>
      <c r="NRF48" s="76"/>
      <c r="NRG48" s="76"/>
      <c r="NRH48" s="76"/>
      <c r="NRI48" s="76"/>
      <c r="NRJ48" s="76"/>
      <c r="NRK48" s="76"/>
      <c r="NRL48" s="76"/>
      <c r="NRM48" s="76"/>
      <c r="NRN48" s="76"/>
      <c r="NRO48" s="76"/>
      <c r="NRP48" s="76"/>
      <c r="NRQ48" s="76"/>
      <c r="NRR48" s="76"/>
      <c r="NRS48" s="76"/>
      <c r="NRT48" s="76"/>
      <c r="NRU48" s="76"/>
      <c r="NRV48" s="76"/>
      <c r="NRW48" s="76"/>
      <c r="NRX48" s="76"/>
      <c r="NRY48" s="76"/>
      <c r="NRZ48" s="76"/>
      <c r="NSA48" s="76"/>
      <c r="NSB48" s="76"/>
      <c r="NSC48" s="76"/>
      <c r="NSD48" s="76"/>
      <c r="NSE48" s="76"/>
      <c r="NSF48" s="76"/>
      <c r="NSG48" s="76"/>
      <c r="NSH48" s="76"/>
      <c r="NSI48" s="76"/>
      <c r="NSJ48" s="76"/>
      <c r="NSK48" s="76"/>
      <c r="NSL48" s="76"/>
      <c r="NSM48" s="76"/>
      <c r="NSN48" s="76"/>
      <c r="NSO48" s="76"/>
      <c r="NSP48" s="76"/>
      <c r="NSQ48" s="76"/>
      <c r="NSR48" s="76"/>
      <c r="NSS48" s="76"/>
      <c r="NST48" s="76"/>
      <c r="NSU48" s="76"/>
      <c r="NSV48" s="76"/>
      <c r="NSW48" s="76"/>
      <c r="NSX48" s="76"/>
      <c r="NSY48" s="76"/>
      <c r="NSZ48" s="76"/>
      <c r="NTA48" s="76"/>
      <c r="NTB48" s="76"/>
      <c r="NTC48" s="76"/>
      <c r="NTD48" s="76"/>
      <c r="NTE48" s="76"/>
      <c r="NTF48" s="76"/>
      <c r="NTG48" s="76"/>
      <c r="NTH48" s="76"/>
      <c r="NTI48" s="76"/>
      <c r="NTJ48" s="76"/>
      <c r="NTK48" s="76"/>
      <c r="NTL48" s="76"/>
      <c r="NTM48" s="76"/>
      <c r="NTN48" s="76"/>
      <c r="NTO48" s="76"/>
      <c r="NTP48" s="76"/>
      <c r="NTQ48" s="76"/>
      <c r="NTR48" s="76"/>
      <c r="NTS48" s="76"/>
      <c r="NTT48" s="76"/>
      <c r="NTU48" s="76"/>
      <c r="NTV48" s="76"/>
      <c r="NTW48" s="76"/>
      <c r="NTX48" s="76"/>
      <c r="NTY48" s="76"/>
      <c r="NTZ48" s="76"/>
      <c r="NUA48" s="76"/>
      <c r="NUB48" s="76"/>
      <c r="NUC48" s="76"/>
      <c r="NUD48" s="76"/>
      <c r="NUE48" s="76"/>
      <c r="NUF48" s="76"/>
      <c r="NUG48" s="76"/>
      <c r="NUH48" s="76"/>
      <c r="NUI48" s="76"/>
      <c r="NUJ48" s="76"/>
      <c r="NUK48" s="76"/>
      <c r="NUL48" s="76"/>
      <c r="NUM48" s="76"/>
      <c r="NUN48" s="76"/>
      <c r="NUO48" s="76"/>
      <c r="NUP48" s="76"/>
      <c r="NUQ48" s="76"/>
      <c r="NUR48" s="76"/>
      <c r="NUS48" s="76"/>
      <c r="NUT48" s="76"/>
      <c r="NUU48" s="76"/>
      <c r="NUV48" s="76"/>
      <c r="NUW48" s="76"/>
      <c r="NUX48" s="76"/>
      <c r="NUY48" s="76"/>
      <c r="NUZ48" s="76"/>
      <c r="NVA48" s="76"/>
      <c r="NVB48" s="76"/>
      <c r="NVC48" s="76"/>
      <c r="NVD48" s="76"/>
      <c r="NVE48" s="76"/>
      <c r="NVF48" s="76"/>
      <c r="NVG48" s="76"/>
      <c r="NVH48" s="76"/>
      <c r="NVI48" s="76"/>
      <c r="NVJ48" s="76"/>
      <c r="NVK48" s="76"/>
      <c r="NVL48" s="76"/>
      <c r="NVM48" s="76"/>
      <c r="NVN48" s="76"/>
      <c r="NVO48" s="76"/>
      <c r="NVP48" s="76"/>
      <c r="NVQ48" s="76"/>
      <c r="NVR48" s="76"/>
      <c r="NVS48" s="76"/>
      <c r="NVT48" s="76"/>
      <c r="NVU48" s="76"/>
      <c r="NVV48" s="76"/>
      <c r="NVW48" s="76"/>
      <c r="NVX48" s="76"/>
      <c r="NVY48" s="76"/>
      <c r="NVZ48" s="76"/>
      <c r="NWA48" s="76"/>
      <c r="NWB48" s="76"/>
      <c r="NWC48" s="76"/>
      <c r="NWD48" s="76"/>
      <c r="NWE48" s="76"/>
      <c r="NWF48" s="76"/>
      <c r="NWG48" s="76"/>
      <c r="NWH48" s="76"/>
      <c r="NWI48" s="76"/>
      <c r="NWJ48" s="76"/>
      <c r="NWK48" s="76"/>
      <c r="NWL48" s="76"/>
      <c r="NWM48" s="76"/>
      <c r="NWN48" s="76"/>
      <c r="NWO48" s="76"/>
      <c r="NWP48" s="76"/>
      <c r="NWQ48" s="76"/>
      <c r="NWR48" s="76"/>
      <c r="NWS48" s="76"/>
      <c r="NWT48" s="76"/>
      <c r="NWU48" s="76"/>
      <c r="NWV48" s="76"/>
      <c r="NWW48" s="76"/>
      <c r="NWX48" s="76"/>
      <c r="NWY48" s="76"/>
      <c r="NWZ48" s="76"/>
      <c r="NXA48" s="76"/>
      <c r="NXB48" s="76"/>
      <c r="NXC48" s="76"/>
      <c r="NXD48" s="76"/>
      <c r="NXE48" s="76"/>
      <c r="NXF48" s="76"/>
      <c r="NXG48" s="76"/>
      <c r="NXH48" s="76"/>
      <c r="NXI48" s="76"/>
      <c r="NXJ48" s="76"/>
      <c r="NXK48" s="76"/>
      <c r="NXL48" s="76"/>
      <c r="NXM48" s="76"/>
      <c r="NXN48" s="76"/>
      <c r="NXO48" s="76"/>
      <c r="NXP48" s="76"/>
      <c r="NXQ48" s="76"/>
      <c r="NXR48" s="76"/>
      <c r="NXS48" s="76"/>
      <c r="NXT48" s="76"/>
      <c r="NXU48" s="76"/>
      <c r="NXV48" s="76"/>
      <c r="NXW48" s="76"/>
      <c r="NXX48" s="76"/>
      <c r="NXY48" s="76"/>
      <c r="NXZ48" s="76"/>
      <c r="NYA48" s="76"/>
      <c r="NYB48" s="76"/>
      <c r="NYC48" s="76"/>
      <c r="NYD48" s="76"/>
      <c r="NYE48" s="76"/>
      <c r="NYF48" s="76"/>
      <c r="NYG48" s="76"/>
      <c r="NYH48" s="76"/>
      <c r="NYI48" s="76"/>
      <c r="NYJ48" s="76"/>
      <c r="NYK48" s="76"/>
      <c r="NYL48" s="76"/>
      <c r="NYM48" s="76"/>
      <c r="NYN48" s="76"/>
      <c r="NYO48" s="76"/>
      <c r="NYP48" s="76"/>
      <c r="NYQ48" s="76"/>
      <c r="NYR48" s="76"/>
      <c r="NYS48" s="76"/>
      <c r="NYT48" s="76"/>
      <c r="NYU48" s="76"/>
      <c r="NYV48" s="76"/>
      <c r="NYW48" s="76"/>
      <c r="NYX48" s="76"/>
      <c r="NYY48" s="76"/>
      <c r="NYZ48" s="76"/>
      <c r="NZA48" s="76"/>
      <c r="NZB48" s="76"/>
      <c r="NZC48" s="76"/>
      <c r="NZD48" s="76"/>
      <c r="NZE48" s="76"/>
      <c r="NZF48" s="76"/>
      <c r="NZG48" s="76"/>
      <c r="NZH48" s="76"/>
      <c r="NZI48" s="76"/>
      <c r="NZJ48" s="76"/>
      <c r="NZK48" s="76"/>
      <c r="NZL48" s="76"/>
      <c r="NZM48" s="76"/>
      <c r="NZN48" s="76"/>
      <c r="NZO48" s="76"/>
      <c r="NZP48" s="76"/>
      <c r="NZQ48" s="76"/>
      <c r="NZR48" s="76"/>
      <c r="NZS48" s="76"/>
      <c r="NZT48" s="76"/>
      <c r="NZU48" s="76"/>
      <c r="NZV48" s="76"/>
      <c r="NZW48" s="76"/>
      <c r="NZX48" s="76"/>
      <c r="NZY48" s="76"/>
      <c r="NZZ48" s="76"/>
      <c r="OAA48" s="76"/>
      <c r="OAB48" s="76"/>
      <c r="OAC48" s="76"/>
      <c r="OAD48" s="76"/>
      <c r="OAE48" s="76"/>
      <c r="OAF48" s="76"/>
      <c r="OAG48" s="76"/>
      <c r="OAH48" s="76"/>
      <c r="OAI48" s="76"/>
      <c r="OAJ48" s="76"/>
      <c r="OAK48" s="76"/>
      <c r="OAL48" s="76"/>
      <c r="OAM48" s="76"/>
      <c r="OAN48" s="76"/>
      <c r="OAO48" s="76"/>
      <c r="OAP48" s="76"/>
      <c r="OAQ48" s="76"/>
      <c r="OAR48" s="76"/>
      <c r="OAS48" s="76"/>
      <c r="OAT48" s="76"/>
      <c r="OAU48" s="76"/>
      <c r="OAV48" s="76"/>
      <c r="OAW48" s="76"/>
      <c r="OAX48" s="76"/>
      <c r="OAY48" s="76"/>
      <c r="OAZ48" s="76"/>
      <c r="OBA48" s="76"/>
      <c r="OBB48" s="76"/>
      <c r="OBC48" s="76"/>
      <c r="OBD48" s="76"/>
      <c r="OBE48" s="76"/>
      <c r="OBF48" s="76"/>
      <c r="OBG48" s="76"/>
      <c r="OBH48" s="76"/>
      <c r="OBI48" s="76"/>
      <c r="OBJ48" s="76"/>
      <c r="OBK48" s="76"/>
      <c r="OBL48" s="76"/>
      <c r="OBM48" s="76"/>
      <c r="OBN48" s="76"/>
      <c r="OBO48" s="76"/>
      <c r="OBP48" s="76"/>
      <c r="OBQ48" s="76"/>
      <c r="OBR48" s="76"/>
      <c r="OBS48" s="76"/>
      <c r="OBT48" s="76"/>
      <c r="OBU48" s="76"/>
      <c r="OBV48" s="76"/>
      <c r="OBW48" s="76"/>
      <c r="OBX48" s="76"/>
      <c r="OBY48" s="76"/>
      <c r="OBZ48" s="76"/>
      <c r="OCA48" s="76"/>
      <c r="OCB48" s="76"/>
      <c r="OCC48" s="76"/>
      <c r="OCD48" s="76"/>
      <c r="OCE48" s="76"/>
      <c r="OCF48" s="76"/>
      <c r="OCG48" s="76"/>
      <c r="OCH48" s="76"/>
      <c r="OCI48" s="76"/>
      <c r="OCJ48" s="76"/>
      <c r="OCK48" s="76"/>
      <c r="OCL48" s="76"/>
      <c r="OCM48" s="76"/>
      <c r="OCN48" s="76"/>
      <c r="OCO48" s="76"/>
      <c r="OCP48" s="76"/>
      <c r="OCQ48" s="76"/>
      <c r="OCR48" s="76"/>
      <c r="OCS48" s="76"/>
      <c r="OCT48" s="76"/>
      <c r="OCU48" s="76"/>
      <c r="OCV48" s="76"/>
      <c r="OCW48" s="76"/>
      <c r="OCX48" s="76"/>
      <c r="OCY48" s="76"/>
      <c r="OCZ48" s="76"/>
      <c r="ODA48" s="76"/>
      <c r="ODB48" s="76"/>
      <c r="ODC48" s="76"/>
      <c r="ODD48" s="76"/>
      <c r="ODE48" s="76"/>
      <c r="ODF48" s="76"/>
      <c r="ODG48" s="76"/>
      <c r="ODH48" s="76"/>
      <c r="ODI48" s="76"/>
      <c r="ODJ48" s="76"/>
      <c r="ODK48" s="76"/>
      <c r="ODL48" s="76"/>
      <c r="ODM48" s="76"/>
      <c r="ODN48" s="76"/>
      <c r="ODO48" s="76"/>
      <c r="ODP48" s="76"/>
      <c r="ODQ48" s="76"/>
      <c r="ODR48" s="76"/>
      <c r="ODS48" s="76"/>
      <c r="ODT48" s="76"/>
      <c r="ODU48" s="76"/>
      <c r="ODV48" s="76"/>
      <c r="ODW48" s="76"/>
      <c r="ODX48" s="76"/>
      <c r="ODY48" s="76"/>
      <c r="ODZ48" s="76"/>
      <c r="OEA48" s="76"/>
      <c r="OEB48" s="76"/>
      <c r="OEC48" s="76"/>
      <c r="OED48" s="76"/>
      <c r="OEE48" s="76"/>
      <c r="OEF48" s="76"/>
      <c r="OEG48" s="76"/>
      <c r="OEH48" s="76"/>
      <c r="OEI48" s="76"/>
      <c r="OEJ48" s="76"/>
      <c r="OEK48" s="76"/>
      <c r="OEL48" s="76"/>
      <c r="OEM48" s="76"/>
      <c r="OEN48" s="76"/>
      <c r="OEO48" s="76"/>
      <c r="OEP48" s="76"/>
      <c r="OEQ48" s="76"/>
      <c r="OER48" s="76"/>
      <c r="OES48" s="76"/>
      <c r="OET48" s="76"/>
      <c r="OEU48" s="76"/>
      <c r="OEV48" s="76"/>
      <c r="OEW48" s="76"/>
      <c r="OEX48" s="76"/>
      <c r="OEY48" s="76"/>
      <c r="OEZ48" s="76"/>
      <c r="OFA48" s="76"/>
      <c r="OFB48" s="76"/>
      <c r="OFC48" s="76"/>
      <c r="OFD48" s="76"/>
      <c r="OFE48" s="76"/>
      <c r="OFF48" s="76"/>
      <c r="OFG48" s="76"/>
      <c r="OFH48" s="76"/>
      <c r="OFI48" s="76"/>
      <c r="OFJ48" s="76"/>
      <c r="OFK48" s="76"/>
      <c r="OFL48" s="76"/>
      <c r="OFM48" s="76"/>
      <c r="OFN48" s="76"/>
      <c r="OFO48" s="76"/>
      <c r="OFP48" s="76"/>
      <c r="OFQ48" s="76"/>
      <c r="OFR48" s="76"/>
      <c r="OFS48" s="76"/>
      <c r="OFT48" s="76"/>
      <c r="OFU48" s="76"/>
      <c r="OFV48" s="76"/>
      <c r="OFW48" s="76"/>
      <c r="OFX48" s="76"/>
      <c r="OFY48" s="76"/>
      <c r="OFZ48" s="76"/>
      <c r="OGA48" s="76"/>
      <c r="OGB48" s="76"/>
      <c r="OGC48" s="76"/>
      <c r="OGD48" s="76"/>
      <c r="OGE48" s="76"/>
      <c r="OGF48" s="76"/>
      <c r="OGG48" s="76"/>
      <c r="OGH48" s="76"/>
      <c r="OGI48" s="76"/>
      <c r="OGJ48" s="76"/>
      <c r="OGK48" s="76"/>
      <c r="OGL48" s="76"/>
      <c r="OGM48" s="76"/>
      <c r="OGN48" s="76"/>
      <c r="OGO48" s="76"/>
      <c r="OGP48" s="76"/>
      <c r="OGQ48" s="76"/>
      <c r="OGR48" s="76"/>
      <c r="OGS48" s="76"/>
      <c r="OGT48" s="76"/>
      <c r="OGU48" s="76"/>
      <c r="OGV48" s="76"/>
      <c r="OGW48" s="76"/>
      <c r="OGX48" s="76"/>
      <c r="OGY48" s="76"/>
      <c r="OGZ48" s="76"/>
      <c r="OHA48" s="76"/>
      <c r="OHB48" s="76"/>
      <c r="OHC48" s="76"/>
      <c r="OHD48" s="76"/>
      <c r="OHE48" s="76"/>
      <c r="OHF48" s="76"/>
      <c r="OHG48" s="76"/>
      <c r="OHH48" s="76"/>
      <c r="OHI48" s="76"/>
      <c r="OHJ48" s="76"/>
      <c r="OHK48" s="76"/>
      <c r="OHL48" s="76"/>
      <c r="OHM48" s="76"/>
      <c r="OHN48" s="76"/>
      <c r="OHO48" s="76"/>
      <c r="OHP48" s="76"/>
      <c r="OHQ48" s="76"/>
      <c r="OHR48" s="76"/>
      <c r="OHS48" s="76"/>
      <c r="OHT48" s="76"/>
      <c r="OHU48" s="76"/>
      <c r="OHV48" s="76"/>
      <c r="OHW48" s="76"/>
      <c r="OHX48" s="76"/>
      <c r="OHY48" s="76"/>
      <c r="OHZ48" s="76"/>
      <c r="OIA48" s="76"/>
      <c r="OIB48" s="76"/>
      <c r="OIC48" s="76"/>
      <c r="OID48" s="76"/>
      <c r="OIE48" s="76"/>
      <c r="OIF48" s="76"/>
      <c r="OIG48" s="76"/>
      <c r="OIH48" s="76"/>
      <c r="OII48" s="76"/>
      <c r="OIJ48" s="76"/>
      <c r="OIK48" s="76"/>
      <c r="OIL48" s="76"/>
      <c r="OIM48" s="76"/>
      <c r="OIN48" s="76"/>
      <c r="OIO48" s="76"/>
      <c r="OIP48" s="76"/>
      <c r="OIQ48" s="76"/>
      <c r="OIR48" s="76"/>
      <c r="OIS48" s="76"/>
      <c r="OIT48" s="76"/>
      <c r="OIU48" s="76"/>
      <c r="OIV48" s="76"/>
      <c r="OIW48" s="76"/>
      <c r="OIX48" s="76"/>
      <c r="OIY48" s="76"/>
      <c r="OIZ48" s="76"/>
      <c r="OJA48" s="76"/>
      <c r="OJB48" s="76"/>
      <c r="OJC48" s="76"/>
      <c r="OJD48" s="76"/>
      <c r="OJE48" s="76"/>
      <c r="OJF48" s="76"/>
      <c r="OJG48" s="76"/>
      <c r="OJH48" s="76"/>
      <c r="OJI48" s="76"/>
      <c r="OJJ48" s="76"/>
      <c r="OJK48" s="76"/>
      <c r="OJL48" s="76"/>
      <c r="OJM48" s="76"/>
      <c r="OJN48" s="76"/>
      <c r="OJO48" s="76"/>
      <c r="OJP48" s="76"/>
      <c r="OJQ48" s="76"/>
      <c r="OJR48" s="76"/>
      <c r="OJS48" s="76"/>
      <c r="OJT48" s="76"/>
      <c r="OJU48" s="76"/>
      <c r="OJV48" s="76"/>
      <c r="OJW48" s="76"/>
      <c r="OJX48" s="76"/>
      <c r="OJY48" s="76"/>
      <c r="OJZ48" s="76"/>
      <c r="OKA48" s="76"/>
      <c r="OKB48" s="76"/>
      <c r="OKC48" s="76"/>
      <c r="OKD48" s="76"/>
      <c r="OKE48" s="76"/>
      <c r="OKF48" s="76"/>
      <c r="OKG48" s="76"/>
      <c r="OKH48" s="76"/>
      <c r="OKI48" s="76"/>
      <c r="OKJ48" s="76"/>
      <c r="OKK48" s="76"/>
      <c r="OKL48" s="76"/>
      <c r="OKM48" s="76"/>
      <c r="OKN48" s="76"/>
      <c r="OKO48" s="76"/>
      <c r="OKP48" s="76"/>
      <c r="OKQ48" s="76"/>
      <c r="OKR48" s="76"/>
      <c r="OKS48" s="76"/>
      <c r="OKT48" s="76"/>
      <c r="OKU48" s="76"/>
      <c r="OKV48" s="76"/>
      <c r="OKW48" s="76"/>
      <c r="OKX48" s="76"/>
      <c r="OKY48" s="76"/>
      <c r="OKZ48" s="76"/>
      <c r="OLA48" s="76"/>
      <c r="OLB48" s="76"/>
      <c r="OLC48" s="76"/>
      <c r="OLD48" s="76"/>
      <c r="OLE48" s="76"/>
      <c r="OLF48" s="76"/>
      <c r="OLG48" s="76"/>
      <c r="OLH48" s="76"/>
      <c r="OLI48" s="76"/>
      <c r="OLJ48" s="76"/>
      <c r="OLK48" s="76"/>
      <c r="OLL48" s="76"/>
      <c r="OLM48" s="76"/>
      <c r="OLN48" s="76"/>
      <c r="OLO48" s="76"/>
      <c r="OLP48" s="76"/>
      <c r="OLQ48" s="76"/>
      <c r="OLR48" s="76"/>
      <c r="OLS48" s="76"/>
      <c r="OLT48" s="76"/>
      <c r="OLU48" s="76"/>
      <c r="OLV48" s="76"/>
      <c r="OLW48" s="76"/>
      <c r="OLX48" s="76"/>
      <c r="OLY48" s="76"/>
      <c r="OLZ48" s="76"/>
      <c r="OMA48" s="76"/>
      <c r="OMB48" s="76"/>
      <c r="OMC48" s="76"/>
      <c r="OMD48" s="76"/>
      <c r="OME48" s="76"/>
      <c r="OMF48" s="76"/>
      <c r="OMG48" s="76"/>
      <c r="OMH48" s="76"/>
      <c r="OMI48" s="76"/>
      <c r="OMJ48" s="76"/>
      <c r="OMK48" s="76"/>
      <c r="OML48" s="76"/>
      <c r="OMM48" s="76"/>
      <c r="OMN48" s="76"/>
      <c r="OMO48" s="76"/>
      <c r="OMP48" s="76"/>
      <c r="OMQ48" s="76"/>
      <c r="OMR48" s="76"/>
      <c r="OMS48" s="76"/>
      <c r="OMT48" s="76"/>
      <c r="OMU48" s="76"/>
      <c r="OMV48" s="76"/>
      <c r="OMW48" s="76"/>
      <c r="OMX48" s="76"/>
      <c r="OMY48" s="76"/>
      <c r="OMZ48" s="76"/>
      <c r="ONA48" s="76"/>
      <c r="ONB48" s="76"/>
      <c r="ONC48" s="76"/>
      <c r="OND48" s="76"/>
      <c r="ONE48" s="76"/>
      <c r="ONF48" s="76"/>
      <c r="ONG48" s="76"/>
      <c r="ONH48" s="76"/>
      <c r="ONI48" s="76"/>
      <c r="ONJ48" s="76"/>
      <c r="ONK48" s="76"/>
      <c r="ONL48" s="76"/>
      <c r="ONM48" s="76"/>
      <c r="ONN48" s="76"/>
      <c r="ONO48" s="76"/>
      <c r="ONP48" s="76"/>
      <c r="ONQ48" s="76"/>
      <c r="ONR48" s="76"/>
      <c r="ONS48" s="76"/>
      <c r="ONT48" s="76"/>
      <c r="ONU48" s="76"/>
      <c r="ONV48" s="76"/>
      <c r="ONW48" s="76"/>
      <c r="ONX48" s="76"/>
      <c r="ONY48" s="76"/>
      <c r="ONZ48" s="76"/>
      <c r="OOA48" s="76"/>
      <c r="OOB48" s="76"/>
      <c r="OOC48" s="76"/>
      <c r="OOD48" s="76"/>
      <c r="OOE48" s="76"/>
      <c r="OOF48" s="76"/>
      <c r="OOG48" s="76"/>
      <c r="OOH48" s="76"/>
      <c r="OOI48" s="76"/>
      <c r="OOJ48" s="76"/>
      <c r="OOK48" s="76"/>
      <c r="OOL48" s="76"/>
      <c r="OOM48" s="76"/>
      <c r="OON48" s="76"/>
      <c r="OOO48" s="76"/>
      <c r="OOP48" s="76"/>
      <c r="OOQ48" s="76"/>
      <c r="OOR48" s="76"/>
      <c r="OOS48" s="76"/>
      <c r="OOT48" s="76"/>
      <c r="OOU48" s="76"/>
      <c r="OOV48" s="76"/>
      <c r="OOW48" s="76"/>
      <c r="OOX48" s="76"/>
      <c r="OOY48" s="76"/>
      <c r="OOZ48" s="76"/>
      <c r="OPA48" s="76"/>
      <c r="OPB48" s="76"/>
      <c r="OPC48" s="76"/>
      <c r="OPD48" s="76"/>
      <c r="OPE48" s="76"/>
      <c r="OPF48" s="76"/>
      <c r="OPG48" s="76"/>
      <c r="OPH48" s="76"/>
      <c r="OPI48" s="76"/>
      <c r="OPJ48" s="76"/>
      <c r="OPK48" s="76"/>
      <c r="OPL48" s="76"/>
      <c r="OPM48" s="76"/>
      <c r="OPN48" s="76"/>
      <c r="OPO48" s="76"/>
      <c r="OPP48" s="76"/>
      <c r="OPQ48" s="76"/>
      <c r="OPR48" s="76"/>
      <c r="OPS48" s="76"/>
      <c r="OPT48" s="76"/>
      <c r="OPU48" s="76"/>
      <c r="OPV48" s="76"/>
      <c r="OPW48" s="76"/>
      <c r="OPX48" s="76"/>
      <c r="OPY48" s="76"/>
      <c r="OPZ48" s="76"/>
      <c r="OQA48" s="76"/>
      <c r="OQB48" s="76"/>
      <c r="OQC48" s="76"/>
      <c r="OQD48" s="76"/>
      <c r="OQE48" s="76"/>
      <c r="OQF48" s="76"/>
      <c r="OQG48" s="76"/>
      <c r="OQH48" s="76"/>
      <c r="OQI48" s="76"/>
      <c r="OQJ48" s="76"/>
      <c r="OQK48" s="76"/>
      <c r="OQL48" s="76"/>
      <c r="OQM48" s="76"/>
      <c r="OQN48" s="76"/>
      <c r="OQO48" s="76"/>
      <c r="OQP48" s="76"/>
      <c r="OQQ48" s="76"/>
      <c r="OQR48" s="76"/>
      <c r="OQS48" s="76"/>
      <c r="OQT48" s="76"/>
      <c r="OQU48" s="76"/>
      <c r="OQV48" s="76"/>
      <c r="OQW48" s="76"/>
      <c r="OQX48" s="76"/>
      <c r="OQY48" s="76"/>
      <c r="OQZ48" s="76"/>
      <c r="ORA48" s="76"/>
      <c r="ORB48" s="76"/>
      <c r="ORC48" s="76"/>
      <c r="ORD48" s="76"/>
      <c r="ORE48" s="76"/>
      <c r="ORF48" s="76"/>
      <c r="ORG48" s="76"/>
      <c r="ORH48" s="76"/>
      <c r="ORI48" s="76"/>
      <c r="ORJ48" s="76"/>
      <c r="ORK48" s="76"/>
      <c r="ORL48" s="76"/>
      <c r="ORM48" s="76"/>
      <c r="ORN48" s="76"/>
      <c r="ORO48" s="76"/>
      <c r="ORP48" s="76"/>
      <c r="ORQ48" s="76"/>
      <c r="ORR48" s="76"/>
      <c r="ORS48" s="76"/>
      <c r="ORT48" s="76"/>
      <c r="ORU48" s="76"/>
      <c r="ORV48" s="76"/>
      <c r="ORW48" s="76"/>
      <c r="ORX48" s="76"/>
      <c r="ORY48" s="76"/>
      <c r="ORZ48" s="76"/>
      <c r="OSA48" s="76"/>
      <c r="OSB48" s="76"/>
      <c r="OSC48" s="76"/>
      <c r="OSD48" s="76"/>
      <c r="OSE48" s="76"/>
      <c r="OSF48" s="76"/>
      <c r="OSG48" s="76"/>
      <c r="OSH48" s="76"/>
      <c r="OSI48" s="76"/>
      <c r="OSJ48" s="76"/>
      <c r="OSK48" s="76"/>
      <c r="OSL48" s="76"/>
      <c r="OSM48" s="76"/>
      <c r="OSN48" s="76"/>
      <c r="OSO48" s="76"/>
      <c r="OSP48" s="76"/>
      <c r="OSQ48" s="76"/>
      <c r="OSR48" s="76"/>
      <c r="OSS48" s="76"/>
      <c r="OST48" s="76"/>
      <c r="OSU48" s="76"/>
      <c r="OSV48" s="76"/>
      <c r="OSW48" s="76"/>
      <c r="OSX48" s="76"/>
      <c r="OSY48" s="76"/>
      <c r="OSZ48" s="76"/>
      <c r="OTA48" s="76"/>
      <c r="OTB48" s="76"/>
      <c r="OTC48" s="76"/>
      <c r="OTD48" s="76"/>
      <c r="OTE48" s="76"/>
      <c r="OTF48" s="76"/>
      <c r="OTG48" s="76"/>
      <c r="OTH48" s="76"/>
      <c r="OTI48" s="76"/>
      <c r="OTJ48" s="76"/>
      <c r="OTK48" s="76"/>
      <c r="OTL48" s="76"/>
      <c r="OTM48" s="76"/>
      <c r="OTN48" s="76"/>
      <c r="OTO48" s="76"/>
      <c r="OTP48" s="76"/>
      <c r="OTQ48" s="76"/>
      <c r="OTR48" s="76"/>
      <c r="OTS48" s="76"/>
      <c r="OTT48" s="76"/>
      <c r="OTU48" s="76"/>
      <c r="OTV48" s="76"/>
      <c r="OTW48" s="76"/>
      <c r="OTX48" s="76"/>
      <c r="OTY48" s="76"/>
      <c r="OTZ48" s="76"/>
      <c r="OUA48" s="76"/>
      <c r="OUB48" s="76"/>
      <c r="OUC48" s="76"/>
      <c r="OUD48" s="76"/>
      <c r="OUE48" s="76"/>
      <c r="OUF48" s="76"/>
      <c r="OUG48" s="76"/>
      <c r="OUH48" s="76"/>
      <c r="OUI48" s="76"/>
      <c r="OUJ48" s="76"/>
      <c r="OUK48" s="76"/>
      <c r="OUL48" s="76"/>
      <c r="OUM48" s="76"/>
      <c r="OUN48" s="76"/>
      <c r="OUO48" s="76"/>
      <c r="OUP48" s="76"/>
      <c r="OUQ48" s="76"/>
      <c r="OUR48" s="76"/>
      <c r="OUS48" s="76"/>
      <c r="OUT48" s="76"/>
      <c r="OUU48" s="76"/>
      <c r="OUV48" s="76"/>
      <c r="OUW48" s="76"/>
      <c r="OUX48" s="76"/>
      <c r="OUY48" s="76"/>
      <c r="OUZ48" s="76"/>
      <c r="OVA48" s="76"/>
      <c r="OVB48" s="76"/>
      <c r="OVC48" s="76"/>
      <c r="OVD48" s="76"/>
      <c r="OVE48" s="76"/>
      <c r="OVF48" s="76"/>
      <c r="OVG48" s="76"/>
      <c r="OVH48" s="76"/>
      <c r="OVI48" s="76"/>
      <c r="OVJ48" s="76"/>
      <c r="OVK48" s="76"/>
      <c r="OVL48" s="76"/>
      <c r="OVM48" s="76"/>
      <c r="OVN48" s="76"/>
      <c r="OVO48" s="76"/>
      <c r="OVP48" s="76"/>
      <c r="OVQ48" s="76"/>
      <c r="OVR48" s="76"/>
      <c r="OVS48" s="76"/>
      <c r="OVT48" s="76"/>
      <c r="OVU48" s="76"/>
      <c r="OVV48" s="76"/>
      <c r="OVW48" s="76"/>
      <c r="OVX48" s="76"/>
      <c r="OVY48" s="76"/>
      <c r="OVZ48" s="76"/>
      <c r="OWA48" s="76"/>
      <c r="OWB48" s="76"/>
      <c r="OWC48" s="76"/>
      <c r="OWD48" s="76"/>
      <c r="OWE48" s="76"/>
      <c r="OWF48" s="76"/>
      <c r="OWG48" s="76"/>
      <c r="OWH48" s="76"/>
      <c r="OWI48" s="76"/>
      <c r="OWJ48" s="76"/>
      <c r="OWK48" s="76"/>
      <c r="OWL48" s="76"/>
      <c r="OWM48" s="76"/>
      <c r="OWN48" s="76"/>
      <c r="OWO48" s="76"/>
      <c r="OWP48" s="76"/>
      <c r="OWQ48" s="76"/>
      <c r="OWR48" s="76"/>
      <c r="OWS48" s="76"/>
      <c r="OWT48" s="76"/>
      <c r="OWU48" s="76"/>
      <c r="OWV48" s="76"/>
      <c r="OWW48" s="76"/>
      <c r="OWX48" s="76"/>
      <c r="OWY48" s="76"/>
      <c r="OWZ48" s="76"/>
      <c r="OXA48" s="76"/>
      <c r="OXB48" s="76"/>
      <c r="OXC48" s="76"/>
      <c r="OXD48" s="76"/>
      <c r="OXE48" s="76"/>
      <c r="OXF48" s="76"/>
      <c r="OXG48" s="76"/>
      <c r="OXH48" s="76"/>
      <c r="OXI48" s="76"/>
      <c r="OXJ48" s="76"/>
      <c r="OXK48" s="76"/>
      <c r="OXL48" s="76"/>
      <c r="OXM48" s="76"/>
      <c r="OXN48" s="76"/>
      <c r="OXO48" s="76"/>
      <c r="OXP48" s="76"/>
      <c r="OXQ48" s="76"/>
      <c r="OXR48" s="76"/>
      <c r="OXS48" s="76"/>
      <c r="OXT48" s="76"/>
      <c r="OXU48" s="76"/>
      <c r="OXV48" s="76"/>
      <c r="OXW48" s="76"/>
      <c r="OXX48" s="76"/>
      <c r="OXY48" s="76"/>
      <c r="OXZ48" s="76"/>
      <c r="OYA48" s="76"/>
      <c r="OYB48" s="76"/>
      <c r="OYC48" s="76"/>
      <c r="OYD48" s="76"/>
      <c r="OYE48" s="76"/>
      <c r="OYF48" s="76"/>
      <c r="OYG48" s="76"/>
      <c r="OYH48" s="76"/>
      <c r="OYI48" s="76"/>
      <c r="OYJ48" s="76"/>
      <c r="OYK48" s="76"/>
      <c r="OYL48" s="76"/>
      <c r="OYM48" s="76"/>
      <c r="OYN48" s="76"/>
      <c r="OYO48" s="76"/>
      <c r="OYP48" s="76"/>
      <c r="OYQ48" s="76"/>
      <c r="OYR48" s="76"/>
      <c r="OYS48" s="76"/>
      <c r="OYT48" s="76"/>
      <c r="OYU48" s="76"/>
      <c r="OYV48" s="76"/>
      <c r="OYW48" s="76"/>
      <c r="OYX48" s="76"/>
      <c r="OYY48" s="76"/>
      <c r="OYZ48" s="76"/>
      <c r="OZA48" s="76"/>
      <c r="OZB48" s="76"/>
      <c r="OZC48" s="76"/>
      <c r="OZD48" s="76"/>
      <c r="OZE48" s="76"/>
      <c r="OZF48" s="76"/>
      <c r="OZG48" s="76"/>
      <c r="OZH48" s="76"/>
      <c r="OZI48" s="76"/>
      <c r="OZJ48" s="76"/>
      <c r="OZK48" s="76"/>
      <c r="OZL48" s="76"/>
      <c r="OZM48" s="76"/>
      <c r="OZN48" s="76"/>
      <c r="OZO48" s="76"/>
      <c r="OZP48" s="76"/>
      <c r="OZQ48" s="76"/>
      <c r="OZR48" s="76"/>
      <c r="OZS48" s="76"/>
      <c r="OZT48" s="76"/>
      <c r="OZU48" s="76"/>
      <c r="OZV48" s="76"/>
      <c r="OZW48" s="76"/>
      <c r="OZX48" s="76"/>
      <c r="OZY48" s="76"/>
      <c r="OZZ48" s="76"/>
      <c r="PAA48" s="76"/>
      <c r="PAB48" s="76"/>
      <c r="PAC48" s="76"/>
      <c r="PAD48" s="76"/>
      <c r="PAE48" s="76"/>
      <c r="PAF48" s="76"/>
      <c r="PAG48" s="76"/>
      <c r="PAH48" s="76"/>
      <c r="PAI48" s="76"/>
      <c r="PAJ48" s="76"/>
      <c r="PAK48" s="76"/>
      <c r="PAL48" s="76"/>
      <c r="PAM48" s="76"/>
      <c r="PAN48" s="76"/>
      <c r="PAO48" s="76"/>
      <c r="PAP48" s="76"/>
      <c r="PAQ48" s="76"/>
      <c r="PAR48" s="76"/>
      <c r="PAS48" s="76"/>
      <c r="PAT48" s="76"/>
      <c r="PAU48" s="76"/>
      <c r="PAV48" s="76"/>
      <c r="PAW48" s="76"/>
      <c r="PAX48" s="76"/>
      <c r="PAY48" s="76"/>
      <c r="PAZ48" s="76"/>
      <c r="PBA48" s="76"/>
      <c r="PBB48" s="76"/>
      <c r="PBC48" s="76"/>
      <c r="PBD48" s="76"/>
      <c r="PBE48" s="76"/>
      <c r="PBF48" s="76"/>
      <c r="PBG48" s="76"/>
      <c r="PBH48" s="76"/>
      <c r="PBI48" s="76"/>
      <c r="PBJ48" s="76"/>
      <c r="PBK48" s="76"/>
      <c r="PBL48" s="76"/>
      <c r="PBM48" s="76"/>
      <c r="PBN48" s="76"/>
      <c r="PBO48" s="76"/>
      <c r="PBP48" s="76"/>
      <c r="PBQ48" s="76"/>
      <c r="PBR48" s="76"/>
      <c r="PBS48" s="76"/>
      <c r="PBT48" s="76"/>
      <c r="PBU48" s="76"/>
      <c r="PBV48" s="76"/>
      <c r="PBW48" s="76"/>
      <c r="PBX48" s="76"/>
      <c r="PBY48" s="76"/>
      <c r="PBZ48" s="76"/>
      <c r="PCA48" s="76"/>
      <c r="PCB48" s="76"/>
      <c r="PCC48" s="76"/>
      <c r="PCD48" s="76"/>
      <c r="PCE48" s="76"/>
      <c r="PCF48" s="76"/>
      <c r="PCG48" s="76"/>
      <c r="PCH48" s="76"/>
      <c r="PCI48" s="76"/>
      <c r="PCJ48" s="76"/>
      <c r="PCK48" s="76"/>
      <c r="PCL48" s="76"/>
      <c r="PCM48" s="76"/>
      <c r="PCN48" s="76"/>
      <c r="PCO48" s="76"/>
      <c r="PCP48" s="76"/>
      <c r="PCQ48" s="76"/>
      <c r="PCR48" s="76"/>
      <c r="PCS48" s="76"/>
      <c r="PCT48" s="76"/>
      <c r="PCU48" s="76"/>
      <c r="PCV48" s="76"/>
      <c r="PCW48" s="76"/>
      <c r="PCX48" s="76"/>
      <c r="PCY48" s="76"/>
      <c r="PCZ48" s="76"/>
      <c r="PDA48" s="76"/>
      <c r="PDB48" s="76"/>
      <c r="PDC48" s="76"/>
      <c r="PDD48" s="76"/>
      <c r="PDE48" s="76"/>
      <c r="PDF48" s="76"/>
      <c r="PDG48" s="76"/>
      <c r="PDH48" s="76"/>
      <c r="PDI48" s="76"/>
      <c r="PDJ48" s="76"/>
      <c r="PDK48" s="76"/>
      <c r="PDL48" s="76"/>
      <c r="PDM48" s="76"/>
      <c r="PDN48" s="76"/>
      <c r="PDO48" s="76"/>
      <c r="PDP48" s="76"/>
      <c r="PDQ48" s="76"/>
      <c r="PDR48" s="76"/>
      <c r="PDS48" s="76"/>
      <c r="PDT48" s="76"/>
      <c r="PDU48" s="76"/>
      <c r="PDV48" s="76"/>
      <c r="PDW48" s="76"/>
      <c r="PDX48" s="76"/>
      <c r="PDY48" s="76"/>
      <c r="PDZ48" s="76"/>
      <c r="PEA48" s="76"/>
      <c r="PEB48" s="76"/>
      <c r="PEC48" s="76"/>
      <c r="PED48" s="76"/>
      <c r="PEE48" s="76"/>
      <c r="PEF48" s="76"/>
      <c r="PEG48" s="76"/>
      <c r="PEH48" s="76"/>
      <c r="PEI48" s="76"/>
      <c r="PEJ48" s="76"/>
      <c r="PEK48" s="76"/>
      <c r="PEL48" s="76"/>
      <c r="PEM48" s="76"/>
      <c r="PEN48" s="76"/>
      <c r="PEO48" s="76"/>
      <c r="PEP48" s="76"/>
      <c r="PEQ48" s="76"/>
      <c r="PER48" s="76"/>
      <c r="PES48" s="76"/>
      <c r="PET48" s="76"/>
      <c r="PEU48" s="76"/>
      <c r="PEV48" s="76"/>
      <c r="PEW48" s="76"/>
      <c r="PEX48" s="76"/>
      <c r="PEY48" s="76"/>
      <c r="PEZ48" s="76"/>
      <c r="PFA48" s="76"/>
      <c r="PFB48" s="76"/>
      <c r="PFC48" s="76"/>
      <c r="PFD48" s="76"/>
      <c r="PFE48" s="76"/>
      <c r="PFF48" s="76"/>
      <c r="PFG48" s="76"/>
      <c r="PFH48" s="76"/>
      <c r="PFI48" s="76"/>
      <c r="PFJ48" s="76"/>
      <c r="PFK48" s="76"/>
      <c r="PFL48" s="76"/>
      <c r="PFM48" s="76"/>
      <c r="PFN48" s="76"/>
      <c r="PFO48" s="76"/>
      <c r="PFP48" s="76"/>
      <c r="PFQ48" s="76"/>
      <c r="PFR48" s="76"/>
      <c r="PFS48" s="76"/>
      <c r="PFT48" s="76"/>
      <c r="PFU48" s="76"/>
      <c r="PFV48" s="76"/>
      <c r="PFW48" s="76"/>
      <c r="PFX48" s="76"/>
      <c r="PFY48" s="76"/>
      <c r="PFZ48" s="76"/>
      <c r="PGA48" s="76"/>
      <c r="PGB48" s="76"/>
      <c r="PGC48" s="76"/>
      <c r="PGD48" s="76"/>
      <c r="PGE48" s="76"/>
      <c r="PGF48" s="76"/>
      <c r="PGG48" s="76"/>
      <c r="PGH48" s="76"/>
      <c r="PGI48" s="76"/>
      <c r="PGJ48" s="76"/>
      <c r="PGK48" s="76"/>
      <c r="PGL48" s="76"/>
      <c r="PGM48" s="76"/>
      <c r="PGN48" s="76"/>
      <c r="PGO48" s="76"/>
      <c r="PGP48" s="76"/>
      <c r="PGQ48" s="76"/>
      <c r="PGR48" s="76"/>
      <c r="PGS48" s="76"/>
      <c r="PGT48" s="76"/>
      <c r="PGU48" s="76"/>
      <c r="PGV48" s="76"/>
      <c r="PGW48" s="76"/>
      <c r="PGX48" s="76"/>
      <c r="PGY48" s="76"/>
      <c r="PGZ48" s="76"/>
      <c r="PHA48" s="76"/>
      <c r="PHB48" s="76"/>
      <c r="PHC48" s="76"/>
      <c r="PHD48" s="76"/>
      <c r="PHE48" s="76"/>
      <c r="PHF48" s="76"/>
      <c r="PHG48" s="76"/>
      <c r="PHH48" s="76"/>
      <c r="PHI48" s="76"/>
      <c r="PHJ48" s="76"/>
      <c r="PHK48" s="76"/>
      <c r="PHL48" s="76"/>
      <c r="PHM48" s="76"/>
      <c r="PHN48" s="76"/>
      <c r="PHO48" s="76"/>
      <c r="PHP48" s="76"/>
      <c r="PHQ48" s="76"/>
      <c r="PHR48" s="76"/>
      <c r="PHS48" s="76"/>
      <c r="PHT48" s="76"/>
      <c r="PHU48" s="76"/>
      <c r="PHV48" s="76"/>
      <c r="PHW48" s="76"/>
      <c r="PHX48" s="76"/>
      <c r="PHY48" s="76"/>
      <c r="PHZ48" s="76"/>
      <c r="PIA48" s="76"/>
      <c r="PIB48" s="76"/>
      <c r="PIC48" s="76"/>
      <c r="PID48" s="76"/>
      <c r="PIE48" s="76"/>
      <c r="PIF48" s="76"/>
      <c r="PIG48" s="76"/>
      <c r="PIH48" s="76"/>
      <c r="PII48" s="76"/>
      <c r="PIJ48" s="76"/>
      <c r="PIK48" s="76"/>
      <c r="PIL48" s="76"/>
      <c r="PIM48" s="76"/>
      <c r="PIN48" s="76"/>
      <c r="PIO48" s="76"/>
      <c r="PIP48" s="76"/>
      <c r="PIQ48" s="76"/>
      <c r="PIR48" s="76"/>
      <c r="PIS48" s="76"/>
      <c r="PIT48" s="76"/>
      <c r="PIU48" s="76"/>
      <c r="PIV48" s="76"/>
      <c r="PIW48" s="76"/>
      <c r="PIX48" s="76"/>
      <c r="PIY48" s="76"/>
      <c r="PIZ48" s="76"/>
      <c r="PJA48" s="76"/>
      <c r="PJB48" s="76"/>
      <c r="PJC48" s="76"/>
      <c r="PJD48" s="76"/>
      <c r="PJE48" s="76"/>
      <c r="PJF48" s="76"/>
      <c r="PJG48" s="76"/>
      <c r="PJH48" s="76"/>
      <c r="PJI48" s="76"/>
      <c r="PJJ48" s="76"/>
      <c r="PJK48" s="76"/>
      <c r="PJL48" s="76"/>
      <c r="PJM48" s="76"/>
      <c r="PJN48" s="76"/>
      <c r="PJO48" s="76"/>
      <c r="PJP48" s="76"/>
      <c r="PJQ48" s="76"/>
      <c r="PJR48" s="76"/>
      <c r="PJS48" s="76"/>
      <c r="PJT48" s="76"/>
      <c r="PJU48" s="76"/>
      <c r="PJV48" s="76"/>
      <c r="PJW48" s="76"/>
      <c r="PJX48" s="76"/>
      <c r="PJY48" s="76"/>
      <c r="PJZ48" s="76"/>
      <c r="PKA48" s="76"/>
      <c r="PKB48" s="76"/>
      <c r="PKC48" s="76"/>
      <c r="PKD48" s="76"/>
      <c r="PKE48" s="76"/>
      <c r="PKF48" s="76"/>
      <c r="PKG48" s="76"/>
      <c r="PKH48" s="76"/>
      <c r="PKI48" s="76"/>
      <c r="PKJ48" s="76"/>
      <c r="PKK48" s="76"/>
      <c r="PKL48" s="76"/>
      <c r="PKM48" s="76"/>
      <c r="PKN48" s="76"/>
      <c r="PKO48" s="76"/>
      <c r="PKP48" s="76"/>
      <c r="PKQ48" s="76"/>
      <c r="PKR48" s="76"/>
      <c r="PKS48" s="76"/>
      <c r="PKT48" s="76"/>
      <c r="PKU48" s="76"/>
      <c r="PKV48" s="76"/>
      <c r="PKW48" s="76"/>
      <c r="PKX48" s="76"/>
      <c r="PKY48" s="76"/>
      <c r="PKZ48" s="76"/>
      <c r="PLA48" s="76"/>
      <c r="PLB48" s="76"/>
      <c r="PLC48" s="76"/>
      <c r="PLD48" s="76"/>
      <c r="PLE48" s="76"/>
      <c r="PLF48" s="76"/>
      <c r="PLG48" s="76"/>
      <c r="PLH48" s="76"/>
      <c r="PLI48" s="76"/>
      <c r="PLJ48" s="76"/>
      <c r="PLK48" s="76"/>
      <c r="PLL48" s="76"/>
      <c r="PLM48" s="76"/>
      <c r="PLN48" s="76"/>
      <c r="PLO48" s="76"/>
      <c r="PLP48" s="76"/>
      <c r="PLQ48" s="76"/>
      <c r="PLR48" s="76"/>
      <c r="PLS48" s="76"/>
      <c r="PLT48" s="76"/>
      <c r="PLU48" s="76"/>
      <c r="PLV48" s="76"/>
      <c r="PLW48" s="76"/>
      <c r="PLX48" s="76"/>
      <c r="PLY48" s="76"/>
      <c r="PLZ48" s="76"/>
      <c r="PMA48" s="76"/>
      <c r="PMB48" s="76"/>
      <c r="PMC48" s="76"/>
      <c r="PMD48" s="76"/>
      <c r="PME48" s="76"/>
      <c r="PMF48" s="76"/>
      <c r="PMG48" s="76"/>
      <c r="PMH48" s="76"/>
      <c r="PMI48" s="76"/>
      <c r="PMJ48" s="76"/>
      <c r="PMK48" s="76"/>
      <c r="PML48" s="76"/>
      <c r="PMM48" s="76"/>
      <c r="PMN48" s="76"/>
      <c r="PMO48" s="76"/>
      <c r="PMP48" s="76"/>
      <c r="PMQ48" s="76"/>
      <c r="PMR48" s="76"/>
      <c r="PMS48" s="76"/>
      <c r="PMT48" s="76"/>
      <c r="PMU48" s="76"/>
      <c r="PMV48" s="76"/>
      <c r="PMW48" s="76"/>
      <c r="PMX48" s="76"/>
      <c r="PMY48" s="76"/>
      <c r="PMZ48" s="76"/>
      <c r="PNA48" s="76"/>
      <c r="PNB48" s="76"/>
      <c r="PNC48" s="76"/>
      <c r="PND48" s="76"/>
      <c r="PNE48" s="76"/>
      <c r="PNF48" s="76"/>
      <c r="PNG48" s="76"/>
      <c r="PNH48" s="76"/>
      <c r="PNI48" s="76"/>
      <c r="PNJ48" s="76"/>
      <c r="PNK48" s="76"/>
      <c r="PNL48" s="76"/>
      <c r="PNM48" s="76"/>
      <c r="PNN48" s="76"/>
      <c r="PNO48" s="76"/>
      <c r="PNP48" s="76"/>
      <c r="PNQ48" s="76"/>
      <c r="PNR48" s="76"/>
      <c r="PNS48" s="76"/>
      <c r="PNT48" s="76"/>
      <c r="PNU48" s="76"/>
      <c r="PNV48" s="76"/>
      <c r="PNW48" s="76"/>
      <c r="PNX48" s="76"/>
      <c r="PNY48" s="76"/>
      <c r="PNZ48" s="76"/>
      <c r="POA48" s="76"/>
      <c r="POB48" s="76"/>
      <c r="POC48" s="76"/>
      <c r="POD48" s="76"/>
      <c r="POE48" s="76"/>
      <c r="POF48" s="76"/>
      <c r="POG48" s="76"/>
      <c r="POH48" s="76"/>
      <c r="POI48" s="76"/>
      <c r="POJ48" s="76"/>
      <c r="POK48" s="76"/>
      <c r="POL48" s="76"/>
      <c r="POM48" s="76"/>
      <c r="PON48" s="76"/>
      <c r="POO48" s="76"/>
      <c r="POP48" s="76"/>
      <c r="POQ48" s="76"/>
      <c r="POR48" s="76"/>
      <c r="POS48" s="76"/>
      <c r="POT48" s="76"/>
      <c r="POU48" s="76"/>
      <c r="POV48" s="76"/>
      <c r="POW48" s="76"/>
      <c r="POX48" s="76"/>
      <c r="POY48" s="76"/>
      <c r="POZ48" s="76"/>
      <c r="PPA48" s="76"/>
      <c r="PPB48" s="76"/>
      <c r="PPC48" s="76"/>
      <c r="PPD48" s="76"/>
      <c r="PPE48" s="76"/>
      <c r="PPF48" s="76"/>
      <c r="PPG48" s="76"/>
      <c r="PPH48" s="76"/>
      <c r="PPI48" s="76"/>
      <c r="PPJ48" s="76"/>
      <c r="PPK48" s="76"/>
      <c r="PPL48" s="76"/>
      <c r="PPM48" s="76"/>
      <c r="PPN48" s="76"/>
      <c r="PPO48" s="76"/>
      <c r="PPP48" s="76"/>
      <c r="PPQ48" s="76"/>
      <c r="PPR48" s="76"/>
      <c r="PPS48" s="76"/>
      <c r="PPT48" s="76"/>
      <c r="PPU48" s="76"/>
      <c r="PPV48" s="76"/>
      <c r="PPW48" s="76"/>
      <c r="PPX48" s="76"/>
      <c r="PPY48" s="76"/>
      <c r="PPZ48" s="76"/>
      <c r="PQA48" s="76"/>
      <c r="PQB48" s="76"/>
      <c r="PQC48" s="76"/>
      <c r="PQD48" s="76"/>
      <c r="PQE48" s="76"/>
      <c r="PQF48" s="76"/>
      <c r="PQG48" s="76"/>
      <c r="PQH48" s="76"/>
      <c r="PQI48" s="76"/>
      <c r="PQJ48" s="76"/>
      <c r="PQK48" s="76"/>
      <c r="PQL48" s="76"/>
      <c r="PQM48" s="76"/>
      <c r="PQN48" s="76"/>
      <c r="PQO48" s="76"/>
      <c r="PQP48" s="76"/>
      <c r="PQQ48" s="76"/>
      <c r="PQR48" s="76"/>
      <c r="PQS48" s="76"/>
      <c r="PQT48" s="76"/>
      <c r="PQU48" s="76"/>
      <c r="PQV48" s="76"/>
      <c r="PQW48" s="76"/>
      <c r="PQX48" s="76"/>
      <c r="PQY48" s="76"/>
      <c r="PQZ48" s="76"/>
      <c r="PRA48" s="76"/>
      <c r="PRB48" s="76"/>
      <c r="PRC48" s="76"/>
      <c r="PRD48" s="76"/>
      <c r="PRE48" s="76"/>
      <c r="PRF48" s="76"/>
      <c r="PRG48" s="76"/>
      <c r="PRH48" s="76"/>
      <c r="PRI48" s="76"/>
      <c r="PRJ48" s="76"/>
      <c r="PRK48" s="76"/>
      <c r="PRL48" s="76"/>
      <c r="PRM48" s="76"/>
      <c r="PRN48" s="76"/>
      <c r="PRO48" s="76"/>
      <c r="PRP48" s="76"/>
      <c r="PRQ48" s="76"/>
      <c r="PRR48" s="76"/>
      <c r="PRS48" s="76"/>
      <c r="PRT48" s="76"/>
      <c r="PRU48" s="76"/>
      <c r="PRV48" s="76"/>
      <c r="PRW48" s="76"/>
      <c r="PRX48" s="76"/>
      <c r="PRY48" s="76"/>
      <c r="PRZ48" s="76"/>
      <c r="PSA48" s="76"/>
      <c r="PSB48" s="76"/>
      <c r="PSC48" s="76"/>
      <c r="PSD48" s="76"/>
      <c r="PSE48" s="76"/>
      <c r="PSF48" s="76"/>
      <c r="PSG48" s="76"/>
      <c r="PSH48" s="76"/>
      <c r="PSI48" s="76"/>
      <c r="PSJ48" s="76"/>
      <c r="PSK48" s="76"/>
      <c r="PSL48" s="76"/>
      <c r="PSM48" s="76"/>
      <c r="PSN48" s="76"/>
      <c r="PSO48" s="76"/>
      <c r="PSP48" s="76"/>
      <c r="PSQ48" s="76"/>
      <c r="PSR48" s="76"/>
      <c r="PSS48" s="76"/>
      <c r="PST48" s="76"/>
      <c r="PSU48" s="76"/>
      <c r="PSV48" s="76"/>
      <c r="PSW48" s="76"/>
      <c r="PSX48" s="76"/>
      <c r="PSY48" s="76"/>
      <c r="PSZ48" s="76"/>
      <c r="PTA48" s="76"/>
      <c r="PTB48" s="76"/>
      <c r="PTC48" s="76"/>
      <c r="PTD48" s="76"/>
      <c r="PTE48" s="76"/>
      <c r="PTF48" s="76"/>
      <c r="PTG48" s="76"/>
      <c r="PTH48" s="76"/>
      <c r="PTI48" s="76"/>
      <c r="PTJ48" s="76"/>
      <c r="PTK48" s="76"/>
      <c r="PTL48" s="76"/>
      <c r="PTM48" s="76"/>
      <c r="PTN48" s="76"/>
      <c r="PTO48" s="76"/>
      <c r="PTP48" s="76"/>
      <c r="PTQ48" s="76"/>
      <c r="PTR48" s="76"/>
      <c r="PTS48" s="76"/>
      <c r="PTT48" s="76"/>
      <c r="PTU48" s="76"/>
      <c r="PTV48" s="76"/>
      <c r="PTW48" s="76"/>
      <c r="PTX48" s="76"/>
      <c r="PTY48" s="76"/>
      <c r="PTZ48" s="76"/>
      <c r="PUA48" s="76"/>
      <c r="PUB48" s="76"/>
      <c r="PUC48" s="76"/>
      <c r="PUD48" s="76"/>
      <c r="PUE48" s="76"/>
      <c r="PUF48" s="76"/>
      <c r="PUG48" s="76"/>
      <c r="PUH48" s="76"/>
      <c r="PUI48" s="76"/>
      <c r="PUJ48" s="76"/>
      <c r="PUK48" s="76"/>
      <c r="PUL48" s="76"/>
      <c r="PUM48" s="76"/>
      <c r="PUN48" s="76"/>
      <c r="PUO48" s="76"/>
      <c r="PUP48" s="76"/>
      <c r="PUQ48" s="76"/>
      <c r="PUR48" s="76"/>
      <c r="PUS48" s="76"/>
      <c r="PUT48" s="76"/>
      <c r="PUU48" s="76"/>
      <c r="PUV48" s="76"/>
      <c r="PUW48" s="76"/>
      <c r="PUX48" s="76"/>
      <c r="PUY48" s="76"/>
      <c r="PUZ48" s="76"/>
      <c r="PVA48" s="76"/>
      <c r="PVB48" s="76"/>
      <c r="PVC48" s="76"/>
      <c r="PVD48" s="76"/>
      <c r="PVE48" s="76"/>
      <c r="PVF48" s="76"/>
      <c r="PVG48" s="76"/>
      <c r="PVH48" s="76"/>
      <c r="PVI48" s="76"/>
      <c r="PVJ48" s="76"/>
      <c r="PVK48" s="76"/>
      <c r="PVL48" s="76"/>
      <c r="PVM48" s="76"/>
      <c r="PVN48" s="76"/>
      <c r="PVO48" s="76"/>
      <c r="PVP48" s="76"/>
      <c r="PVQ48" s="76"/>
      <c r="PVR48" s="76"/>
      <c r="PVS48" s="76"/>
      <c r="PVT48" s="76"/>
      <c r="PVU48" s="76"/>
      <c r="PVV48" s="76"/>
      <c r="PVW48" s="76"/>
      <c r="PVX48" s="76"/>
      <c r="PVY48" s="76"/>
      <c r="PVZ48" s="76"/>
      <c r="PWA48" s="76"/>
      <c r="PWB48" s="76"/>
      <c r="PWC48" s="76"/>
      <c r="PWD48" s="76"/>
      <c r="PWE48" s="76"/>
      <c r="PWF48" s="76"/>
      <c r="PWG48" s="76"/>
      <c r="PWH48" s="76"/>
      <c r="PWI48" s="76"/>
      <c r="PWJ48" s="76"/>
      <c r="PWK48" s="76"/>
      <c r="PWL48" s="76"/>
      <c r="PWM48" s="76"/>
      <c r="PWN48" s="76"/>
      <c r="PWO48" s="76"/>
      <c r="PWP48" s="76"/>
      <c r="PWQ48" s="76"/>
      <c r="PWR48" s="76"/>
      <c r="PWS48" s="76"/>
      <c r="PWT48" s="76"/>
      <c r="PWU48" s="76"/>
      <c r="PWV48" s="76"/>
      <c r="PWW48" s="76"/>
      <c r="PWX48" s="76"/>
      <c r="PWY48" s="76"/>
      <c r="PWZ48" s="76"/>
      <c r="PXA48" s="76"/>
      <c r="PXB48" s="76"/>
      <c r="PXC48" s="76"/>
      <c r="PXD48" s="76"/>
      <c r="PXE48" s="76"/>
      <c r="PXF48" s="76"/>
      <c r="PXG48" s="76"/>
      <c r="PXH48" s="76"/>
      <c r="PXI48" s="76"/>
      <c r="PXJ48" s="76"/>
      <c r="PXK48" s="76"/>
      <c r="PXL48" s="76"/>
      <c r="PXM48" s="76"/>
      <c r="PXN48" s="76"/>
      <c r="PXO48" s="76"/>
      <c r="PXP48" s="76"/>
      <c r="PXQ48" s="76"/>
      <c r="PXR48" s="76"/>
      <c r="PXS48" s="76"/>
      <c r="PXT48" s="76"/>
      <c r="PXU48" s="76"/>
      <c r="PXV48" s="76"/>
      <c r="PXW48" s="76"/>
      <c r="PXX48" s="76"/>
      <c r="PXY48" s="76"/>
      <c r="PXZ48" s="76"/>
      <c r="PYA48" s="76"/>
      <c r="PYB48" s="76"/>
      <c r="PYC48" s="76"/>
      <c r="PYD48" s="76"/>
      <c r="PYE48" s="76"/>
      <c r="PYF48" s="76"/>
      <c r="PYG48" s="76"/>
      <c r="PYH48" s="76"/>
      <c r="PYI48" s="76"/>
      <c r="PYJ48" s="76"/>
      <c r="PYK48" s="76"/>
      <c r="PYL48" s="76"/>
      <c r="PYM48" s="76"/>
      <c r="PYN48" s="76"/>
      <c r="PYO48" s="76"/>
      <c r="PYP48" s="76"/>
      <c r="PYQ48" s="76"/>
      <c r="PYR48" s="76"/>
      <c r="PYS48" s="76"/>
      <c r="PYT48" s="76"/>
      <c r="PYU48" s="76"/>
      <c r="PYV48" s="76"/>
      <c r="PYW48" s="76"/>
      <c r="PYX48" s="76"/>
      <c r="PYY48" s="76"/>
      <c r="PYZ48" s="76"/>
      <c r="PZA48" s="76"/>
      <c r="PZB48" s="76"/>
      <c r="PZC48" s="76"/>
      <c r="PZD48" s="76"/>
      <c r="PZE48" s="76"/>
      <c r="PZF48" s="76"/>
      <c r="PZG48" s="76"/>
      <c r="PZH48" s="76"/>
      <c r="PZI48" s="76"/>
      <c r="PZJ48" s="76"/>
      <c r="PZK48" s="76"/>
      <c r="PZL48" s="76"/>
      <c r="PZM48" s="76"/>
      <c r="PZN48" s="76"/>
      <c r="PZO48" s="76"/>
      <c r="PZP48" s="76"/>
      <c r="PZQ48" s="76"/>
      <c r="PZR48" s="76"/>
      <c r="PZS48" s="76"/>
      <c r="PZT48" s="76"/>
      <c r="PZU48" s="76"/>
      <c r="PZV48" s="76"/>
      <c r="PZW48" s="76"/>
      <c r="PZX48" s="76"/>
      <c r="PZY48" s="76"/>
      <c r="PZZ48" s="76"/>
      <c r="QAA48" s="76"/>
      <c r="QAB48" s="76"/>
      <c r="QAC48" s="76"/>
      <c r="QAD48" s="76"/>
      <c r="QAE48" s="76"/>
      <c r="QAF48" s="76"/>
      <c r="QAG48" s="76"/>
      <c r="QAH48" s="76"/>
      <c r="QAI48" s="76"/>
      <c r="QAJ48" s="76"/>
      <c r="QAK48" s="76"/>
      <c r="QAL48" s="76"/>
      <c r="QAM48" s="76"/>
      <c r="QAN48" s="76"/>
      <c r="QAO48" s="76"/>
      <c r="QAP48" s="76"/>
      <c r="QAQ48" s="76"/>
      <c r="QAR48" s="76"/>
      <c r="QAS48" s="76"/>
      <c r="QAT48" s="76"/>
      <c r="QAU48" s="76"/>
      <c r="QAV48" s="76"/>
      <c r="QAW48" s="76"/>
      <c r="QAX48" s="76"/>
      <c r="QAY48" s="76"/>
      <c r="QAZ48" s="76"/>
      <c r="QBA48" s="76"/>
      <c r="QBB48" s="76"/>
      <c r="QBC48" s="76"/>
      <c r="QBD48" s="76"/>
      <c r="QBE48" s="76"/>
      <c r="QBF48" s="76"/>
      <c r="QBG48" s="76"/>
      <c r="QBH48" s="76"/>
      <c r="QBI48" s="76"/>
      <c r="QBJ48" s="76"/>
      <c r="QBK48" s="76"/>
      <c r="QBL48" s="76"/>
      <c r="QBM48" s="76"/>
      <c r="QBN48" s="76"/>
      <c r="QBO48" s="76"/>
      <c r="QBP48" s="76"/>
      <c r="QBQ48" s="76"/>
      <c r="QBR48" s="76"/>
      <c r="QBS48" s="76"/>
      <c r="QBT48" s="76"/>
      <c r="QBU48" s="76"/>
      <c r="QBV48" s="76"/>
      <c r="QBW48" s="76"/>
      <c r="QBX48" s="76"/>
      <c r="QBY48" s="76"/>
      <c r="QBZ48" s="76"/>
      <c r="QCA48" s="76"/>
      <c r="QCB48" s="76"/>
      <c r="QCC48" s="76"/>
      <c r="QCD48" s="76"/>
      <c r="QCE48" s="76"/>
      <c r="QCF48" s="76"/>
      <c r="QCG48" s="76"/>
      <c r="QCH48" s="76"/>
      <c r="QCI48" s="76"/>
      <c r="QCJ48" s="76"/>
      <c r="QCK48" s="76"/>
      <c r="QCL48" s="76"/>
      <c r="QCM48" s="76"/>
      <c r="QCN48" s="76"/>
      <c r="QCO48" s="76"/>
      <c r="QCP48" s="76"/>
      <c r="QCQ48" s="76"/>
      <c r="QCR48" s="76"/>
      <c r="QCS48" s="76"/>
      <c r="QCT48" s="76"/>
      <c r="QCU48" s="76"/>
      <c r="QCV48" s="76"/>
      <c r="QCW48" s="76"/>
      <c r="QCX48" s="76"/>
      <c r="QCY48" s="76"/>
      <c r="QCZ48" s="76"/>
      <c r="QDA48" s="76"/>
      <c r="QDB48" s="76"/>
      <c r="QDC48" s="76"/>
      <c r="QDD48" s="76"/>
      <c r="QDE48" s="76"/>
      <c r="QDF48" s="76"/>
      <c r="QDG48" s="76"/>
      <c r="QDH48" s="76"/>
      <c r="QDI48" s="76"/>
      <c r="QDJ48" s="76"/>
      <c r="QDK48" s="76"/>
      <c r="QDL48" s="76"/>
      <c r="QDM48" s="76"/>
      <c r="QDN48" s="76"/>
      <c r="QDO48" s="76"/>
      <c r="QDP48" s="76"/>
      <c r="QDQ48" s="76"/>
      <c r="QDR48" s="76"/>
      <c r="QDS48" s="76"/>
      <c r="QDT48" s="76"/>
      <c r="QDU48" s="76"/>
      <c r="QDV48" s="76"/>
      <c r="QDW48" s="76"/>
      <c r="QDX48" s="76"/>
      <c r="QDY48" s="76"/>
      <c r="QDZ48" s="76"/>
      <c r="QEA48" s="76"/>
      <c r="QEB48" s="76"/>
      <c r="QEC48" s="76"/>
      <c r="QED48" s="76"/>
      <c r="QEE48" s="76"/>
      <c r="QEF48" s="76"/>
      <c r="QEG48" s="76"/>
      <c r="QEH48" s="76"/>
      <c r="QEI48" s="76"/>
      <c r="QEJ48" s="76"/>
      <c r="QEK48" s="76"/>
      <c r="QEL48" s="76"/>
      <c r="QEM48" s="76"/>
      <c r="QEN48" s="76"/>
      <c r="QEO48" s="76"/>
      <c r="QEP48" s="76"/>
      <c r="QEQ48" s="76"/>
      <c r="QER48" s="76"/>
      <c r="QES48" s="76"/>
      <c r="QET48" s="76"/>
      <c r="QEU48" s="76"/>
      <c r="QEV48" s="76"/>
      <c r="QEW48" s="76"/>
      <c r="QEX48" s="76"/>
      <c r="QEY48" s="76"/>
      <c r="QEZ48" s="76"/>
      <c r="QFA48" s="76"/>
      <c r="QFB48" s="76"/>
      <c r="QFC48" s="76"/>
      <c r="QFD48" s="76"/>
      <c r="QFE48" s="76"/>
      <c r="QFF48" s="76"/>
      <c r="QFG48" s="76"/>
      <c r="QFH48" s="76"/>
      <c r="QFI48" s="76"/>
      <c r="QFJ48" s="76"/>
      <c r="QFK48" s="76"/>
      <c r="QFL48" s="76"/>
      <c r="QFM48" s="76"/>
      <c r="QFN48" s="76"/>
      <c r="QFO48" s="76"/>
      <c r="QFP48" s="76"/>
      <c r="QFQ48" s="76"/>
      <c r="QFR48" s="76"/>
      <c r="QFS48" s="76"/>
      <c r="QFT48" s="76"/>
      <c r="QFU48" s="76"/>
      <c r="QFV48" s="76"/>
      <c r="QFW48" s="76"/>
      <c r="QFX48" s="76"/>
      <c r="QFY48" s="76"/>
      <c r="QFZ48" s="76"/>
      <c r="QGA48" s="76"/>
      <c r="QGB48" s="76"/>
      <c r="QGC48" s="76"/>
      <c r="QGD48" s="76"/>
      <c r="QGE48" s="76"/>
      <c r="QGF48" s="76"/>
      <c r="QGG48" s="76"/>
      <c r="QGH48" s="76"/>
      <c r="QGI48" s="76"/>
      <c r="QGJ48" s="76"/>
      <c r="QGK48" s="76"/>
      <c r="QGL48" s="76"/>
      <c r="QGM48" s="76"/>
      <c r="QGN48" s="76"/>
      <c r="QGO48" s="76"/>
      <c r="QGP48" s="76"/>
      <c r="QGQ48" s="76"/>
      <c r="QGR48" s="76"/>
      <c r="QGS48" s="76"/>
      <c r="QGT48" s="76"/>
      <c r="QGU48" s="76"/>
      <c r="QGV48" s="76"/>
      <c r="QGW48" s="76"/>
      <c r="QGX48" s="76"/>
      <c r="QGY48" s="76"/>
      <c r="QGZ48" s="76"/>
      <c r="QHA48" s="76"/>
      <c r="QHB48" s="76"/>
      <c r="QHC48" s="76"/>
      <c r="QHD48" s="76"/>
      <c r="QHE48" s="76"/>
      <c r="QHF48" s="76"/>
      <c r="QHG48" s="76"/>
      <c r="QHH48" s="76"/>
      <c r="QHI48" s="76"/>
      <c r="QHJ48" s="76"/>
      <c r="QHK48" s="76"/>
      <c r="QHL48" s="76"/>
      <c r="QHM48" s="76"/>
      <c r="QHN48" s="76"/>
      <c r="QHO48" s="76"/>
      <c r="QHP48" s="76"/>
      <c r="QHQ48" s="76"/>
      <c r="QHR48" s="76"/>
      <c r="QHS48" s="76"/>
      <c r="QHT48" s="76"/>
      <c r="QHU48" s="76"/>
      <c r="QHV48" s="76"/>
      <c r="QHW48" s="76"/>
      <c r="QHX48" s="76"/>
      <c r="QHY48" s="76"/>
      <c r="QHZ48" s="76"/>
      <c r="QIA48" s="76"/>
      <c r="QIB48" s="76"/>
      <c r="QIC48" s="76"/>
      <c r="QID48" s="76"/>
      <c r="QIE48" s="76"/>
      <c r="QIF48" s="76"/>
      <c r="QIG48" s="76"/>
      <c r="QIH48" s="76"/>
      <c r="QII48" s="76"/>
      <c r="QIJ48" s="76"/>
      <c r="QIK48" s="76"/>
      <c r="QIL48" s="76"/>
      <c r="QIM48" s="76"/>
      <c r="QIN48" s="76"/>
      <c r="QIO48" s="76"/>
      <c r="QIP48" s="76"/>
      <c r="QIQ48" s="76"/>
      <c r="QIR48" s="76"/>
      <c r="QIS48" s="76"/>
      <c r="QIT48" s="76"/>
      <c r="QIU48" s="76"/>
      <c r="QIV48" s="76"/>
      <c r="QIW48" s="76"/>
      <c r="QIX48" s="76"/>
      <c r="QIY48" s="76"/>
      <c r="QIZ48" s="76"/>
      <c r="QJA48" s="76"/>
      <c r="QJB48" s="76"/>
      <c r="QJC48" s="76"/>
      <c r="QJD48" s="76"/>
      <c r="QJE48" s="76"/>
      <c r="QJF48" s="76"/>
      <c r="QJG48" s="76"/>
      <c r="QJH48" s="76"/>
      <c r="QJI48" s="76"/>
      <c r="QJJ48" s="76"/>
      <c r="QJK48" s="76"/>
      <c r="QJL48" s="76"/>
      <c r="QJM48" s="76"/>
      <c r="QJN48" s="76"/>
      <c r="QJO48" s="76"/>
      <c r="QJP48" s="76"/>
      <c r="QJQ48" s="76"/>
      <c r="QJR48" s="76"/>
      <c r="QJS48" s="76"/>
      <c r="QJT48" s="76"/>
      <c r="QJU48" s="76"/>
      <c r="QJV48" s="76"/>
      <c r="QJW48" s="76"/>
      <c r="QJX48" s="76"/>
      <c r="QJY48" s="76"/>
      <c r="QJZ48" s="76"/>
      <c r="QKA48" s="76"/>
      <c r="QKB48" s="76"/>
      <c r="QKC48" s="76"/>
      <c r="QKD48" s="76"/>
      <c r="QKE48" s="76"/>
      <c r="QKF48" s="76"/>
      <c r="QKG48" s="76"/>
      <c r="QKH48" s="76"/>
      <c r="QKI48" s="76"/>
      <c r="QKJ48" s="76"/>
      <c r="QKK48" s="76"/>
      <c r="QKL48" s="76"/>
      <c r="QKM48" s="76"/>
      <c r="QKN48" s="76"/>
      <c r="QKO48" s="76"/>
      <c r="QKP48" s="76"/>
      <c r="QKQ48" s="76"/>
      <c r="QKR48" s="76"/>
      <c r="QKS48" s="76"/>
      <c r="QKT48" s="76"/>
      <c r="QKU48" s="76"/>
      <c r="QKV48" s="76"/>
      <c r="QKW48" s="76"/>
      <c r="QKX48" s="76"/>
      <c r="QKY48" s="76"/>
      <c r="QKZ48" s="76"/>
      <c r="QLA48" s="76"/>
      <c r="QLB48" s="76"/>
      <c r="QLC48" s="76"/>
      <c r="QLD48" s="76"/>
      <c r="QLE48" s="76"/>
      <c r="QLF48" s="76"/>
      <c r="QLG48" s="76"/>
      <c r="QLH48" s="76"/>
      <c r="QLI48" s="76"/>
      <c r="QLJ48" s="76"/>
      <c r="QLK48" s="76"/>
      <c r="QLL48" s="76"/>
      <c r="QLM48" s="76"/>
      <c r="QLN48" s="76"/>
      <c r="QLO48" s="76"/>
      <c r="QLP48" s="76"/>
      <c r="QLQ48" s="76"/>
      <c r="QLR48" s="76"/>
      <c r="QLS48" s="76"/>
      <c r="QLT48" s="76"/>
      <c r="QLU48" s="76"/>
      <c r="QLV48" s="76"/>
      <c r="QLW48" s="76"/>
      <c r="QLX48" s="76"/>
      <c r="QLY48" s="76"/>
      <c r="QLZ48" s="76"/>
      <c r="QMA48" s="76"/>
      <c r="QMB48" s="76"/>
      <c r="QMC48" s="76"/>
      <c r="QMD48" s="76"/>
      <c r="QME48" s="76"/>
      <c r="QMF48" s="76"/>
      <c r="QMG48" s="76"/>
      <c r="QMH48" s="76"/>
      <c r="QMI48" s="76"/>
      <c r="QMJ48" s="76"/>
      <c r="QMK48" s="76"/>
      <c r="QML48" s="76"/>
      <c r="QMM48" s="76"/>
      <c r="QMN48" s="76"/>
      <c r="QMO48" s="76"/>
      <c r="QMP48" s="76"/>
      <c r="QMQ48" s="76"/>
      <c r="QMR48" s="76"/>
      <c r="QMS48" s="76"/>
      <c r="QMT48" s="76"/>
      <c r="QMU48" s="76"/>
      <c r="QMV48" s="76"/>
      <c r="QMW48" s="76"/>
      <c r="QMX48" s="76"/>
      <c r="QMY48" s="76"/>
      <c r="QMZ48" s="76"/>
      <c r="QNA48" s="76"/>
      <c r="QNB48" s="76"/>
      <c r="QNC48" s="76"/>
      <c r="QND48" s="76"/>
      <c r="QNE48" s="76"/>
      <c r="QNF48" s="76"/>
      <c r="QNG48" s="76"/>
      <c r="QNH48" s="76"/>
      <c r="QNI48" s="76"/>
      <c r="QNJ48" s="76"/>
      <c r="QNK48" s="76"/>
      <c r="QNL48" s="76"/>
      <c r="QNM48" s="76"/>
      <c r="QNN48" s="76"/>
      <c r="QNO48" s="76"/>
      <c r="QNP48" s="76"/>
      <c r="QNQ48" s="76"/>
      <c r="QNR48" s="76"/>
      <c r="QNS48" s="76"/>
      <c r="QNT48" s="76"/>
      <c r="QNU48" s="76"/>
      <c r="QNV48" s="76"/>
      <c r="QNW48" s="76"/>
      <c r="QNX48" s="76"/>
      <c r="QNY48" s="76"/>
      <c r="QNZ48" s="76"/>
      <c r="QOA48" s="76"/>
      <c r="QOB48" s="76"/>
      <c r="QOC48" s="76"/>
      <c r="QOD48" s="76"/>
      <c r="QOE48" s="76"/>
      <c r="QOF48" s="76"/>
      <c r="QOG48" s="76"/>
      <c r="QOH48" s="76"/>
      <c r="QOI48" s="76"/>
      <c r="QOJ48" s="76"/>
      <c r="QOK48" s="76"/>
      <c r="QOL48" s="76"/>
      <c r="QOM48" s="76"/>
      <c r="QON48" s="76"/>
      <c r="QOO48" s="76"/>
      <c r="QOP48" s="76"/>
      <c r="QOQ48" s="76"/>
      <c r="QOR48" s="76"/>
      <c r="QOS48" s="76"/>
      <c r="QOT48" s="76"/>
      <c r="QOU48" s="76"/>
      <c r="QOV48" s="76"/>
      <c r="QOW48" s="76"/>
      <c r="QOX48" s="76"/>
      <c r="QOY48" s="76"/>
      <c r="QOZ48" s="76"/>
      <c r="QPA48" s="76"/>
      <c r="QPB48" s="76"/>
      <c r="QPC48" s="76"/>
      <c r="QPD48" s="76"/>
      <c r="QPE48" s="76"/>
      <c r="QPF48" s="76"/>
      <c r="QPG48" s="76"/>
      <c r="QPH48" s="76"/>
      <c r="QPI48" s="76"/>
      <c r="QPJ48" s="76"/>
      <c r="QPK48" s="76"/>
      <c r="QPL48" s="76"/>
      <c r="QPM48" s="76"/>
      <c r="QPN48" s="76"/>
      <c r="QPO48" s="76"/>
      <c r="QPP48" s="76"/>
      <c r="QPQ48" s="76"/>
      <c r="QPR48" s="76"/>
      <c r="QPS48" s="76"/>
      <c r="QPT48" s="76"/>
      <c r="QPU48" s="76"/>
      <c r="QPV48" s="76"/>
      <c r="QPW48" s="76"/>
      <c r="QPX48" s="76"/>
      <c r="QPY48" s="76"/>
      <c r="QPZ48" s="76"/>
      <c r="QQA48" s="76"/>
      <c r="QQB48" s="76"/>
      <c r="QQC48" s="76"/>
      <c r="QQD48" s="76"/>
      <c r="QQE48" s="76"/>
      <c r="QQF48" s="76"/>
      <c r="QQG48" s="76"/>
      <c r="QQH48" s="76"/>
      <c r="QQI48" s="76"/>
      <c r="QQJ48" s="76"/>
      <c r="QQK48" s="76"/>
      <c r="QQL48" s="76"/>
      <c r="QQM48" s="76"/>
      <c r="QQN48" s="76"/>
      <c r="QQO48" s="76"/>
      <c r="QQP48" s="76"/>
      <c r="QQQ48" s="76"/>
      <c r="QQR48" s="76"/>
      <c r="QQS48" s="76"/>
      <c r="QQT48" s="76"/>
      <c r="QQU48" s="76"/>
      <c r="QQV48" s="76"/>
      <c r="QQW48" s="76"/>
      <c r="QQX48" s="76"/>
      <c r="QQY48" s="76"/>
      <c r="QQZ48" s="76"/>
      <c r="QRA48" s="76"/>
      <c r="QRB48" s="76"/>
      <c r="QRC48" s="76"/>
      <c r="QRD48" s="76"/>
      <c r="QRE48" s="76"/>
      <c r="QRF48" s="76"/>
      <c r="QRG48" s="76"/>
      <c r="QRH48" s="76"/>
      <c r="QRI48" s="76"/>
      <c r="QRJ48" s="76"/>
      <c r="QRK48" s="76"/>
      <c r="QRL48" s="76"/>
      <c r="QRM48" s="76"/>
      <c r="QRN48" s="76"/>
      <c r="QRO48" s="76"/>
      <c r="QRP48" s="76"/>
      <c r="QRQ48" s="76"/>
      <c r="QRR48" s="76"/>
      <c r="QRS48" s="76"/>
      <c r="QRT48" s="76"/>
      <c r="QRU48" s="76"/>
      <c r="QRV48" s="76"/>
      <c r="QRW48" s="76"/>
      <c r="QRX48" s="76"/>
      <c r="QRY48" s="76"/>
      <c r="QRZ48" s="76"/>
      <c r="QSA48" s="76"/>
      <c r="QSB48" s="76"/>
      <c r="QSC48" s="76"/>
      <c r="QSD48" s="76"/>
      <c r="QSE48" s="76"/>
      <c r="QSF48" s="76"/>
      <c r="QSG48" s="76"/>
      <c r="QSH48" s="76"/>
      <c r="QSI48" s="76"/>
      <c r="QSJ48" s="76"/>
      <c r="QSK48" s="76"/>
      <c r="QSL48" s="76"/>
      <c r="QSM48" s="76"/>
      <c r="QSN48" s="76"/>
      <c r="QSO48" s="76"/>
      <c r="QSP48" s="76"/>
      <c r="QSQ48" s="76"/>
      <c r="QSR48" s="76"/>
      <c r="QSS48" s="76"/>
      <c r="QST48" s="76"/>
      <c r="QSU48" s="76"/>
      <c r="QSV48" s="76"/>
      <c r="QSW48" s="76"/>
      <c r="QSX48" s="76"/>
      <c r="QSY48" s="76"/>
      <c r="QSZ48" s="76"/>
      <c r="QTA48" s="76"/>
      <c r="QTB48" s="76"/>
      <c r="QTC48" s="76"/>
      <c r="QTD48" s="76"/>
      <c r="QTE48" s="76"/>
      <c r="QTF48" s="76"/>
      <c r="QTG48" s="76"/>
      <c r="QTH48" s="76"/>
      <c r="QTI48" s="76"/>
      <c r="QTJ48" s="76"/>
      <c r="QTK48" s="76"/>
      <c r="QTL48" s="76"/>
      <c r="QTM48" s="76"/>
      <c r="QTN48" s="76"/>
      <c r="QTO48" s="76"/>
      <c r="QTP48" s="76"/>
      <c r="QTQ48" s="76"/>
      <c r="QTR48" s="76"/>
      <c r="QTS48" s="76"/>
      <c r="QTT48" s="76"/>
      <c r="QTU48" s="76"/>
      <c r="QTV48" s="76"/>
      <c r="QTW48" s="76"/>
      <c r="QTX48" s="76"/>
      <c r="QTY48" s="76"/>
      <c r="QTZ48" s="76"/>
      <c r="QUA48" s="76"/>
      <c r="QUB48" s="76"/>
      <c r="QUC48" s="76"/>
      <c r="QUD48" s="76"/>
      <c r="QUE48" s="76"/>
      <c r="QUF48" s="76"/>
      <c r="QUG48" s="76"/>
      <c r="QUH48" s="76"/>
      <c r="QUI48" s="76"/>
      <c r="QUJ48" s="76"/>
      <c r="QUK48" s="76"/>
      <c r="QUL48" s="76"/>
      <c r="QUM48" s="76"/>
      <c r="QUN48" s="76"/>
      <c r="QUO48" s="76"/>
      <c r="QUP48" s="76"/>
      <c r="QUQ48" s="76"/>
      <c r="QUR48" s="76"/>
      <c r="QUS48" s="76"/>
      <c r="QUT48" s="76"/>
      <c r="QUU48" s="76"/>
      <c r="QUV48" s="76"/>
      <c r="QUW48" s="76"/>
      <c r="QUX48" s="76"/>
      <c r="QUY48" s="76"/>
      <c r="QUZ48" s="76"/>
      <c r="QVA48" s="76"/>
      <c r="QVB48" s="76"/>
      <c r="QVC48" s="76"/>
      <c r="QVD48" s="76"/>
      <c r="QVE48" s="76"/>
      <c r="QVF48" s="76"/>
      <c r="QVG48" s="76"/>
      <c r="QVH48" s="76"/>
      <c r="QVI48" s="76"/>
      <c r="QVJ48" s="76"/>
      <c r="QVK48" s="76"/>
      <c r="QVL48" s="76"/>
      <c r="QVM48" s="76"/>
      <c r="QVN48" s="76"/>
      <c r="QVO48" s="76"/>
      <c r="QVP48" s="76"/>
      <c r="QVQ48" s="76"/>
      <c r="QVR48" s="76"/>
      <c r="QVS48" s="76"/>
      <c r="QVT48" s="76"/>
      <c r="QVU48" s="76"/>
      <c r="QVV48" s="76"/>
      <c r="QVW48" s="76"/>
      <c r="QVX48" s="76"/>
      <c r="QVY48" s="76"/>
      <c r="QVZ48" s="76"/>
      <c r="QWA48" s="76"/>
      <c r="QWB48" s="76"/>
      <c r="QWC48" s="76"/>
      <c r="QWD48" s="76"/>
      <c r="QWE48" s="76"/>
      <c r="QWF48" s="76"/>
      <c r="QWG48" s="76"/>
      <c r="QWH48" s="76"/>
      <c r="QWI48" s="76"/>
      <c r="QWJ48" s="76"/>
      <c r="QWK48" s="76"/>
      <c r="QWL48" s="76"/>
      <c r="QWM48" s="76"/>
      <c r="QWN48" s="76"/>
      <c r="QWO48" s="76"/>
      <c r="QWP48" s="76"/>
      <c r="QWQ48" s="76"/>
      <c r="QWR48" s="76"/>
      <c r="QWS48" s="76"/>
      <c r="QWT48" s="76"/>
      <c r="QWU48" s="76"/>
      <c r="QWV48" s="76"/>
      <c r="QWW48" s="76"/>
      <c r="QWX48" s="76"/>
      <c r="QWY48" s="76"/>
      <c r="QWZ48" s="76"/>
      <c r="QXA48" s="76"/>
      <c r="QXB48" s="76"/>
      <c r="QXC48" s="76"/>
      <c r="QXD48" s="76"/>
      <c r="QXE48" s="76"/>
      <c r="QXF48" s="76"/>
      <c r="QXG48" s="76"/>
      <c r="QXH48" s="76"/>
      <c r="QXI48" s="76"/>
      <c r="QXJ48" s="76"/>
      <c r="QXK48" s="76"/>
      <c r="QXL48" s="76"/>
      <c r="QXM48" s="76"/>
      <c r="QXN48" s="76"/>
      <c r="QXO48" s="76"/>
      <c r="QXP48" s="76"/>
      <c r="QXQ48" s="76"/>
      <c r="QXR48" s="76"/>
      <c r="QXS48" s="76"/>
      <c r="QXT48" s="76"/>
      <c r="QXU48" s="76"/>
      <c r="QXV48" s="76"/>
      <c r="QXW48" s="76"/>
      <c r="QXX48" s="76"/>
      <c r="QXY48" s="76"/>
      <c r="QXZ48" s="76"/>
      <c r="QYA48" s="76"/>
      <c r="QYB48" s="76"/>
      <c r="QYC48" s="76"/>
      <c r="QYD48" s="76"/>
      <c r="QYE48" s="76"/>
      <c r="QYF48" s="76"/>
      <c r="QYG48" s="76"/>
      <c r="QYH48" s="76"/>
      <c r="QYI48" s="76"/>
      <c r="QYJ48" s="76"/>
      <c r="QYK48" s="76"/>
      <c r="QYL48" s="76"/>
      <c r="QYM48" s="76"/>
      <c r="QYN48" s="76"/>
      <c r="QYO48" s="76"/>
      <c r="QYP48" s="76"/>
      <c r="QYQ48" s="76"/>
      <c r="QYR48" s="76"/>
      <c r="QYS48" s="76"/>
      <c r="QYT48" s="76"/>
      <c r="QYU48" s="76"/>
      <c r="QYV48" s="76"/>
      <c r="QYW48" s="76"/>
      <c r="QYX48" s="76"/>
      <c r="QYY48" s="76"/>
      <c r="QYZ48" s="76"/>
      <c r="QZA48" s="76"/>
      <c r="QZB48" s="76"/>
      <c r="QZC48" s="76"/>
      <c r="QZD48" s="76"/>
      <c r="QZE48" s="76"/>
      <c r="QZF48" s="76"/>
      <c r="QZG48" s="76"/>
      <c r="QZH48" s="76"/>
      <c r="QZI48" s="76"/>
      <c r="QZJ48" s="76"/>
      <c r="QZK48" s="76"/>
      <c r="QZL48" s="76"/>
      <c r="QZM48" s="76"/>
      <c r="QZN48" s="76"/>
      <c r="QZO48" s="76"/>
      <c r="QZP48" s="76"/>
      <c r="QZQ48" s="76"/>
      <c r="QZR48" s="76"/>
      <c r="QZS48" s="76"/>
      <c r="QZT48" s="76"/>
      <c r="QZU48" s="76"/>
      <c r="QZV48" s="76"/>
      <c r="QZW48" s="76"/>
      <c r="QZX48" s="76"/>
      <c r="QZY48" s="76"/>
      <c r="QZZ48" s="76"/>
      <c r="RAA48" s="76"/>
      <c r="RAB48" s="76"/>
      <c r="RAC48" s="76"/>
      <c r="RAD48" s="76"/>
      <c r="RAE48" s="76"/>
      <c r="RAF48" s="76"/>
      <c r="RAG48" s="76"/>
      <c r="RAH48" s="76"/>
      <c r="RAI48" s="76"/>
      <c r="RAJ48" s="76"/>
      <c r="RAK48" s="76"/>
      <c r="RAL48" s="76"/>
      <c r="RAM48" s="76"/>
      <c r="RAN48" s="76"/>
      <c r="RAO48" s="76"/>
      <c r="RAP48" s="76"/>
      <c r="RAQ48" s="76"/>
      <c r="RAR48" s="76"/>
      <c r="RAS48" s="76"/>
      <c r="RAT48" s="76"/>
      <c r="RAU48" s="76"/>
      <c r="RAV48" s="76"/>
      <c r="RAW48" s="76"/>
      <c r="RAX48" s="76"/>
      <c r="RAY48" s="76"/>
      <c r="RAZ48" s="76"/>
      <c r="RBA48" s="76"/>
      <c r="RBB48" s="76"/>
      <c r="RBC48" s="76"/>
      <c r="RBD48" s="76"/>
      <c r="RBE48" s="76"/>
      <c r="RBF48" s="76"/>
      <c r="RBG48" s="76"/>
      <c r="RBH48" s="76"/>
      <c r="RBI48" s="76"/>
      <c r="RBJ48" s="76"/>
      <c r="RBK48" s="76"/>
      <c r="RBL48" s="76"/>
      <c r="RBM48" s="76"/>
      <c r="RBN48" s="76"/>
      <c r="RBO48" s="76"/>
      <c r="RBP48" s="76"/>
      <c r="RBQ48" s="76"/>
      <c r="RBR48" s="76"/>
      <c r="RBS48" s="76"/>
      <c r="RBT48" s="76"/>
      <c r="RBU48" s="76"/>
      <c r="RBV48" s="76"/>
      <c r="RBW48" s="76"/>
      <c r="RBX48" s="76"/>
      <c r="RBY48" s="76"/>
      <c r="RBZ48" s="76"/>
      <c r="RCA48" s="76"/>
      <c r="RCB48" s="76"/>
      <c r="RCC48" s="76"/>
      <c r="RCD48" s="76"/>
      <c r="RCE48" s="76"/>
      <c r="RCF48" s="76"/>
      <c r="RCG48" s="76"/>
      <c r="RCH48" s="76"/>
      <c r="RCI48" s="76"/>
      <c r="RCJ48" s="76"/>
      <c r="RCK48" s="76"/>
      <c r="RCL48" s="76"/>
      <c r="RCM48" s="76"/>
      <c r="RCN48" s="76"/>
      <c r="RCO48" s="76"/>
      <c r="RCP48" s="76"/>
      <c r="RCQ48" s="76"/>
      <c r="RCR48" s="76"/>
      <c r="RCS48" s="76"/>
      <c r="RCT48" s="76"/>
      <c r="RCU48" s="76"/>
      <c r="RCV48" s="76"/>
      <c r="RCW48" s="76"/>
      <c r="RCX48" s="76"/>
      <c r="RCY48" s="76"/>
      <c r="RCZ48" s="76"/>
      <c r="RDA48" s="76"/>
      <c r="RDB48" s="76"/>
      <c r="RDC48" s="76"/>
      <c r="RDD48" s="76"/>
      <c r="RDE48" s="76"/>
      <c r="RDF48" s="76"/>
      <c r="RDG48" s="76"/>
      <c r="RDH48" s="76"/>
      <c r="RDI48" s="76"/>
      <c r="RDJ48" s="76"/>
      <c r="RDK48" s="76"/>
      <c r="RDL48" s="76"/>
      <c r="RDM48" s="76"/>
      <c r="RDN48" s="76"/>
      <c r="RDO48" s="76"/>
      <c r="RDP48" s="76"/>
      <c r="RDQ48" s="76"/>
      <c r="RDR48" s="76"/>
      <c r="RDS48" s="76"/>
      <c r="RDT48" s="76"/>
      <c r="RDU48" s="76"/>
      <c r="RDV48" s="76"/>
      <c r="RDW48" s="76"/>
      <c r="RDX48" s="76"/>
      <c r="RDY48" s="76"/>
      <c r="RDZ48" s="76"/>
      <c r="REA48" s="76"/>
      <c r="REB48" s="76"/>
      <c r="REC48" s="76"/>
      <c r="RED48" s="76"/>
      <c r="REE48" s="76"/>
      <c r="REF48" s="76"/>
      <c r="REG48" s="76"/>
      <c r="REH48" s="76"/>
      <c r="REI48" s="76"/>
      <c r="REJ48" s="76"/>
      <c r="REK48" s="76"/>
      <c r="REL48" s="76"/>
      <c r="REM48" s="76"/>
      <c r="REN48" s="76"/>
      <c r="REO48" s="76"/>
      <c r="REP48" s="76"/>
      <c r="REQ48" s="76"/>
      <c r="RER48" s="76"/>
      <c r="RES48" s="76"/>
      <c r="RET48" s="76"/>
      <c r="REU48" s="76"/>
      <c r="REV48" s="76"/>
      <c r="REW48" s="76"/>
      <c r="REX48" s="76"/>
      <c r="REY48" s="76"/>
      <c r="REZ48" s="76"/>
      <c r="RFA48" s="76"/>
      <c r="RFB48" s="76"/>
      <c r="RFC48" s="76"/>
      <c r="RFD48" s="76"/>
      <c r="RFE48" s="76"/>
      <c r="RFF48" s="76"/>
      <c r="RFG48" s="76"/>
      <c r="RFH48" s="76"/>
      <c r="RFI48" s="76"/>
      <c r="RFJ48" s="76"/>
      <c r="RFK48" s="76"/>
      <c r="RFL48" s="76"/>
      <c r="RFM48" s="76"/>
      <c r="RFN48" s="76"/>
      <c r="RFO48" s="76"/>
      <c r="RFP48" s="76"/>
      <c r="RFQ48" s="76"/>
      <c r="RFR48" s="76"/>
      <c r="RFS48" s="76"/>
      <c r="RFT48" s="76"/>
      <c r="RFU48" s="76"/>
      <c r="RFV48" s="76"/>
      <c r="RFW48" s="76"/>
      <c r="RFX48" s="76"/>
      <c r="RFY48" s="76"/>
      <c r="RFZ48" s="76"/>
      <c r="RGA48" s="76"/>
      <c r="RGB48" s="76"/>
      <c r="RGC48" s="76"/>
      <c r="RGD48" s="76"/>
      <c r="RGE48" s="76"/>
      <c r="RGF48" s="76"/>
      <c r="RGG48" s="76"/>
      <c r="RGH48" s="76"/>
      <c r="RGI48" s="76"/>
      <c r="RGJ48" s="76"/>
      <c r="RGK48" s="76"/>
      <c r="RGL48" s="76"/>
      <c r="RGM48" s="76"/>
      <c r="RGN48" s="76"/>
      <c r="RGO48" s="76"/>
      <c r="RGP48" s="76"/>
      <c r="RGQ48" s="76"/>
      <c r="RGR48" s="76"/>
      <c r="RGS48" s="76"/>
      <c r="RGT48" s="76"/>
      <c r="RGU48" s="76"/>
      <c r="RGV48" s="76"/>
      <c r="RGW48" s="76"/>
      <c r="RGX48" s="76"/>
      <c r="RGY48" s="76"/>
      <c r="RGZ48" s="76"/>
      <c r="RHA48" s="76"/>
      <c r="RHB48" s="76"/>
      <c r="RHC48" s="76"/>
      <c r="RHD48" s="76"/>
      <c r="RHE48" s="76"/>
      <c r="RHF48" s="76"/>
      <c r="RHG48" s="76"/>
      <c r="RHH48" s="76"/>
      <c r="RHI48" s="76"/>
      <c r="RHJ48" s="76"/>
      <c r="RHK48" s="76"/>
      <c r="RHL48" s="76"/>
      <c r="RHM48" s="76"/>
      <c r="RHN48" s="76"/>
      <c r="RHO48" s="76"/>
      <c r="RHP48" s="76"/>
      <c r="RHQ48" s="76"/>
      <c r="RHR48" s="76"/>
      <c r="RHS48" s="76"/>
      <c r="RHT48" s="76"/>
      <c r="RHU48" s="76"/>
      <c r="RHV48" s="76"/>
      <c r="RHW48" s="76"/>
      <c r="RHX48" s="76"/>
      <c r="RHY48" s="76"/>
      <c r="RHZ48" s="76"/>
      <c r="RIA48" s="76"/>
      <c r="RIB48" s="76"/>
      <c r="RIC48" s="76"/>
      <c r="RID48" s="76"/>
      <c r="RIE48" s="76"/>
      <c r="RIF48" s="76"/>
      <c r="RIG48" s="76"/>
      <c r="RIH48" s="76"/>
      <c r="RII48" s="76"/>
      <c r="RIJ48" s="76"/>
      <c r="RIK48" s="76"/>
      <c r="RIL48" s="76"/>
      <c r="RIM48" s="76"/>
      <c r="RIN48" s="76"/>
      <c r="RIO48" s="76"/>
      <c r="RIP48" s="76"/>
      <c r="RIQ48" s="76"/>
      <c r="RIR48" s="76"/>
      <c r="RIS48" s="76"/>
      <c r="RIT48" s="76"/>
      <c r="RIU48" s="76"/>
      <c r="RIV48" s="76"/>
      <c r="RIW48" s="76"/>
      <c r="RIX48" s="76"/>
      <c r="RIY48" s="76"/>
      <c r="RIZ48" s="76"/>
      <c r="RJA48" s="76"/>
      <c r="RJB48" s="76"/>
      <c r="RJC48" s="76"/>
      <c r="RJD48" s="76"/>
      <c r="RJE48" s="76"/>
      <c r="RJF48" s="76"/>
      <c r="RJG48" s="76"/>
      <c r="RJH48" s="76"/>
      <c r="RJI48" s="76"/>
      <c r="RJJ48" s="76"/>
      <c r="RJK48" s="76"/>
      <c r="RJL48" s="76"/>
      <c r="RJM48" s="76"/>
      <c r="RJN48" s="76"/>
      <c r="RJO48" s="76"/>
      <c r="RJP48" s="76"/>
      <c r="RJQ48" s="76"/>
      <c r="RJR48" s="76"/>
      <c r="RJS48" s="76"/>
      <c r="RJT48" s="76"/>
      <c r="RJU48" s="76"/>
      <c r="RJV48" s="76"/>
      <c r="RJW48" s="76"/>
      <c r="RJX48" s="76"/>
      <c r="RJY48" s="76"/>
      <c r="RJZ48" s="76"/>
      <c r="RKA48" s="76"/>
      <c r="RKB48" s="76"/>
      <c r="RKC48" s="76"/>
      <c r="RKD48" s="76"/>
      <c r="RKE48" s="76"/>
      <c r="RKF48" s="76"/>
      <c r="RKG48" s="76"/>
      <c r="RKH48" s="76"/>
      <c r="RKI48" s="76"/>
      <c r="RKJ48" s="76"/>
      <c r="RKK48" s="76"/>
      <c r="RKL48" s="76"/>
      <c r="RKM48" s="76"/>
      <c r="RKN48" s="76"/>
      <c r="RKO48" s="76"/>
      <c r="RKP48" s="76"/>
      <c r="RKQ48" s="76"/>
      <c r="RKR48" s="76"/>
      <c r="RKS48" s="76"/>
      <c r="RKT48" s="76"/>
      <c r="RKU48" s="76"/>
      <c r="RKV48" s="76"/>
      <c r="RKW48" s="76"/>
      <c r="RKX48" s="76"/>
      <c r="RKY48" s="76"/>
      <c r="RKZ48" s="76"/>
      <c r="RLA48" s="76"/>
      <c r="RLB48" s="76"/>
      <c r="RLC48" s="76"/>
      <c r="RLD48" s="76"/>
      <c r="RLE48" s="76"/>
      <c r="RLF48" s="76"/>
      <c r="RLG48" s="76"/>
      <c r="RLH48" s="76"/>
      <c r="RLI48" s="76"/>
      <c r="RLJ48" s="76"/>
      <c r="RLK48" s="76"/>
      <c r="RLL48" s="76"/>
      <c r="RLM48" s="76"/>
      <c r="RLN48" s="76"/>
      <c r="RLO48" s="76"/>
      <c r="RLP48" s="76"/>
      <c r="RLQ48" s="76"/>
      <c r="RLR48" s="76"/>
      <c r="RLS48" s="76"/>
      <c r="RLT48" s="76"/>
      <c r="RLU48" s="76"/>
      <c r="RLV48" s="76"/>
      <c r="RLW48" s="76"/>
      <c r="RLX48" s="76"/>
      <c r="RLY48" s="76"/>
      <c r="RLZ48" s="76"/>
      <c r="RMA48" s="76"/>
      <c r="RMB48" s="76"/>
      <c r="RMC48" s="76"/>
      <c r="RMD48" s="76"/>
      <c r="RME48" s="76"/>
      <c r="RMF48" s="76"/>
      <c r="RMG48" s="76"/>
      <c r="RMH48" s="76"/>
      <c r="RMI48" s="76"/>
      <c r="RMJ48" s="76"/>
      <c r="RMK48" s="76"/>
      <c r="RML48" s="76"/>
      <c r="RMM48" s="76"/>
      <c r="RMN48" s="76"/>
      <c r="RMO48" s="76"/>
      <c r="RMP48" s="76"/>
      <c r="RMQ48" s="76"/>
      <c r="RMR48" s="76"/>
      <c r="RMS48" s="76"/>
      <c r="RMT48" s="76"/>
      <c r="RMU48" s="76"/>
      <c r="RMV48" s="76"/>
      <c r="RMW48" s="76"/>
      <c r="RMX48" s="76"/>
      <c r="RMY48" s="76"/>
      <c r="RMZ48" s="76"/>
      <c r="RNA48" s="76"/>
      <c r="RNB48" s="76"/>
      <c r="RNC48" s="76"/>
      <c r="RND48" s="76"/>
      <c r="RNE48" s="76"/>
      <c r="RNF48" s="76"/>
      <c r="RNG48" s="76"/>
      <c r="RNH48" s="76"/>
      <c r="RNI48" s="76"/>
      <c r="RNJ48" s="76"/>
      <c r="RNK48" s="76"/>
      <c r="RNL48" s="76"/>
      <c r="RNM48" s="76"/>
      <c r="RNN48" s="76"/>
      <c r="RNO48" s="76"/>
      <c r="RNP48" s="76"/>
      <c r="RNQ48" s="76"/>
      <c r="RNR48" s="76"/>
      <c r="RNS48" s="76"/>
      <c r="RNT48" s="76"/>
      <c r="RNU48" s="76"/>
      <c r="RNV48" s="76"/>
      <c r="RNW48" s="76"/>
      <c r="RNX48" s="76"/>
      <c r="RNY48" s="76"/>
      <c r="RNZ48" s="76"/>
      <c r="ROA48" s="76"/>
      <c r="ROB48" s="76"/>
      <c r="ROC48" s="76"/>
      <c r="ROD48" s="76"/>
      <c r="ROE48" s="76"/>
      <c r="ROF48" s="76"/>
      <c r="ROG48" s="76"/>
      <c r="ROH48" s="76"/>
      <c r="ROI48" s="76"/>
      <c r="ROJ48" s="76"/>
      <c r="ROK48" s="76"/>
      <c r="ROL48" s="76"/>
      <c r="ROM48" s="76"/>
      <c r="RON48" s="76"/>
      <c r="ROO48" s="76"/>
      <c r="ROP48" s="76"/>
      <c r="ROQ48" s="76"/>
      <c r="ROR48" s="76"/>
      <c r="ROS48" s="76"/>
      <c r="ROT48" s="76"/>
      <c r="ROU48" s="76"/>
      <c r="ROV48" s="76"/>
      <c r="ROW48" s="76"/>
      <c r="ROX48" s="76"/>
      <c r="ROY48" s="76"/>
      <c r="ROZ48" s="76"/>
      <c r="RPA48" s="76"/>
      <c r="RPB48" s="76"/>
      <c r="RPC48" s="76"/>
      <c r="RPD48" s="76"/>
      <c r="RPE48" s="76"/>
      <c r="RPF48" s="76"/>
      <c r="RPG48" s="76"/>
      <c r="RPH48" s="76"/>
      <c r="RPI48" s="76"/>
      <c r="RPJ48" s="76"/>
      <c r="RPK48" s="76"/>
      <c r="RPL48" s="76"/>
      <c r="RPM48" s="76"/>
      <c r="RPN48" s="76"/>
      <c r="RPO48" s="76"/>
      <c r="RPP48" s="76"/>
      <c r="RPQ48" s="76"/>
      <c r="RPR48" s="76"/>
      <c r="RPS48" s="76"/>
      <c r="RPT48" s="76"/>
      <c r="RPU48" s="76"/>
      <c r="RPV48" s="76"/>
      <c r="RPW48" s="76"/>
      <c r="RPX48" s="76"/>
      <c r="RPY48" s="76"/>
      <c r="RPZ48" s="76"/>
      <c r="RQA48" s="76"/>
      <c r="RQB48" s="76"/>
      <c r="RQC48" s="76"/>
      <c r="RQD48" s="76"/>
      <c r="RQE48" s="76"/>
      <c r="RQF48" s="76"/>
      <c r="RQG48" s="76"/>
      <c r="RQH48" s="76"/>
      <c r="RQI48" s="76"/>
      <c r="RQJ48" s="76"/>
      <c r="RQK48" s="76"/>
      <c r="RQL48" s="76"/>
      <c r="RQM48" s="76"/>
      <c r="RQN48" s="76"/>
      <c r="RQO48" s="76"/>
      <c r="RQP48" s="76"/>
      <c r="RQQ48" s="76"/>
      <c r="RQR48" s="76"/>
      <c r="RQS48" s="76"/>
      <c r="RQT48" s="76"/>
      <c r="RQU48" s="76"/>
      <c r="RQV48" s="76"/>
      <c r="RQW48" s="76"/>
      <c r="RQX48" s="76"/>
      <c r="RQY48" s="76"/>
      <c r="RQZ48" s="76"/>
      <c r="RRA48" s="76"/>
      <c r="RRB48" s="76"/>
      <c r="RRC48" s="76"/>
      <c r="RRD48" s="76"/>
      <c r="RRE48" s="76"/>
      <c r="RRF48" s="76"/>
      <c r="RRG48" s="76"/>
      <c r="RRH48" s="76"/>
      <c r="RRI48" s="76"/>
      <c r="RRJ48" s="76"/>
      <c r="RRK48" s="76"/>
      <c r="RRL48" s="76"/>
      <c r="RRM48" s="76"/>
      <c r="RRN48" s="76"/>
      <c r="RRO48" s="76"/>
      <c r="RRP48" s="76"/>
      <c r="RRQ48" s="76"/>
      <c r="RRR48" s="76"/>
      <c r="RRS48" s="76"/>
      <c r="RRT48" s="76"/>
      <c r="RRU48" s="76"/>
      <c r="RRV48" s="76"/>
      <c r="RRW48" s="76"/>
      <c r="RRX48" s="76"/>
      <c r="RRY48" s="76"/>
      <c r="RRZ48" s="76"/>
      <c r="RSA48" s="76"/>
      <c r="RSB48" s="76"/>
      <c r="RSC48" s="76"/>
      <c r="RSD48" s="76"/>
      <c r="RSE48" s="76"/>
      <c r="RSF48" s="76"/>
      <c r="RSG48" s="76"/>
      <c r="RSH48" s="76"/>
      <c r="RSI48" s="76"/>
      <c r="RSJ48" s="76"/>
      <c r="RSK48" s="76"/>
      <c r="RSL48" s="76"/>
      <c r="RSM48" s="76"/>
      <c r="RSN48" s="76"/>
      <c r="RSO48" s="76"/>
      <c r="RSP48" s="76"/>
      <c r="RSQ48" s="76"/>
      <c r="RSR48" s="76"/>
      <c r="RSS48" s="76"/>
      <c r="RST48" s="76"/>
      <c r="RSU48" s="76"/>
      <c r="RSV48" s="76"/>
      <c r="RSW48" s="76"/>
      <c r="RSX48" s="76"/>
      <c r="RSY48" s="76"/>
      <c r="RSZ48" s="76"/>
      <c r="RTA48" s="76"/>
      <c r="RTB48" s="76"/>
      <c r="RTC48" s="76"/>
      <c r="RTD48" s="76"/>
      <c r="RTE48" s="76"/>
      <c r="RTF48" s="76"/>
      <c r="RTG48" s="76"/>
      <c r="RTH48" s="76"/>
      <c r="RTI48" s="76"/>
      <c r="RTJ48" s="76"/>
      <c r="RTK48" s="76"/>
      <c r="RTL48" s="76"/>
      <c r="RTM48" s="76"/>
      <c r="RTN48" s="76"/>
      <c r="RTO48" s="76"/>
      <c r="RTP48" s="76"/>
      <c r="RTQ48" s="76"/>
      <c r="RTR48" s="76"/>
      <c r="RTS48" s="76"/>
      <c r="RTT48" s="76"/>
      <c r="RTU48" s="76"/>
      <c r="RTV48" s="76"/>
      <c r="RTW48" s="76"/>
      <c r="RTX48" s="76"/>
      <c r="RTY48" s="76"/>
      <c r="RTZ48" s="76"/>
      <c r="RUA48" s="76"/>
      <c r="RUB48" s="76"/>
      <c r="RUC48" s="76"/>
      <c r="RUD48" s="76"/>
      <c r="RUE48" s="76"/>
      <c r="RUF48" s="76"/>
      <c r="RUG48" s="76"/>
      <c r="RUH48" s="76"/>
      <c r="RUI48" s="76"/>
      <c r="RUJ48" s="76"/>
      <c r="RUK48" s="76"/>
      <c r="RUL48" s="76"/>
      <c r="RUM48" s="76"/>
      <c r="RUN48" s="76"/>
      <c r="RUO48" s="76"/>
      <c r="RUP48" s="76"/>
      <c r="RUQ48" s="76"/>
      <c r="RUR48" s="76"/>
      <c r="RUS48" s="76"/>
      <c r="RUT48" s="76"/>
      <c r="RUU48" s="76"/>
      <c r="RUV48" s="76"/>
      <c r="RUW48" s="76"/>
      <c r="RUX48" s="76"/>
      <c r="RUY48" s="76"/>
      <c r="RUZ48" s="76"/>
      <c r="RVA48" s="76"/>
      <c r="RVB48" s="76"/>
      <c r="RVC48" s="76"/>
      <c r="RVD48" s="76"/>
      <c r="RVE48" s="76"/>
      <c r="RVF48" s="76"/>
      <c r="RVG48" s="76"/>
      <c r="RVH48" s="76"/>
      <c r="RVI48" s="76"/>
      <c r="RVJ48" s="76"/>
      <c r="RVK48" s="76"/>
      <c r="RVL48" s="76"/>
      <c r="RVM48" s="76"/>
      <c r="RVN48" s="76"/>
      <c r="RVO48" s="76"/>
      <c r="RVP48" s="76"/>
      <c r="RVQ48" s="76"/>
      <c r="RVR48" s="76"/>
      <c r="RVS48" s="76"/>
      <c r="RVT48" s="76"/>
      <c r="RVU48" s="76"/>
      <c r="RVV48" s="76"/>
      <c r="RVW48" s="76"/>
      <c r="RVX48" s="76"/>
      <c r="RVY48" s="76"/>
      <c r="RVZ48" s="76"/>
      <c r="RWA48" s="76"/>
      <c r="RWB48" s="76"/>
      <c r="RWC48" s="76"/>
      <c r="RWD48" s="76"/>
      <c r="RWE48" s="76"/>
      <c r="RWF48" s="76"/>
      <c r="RWG48" s="76"/>
      <c r="RWH48" s="76"/>
      <c r="RWI48" s="76"/>
      <c r="RWJ48" s="76"/>
      <c r="RWK48" s="76"/>
      <c r="RWL48" s="76"/>
      <c r="RWM48" s="76"/>
      <c r="RWN48" s="76"/>
      <c r="RWO48" s="76"/>
      <c r="RWP48" s="76"/>
      <c r="RWQ48" s="76"/>
      <c r="RWR48" s="76"/>
      <c r="RWS48" s="76"/>
      <c r="RWT48" s="76"/>
      <c r="RWU48" s="76"/>
      <c r="RWV48" s="76"/>
      <c r="RWW48" s="76"/>
      <c r="RWX48" s="76"/>
      <c r="RWY48" s="76"/>
      <c r="RWZ48" s="76"/>
      <c r="RXA48" s="76"/>
      <c r="RXB48" s="76"/>
      <c r="RXC48" s="76"/>
      <c r="RXD48" s="76"/>
      <c r="RXE48" s="76"/>
      <c r="RXF48" s="76"/>
      <c r="RXG48" s="76"/>
      <c r="RXH48" s="76"/>
      <c r="RXI48" s="76"/>
      <c r="RXJ48" s="76"/>
      <c r="RXK48" s="76"/>
      <c r="RXL48" s="76"/>
      <c r="RXM48" s="76"/>
      <c r="RXN48" s="76"/>
      <c r="RXO48" s="76"/>
      <c r="RXP48" s="76"/>
      <c r="RXQ48" s="76"/>
      <c r="RXR48" s="76"/>
      <c r="RXS48" s="76"/>
      <c r="RXT48" s="76"/>
      <c r="RXU48" s="76"/>
      <c r="RXV48" s="76"/>
      <c r="RXW48" s="76"/>
      <c r="RXX48" s="76"/>
      <c r="RXY48" s="76"/>
      <c r="RXZ48" s="76"/>
      <c r="RYA48" s="76"/>
      <c r="RYB48" s="76"/>
      <c r="RYC48" s="76"/>
      <c r="RYD48" s="76"/>
      <c r="RYE48" s="76"/>
      <c r="RYF48" s="76"/>
      <c r="RYG48" s="76"/>
      <c r="RYH48" s="76"/>
      <c r="RYI48" s="76"/>
      <c r="RYJ48" s="76"/>
      <c r="RYK48" s="76"/>
      <c r="RYL48" s="76"/>
      <c r="RYM48" s="76"/>
      <c r="RYN48" s="76"/>
      <c r="RYO48" s="76"/>
      <c r="RYP48" s="76"/>
      <c r="RYQ48" s="76"/>
      <c r="RYR48" s="76"/>
      <c r="RYS48" s="76"/>
      <c r="RYT48" s="76"/>
      <c r="RYU48" s="76"/>
      <c r="RYV48" s="76"/>
      <c r="RYW48" s="76"/>
      <c r="RYX48" s="76"/>
      <c r="RYY48" s="76"/>
      <c r="RYZ48" s="76"/>
      <c r="RZA48" s="76"/>
      <c r="RZB48" s="76"/>
      <c r="RZC48" s="76"/>
      <c r="RZD48" s="76"/>
      <c r="RZE48" s="76"/>
      <c r="RZF48" s="76"/>
      <c r="RZG48" s="76"/>
      <c r="RZH48" s="76"/>
      <c r="RZI48" s="76"/>
      <c r="RZJ48" s="76"/>
      <c r="RZK48" s="76"/>
      <c r="RZL48" s="76"/>
      <c r="RZM48" s="76"/>
      <c r="RZN48" s="76"/>
      <c r="RZO48" s="76"/>
      <c r="RZP48" s="76"/>
      <c r="RZQ48" s="76"/>
      <c r="RZR48" s="76"/>
      <c r="RZS48" s="76"/>
      <c r="RZT48" s="76"/>
      <c r="RZU48" s="76"/>
      <c r="RZV48" s="76"/>
      <c r="RZW48" s="76"/>
      <c r="RZX48" s="76"/>
      <c r="RZY48" s="76"/>
      <c r="RZZ48" s="76"/>
      <c r="SAA48" s="76"/>
      <c r="SAB48" s="76"/>
      <c r="SAC48" s="76"/>
      <c r="SAD48" s="76"/>
      <c r="SAE48" s="76"/>
      <c r="SAF48" s="76"/>
      <c r="SAG48" s="76"/>
      <c r="SAH48" s="76"/>
      <c r="SAI48" s="76"/>
      <c r="SAJ48" s="76"/>
      <c r="SAK48" s="76"/>
      <c r="SAL48" s="76"/>
      <c r="SAM48" s="76"/>
      <c r="SAN48" s="76"/>
      <c r="SAO48" s="76"/>
      <c r="SAP48" s="76"/>
      <c r="SAQ48" s="76"/>
      <c r="SAR48" s="76"/>
      <c r="SAS48" s="76"/>
      <c r="SAT48" s="76"/>
      <c r="SAU48" s="76"/>
      <c r="SAV48" s="76"/>
      <c r="SAW48" s="76"/>
      <c r="SAX48" s="76"/>
      <c r="SAY48" s="76"/>
      <c r="SAZ48" s="76"/>
      <c r="SBA48" s="76"/>
      <c r="SBB48" s="76"/>
      <c r="SBC48" s="76"/>
      <c r="SBD48" s="76"/>
      <c r="SBE48" s="76"/>
      <c r="SBF48" s="76"/>
      <c r="SBG48" s="76"/>
      <c r="SBH48" s="76"/>
      <c r="SBI48" s="76"/>
      <c r="SBJ48" s="76"/>
      <c r="SBK48" s="76"/>
      <c r="SBL48" s="76"/>
      <c r="SBM48" s="76"/>
      <c r="SBN48" s="76"/>
      <c r="SBO48" s="76"/>
      <c r="SBP48" s="76"/>
      <c r="SBQ48" s="76"/>
      <c r="SBR48" s="76"/>
      <c r="SBS48" s="76"/>
      <c r="SBT48" s="76"/>
      <c r="SBU48" s="76"/>
      <c r="SBV48" s="76"/>
      <c r="SBW48" s="76"/>
      <c r="SBX48" s="76"/>
      <c r="SBY48" s="76"/>
      <c r="SBZ48" s="76"/>
      <c r="SCA48" s="76"/>
      <c r="SCB48" s="76"/>
      <c r="SCC48" s="76"/>
      <c r="SCD48" s="76"/>
      <c r="SCE48" s="76"/>
      <c r="SCF48" s="76"/>
      <c r="SCG48" s="76"/>
      <c r="SCH48" s="76"/>
      <c r="SCI48" s="76"/>
      <c r="SCJ48" s="76"/>
      <c r="SCK48" s="76"/>
      <c r="SCL48" s="76"/>
      <c r="SCM48" s="76"/>
      <c r="SCN48" s="76"/>
      <c r="SCO48" s="76"/>
      <c r="SCP48" s="76"/>
      <c r="SCQ48" s="76"/>
      <c r="SCR48" s="76"/>
      <c r="SCS48" s="76"/>
      <c r="SCT48" s="76"/>
      <c r="SCU48" s="76"/>
      <c r="SCV48" s="76"/>
      <c r="SCW48" s="76"/>
      <c r="SCX48" s="76"/>
      <c r="SCY48" s="76"/>
      <c r="SCZ48" s="76"/>
      <c r="SDA48" s="76"/>
      <c r="SDB48" s="76"/>
      <c r="SDC48" s="76"/>
      <c r="SDD48" s="76"/>
      <c r="SDE48" s="76"/>
      <c r="SDF48" s="76"/>
      <c r="SDG48" s="76"/>
      <c r="SDH48" s="76"/>
      <c r="SDI48" s="76"/>
      <c r="SDJ48" s="76"/>
      <c r="SDK48" s="76"/>
      <c r="SDL48" s="76"/>
      <c r="SDM48" s="76"/>
      <c r="SDN48" s="76"/>
      <c r="SDO48" s="76"/>
      <c r="SDP48" s="76"/>
      <c r="SDQ48" s="76"/>
      <c r="SDR48" s="76"/>
      <c r="SDS48" s="76"/>
      <c r="SDT48" s="76"/>
      <c r="SDU48" s="76"/>
      <c r="SDV48" s="76"/>
      <c r="SDW48" s="76"/>
      <c r="SDX48" s="76"/>
      <c r="SDY48" s="76"/>
      <c r="SDZ48" s="76"/>
      <c r="SEA48" s="76"/>
      <c r="SEB48" s="76"/>
      <c r="SEC48" s="76"/>
      <c r="SED48" s="76"/>
      <c r="SEE48" s="76"/>
      <c r="SEF48" s="76"/>
      <c r="SEG48" s="76"/>
      <c r="SEH48" s="76"/>
      <c r="SEI48" s="76"/>
      <c r="SEJ48" s="76"/>
      <c r="SEK48" s="76"/>
      <c r="SEL48" s="76"/>
      <c r="SEM48" s="76"/>
      <c r="SEN48" s="76"/>
      <c r="SEO48" s="76"/>
      <c r="SEP48" s="76"/>
      <c r="SEQ48" s="76"/>
      <c r="SER48" s="76"/>
      <c r="SES48" s="76"/>
      <c r="SET48" s="76"/>
      <c r="SEU48" s="76"/>
      <c r="SEV48" s="76"/>
      <c r="SEW48" s="76"/>
      <c r="SEX48" s="76"/>
      <c r="SEY48" s="76"/>
      <c r="SEZ48" s="76"/>
      <c r="SFA48" s="76"/>
      <c r="SFB48" s="76"/>
      <c r="SFC48" s="76"/>
      <c r="SFD48" s="76"/>
      <c r="SFE48" s="76"/>
      <c r="SFF48" s="76"/>
      <c r="SFG48" s="76"/>
      <c r="SFH48" s="76"/>
      <c r="SFI48" s="76"/>
      <c r="SFJ48" s="76"/>
      <c r="SFK48" s="76"/>
      <c r="SFL48" s="76"/>
      <c r="SFM48" s="76"/>
      <c r="SFN48" s="76"/>
      <c r="SFO48" s="76"/>
      <c r="SFP48" s="76"/>
      <c r="SFQ48" s="76"/>
      <c r="SFR48" s="76"/>
      <c r="SFS48" s="76"/>
      <c r="SFT48" s="76"/>
      <c r="SFU48" s="76"/>
      <c r="SFV48" s="76"/>
      <c r="SFW48" s="76"/>
      <c r="SFX48" s="76"/>
      <c r="SFY48" s="76"/>
      <c r="SFZ48" s="76"/>
      <c r="SGA48" s="76"/>
      <c r="SGB48" s="76"/>
      <c r="SGC48" s="76"/>
      <c r="SGD48" s="76"/>
      <c r="SGE48" s="76"/>
      <c r="SGF48" s="76"/>
      <c r="SGG48" s="76"/>
      <c r="SGH48" s="76"/>
      <c r="SGI48" s="76"/>
      <c r="SGJ48" s="76"/>
      <c r="SGK48" s="76"/>
      <c r="SGL48" s="76"/>
      <c r="SGM48" s="76"/>
      <c r="SGN48" s="76"/>
      <c r="SGO48" s="76"/>
      <c r="SGP48" s="76"/>
      <c r="SGQ48" s="76"/>
      <c r="SGR48" s="76"/>
      <c r="SGS48" s="76"/>
      <c r="SGT48" s="76"/>
      <c r="SGU48" s="76"/>
      <c r="SGV48" s="76"/>
      <c r="SGW48" s="76"/>
      <c r="SGX48" s="76"/>
      <c r="SGY48" s="76"/>
      <c r="SGZ48" s="76"/>
      <c r="SHA48" s="76"/>
      <c r="SHB48" s="76"/>
      <c r="SHC48" s="76"/>
      <c r="SHD48" s="76"/>
      <c r="SHE48" s="76"/>
      <c r="SHF48" s="76"/>
      <c r="SHG48" s="76"/>
      <c r="SHH48" s="76"/>
      <c r="SHI48" s="76"/>
      <c r="SHJ48" s="76"/>
      <c r="SHK48" s="76"/>
      <c r="SHL48" s="76"/>
      <c r="SHM48" s="76"/>
      <c r="SHN48" s="76"/>
      <c r="SHO48" s="76"/>
      <c r="SHP48" s="76"/>
      <c r="SHQ48" s="76"/>
      <c r="SHR48" s="76"/>
      <c r="SHS48" s="76"/>
      <c r="SHT48" s="76"/>
      <c r="SHU48" s="76"/>
      <c r="SHV48" s="76"/>
      <c r="SHW48" s="76"/>
      <c r="SHX48" s="76"/>
      <c r="SHY48" s="76"/>
      <c r="SHZ48" s="76"/>
      <c r="SIA48" s="76"/>
      <c r="SIB48" s="76"/>
      <c r="SIC48" s="76"/>
      <c r="SID48" s="76"/>
      <c r="SIE48" s="76"/>
      <c r="SIF48" s="76"/>
      <c r="SIG48" s="76"/>
      <c r="SIH48" s="76"/>
      <c r="SII48" s="76"/>
      <c r="SIJ48" s="76"/>
      <c r="SIK48" s="76"/>
      <c r="SIL48" s="76"/>
      <c r="SIM48" s="76"/>
      <c r="SIN48" s="76"/>
      <c r="SIO48" s="76"/>
      <c r="SIP48" s="76"/>
      <c r="SIQ48" s="76"/>
      <c r="SIR48" s="76"/>
      <c r="SIS48" s="76"/>
      <c r="SIT48" s="76"/>
      <c r="SIU48" s="76"/>
      <c r="SIV48" s="76"/>
      <c r="SIW48" s="76"/>
      <c r="SIX48" s="76"/>
      <c r="SIY48" s="76"/>
      <c r="SIZ48" s="76"/>
      <c r="SJA48" s="76"/>
      <c r="SJB48" s="76"/>
      <c r="SJC48" s="76"/>
      <c r="SJD48" s="76"/>
      <c r="SJE48" s="76"/>
      <c r="SJF48" s="76"/>
      <c r="SJG48" s="76"/>
      <c r="SJH48" s="76"/>
      <c r="SJI48" s="76"/>
      <c r="SJJ48" s="76"/>
      <c r="SJK48" s="76"/>
      <c r="SJL48" s="76"/>
      <c r="SJM48" s="76"/>
      <c r="SJN48" s="76"/>
      <c r="SJO48" s="76"/>
      <c r="SJP48" s="76"/>
      <c r="SJQ48" s="76"/>
      <c r="SJR48" s="76"/>
      <c r="SJS48" s="76"/>
      <c r="SJT48" s="76"/>
      <c r="SJU48" s="76"/>
      <c r="SJV48" s="76"/>
      <c r="SJW48" s="76"/>
      <c r="SJX48" s="76"/>
      <c r="SJY48" s="76"/>
      <c r="SJZ48" s="76"/>
      <c r="SKA48" s="76"/>
      <c r="SKB48" s="76"/>
      <c r="SKC48" s="76"/>
      <c r="SKD48" s="76"/>
      <c r="SKE48" s="76"/>
      <c r="SKF48" s="76"/>
      <c r="SKG48" s="76"/>
      <c r="SKH48" s="76"/>
      <c r="SKI48" s="76"/>
      <c r="SKJ48" s="76"/>
      <c r="SKK48" s="76"/>
      <c r="SKL48" s="76"/>
      <c r="SKM48" s="76"/>
      <c r="SKN48" s="76"/>
      <c r="SKO48" s="76"/>
      <c r="SKP48" s="76"/>
      <c r="SKQ48" s="76"/>
      <c r="SKR48" s="76"/>
      <c r="SKS48" s="76"/>
      <c r="SKT48" s="76"/>
      <c r="SKU48" s="76"/>
      <c r="SKV48" s="76"/>
      <c r="SKW48" s="76"/>
      <c r="SKX48" s="76"/>
      <c r="SKY48" s="76"/>
      <c r="SKZ48" s="76"/>
      <c r="SLA48" s="76"/>
      <c r="SLB48" s="76"/>
      <c r="SLC48" s="76"/>
      <c r="SLD48" s="76"/>
      <c r="SLE48" s="76"/>
      <c r="SLF48" s="76"/>
      <c r="SLG48" s="76"/>
      <c r="SLH48" s="76"/>
      <c r="SLI48" s="76"/>
      <c r="SLJ48" s="76"/>
      <c r="SLK48" s="76"/>
      <c r="SLL48" s="76"/>
      <c r="SLM48" s="76"/>
      <c r="SLN48" s="76"/>
      <c r="SLO48" s="76"/>
      <c r="SLP48" s="76"/>
      <c r="SLQ48" s="76"/>
      <c r="SLR48" s="76"/>
      <c r="SLS48" s="76"/>
      <c r="SLT48" s="76"/>
      <c r="SLU48" s="76"/>
      <c r="SLV48" s="76"/>
      <c r="SLW48" s="76"/>
      <c r="SLX48" s="76"/>
      <c r="SLY48" s="76"/>
      <c r="SLZ48" s="76"/>
      <c r="SMA48" s="76"/>
      <c r="SMB48" s="76"/>
      <c r="SMC48" s="76"/>
      <c r="SMD48" s="76"/>
      <c r="SME48" s="76"/>
      <c r="SMF48" s="76"/>
      <c r="SMG48" s="76"/>
      <c r="SMH48" s="76"/>
      <c r="SMI48" s="76"/>
      <c r="SMJ48" s="76"/>
      <c r="SMK48" s="76"/>
      <c r="SML48" s="76"/>
      <c r="SMM48" s="76"/>
      <c r="SMN48" s="76"/>
      <c r="SMO48" s="76"/>
      <c r="SMP48" s="76"/>
      <c r="SMQ48" s="76"/>
      <c r="SMR48" s="76"/>
      <c r="SMS48" s="76"/>
      <c r="SMT48" s="76"/>
      <c r="SMU48" s="76"/>
      <c r="SMV48" s="76"/>
      <c r="SMW48" s="76"/>
      <c r="SMX48" s="76"/>
      <c r="SMY48" s="76"/>
      <c r="SMZ48" s="76"/>
      <c r="SNA48" s="76"/>
      <c r="SNB48" s="76"/>
      <c r="SNC48" s="76"/>
      <c r="SND48" s="76"/>
      <c r="SNE48" s="76"/>
      <c r="SNF48" s="76"/>
      <c r="SNG48" s="76"/>
      <c r="SNH48" s="76"/>
      <c r="SNI48" s="76"/>
      <c r="SNJ48" s="76"/>
      <c r="SNK48" s="76"/>
      <c r="SNL48" s="76"/>
      <c r="SNM48" s="76"/>
      <c r="SNN48" s="76"/>
      <c r="SNO48" s="76"/>
      <c r="SNP48" s="76"/>
      <c r="SNQ48" s="76"/>
      <c r="SNR48" s="76"/>
      <c r="SNS48" s="76"/>
      <c r="SNT48" s="76"/>
      <c r="SNU48" s="76"/>
      <c r="SNV48" s="76"/>
      <c r="SNW48" s="76"/>
      <c r="SNX48" s="76"/>
      <c r="SNY48" s="76"/>
      <c r="SNZ48" s="76"/>
      <c r="SOA48" s="76"/>
      <c r="SOB48" s="76"/>
      <c r="SOC48" s="76"/>
      <c r="SOD48" s="76"/>
      <c r="SOE48" s="76"/>
      <c r="SOF48" s="76"/>
      <c r="SOG48" s="76"/>
      <c r="SOH48" s="76"/>
      <c r="SOI48" s="76"/>
      <c r="SOJ48" s="76"/>
      <c r="SOK48" s="76"/>
      <c r="SOL48" s="76"/>
      <c r="SOM48" s="76"/>
      <c r="SON48" s="76"/>
      <c r="SOO48" s="76"/>
      <c r="SOP48" s="76"/>
      <c r="SOQ48" s="76"/>
      <c r="SOR48" s="76"/>
      <c r="SOS48" s="76"/>
      <c r="SOT48" s="76"/>
      <c r="SOU48" s="76"/>
      <c r="SOV48" s="76"/>
      <c r="SOW48" s="76"/>
      <c r="SOX48" s="76"/>
      <c r="SOY48" s="76"/>
      <c r="SOZ48" s="76"/>
      <c r="SPA48" s="76"/>
      <c r="SPB48" s="76"/>
      <c r="SPC48" s="76"/>
      <c r="SPD48" s="76"/>
      <c r="SPE48" s="76"/>
      <c r="SPF48" s="76"/>
      <c r="SPG48" s="76"/>
      <c r="SPH48" s="76"/>
      <c r="SPI48" s="76"/>
      <c r="SPJ48" s="76"/>
      <c r="SPK48" s="76"/>
      <c r="SPL48" s="76"/>
      <c r="SPM48" s="76"/>
      <c r="SPN48" s="76"/>
      <c r="SPO48" s="76"/>
      <c r="SPP48" s="76"/>
      <c r="SPQ48" s="76"/>
      <c r="SPR48" s="76"/>
      <c r="SPS48" s="76"/>
      <c r="SPT48" s="76"/>
      <c r="SPU48" s="76"/>
      <c r="SPV48" s="76"/>
      <c r="SPW48" s="76"/>
      <c r="SPX48" s="76"/>
      <c r="SPY48" s="76"/>
      <c r="SPZ48" s="76"/>
      <c r="SQA48" s="76"/>
      <c r="SQB48" s="76"/>
      <c r="SQC48" s="76"/>
      <c r="SQD48" s="76"/>
      <c r="SQE48" s="76"/>
      <c r="SQF48" s="76"/>
      <c r="SQG48" s="76"/>
      <c r="SQH48" s="76"/>
      <c r="SQI48" s="76"/>
      <c r="SQJ48" s="76"/>
      <c r="SQK48" s="76"/>
      <c r="SQL48" s="76"/>
      <c r="SQM48" s="76"/>
      <c r="SQN48" s="76"/>
      <c r="SQO48" s="76"/>
      <c r="SQP48" s="76"/>
      <c r="SQQ48" s="76"/>
      <c r="SQR48" s="76"/>
      <c r="SQS48" s="76"/>
      <c r="SQT48" s="76"/>
      <c r="SQU48" s="76"/>
      <c r="SQV48" s="76"/>
      <c r="SQW48" s="76"/>
      <c r="SQX48" s="76"/>
      <c r="SQY48" s="76"/>
      <c r="SQZ48" s="76"/>
      <c r="SRA48" s="76"/>
      <c r="SRB48" s="76"/>
      <c r="SRC48" s="76"/>
      <c r="SRD48" s="76"/>
      <c r="SRE48" s="76"/>
      <c r="SRF48" s="76"/>
      <c r="SRG48" s="76"/>
      <c r="SRH48" s="76"/>
      <c r="SRI48" s="76"/>
      <c r="SRJ48" s="76"/>
      <c r="SRK48" s="76"/>
      <c r="SRL48" s="76"/>
      <c r="SRM48" s="76"/>
      <c r="SRN48" s="76"/>
      <c r="SRO48" s="76"/>
      <c r="SRP48" s="76"/>
      <c r="SRQ48" s="76"/>
      <c r="SRR48" s="76"/>
      <c r="SRS48" s="76"/>
      <c r="SRT48" s="76"/>
      <c r="SRU48" s="76"/>
      <c r="SRV48" s="76"/>
      <c r="SRW48" s="76"/>
      <c r="SRX48" s="76"/>
      <c r="SRY48" s="76"/>
      <c r="SRZ48" s="76"/>
      <c r="SSA48" s="76"/>
      <c r="SSB48" s="76"/>
      <c r="SSC48" s="76"/>
      <c r="SSD48" s="76"/>
      <c r="SSE48" s="76"/>
      <c r="SSF48" s="76"/>
      <c r="SSG48" s="76"/>
      <c r="SSH48" s="76"/>
      <c r="SSI48" s="76"/>
      <c r="SSJ48" s="76"/>
      <c r="SSK48" s="76"/>
      <c r="SSL48" s="76"/>
      <c r="SSM48" s="76"/>
      <c r="SSN48" s="76"/>
      <c r="SSO48" s="76"/>
      <c r="SSP48" s="76"/>
      <c r="SSQ48" s="76"/>
      <c r="SSR48" s="76"/>
      <c r="SSS48" s="76"/>
      <c r="SST48" s="76"/>
      <c r="SSU48" s="76"/>
      <c r="SSV48" s="76"/>
      <c r="SSW48" s="76"/>
      <c r="SSX48" s="76"/>
      <c r="SSY48" s="76"/>
      <c r="SSZ48" s="76"/>
      <c r="STA48" s="76"/>
      <c r="STB48" s="76"/>
      <c r="STC48" s="76"/>
      <c r="STD48" s="76"/>
      <c r="STE48" s="76"/>
      <c r="STF48" s="76"/>
      <c r="STG48" s="76"/>
      <c r="STH48" s="76"/>
      <c r="STI48" s="76"/>
      <c r="STJ48" s="76"/>
      <c r="STK48" s="76"/>
      <c r="STL48" s="76"/>
      <c r="STM48" s="76"/>
      <c r="STN48" s="76"/>
      <c r="STO48" s="76"/>
      <c r="STP48" s="76"/>
      <c r="STQ48" s="76"/>
      <c r="STR48" s="76"/>
      <c r="STS48" s="76"/>
      <c r="STT48" s="76"/>
      <c r="STU48" s="76"/>
      <c r="STV48" s="76"/>
      <c r="STW48" s="76"/>
      <c r="STX48" s="76"/>
      <c r="STY48" s="76"/>
      <c r="STZ48" s="76"/>
      <c r="SUA48" s="76"/>
      <c r="SUB48" s="76"/>
      <c r="SUC48" s="76"/>
      <c r="SUD48" s="76"/>
      <c r="SUE48" s="76"/>
      <c r="SUF48" s="76"/>
      <c r="SUG48" s="76"/>
      <c r="SUH48" s="76"/>
      <c r="SUI48" s="76"/>
      <c r="SUJ48" s="76"/>
      <c r="SUK48" s="76"/>
      <c r="SUL48" s="76"/>
      <c r="SUM48" s="76"/>
      <c r="SUN48" s="76"/>
      <c r="SUO48" s="76"/>
      <c r="SUP48" s="76"/>
      <c r="SUQ48" s="76"/>
      <c r="SUR48" s="76"/>
      <c r="SUS48" s="76"/>
      <c r="SUT48" s="76"/>
      <c r="SUU48" s="76"/>
      <c r="SUV48" s="76"/>
      <c r="SUW48" s="76"/>
      <c r="SUX48" s="76"/>
      <c r="SUY48" s="76"/>
      <c r="SUZ48" s="76"/>
      <c r="SVA48" s="76"/>
      <c r="SVB48" s="76"/>
      <c r="SVC48" s="76"/>
      <c r="SVD48" s="76"/>
      <c r="SVE48" s="76"/>
      <c r="SVF48" s="76"/>
      <c r="SVG48" s="76"/>
      <c r="SVH48" s="76"/>
      <c r="SVI48" s="76"/>
      <c r="SVJ48" s="76"/>
      <c r="SVK48" s="76"/>
      <c r="SVL48" s="76"/>
      <c r="SVM48" s="76"/>
      <c r="SVN48" s="76"/>
      <c r="SVO48" s="76"/>
      <c r="SVP48" s="76"/>
      <c r="SVQ48" s="76"/>
      <c r="SVR48" s="76"/>
      <c r="SVS48" s="76"/>
      <c r="SVT48" s="76"/>
      <c r="SVU48" s="76"/>
      <c r="SVV48" s="76"/>
      <c r="SVW48" s="76"/>
      <c r="SVX48" s="76"/>
      <c r="SVY48" s="76"/>
      <c r="SVZ48" s="76"/>
      <c r="SWA48" s="76"/>
      <c r="SWB48" s="76"/>
      <c r="SWC48" s="76"/>
      <c r="SWD48" s="76"/>
      <c r="SWE48" s="76"/>
      <c r="SWF48" s="76"/>
      <c r="SWG48" s="76"/>
      <c r="SWH48" s="76"/>
      <c r="SWI48" s="76"/>
      <c r="SWJ48" s="76"/>
      <c r="SWK48" s="76"/>
      <c r="SWL48" s="76"/>
      <c r="SWM48" s="76"/>
      <c r="SWN48" s="76"/>
      <c r="SWO48" s="76"/>
      <c r="SWP48" s="76"/>
      <c r="SWQ48" s="76"/>
      <c r="SWR48" s="76"/>
      <c r="SWS48" s="76"/>
      <c r="SWT48" s="76"/>
      <c r="SWU48" s="76"/>
      <c r="SWV48" s="76"/>
      <c r="SWW48" s="76"/>
      <c r="SWX48" s="76"/>
      <c r="SWY48" s="76"/>
      <c r="SWZ48" s="76"/>
      <c r="SXA48" s="76"/>
      <c r="SXB48" s="76"/>
      <c r="SXC48" s="76"/>
      <c r="SXD48" s="76"/>
      <c r="SXE48" s="76"/>
      <c r="SXF48" s="76"/>
      <c r="SXG48" s="76"/>
      <c r="SXH48" s="76"/>
      <c r="SXI48" s="76"/>
      <c r="SXJ48" s="76"/>
      <c r="SXK48" s="76"/>
      <c r="SXL48" s="76"/>
      <c r="SXM48" s="76"/>
      <c r="SXN48" s="76"/>
      <c r="SXO48" s="76"/>
      <c r="SXP48" s="76"/>
      <c r="SXQ48" s="76"/>
      <c r="SXR48" s="76"/>
      <c r="SXS48" s="76"/>
      <c r="SXT48" s="76"/>
      <c r="SXU48" s="76"/>
      <c r="SXV48" s="76"/>
      <c r="SXW48" s="76"/>
      <c r="SXX48" s="76"/>
      <c r="SXY48" s="76"/>
      <c r="SXZ48" s="76"/>
      <c r="SYA48" s="76"/>
      <c r="SYB48" s="76"/>
      <c r="SYC48" s="76"/>
      <c r="SYD48" s="76"/>
      <c r="SYE48" s="76"/>
      <c r="SYF48" s="76"/>
      <c r="SYG48" s="76"/>
      <c r="SYH48" s="76"/>
      <c r="SYI48" s="76"/>
      <c r="SYJ48" s="76"/>
      <c r="SYK48" s="76"/>
      <c r="SYL48" s="76"/>
      <c r="SYM48" s="76"/>
      <c r="SYN48" s="76"/>
      <c r="SYO48" s="76"/>
      <c r="SYP48" s="76"/>
      <c r="SYQ48" s="76"/>
      <c r="SYR48" s="76"/>
      <c r="SYS48" s="76"/>
      <c r="SYT48" s="76"/>
      <c r="SYU48" s="76"/>
      <c r="SYV48" s="76"/>
      <c r="SYW48" s="76"/>
      <c r="SYX48" s="76"/>
      <c r="SYY48" s="76"/>
      <c r="SYZ48" s="76"/>
      <c r="SZA48" s="76"/>
      <c r="SZB48" s="76"/>
      <c r="SZC48" s="76"/>
      <c r="SZD48" s="76"/>
      <c r="SZE48" s="76"/>
      <c r="SZF48" s="76"/>
      <c r="SZG48" s="76"/>
      <c r="SZH48" s="76"/>
      <c r="SZI48" s="76"/>
      <c r="SZJ48" s="76"/>
      <c r="SZK48" s="76"/>
      <c r="SZL48" s="76"/>
      <c r="SZM48" s="76"/>
      <c r="SZN48" s="76"/>
      <c r="SZO48" s="76"/>
      <c r="SZP48" s="76"/>
      <c r="SZQ48" s="76"/>
      <c r="SZR48" s="76"/>
      <c r="SZS48" s="76"/>
      <c r="SZT48" s="76"/>
      <c r="SZU48" s="76"/>
      <c r="SZV48" s="76"/>
      <c r="SZW48" s="76"/>
      <c r="SZX48" s="76"/>
      <c r="SZY48" s="76"/>
      <c r="SZZ48" s="76"/>
      <c r="TAA48" s="76"/>
      <c r="TAB48" s="76"/>
      <c r="TAC48" s="76"/>
      <c r="TAD48" s="76"/>
      <c r="TAE48" s="76"/>
      <c r="TAF48" s="76"/>
      <c r="TAG48" s="76"/>
      <c r="TAH48" s="76"/>
      <c r="TAI48" s="76"/>
      <c r="TAJ48" s="76"/>
      <c r="TAK48" s="76"/>
      <c r="TAL48" s="76"/>
      <c r="TAM48" s="76"/>
      <c r="TAN48" s="76"/>
      <c r="TAO48" s="76"/>
      <c r="TAP48" s="76"/>
      <c r="TAQ48" s="76"/>
      <c r="TAR48" s="76"/>
      <c r="TAS48" s="76"/>
      <c r="TAT48" s="76"/>
      <c r="TAU48" s="76"/>
      <c r="TAV48" s="76"/>
      <c r="TAW48" s="76"/>
      <c r="TAX48" s="76"/>
      <c r="TAY48" s="76"/>
      <c r="TAZ48" s="76"/>
      <c r="TBA48" s="76"/>
      <c r="TBB48" s="76"/>
      <c r="TBC48" s="76"/>
      <c r="TBD48" s="76"/>
      <c r="TBE48" s="76"/>
      <c r="TBF48" s="76"/>
      <c r="TBG48" s="76"/>
      <c r="TBH48" s="76"/>
      <c r="TBI48" s="76"/>
      <c r="TBJ48" s="76"/>
      <c r="TBK48" s="76"/>
      <c r="TBL48" s="76"/>
      <c r="TBM48" s="76"/>
      <c r="TBN48" s="76"/>
      <c r="TBO48" s="76"/>
      <c r="TBP48" s="76"/>
      <c r="TBQ48" s="76"/>
      <c r="TBR48" s="76"/>
      <c r="TBS48" s="76"/>
      <c r="TBT48" s="76"/>
      <c r="TBU48" s="76"/>
      <c r="TBV48" s="76"/>
      <c r="TBW48" s="76"/>
      <c r="TBX48" s="76"/>
      <c r="TBY48" s="76"/>
      <c r="TBZ48" s="76"/>
      <c r="TCA48" s="76"/>
      <c r="TCB48" s="76"/>
      <c r="TCC48" s="76"/>
      <c r="TCD48" s="76"/>
      <c r="TCE48" s="76"/>
      <c r="TCF48" s="76"/>
      <c r="TCG48" s="76"/>
      <c r="TCH48" s="76"/>
      <c r="TCI48" s="76"/>
      <c r="TCJ48" s="76"/>
      <c r="TCK48" s="76"/>
      <c r="TCL48" s="76"/>
      <c r="TCM48" s="76"/>
      <c r="TCN48" s="76"/>
      <c r="TCO48" s="76"/>
      <c r="TCP48" s="76"/>
      <c r="TCQ48" s="76"/>
      <c r="TCR48" s="76"/>
      <c r="TCS48" s="76"/>
      <c r="TCT48" s="76"/>
      <c r="TCU48" s="76"/>
      <c r="TCV48" s="76"/>
      <c r="TCW48" s="76"/>
      <c r="TCX48" s="76"/>
      <c r="TCY48" s="76"/>
      <c r="TCZ48" s="76"/>
      <c r="TDA48" s="76"/>
      <c r="TDB48" s="76"/>
      <c r="TDC48" s="76"/>
      <c r="TDD48" s="76"/>
      <c r="TDE48" s="76"/>
      <c r="TDF48" s="76"/>
      <c r="TDG48" s="76"/>
      <c r="TDH48" s="76"/>
      <c r="TDI48" s="76"/>
      <c r="TDJ48" s="76"/>
      <c r="TDK48" s="76"/>
      <c r="TDL48" s="76"/>
      <c r="TDM48" s="76"/>
      <c r="TDN48" s="76"/>
      <c r="TDO48" s="76"/>
      <c r="TDP48" s="76"/>
      <c r="TDQ48" s="76"/>
      <c r="TDR48" s="76"/>
      <c r="TDS48" s="76"/>
      <c r="TDT48" s="76"/>
      <c r="TDU48" s="76"/>
      <c r="TDV48" s="76"/>
      <c r="TDW48" s="76"/>
      <c r="TDX48" s="76"/>
      <c r="TDY48" s="76"/>
      <c r="TDZ48" s="76"/>
      <c r="TEA48" s="76"/>
      <c r="TEB48" s="76"/>
      <c r="TEC48" s="76"/>
      <c r="TED48" s="76"/>
      <c r="TEE48" s="76"/>
      <c r="TEF48" s="76"/>
      <c r="TEG48" s="76"/>
      <c r="TEH48" s="76"/>
      <c r="TEI48" s="76"/>
      <c r="TEJ48" s="76"/>
      <c r="TEK48" s="76"/>
      <c r="TEL48" s="76"/>
      <c r="TEM48" s="76"/>
      <c r="TEN48" s="76"/>
      <c r="TEO48" s="76"/>
      <c r="TEP48" s="76"/>
      <c r="TEQ48" s="76"/>
      <c r="TER48" s="76"/>
      <c r="TES48" s="76"/>
      <c r="TET48" s="76"/>
      <c r="TEU48" s="76"/>
      <c r="TEV48" s="76"/>
      <c r="TEW48" s="76"/>
      <c r="TEX48" s="76"/>
      <c r="TEY48" s="76"/>
      <c r="TEZ48" s="76"/>
      <c r="TFA48" s="76"/>
      <c r="TFB48" s="76"/>
      <c r="TFC48" s="76"/>
      <c r="TFD48" s="76"/>
      <c r="TFE48" s="76"/>
      <c r="TFF48" s="76"/>
      <c r="TFG48" s="76"/>
      <c r="TFH48" s="76"/>
      <c r="TFI48" s="76"/>
      <c r="TFJ48" s="76"/>
      <c r="TFK48" s="76"/>
      <c r="TFL48" s="76"/>
      <c r="TFM48" s="76"/>
      <c r="TFN48" s="76"/>
      <c r="TFO48" s="76"/>
      <c r="TFP48" s="76"/>
      <c r="TFQ48" s="76"/>
      <c r="TFR48" s="76"/>
      <c r="TFS48" s="76"/>
      <c r="TFT48" s="76"/>
      <c r="TFU48" s="76"/>
      <c r="TFV48" s="76"/>
      <c r="TFW48" s="76"/>
      <c r="TFX48" s="76"/>
      <c r="TFY48" s="76"/>
      <c r="TFZ48" s="76"/>
      <c r="TGA48" s="76"/>
      <c r="TGB48" s="76"/>
      <c r="TGC48" s="76"/>
      <c r="TGD48" s="76"/>
      <c r="TGE48" s="76"/>
      <c r="TGF48" s="76"/>
      <c r="TGG48" s="76"/>
      <c r="TGH48" s="76"/>
      <c r="TGI48" s="76"/>
      <c r="TGJ48" s="76"/>
      <c r="TGK48" s="76"/>
      <c r="TGL48" s="76"/>
      <c r="TGM48" s="76"/>
      <c r="TGN48" s="76"/>
      <c r="TGO48" s="76"/>
      <c r="TGP48" s="76"/>
      <c r="TGQ48" s="76"/>
      <c r="TGR48" s="76"/>
      <c r="TGS48" s="76"/>
      <c r="TGT48" s="76"/>
      <c r="TGU48" s="76"/>
      <c r="TGV48" s="76"/>
      <c r="TGW48" s="76"/>
      <c r="TGX48" s="76"/>
      <c r="TGY48" s="76"/>
      <c r="TGZ48" s="76"/>
      <c r="THA48" s="76"/>
      <c r="THB48" s="76"/>
      <c r="THC48" s="76"/>
      <c r="THD48" s="76"/>
      <c r="THE48" s="76"/>
      <c r="THF48" s="76"/>
      <c r="THG48" s="76"/>
      <c r="THH48" s="76"/>
      <c r="THI48" s="76"/>
      <c r="THJ48" s="76"/>
      <c r="THK48" s="76"/>
      <c r="THL48" s="76"/>
      <c r="THM48" s="76"/>
      <c r="THN48" s="76"/>
      <c r="THO48" s="76"/>
      <c r="THP48" s="76"/>
      <c r="THQ48" s="76"/>
      <c r="THR48" s="76"/>
      <c r="THS48" s="76"/>
      <c r="THT48" s="76"/>
      <c r="THU48" s="76"/>
      <c r="THV48" s="76"/>
      <c r="THW48" s="76"/>
      <c r="THX48" s="76"/>
      <c r="THY48" s="76"/>
      <c r="THZ48" s="76"/>
      <c r="TIA48" s="76"/>
      <c r="TIB48" s="76"/>
      <c r="TIC48" s="76"/>
      <c r="TID48" s="76"/>
      <c r="TIE48" s="76"/>
      <c r="TIF48" s="76"/>
      <c r="TIG48" s="76"/>
      <c r="TIH48" s="76"/>
      <c r="TII48" s="76"/>
      <c r="TIJ48" s="76"/>
      <c r="TIK48" s="76"/>
      <c r="TIL48" s="76"/>
      <c r="TIM48" s="76"/>
      <c r="TIN48" s="76"/>
      <c r="TIO48" s="76"/>
      <c r="TIP48" s="76"/>
      <c r="TIQ48" s="76"/>
      <c r="TIR48" s="76"/>
      <c r="TIS48" s="76"/>
      <c r="TIT48" s="76"/>
      <c r="TIU48" s="76"/>
      <c r="TIV48" s="76"/>
      <c r="TIW48" s="76"/>
      <c r="TIX48" s="76"/>
      <c r="TIY48" s="76"/>
      <c r="TIZ48" s="76"/>
      <c r="TJA48" s="76"/>
      <c r="TJB48" s="76"/>
      <c r="TJC48" s="76"/>
      <c r="TJD48" s="76"/>
      <c r="TJE48" s="76"/>
      <c r="TJF48" s="76"/>
      <c r="TJG48" s="76"/>
      <c r="TJH48" s="76"/>
      <c r="TJI48" s="76"/>
      <c r="TJJ48" s="76"/>
      <c r="TJK48" s="76"/>
      <c r="TJL48" s="76"/>
      <c r="TJM48" s="76"/>
      <c r="TJN48" s="76"/>
      <c r="TJO48" s="76"/>
      <c r="TJP48" s="76"/>
      <c r="TJQ48" s="76"/>
      <c r="TJR48" s="76"/>
      <c r="TJS48" s="76"/>
      <c r="TJT48" s="76"/>
      <c r="TJU48" s="76"/>
      <c r="TJV48" s="76"/>
      <c r="TJW48" s="76"/>
      <c r="TJX48" s="76"/>
      <c r="TJY48" s="76"/>
      <c r="TJZ48" s="76"/>
      <c r="TKA48" s="76"/>
      <c r="TKB48" s="76"/>
      <c r="TKC48" s="76"/>
      <c r="TKD48" s="76"/>
      <c r="TKE48" s="76"/>
      <c r="TKF48" s="76"/>
      <c r="TKG48" s="76"/>
      <c r="TKH48" s="76"/>
      <c r="TKI48" s="76"/>
      <c r="TKJ48" s="76"/>
      <c r="TKK48" s="76"/>
      <c r="TKL48" s="76"/>
      <c r="TKM48" s="76"/>
      <c r="TKN48" s="76"/>
      <c r="TKO48" s="76"/>
      <c r="TKP48" s="76"/>
      <c r="TKQ48" s="76"/>
      <c r="TKR48" s="76"/>
      <c r="TKS48" s="76"/>
      <c r="TKT48" s="76"/>
      <c r="TKU48" s="76"/>
      <c r="TKV48" s="76"/>
      <c r="TKW48" s="76"/>
      <c r="TKX48" s="76"/>
      <c r="TKY48" s="76"/>
      <c r="TKZ48" s="76"/>
      <c r="TLA48" s="76"/>
      <c r="TLB48" s="76"/>
      <c r="TLC48" s="76"/>
      <c r="TLD48" s="76"/>
      <c r="TLE48" s="76"/>
      <c r="TLF48" s="76"/>
      <c r="TLG48" s="76"/>
      <c r="TLH48" s="76"/>
      <c r="TLI48" s="76"/>
      <c r="TLJ48" s="76"/>
      <c r="TLK48" s="76"/>
      <c r="TLL48" s="76"/>
      <c r="TLM48" s="76"/>
      <c r="TLN48" s="76"/>
      <c r="TLO48" s="76"/>
      <c r="TLP48" s="76"/>
      <c r="TLQ48" s="76"/>
      <c r="TLR48" s="76"/>
      <c r="TLS48" s="76"/>
      <c r="TLT48" s="76"/>
      <c r="TLU48" s="76"/>
      <c r="TLV48" s="76"/>
      <c r="TLW48" s="76"/>
      <c r="TLX48" s="76"/>
      <c r="TLY48" s="76"/>
      <c r="TLZ48" s="76"/>
      <c r="TMA48" s="76"/>
      <c r="TMB48" s="76"/>
      <c r="TMC48" s="76"/>
      <c r="TMD48" s="76"/>
      <c r="TME48" s="76"/>
      <c r="TMF48" s="76"/>
      <c r="TMG48" s="76"/>
      <c r="TMH48" s="76"/>
      <c r="TMI48" s="76"/>
      <c r="TMJ48" s="76"/>
      <c r="TMK48" s="76"/>
      <c r="TML48" s="76"/>
      <c r="TMM48" s="76"/>
      <c r="TMN48" s="76"/>
      <c r="TMO48" s="76"/>
      <c r="TMP48" s="76"/>
      <c r="TMQ48" s="76"/>
      <c r="TMR48" s="76"/>
      <c r="TMS48" s="76"/>
      <c r="TMT48" s="76"/>
      <c r="TMU48" s="76"/>
      <c r="TMV48" s="76"/>
      <c r="TMW48" s="76"/>
      <c r="TMX48" s="76"/>
      <c r="TMY48" s="76"/>
      <c r="TMZ48" s="76"/>
      <c r="TNA48" s="76"/>
      <c r="TNB48" s="76"/>
      <c r="TNC48" s="76"/>
      <c r="TND48" s="76"/>
      <c r="TNE48" s="76"/>
      <c r="TNF48" s="76"/>
      <c r="TNG48" s="76"/>
      <c r="TNH48" s="76"/>
      <c r="TNI48" s="76"/>
      <c r="TNJ48" s="76"/>
      <c r="TNK48" s="76"/>
      <c r="TNL48" s="76"/>
      <c r="TNM48" s="76"/>
      <c r="TNN48" s="76"/>
      <c r="TNO48" s="76"/>
      <c r="TNP48" s="76"/>
      <c r="TNQ48" s="76"/>
      <c r="TNR48" s="76"/>
      <c r="TNS48" s="76"/>
      <c r="TNT48" s="76"/>
      <c r="TNU48" s="76"/>
      <c r="TNV48" s="76"/>
      <c r="TNW48" s="76"/>
      <c r="TNX48" s="76"/>
      <c r="TNY48" s="76"/>
      <c r="TNZ48" s="76"/>
      <c r="TOA48" s="76"/>
      <c r="TOB48" s="76"/>
      <c r="TOC48" s="76"/>
      <c r="TOD48" s="76"/>
      <c r="TOE48" s="76"/>
      <c r="TOF48" s="76"/>
      <c r="TOG48" s="76"/>
      <c r="TOH48" s="76"/>
      <c r="TOI48" s="76"/>
      <c r="TOJ48" s="76"/>
      <c r="TOK48" s="76"/>
      <c r="TOL48" s="76"/>
      <c r="TOM48" s="76"/>
      <c r="TON48" s="76"/>
      <c r="TOO48" s="76"/>
      <c r="TOP48" s="76"/>
      <c r="TOQ48" s="76"/>
      <c r="TOR48" s="76"/>
      <c r="TOS48" s="76"/>
      <c r="TOT48" s="76"/>
      <c r="TOU48" s="76"/>
      <c r="TOV48" s="76"/>
      <c r="TOW48" s="76"/>
      <c r="TOX48" s="76"/>
      <c r="TOY48" s="76"/>
      <c r="TOZ48" s="76"/>
      <c r="TPA48" s="76"/>
      <c r="TPB48" s="76"/>
      <c r="TPC48" s="76"/>
      <c r="TPD48" s="76"/>
      <c r="TPE48" s="76"/>
      <c r="TPF48" s="76"/>
      <c r="TPG48" s="76"/>
      <c r="TPH48" s="76"/>
      <c r="TPI48" s="76"/>
      <c r="TPJ48" s="76"/>
      <c r="TPK48" s="76"/>
      <c r="TPL48" s="76"/>
      <c r="TPM48" s="76"/>
      <c r="TPN48" s="76"/>
      <c r="TPO48" s="76"/>
      <c r="TPP48" s="76"/>
      <c r="TPQ48" s="76"/>
      <c r="TPR48" s="76"/>
      <c r="TPS48" s="76"/>
      <c r="TPT48" s="76"/>
      <c r="TPU48" s="76"/>
      <c r="TPV48" s="76"/>
      <c r="TPW48" s="76"/>
      <c r="TPX48" s="76"/>
      <c r="TPY48" s="76"/>
      <c r="TPZ48" s="76"/>
      <c r="TQA48" s="76"/>
      <c r="TQB48" s="76"/>
      <c r="TQC48" s="76"/>
      <c r="TQD48" s="76"/>
      <c r="TQE48" s="76"/>
      <c r="TQF48" s="76"/>
      <c r="TQG48" s="76"/>
      <c r="TQH48" s="76"/>
      <c r="TQI48" s="76"/>
      <c r="TQJ48" s="76"/>
      <c r="TQK48" s="76"/>
      <c r="TQL48" s="76"/>
      <c r="TQM48" s="76"/>
      <c r="TQN48" s="76"/>
      <c r="TQO48" s="76"/>
      <c r="TQP48" s="76"/>
      <c r="TQQ48" s="76"/>
      <c r="TQR48" s="76"/>
      <c r="TQS48" s="76"/>
      <c r="TQT48" s="76"/>
      <c r="TQU48" s="76"/>
      <c r="TQV48" s="76"/>
      <c r="TQW48" s="76"/>
      <c r="TQX48" s="76"/>
      <c r="TQY48" s="76"/>
      <c r="TQZ48" s="76"/>
      <c r="TRA48" s="76"/>
      <c r="TRB48" s="76"/>
      <c r="TRC48" s="76"/>
      <c r="TRD48" s="76"/>
      <c r="TRE48" s="76"/>
      <c r="TRF48" s="76"/>
      <c r="TRG48" s="76"/>
      <c r="TRH48" s="76"/>
      <c r="TRI48" s="76"/>
      <c r="TRJ48" s="76"/>
      <c r="TRK48" s="76"/>
      <c r="TRL48" s="76"/>
      <c r="TRM48" s="76"/>
      <c r="TRN48" s="76"/>
      <c r="TRO48" s="76"/>
      <c r="TRP48" s="76"/>
      <c r="TRQ48" s="76"/>
      <c r="TRR48" s="76"/>
      <c r="TRS48" s="76"/>
      <c r="TRT48" s="76"/>
      <c r="TRU48" s="76"/>
      <c r="TRV48" s="76"/>
      <c r="TRW48" s="76"/>
      <c r="TRX48" s="76"/>
      <c r="TRY48" s="76"/>
      <c r="TRZ48" s="76"/>
      <c r="TSA48" s="76"/>
      <c r="TSB48" s="76"/>
      <c r="TSC48" s="76"/>
      <c r="TSD48" s="76"/>
      <c r="TSE48" s="76"/>
      <c r="TSF48" s="76"/>
      <c r="TSG48" s="76"/>
      <c r="TSH48" s="76"/>
      <c r="TSI48" s="76"/>
      <c r="TSJ48" s="76"/>
      <c r="TSK48" s="76"/>
      <c r="TSL48" s="76"/>
      <c r="TSM48" s="76"/>
      <c r="TSN48" s="76"/>
      <c r="TSO48" s="76"/>
      <c r="TSP48" s="76"/>
      <c r="TSQ48" s="76"/>
      <c r="TSR48" s="76"/>
      <c r="TSS48" s="76"/>
      <c r="TST48" s="76"/>
      <c r="TSU48" s="76"/>
      <c r="TSV48" s="76"/>
      <c r="TSW48" s="76"/>
      <c r="TSX48" s="76"/>
      <c r="TSY48" s="76"/>
      <c r="TSZ48" s="76"/>
      <c r="TTA48" s="76"/>
      <c r="TTB48" s="76"/>
      <c r="TTC48" s="76"/>
      <c r="TTD48" s="76"/>
      <c r="TTE48" s="76"/>
      <c r="TTF48" s="76"/>
      <c r="TTG48" s="76"/>
      <c r="TTH48" s="76"/>
      <c r="TTI48" s="76"/>
      <c r="TTJ48" s="76"/>
      <c r="TTK48" s="76"/>
      <c r="TTL48" s="76"/>
      <c r="TTM48" s="76"/>
      <c r="TTN48" s="76"/>
      <c r="TTO48" s="76"/>
      <c r="TTP48" s="76"/>
      <c r="TTQ48" s="76"/>
      <c r="TTR48" s="76"/>
      <c r="TTS48" s="76"/>
      <c r="TTT48" s="76"/>
      <c r="TTU48" s="76"/>
      <c r="TTV48" s="76"/>
      <c r="TTW48" s="76"/>
      <c r="TTX48" s="76"/>
      <c r="TTY48" s="76"/>
      <c r="TTZ48" s="76"/>
      <c r="TUA48" s="76"/>
      <c r="TUB48" s="76"/>
      <c r="TUC48" s="76"/>
      <c r="TUD48" s="76"/>
      <c r="TUE48" s="76"/>
      <c r="TUF48" s="76"/>
      <c r="TUG48" s="76"/>
      <c r="TUH48" s="76"/>
      <c r="TUI48" s="76"/>
      <c r="TUJ48" s="76"/>
      <c r="TUK48" s="76"/>
      <c r="TUL48" s="76"/>
      <c r="TUM48" s="76"/>
      <c r="TUN48" s="76"/>
      <c r="TUO48" s="76"/>
      <c r="TUP48" s="76"/>
      <c r="TUQ48" s="76"/>
      <c r="TUR48" s="76"/>
      <c r="TUS48" s="76"/>
      <c r="TUT48" s="76"/>
      <c r="TUU48" s="76"/>
      <c r="TUV48" s="76"/>
      <c r="TUW48" s="76"/>
      <c r="TUX48" s="76"/>
      <c r="TUY48" s="76"/>
      <c r="TUZ48" s="76"/>
      <c r="TVA48" s="76"/>
      <c r="TVB48" s="76"/>
      <c r="TVC48" s="76"/>
      <c r="TVD48" s="76"/>
      <c r="TVE48" s="76"/>
      <c r="TVF48" s="76"/>
      <c r="TVG48" s="76"/>
      <c r="TVH48" s="76"/>
      <c r="TVI48" s="76"/>
      <c r="TVJ48" s="76"/>
      <c r="TVK48" s="76"/>
      <c r="TVL48" s="76"/>
      <c r="TVM48" s="76"/>
      <c r="TVN48" s="76"/>
      <c r="TVO48" s="76"/>
      <c r="TVP48" s="76"/>
      <c r="TVQ48" s="76"/>
      <c r="TVR48" s="76"/>
      <c r="TVS48" s="76"/>
      <c r="TVT48" s="76"/>
      <c r="TVU48" s="76"/>
      <c r="TVV48" s="76"/>
      <c r="TVW48" s="76"/>
      <c r="TVX48" s="76"/>
      <c r="TVY48" s="76"/>
      <c r="TVZ48" s="76"/>
      <c r="TWA48" s="76"/>
      <c r="TWB48" s="76"/>
      <c r="TWC48" s="76"/>
      <c r="TWD48" s="76"/>
      <c r="TWE48" s="76"/>
      <c r="TWF48" s="76"/>
      <c r="TWG48" s="76"/>
      <c r="TWH48" s="76"/>
      <c r="TWI48" s="76"/>
      <c r="TWJ48" s="76"/>
      <c r="TWK48" s="76"/>
      <c r="TWL48" s="76"/>
      <c r="TWM48" s="76"/>
      <c r="TWN48" s="76"/>
      <c r="TWO48" s="76"/>
      <c r="TWP48" s="76"/>
      <c r="TWQ48" s="76"/>
      <c r="TWR48" s="76"/>
      <c r="TWS48" s="76"/>
      <c r="TWT48" s="76"/>
      <c r="TWU48" s="76"/>
      <c r="TWV48" s="76"/>
      <c r="TWW48" s="76"/>
      <c r="TWX48" s="76"/>
      <c r="TWY48" s="76"/>
      <c r="TWZ48" s="76"/>
      <c r="TXA48" s="76"/>
      <c r="TXB48" s="76"/>
      <c r="TXC48" s="76"/>
      <c r="TXD48" s="76"/>
      <c r="TXE48" s="76"/>
      <c r="TXF48" s="76"/>
      <c r="TXG48" s="76"/>
      <c r="TXH48" s="76"/>
      <c r="TXI48" s="76"/>
      <c r="TXJ48" s="76"/>
      <c r="TXK48" s="76"/>
      <c r="TXL48" s="76"/>
      <c r="TXM48" s="76"/>
      <c r="TXN48" s="76"/>
      <c r="TXO48" s="76"/>
      <c r="TXP48" s="76"/>
      <c r="TXQ48" s="76"/>
      <c r="TXR48" s="76"/>
      <c r="TXS48" s="76"/>
      <c r="TXT48" s="76"/>
      <c r="TXU48" s="76"/>
      <c r="TXV48" s="76"/>
      <c r="TXW48" s="76"/>
      <c r="TXX48" s="76"/>
      <c r="TXY48" s="76"/>
      <c r="TXZ48" s="76"/>
      <c r="TYA48" s="76"/>
      <c r="TYB48" s="76"/>
      <c r="TYC48" s="76"/>
      <c r="TYD48" s="76"/>
      <c r="TYE48" s="76"/>
      <c r="TYF48" s="76"/>
      <c r="TYG48" s="76"/>
      <c r="TYH48" s="76"/>
      <c r="TYI48" s="76"/>
      <c r="TYJ48" s="76"/>
      <c r="TYK48" s="76"/>
      <c r="TYL48" s="76"/>
      <c r="TYM48" s="76"/>
      <c r="TYN48" s="76"/>
      <c r="TYO48" s="76"/>
      <c r="TYP48" s="76"/>
      <c r="TYQ48" s="76"/>
      <c r="TYR48" s="76"/>
      <c r="TYS48" s="76"/>
      <c r="TYT48" s="76"/>
      <c r="TYU48" s="76"/>
      <c r="TYV48" s="76"/>
      <c r="TYW48" s="76"/>
      <c r="TYX48" s="76"/>
      <c r="TYY48" s="76"/>
      <c r="TYZ48" s="76"/>
      <c r="TZA48" s="76"/>
      <c r="TZB48" s="76"/>
      <c r="TZC48" s="76"/>
      <c r="TZD48" s="76"/>
      <c r="TZE48" s="76"/>
      <c r="TZF48" s="76"/>
      <c r="TZG48" s="76"/>
      <c r="TZH48" s="76"/>
      <c r="TZI48" s="76"/>
      <c r="TZJ48" s="76"/>
      <c r="TZK48" s="76"/>
      <c r="TZL48" s="76"/>
      <c r="TZM48" s="76"/>
      <c r="TZN48" s="76"/>
      <c r="TZO48" s="76"/>
      <c r="TZP48" s="76"/>
      <c r="TZQ48" s="76"/>
      <c r="TZR48" s="76"/>
      <c r="TZS48" s="76"/>
      <c r="TZT48" s="76"/>
      <c r="TZU48" s="76"/>
      <c r="TZV48" s="76"/>
      <c r="TZW48" s="76"/>
      <c r="TZX48" s="76"/>
      <c r="TZY48" s="76"/>
      <c r="TZZ48" s="76"/>
      <c r="UAA48" s="76"/>
      <c r="UAB48" s="76"/>
      <c r="UAC48" s="76"/>
      <c r="UAD48" s="76"/>
      <c r="UAE48" s="76"/>
      <c r="UAF48" s="76"/>
      <c r="UAG48" s="76"/>
      <c r="UAH48" s="76"/>
      <c r="UAI48" s="76"/>
      <c r="UAJ48" s="76"/>
      <c r="UAK48" s="76"/>
      <c r="UAL48" s="76"/>
      <c r="UAM48" s="76"/>
      <c r="UAN48" s="76"/>
      <c r="UAO48" s="76"/>
      <c r="UAP48" s="76"/>
      <c r="UAQ48" s="76"/>
      <c r="UAR48" s="76"/>
      <c r="UAS48" s="76"/>
      <c r="UAT48" s="76"/>
      <c r="UAU48" s="76"/>
      <c r="UAV48" s="76"/>
      <c r="UAW48" s="76"/>
      <c r="UAX48" s="76"/>
      <c r="UAY48" s="76"/>
      <c r="UAZ48" s="76"/>
      <c r="UBA48" s="76"/>
      <c r="UBB48" s="76"/>
      <c r="UBC48" s="76"/>
      <c r="UBD48" s="76"/>
      <c r="UBE48" s="76"/>
      <c r="UBF48" s="76"/>
      <c r="UBG48" s="76"/>
      <c r="UBH48" s="76"/>
      <c r="UBI48" s="76"/>
      <c r="UBJ48" s="76"/>
      <c r="UBK48" s="76"/>
      <c r="UBL48" s="76"/>
      <c r="UBM48" s="76"/>
      <c r="UBN48" s="76"/>
      <c r="UBO48" s="76"/>
      <c r="UBP48" s="76"/>
      <c r="UBQ48" s="76"/>
      <c r="UBR48" s="76"/>
      <c r="UBS48" s="76"/>
      <c r="UBT48" s="76"/>
      <c r="UBU48" s="76"/>
      <c r="UBV48" s="76"/>
      <c r="UBW48" s="76"/>
      <c r="UBX48" s="76"/>
      <c r="UBY48" s="76"/>
      <c r="UBZ48" s="76"/>
      <c r="UCA48" s="76"/>
      <c r="UCB48" s="76"/>
      <c r="UCC48" s="76"/>
      <c r="UCD48" s="76"/>
      <c r="UCE48" s="76"/>
      <c r="UCF48" s="76"/>
      <c r="UCG48" s="76"/>
      <c r="UCH48" s="76"/>
      <c r="UCI48" s="76"/>
      <c r="UCJ48" s="76"/>
      <c r="UCK48" s="76"/>
      <c r="UCL48" s="76"/>
      <c r="UCM48" s="76"/>
      <c r="UCN48" s="76"/>
      <c r="UCO48" s="76"/>
      <c r="UCP48" s="76"/>
      <c r="UCQ48" s="76"/>
      <c r="UCR48" s="76"/>
      <c r="UCS48" s="76"/>
      <c r="UCT48" s="76"/>
      <c r="UCU48" s="76"/>
      <c r="UCV48" s="76"/>
      <c r="UCW48" s="76"/>
      <c r="UCX48" s="76"/>
      <c r="UCY48" s="76"/>
      <c r="UCZ48" s="76"/>
      <c r="UDA48" s="76"/>
      <c r="UDB48" s="76"/>
      <c r="UDC48" s="76"/>
      <c r="UDD48" s="76"/>
      <c r="UDE48" s="76"/>
      <c r="UDF48" s="76"/>
      <c r="UDG48" s="76"/>
      <c r="UDH48" s="76"/>
      <c r="UDI48" s="76"/>
      <c r="UDJ48" s="76"/>
      <c r="UDK48" s="76"/>
      <c r="UDL48" s="76"/>
      <c r="UDM48" s="76"/>
      <c r="UDN48" s="76"/>
      <c r="UDO48" s="76"/>
      <c r="UDP48" s="76"/>
      <c r="UDQ48" s="76"/>
      <c r="UDR48" s="76"/>
      <c r="UDS48" s="76"/>
      <c r="UDT48" s="76"/>
      <c r="UDU48" s="76"/>
      <c r="UDV48" s="76"/>
      <c r="UDW48" s="76"/>
      <c r="UDX48" s="76"/>
      <c r="UDY48" s="76"/>
      <c r="UDZ48" s="76"/>
      <c r="UEA48" s="76"/>
      <c r="UEB48" s="76"/>
      <c r="UEC48" s="76"/>
      <c r="UED48" s="76"/>
      <c r="UEE48" s="76"/>
      <c r="UEF48" s="76"/>
      <c r="UEG48" s="76"/>
      <c r="UEH48" s="76"/>
      <c r="UEI48" s="76"/>
      <c r="UEJ48" s="76"/>
      <c r="UEK48" s="76"/>
      <c r="UEL48" s="76"/>
      <c r="UEM48" s="76"/>
      <c r="UEN48" s="76"/>
      <c r="UEO48" s="76"/>
      <c r="UEP48" s="76"/>
      <c r="UEQ48" s="76"/>
      <c r="UER48" s="76"/>
      <c r="UES48" s="76"/>
      <c r="UET48" s="76"/>
      <c r="UEU48" s="76"/>
      <c r="UEV48" s="76"/>
      <c r="UEW48" s="76"/>
      <c r="UEX48" s="76"/>
      <c r="UEY48" s="76"/>
      <c r="UEZ48" s="76"/>
      <c r="UFA48" s="76"/>
      <c r="UFB48" s="76"/>
      <c r="UFC48" s="76"/>
      <c r="UFD48" s="76"/>
      <c r="UFE48" s="76"/>
      <c r="UFF48" s="76"/>
      <c r="UFG48" s="76"/>
      <c r="UFH48" s="76"/>
      <c r="UFI48" s="76"/>
      <c r="UFJ48" s="76"/>
      <c r="UFK48" s="76"/>
      <c r="UFL48" s="76"/>
      <c r="UFM48" s="76"/>
      <c r="UFN48" s="76"/>
      <c r="UFO48" s="76"/>
      <c r="UFP48" s="76"/>
      <c r="UFQ48" s="76"/>
      <c r="UFR48" s="76"/>
      <c r="UFS48" s="76"/>
      <c r="UFT48" s="76"/>
      <c r="UFU48" s="76"/>
      <c r="UFV48" s="76"/>
      <c r="UFW48" s="76"/>
      <c r="UFX48" s="76"/>
      <c r="UFY48" s="76"/>
      <c r="UFZ48" s="76"/>
      <c r="UGA48" s="76"/>
      <c r="UGB48" s="76"/>
      <c r="UGC48" s="76"/>
      <c r="UGD48" s="76"/>
      <c r="UGE48" s="76"/>
      <c r="UGF48" s="76"/>
      <c r="UGG48" s="76"/>
      <c r="UGH48" s="76"/>
      <c r="UGI48" s="76"/>
      <c r="UGJ48" s="76"/>
      <c r="UGK48" s="76"/>
      <c r="UGL48" s="76"/>
      <c r="UGM48" s="76"/>
      <c r="UGN48" s="76"/>
      <c r="UGO48" s="76"/>
      <c r="UGP48" s="76"/>
      <c r="UGQ48" s="76"/>
      <c r="UGR48" s="76"/>
      <c r="UGS48" s="76"/>
      <c r="UGT48" s="76"/>
      <c r="UGU48" s="76"/>
      <c r="UGV48" s="76"/>
      <c r="UGW48" s="76"/>
      <c r="UGX48" s="76"/>
      <c r="UGY48" s="76"/>
      <c r="UGZ48" s="76"/>
      <c r="UHA48" s="76"/>
      <c r="UHB48" s="76"/>
      <c r="UHC48" s="76"/>
      <c r="UHD48" s="76"/>
      <c r="UHE48" s="76"/>
      <c r="UHF48" s="76"/>
      <c r="UHG48" s="76"/>
      <c r="UHH48" s="76"/>
      <c r="UHI48" s="76"/>
      <c r="UHJ48" s="76"/>
      <c r="UHK48" s="76"/>
      <c r="UHL48" s="76"/>
      <c r="UHM48" s="76"/>
      <c r="UHN48" s="76"/>
      <c r="UHO48" s="76"/>
      <c r="UHP48" s="76"/>
      <c r="UHQ48" s="76"/>
      <c r="UHR48" s="76"/>
      <c r="UHS48" s="76"/>
      <c r="UHT48" s="76"/>
      <c r="UHU48" s="76"/>
      <c r="UHV48" s="76"/>
      <c r="UHW48" s="76"/>
      <c r="UHX48" s="76"/>
      <c r="UHY48" s="76"/>
      <c r="UHZ48" s="76"/>
      <c r="UIA48" s="76"/>
      <c r="UIB48" s="76"/>
      <c r="UIC48" s="76"/>
      <c r="UID48" s="76"/>
      <c r="UIE48" s="76"/>
      <c r="UIF48" s="76"/>
      <c r="UIG48" s="76"/>
      <c r="UIH48" s="76"/>
      <c r="UII48" s="76"/>
      <c r="UIJ48" s="76"/>
      <c r="UIK48" s="76"/>
      <c r="UIL48" s="76"/>
      <c r="UIM48" s="76"/>
      <c r="UIN48" s="76"/>
      <c r="UIO48" s="76"/>
      <c r="UIP48" s="76"/>
      <c r="UIQ48" s="76"/>
      <c r="UIR48" s="76"/>
      <c r="UIS48" s="76"/>
      <c r="UIT48" s="76"/>
      <c r="UIU48" s="76"/>
      <c r="UIV48" s="76"/>
      <c r="UIW48" s="76"/>
      <c r="UIX48" s="76"/>
      <c r="UIY48" s="76"/>
      <c r="UIZ48" s="76"/>
      <c r="UJA48" s="76"/>
      <c r="UJB48" s="76"/>
      <c r="UJC48" s="76"/>
      <c r="UJD48" s="76"/>
      <c r="UJE48" s="76"/>
      <c r="UJF48" s="76"/>
      <c r="UJG48" s="76"/>
      <c r="UJH48" s="76"/>
      <c r="UJI48" s="76"/>
      <c r="UJJ48" s="76"/>
      <c r="UJK48" s="76"/>
      <c r="UJL48" s="76"/>
      <c r="UJM48" s="76"/>
      <c r="UJN48" s="76"/>
      <c r="UJO48" s="76"/>
      <c r="UJP48" s="76"/>
      <c r="UJQ48" s="76"/>
      <c r="UJR48" s="76"/>
      <c r="UJS48" s="76"/>
      <c r="UJT48" s="76"/>
      <c r="UJU48" s="76"/>
      <c r="UJV48" s="76"/>
      <c r="UJW48" s="76"/>
      <c r="UJX48" s="76"/>
      <c r="UJY48" s="76"/>
      <c r="UJZ48" s="76"/>
      <c r="UKA48" s="76"/>
      <c r="UKB48" s="76"/>
      <c r="UKC48" s="76"/>
      <c r="UKD48" s="76"/>
      <c r="UKE48" s="76"/>
      <c r="UKF48" s="76"/>
      <c r="UKG48" s="76"/>
      <c r="UKH48" s="76"/>
      <c r="UKI48" s="76"/>
      <c r="UKJ48" s="76"/>
      <c r="UKK48" s="76"/>
      <c r="UKL48" s="76"/>
      <c r="UKM48" s="76"/>
      <c r="UKN48" s="76"/>
      <c r="UKO48" s="76"/>
      <c r="UKP48" s="76"/>
      <c r="UKQ48" s="76"/>
      <c r="UKR48" s="76"/>
      <c r="UKS48" s="76"/>
      <c r="UKT48" s="76"/>
      <c r="UKU48" s="76"/>
      <c r="UKV48" s="76"/>
      <c r="UKW48" s="76"/>
      <c r="UKX48" s="76"/>
      <c r="UKY48" s="76"/>
      <c r="UKZ48" s="76"/>
      <c r="ULA48" s="76"/>
      <c r="ULB48" s="76"/>
      <c r="ULC48" s="76"/>
      <c r="ULD48" s="76"/>
      <c r="ULE48" s="76"/>
      <c r="ULF48" s="76"/>
      <c r="ULG48" s="76"/>
      <c r="ULH48" s="76"/>
      <c r="ULI48" s="76"/>
      <c r="ULJ48" s="76"/>
      <c r="ULK48" s="76"/>
      <c r="ULL48" s="76"/>
      <c r="ULM48" s="76"/>
      <c r="ULN48" s="76"/>
      <c r="ULO48" s="76"/>
      <c r="ULP48" s="76"/>
      <c r="ULQ48" s="76"/>
      <c r="ULR48" s="76"/>
      <c r="ULS48" s="76"/>
      <c r="ULT48" s="76"/>
      <c r="ULU48" s="76"/>
      <c r="ULV48" s="76"/>
      <c r="ULW48" s="76"/>
      <c r="ULX48" s="76"/>
      <c r="ULY48" s="76"/>
      <c r="ULZ48" s="76"/>
      <c r="UMA48" s="76"/>
      <c r="UMB48" s="76"/>
      <c r="UMC48" s="76"/>
      <c r="UMD48" s="76"/>
      <c r="UME48" s="76"/>
      <c r="UMF48" s="76"/>
      <c r="UMG48" s="76"/>
      <c r="UMH48" s="76"/>
      <c r="UMI48" s="76"/>
      <c r="UMJ48" s="76"/>
      <c r="UMK48" s="76"/>
      <c r="UML48" s="76"/>
      <c r="UMM48" s="76"/>
      <c r="UMN48" s="76"/>
      <c r="UMO48" s="76"/>
      <c r="UMP48" s="76"/>
      <c r="UMQ48" s="76"/>
      <c r="UMR48" s="76"/>
      <c r="UMS48" s="76"/>
      <c r="UMT48" s="76"/>
      <c r="UMU48" s="76"/>
      <c r="UMV48" s="76"/>
      <c r="UMW48" s="76"/>
      <c r="UMX48" s="76"/>
      <c r="UMY48" s="76"/>
      <c r="UMZ48" s="76"/>
      <c r="UNA48" s="76"/>
      <c r="UNB48" s="76"/>
      <c r="UNC48" s="76"/>
      <c r="UND48" s="76"/>
      <c r="UNE48" s="76"/>
      <c r="UNF48" s="76"/>
      <c r="UNG48" s="76"/>
      <c r="UNH48" s="76"/>
      <c r="UNI48" s="76"/>
      <c r="UNJ48" s="76"/>
      <c r="UNK48" s="76"/>
      <c r="UNL48" s="76"/>
      <c r="UNM48" s="76"/>
      <c r="UNN48" s="76"/>
      <c r="UNO48" s="76"/>
      <c r="UNP48" s="76"/>
      <c r="UNQ48" s="76"/>
      <c r="UNR48" s="76"/>
      <c r="UNS48" s="76"/>
      <c r="UNT48" s="76"/>
      <c r="UNU48" s="76"/>
      <c r="UNV48" s="76"/>
      <c r="UNW48" s="76"/>
      <c r="UNX48" s="76"/>
      <c r="UNY48" s="76"/>
      <c r="UNZ48" s="76"/>
      <c r="UOA48" s="76"/>
      <c r="UOB48" s="76"/>
      <c r="UOC48" s="76"/>
      <c r="UOD48" s="76"/>
      <c r="UOE48" s="76"/>
      <c r="UOF48" s="76"/>
      <c r="UOG48" s="76"/>
      <c r="UOH48" s="76"/>
      <c r="UOI48" s="76"/>
      <c r="UOJ48" s="76"/>
      <c r="UOK48" s="76"/>
      <c r="UOL48" s="76"/>
      <c r="UOM48" s="76"/>
      <c r="UON48" s="76"/>
      <c r="UOO48" s="76"/>
      <c r="UOP48" s="76"/>
      <c r="UOQ48" s="76"/>
      <c r="UOR48" s="76"/>
      <c r="UOS48" s="76"/>
      <c r="UOT48" s="76"/>
      <c r="UOU48" s="76"/>
      <c r="UOV48" s="76"/>
      <c r="UOW48" s="76"/>
      <c r="UOX48" s="76"/>
      <c r="UOY48" s="76"/>
      <c r="UOZ48" s="76"/>
      <c r="UPA48" s="76"/>
      <c r="UPB48" s="76"/>
      <c r="UPC48" s="76"/>
      <c r="UPD48" s="76"/>
      <c r="UPE48" s="76"/>
      <c r="UPF48" s="76"/>
      <c r="UPG48" s="76"/>
      <c r="UPH48" s="76"/>
      <c r="UPI48" s="76"/>
      <c r="UPJ48" s="76"/>
      <c r="UPK48" s="76"/>
      <c r="UPL48" s="76"/>
      <c r="UPM48" s="76"/>
      <c r="UPN48" s="76"/>
      <c r="UPO48" s="76"/>
      <c r="UPP48" s="76"/>
      <c r="UPQ48" s="76"/>
      <c r="UPR48" s="76"/>
      <c r="UPS48" s="76"/>
      <c r="UPT48" s="76"/>
      <c r="UPU48" s="76"/>
      <c r="UPV48" s="76"/>
      <c r="UPW48" s="76"/>
      <c r="UPX48" s="76"/>
      <c r="UPY48" s="76"/>
      <c r="UPZ48" s="76"/>
      <c r="UQA48" s="76"/>
      <c r="UQB48" s="76"/>
      <c r="UQC48" s="76"/>
      <c r="UQD48" s="76"/>
      <c r="UQE48" s="76"/>
      <c r="UQF48" s="76"/>
      <c r="UQG48" s="76"/>
      <c r="UQH48" s="76"/>
      <c r="UQI48" s="76"/>
      <c r="UQJ48" s="76"/>
      <c r="UQK48" s="76"/>
      <c r="UQL48" s="76"/>
      <c r="UQM48" s="76"/>
      <c r="UQN48" s="76"/>
      <c r="UQO48" s="76"/>
      <c r="UQP48" s="76"/>
      <c r="UQQ48" s="76"/>
      <c r="UQR48" s="76"/>
      <c r="UQS48" s="76"/>
      <c r="UQT48" s="76"/>
      <c r="UQU48" s="76"/>
      <c r="UQV48" s="76"/>
      <c r="UQW48" s="76"/>
      <c r="UQX48" s="76"/>
      <c r="UQY48" s="76"/>
      <c r="UQZ48" s="76"/>
      <c r="URA48" s="76"/>
      <c r="URB48" s="76"/>
      <c r="URC48" s="76"/>
      <c r="URD48" s="76"/>
      <c r="URE48" s="76"/>
      <c r="URF48" s="76"/>
      <c r="URG48" s="76"/>
      <c r="URH48" s="76"/>
      <c r="URI48" s="76"/>
      <c r="URJ48" s="76"/>
      <c r="URK48" s="76"/>
      <c r="URL48" s="76"/>
      <c r="URM48" s="76"/>
      <c r="URN48" s="76"/>
      <c r="URO48" s="76"/>
      <c r="URP48" s="76"/>
      <c r="URQ48" s="76"/>
      <c r="URR48" s="76"/>
      <c r="URS48" s="76"/>
      <c r="URT48" s="76"/>
      <c r="URU48" s="76"/>
      <c r="URV48" s="76"/>
      <c r="URW48" s="76"/>
      <c r="URX48" s="76"/>
      <c r="URY48" s="76"/>
      <c r="URZ48" s="76"/>
      <c r="USA48" s="76"/>
      <c r="USB48" s="76"/>
      <c r="USC48" s="76"/>
      <c r="USD48" s="76"/>
      <c r="USE48" s="76"/>
      <c r="USF48" s="76"/>
      <c r="USG48" s="76"/>
      <c r="USH48" s="76"/>
      <c r="USI48" s="76"/>
      <c r="USJ48" s="76"/>
      <c r="USK48" s="76"/>
      <c r="USL48" s="76"/>
      <c r="USM48" s="76"/>
      <c r="USN48" s="76"/>
      <c r="USO48" s="76"/>
      <c r="USP48" s="76"/>
      <c r="USQ48" s="76"/>
      <c r="USR48" s="76"/>
      <c r="USS48" s="76"/>
      <c r="UST48" s="76"/>
      <c r="USU48" s="76"/>
      <c r="USV48" s="76"/>
      <c r="USW48" s="76"/>
      <c r="USX48" s="76"/>
      <c r="USY48" s="76"/>
      <c r="USZ48" s="76"/>
      <c r="UTA48" s="76"/>
      <c r="UTB48" s="76"/>
      <c r="UTC48" s="76"/>
      <c r="UTD48" s="76"/>
      <c r="UTE48" s="76"/>
      <c r="UTF48" s="76"/>
      <c r="UTG48" s="76"/>
      <c r="UTH48" s="76"/>
      <c r="UTI48" s="76"/>
      <c r="UTJ48" s="76"/>
      <c r="UTK48" s="76"/>
      <c r="UTL48" s="76"/>
      <c r="UTM48" s="76"/>
      <c r="UTN48" s="76"/>
      <c r="UTO48" s="76"/>
      <c r="UTP48" s="76"/>
      <c r="UTQ48" s="76"/>
      <c r="UTR48" s="76"/>
      <c r="UTS48" s="76"/>
      <c r="UTT48" s="76"/>
      <c r="UTU48" s="76"/>
      <c r="UTV48" s="76"/>
      <c r="UTW48" s="76"/>
      <c r="UTX48" s="76"/>
      <c r="UTY48" s="76"/>
      <c r="UTZ48" s="76"/>
      <c r="UUA48" s="76"/>
      <c r="UUB48" s="76"/>
      <c r="UUC48" s="76"/>
      <c r="UUD48" s="76"/>
      <c r="UUE48" s="76"/>
      <c r="UUF48" s="76"/>
      <c r="UUG48" s="76"/>
      <c r="UUH48" s="76"/>
      <c r="UUI48" s="76"/>
      <c r="UUJ48" s="76"/>
      <c r="UUK48" s="76"/>
      <c r="UUL48" s="76"/>
      <c r="UUM48" s="76"/>
      <c r="UUN48" s="76"/>
      <c r="UUO48" s="76"/>
      <c r="UUP48" s="76"/>
      <c r="UUQ48" s="76"/>
      <c r="UUR48" s="76"/>
      <c r="UUS48" s="76"/>
      <c r="UUT48" s="76"/>
      <c r="UUU48" s="76"/>
      <c r="UUV48" s="76"/>
      <c r="UUW48" s="76"/>
      <c r="UUX48" s="76"/>
      <c r="UUY48" s="76"/>
      <c r="UUZ48" s="76"/>
      <c r="UVA48" s="76"/>
      <c r="UVB48" s="76"/>
      <c r="UVC48" s="76"/>
      <c r="UVD48" s="76"/>
      <c r="UVE48" s="76"/>
      <c r="UVF48" s="76"/>
      <c r="UVG48" s="76"/>
      <c r="UVH48" s="76"/>
      <c r="UVI48" s="76"/>
      <c r="UVJ48" s="76"/>
      <c r="UVK48" s="76"/>
      <c r="UVL48" s="76"/>
      <c r="UVM48" s="76"/>
      <c r="UVN48" s="76"/>
      <c r="UVO48" s="76"/>
      <c r="UVP48" s="76"/>
      <c r="UVQ48" s="76"/>
      <c r="UVR48" s="76"/>
      <c r="UVS48" s="76"/>
      <c r="UVT48" s="76"/>
      <c r="UVU48" s="76"/>
      <c r="UVV48" s="76"/>
      <c r="UVW48" s="76"/>
      <c r="UVX48" s="76"/>
      <c r="UVY48" s="76"/>
      <c r="UVZ48" s="76"/>
      <c r="UWA48" s="76"/>
      <c r="UWB48" s="76"/>
      <c r="UWC48" s="76"/>
      <c r="UWD48" s="76"/>
      <c r="UWE48" s="76"/>
      <c r="UWF48" s="76"/>
      <c r="UWG48" s="76"/>
      <c r="UWH48" s="76"/>
      <c r="UWI48" s="76"/>
      <c r="UWJ48" s="76"/>
      <c r="UWK48" s="76"/>
      <c r="UWL48" s="76"/>
      <c r="UWM48" s="76"/>
      <c r="UWN48" s="76"/>
      <c r="UWO48" s="76"/>
      <c r="UWP48" s="76"/>
      <c r="UWQ48" s="76"/>
      <c r="UWR48" s="76"/>
      <c r="UWS48" s="76"/>
      <c r="UWT48" s="76"/>
      <c r="UWU48" s="76"/>
      <c r="UWV48" s="76"/>
      <c r="UWW48" s="76"/>
      <c r="UWX48" s="76"/>
      <c r="UWY48" s="76"/>
      <c r="UWZ48" s="76"/>
      <c r="UXA48" s="76"/>
      <c r="UXB48" s="76"/>
      <c r="UXC48" s="76"/>
      <c r="UXD48" s="76"/>
      <c r="UXE48" s="76"/>
      <c r="UXF48" s="76"/>
      <c r="UXG48" s="76"/>
      <c r="UXH48" s="76"/>
      <c r="UXI48" s="76"/>
      <c r="UXJ48" s="76"/>
      <c r="UXK48" s="76"/>
      <c r="UXL48" s="76"/>
      <c r="UXM48" s="76"/>
      <c r="UXN48" s="76"/>
      <c r="UXO48" s="76"/>
      <c r="UXP48" s="76"/>
      <c r="UXQ48" s="76"/>
      <c r="UXR48" s="76"/>
      <c r="UXS48" s="76"/>
      <c r="UXT48" s="76"/>
      <c r="UXU48" s="76"/>
      <c r="UXV48" s="76"/>
      <c r="UXW48" s="76"/>
      <c r="UXX48" s="76"/>
      <c r="UXY48" s="76"/>
      <c r="UXZ48" s="76"/>
      <c r="UYA48" s="76"/>
      <c r="UYB48" s="76"/>
      <c r="UYC48" s="76"/>
      <c r="UYD48" s="76"/>
      <c r="UYE48" s="76"/>
      <c r="UYF48" s="76"/>
      <c r="UYG48" s="76"/>
      <c r="UYH48" s="76"/>
      <c r="UYI48" s="76"/>
      <c r="UYJ48" s="76"/>
      <c r="UYK48" s="76"/>
      <c r="UYL48" s="76"/>
      <c r="UYM48" s="76"/>
      <c r="UYN48" s="76"/>
      <c r="UYO48" s="76"/>
      <c r="UYP48" s="76"/>
      <c r="UYQ48" s="76"/>
      <c r="UYR48" s="76"/>
      <c r="UYS48" s="76"/>
      <c r="UYT48" s="76"/>
      <c r="UYU48" s="76"/>
      <c r="UYV48" s="76"/>
      <c r="UYW48" s="76"/>
      <c r="UYX48" s="76"/>
      <c r="UYY48" s="76"/>
      <c r="UYZ48" s="76"/>
      <c r="UZA48" s="76"/>
      <c r="UZB48" s="76"/>
      <c r="UZC48" s="76"/>
      <c r="UZD48" s="76"/>
      <c r="UZE48" s="76"/>
      <c r="UZF48" s="76"/>
      <c r="UZG48" s="76"/>
      <c r="UZH48" s="76"/>
      <c r="UZI48" s="76"/>
      <c r="UZJ48" s="76"/>
      <c r="UZK48" s="76"/>
      <c r="UZL48" s="76"/>
      <c r="UZM48" s="76"/>
      <c r="UZN48" s="76"/>
      <c r="UZO48" s="76"/>
      <c r="UZP48" s="76"/>
      <c r="UZQ48" s="76"/>
      <c r="UZR48" s="76"/>
      <c r="UZS48" s="76"/>
      <c r="UZT48" s="76"/>
      <c r="UZU48" s="76"/>
      <c r="UZV48" s="76"/>
      <c r="UZW48" s="76"/>
      <c r="UZX48" s="76"/>
      <c r="UZY48" s="76"/>
      <c r="UZZ48" s="76"/>
      <c r="VAA48" s="76"/>
      <c r="VAB48" s="76"/>
      <c r="VAC48" s="76"/>
      <c r="VAD48" s="76"/>
      <c r="VAE48" s="76"/>
      <c r="VAF48" s="76"/>
      <c r="VAG48" s="76"/>
      <c r="VAH48" s="76"/>
      <c r="VAI48" s="76"/>
      <c r="VAJ48" s="76"/>
      <c r="VAK48" s="76"/>
      <c r="VAL48" s="76"/>
      <c r="VAM48" s="76"/>
      <c r="VAN48" s="76"/>
      <c r="VAO48" s="76"/>
      <c r="VAP48" s="76"/>
      <c r="VAQ48" s="76"/>
      <c r="VAR48" s="76"/>
      <c r="VAS48" s="76"/>
      <c r="VAT48" s="76"/>
      <c r="VAU48" s="76"/>
      <c r="VAV48" s="76"/>
      <c r="VAW48" s="76"/>
      <c r="VAX48" s="76"/>
      <c r="VAY48" s="76"/>
      <c r="VAZ48" s="76"/>
      <c r="VBA48" s="76"/>
      <c r="VBB48" s="76"/>
      <c r="VBC48" s="76"/>
      <c r="VBD48" s="76"/>
      <c r="VBE48" s="76"/>
      <c r="VBF48" s="76"/>
      <c r="VBG48" s="76"/>
      <c r="VBH48" s="76"/>
      <c r="VBI48" s="76"/>
      <c r="VBJ48" s="76"/>
      <c r="VBK48" s="76"/>
      <c r="VBL48" s="76"/>
      <c r="VBM48" s="76"/>
      <c r="VBN48" s="76"/>
      <c r="VBO48" s="76"/>
      <c r="VBP48" s="76"/>
      <c r="VBQ48" s="76"/>
      <c r="VBR48" s="76"/>
      <c r="VBS48" s="76"/>
      <c r="VBT48" s="76"/>
      <c r="VBU48" s="76"/>
      <c r="VBV48" s="76"/>
      <c r="VBW48" s="76"/>
      <c r="VBX48" s="76"/>
      <c r="VBY48" s="76"/>
      <c r="VBZ48" s="76"/>
      <c r="VCA48" s="76"/>
      <c r="VCB48" s="76"/>
      <c r="VCC48" s="76"/>
      <c r="VCD48" s="76"/>
      <c r="VCE48" s="76"/>
      <c r="VCF48" s="76"/>
      <c r="VCG48" s="76"/>
      <c r="VCH48" s="76"/>
      <c r="VCI48" s="76"/>
      <c r="VCJ48" s="76"/>
      <c r="VCK48" s="76"/>
      <c r="VCL48" s="76"/>
      <c r="VCM48" s="76"/>
      <c r="VCN48" s="76"/>
      <c r="VCO48" s="76"/>
      <c r="VCP48" s="76"/>
      <c r="VCQ48" s="76"/>
      <c r="VCR48" s="76"/>
      <c r="VCS48" s="76"/>
      <c r="VCT48" s="76"/>
      <c r="VCU48" s="76"/>
      <c r="VCV48" s="76"/>
      <c r="VCW48" s="76"/>
      <c r="VCX48" s="76"/>
      <c r="VCY48" s="76"/>
      <c r="VCZ48" s="76"/>
      <c r="VDA48" s="76"/>
      <c r="VDB48" s="76"/>
      <c r="VDC48" s="76"/>
      <c r="VDD48" s="76"/>
      <c r="VDE48" s="76"/>
      <c r="VDF48" s="76"/>
      <c r="VDG48" s="76"/>
      <c r="VDH48" s="76"/>
      <c r="VDI48" s="76"/>
      <c r="VDJ48" s="76"/>
      <c r="VDK48" s="76"/>
      <c r="VDL48" s="76"/>
      <c r="VDM48" s="76"/>
      <c r="VDN48" s="76"/>
      <c r="VDO48" s="76"/>
      <c r="VDP48" s="76"/>
      <c r="VDQ48" s="76"/>
      <c r="VDR48" s="76"/>
      <c r="VDS48" s="76"/>
      <c r="VDT48" s="76"/>
      <c r="VDU48" s="76"/>
      <c r="VDV48" s="76"/>
      <c r="VDW48" s="76"/>
      <c r="VDX48" s="76"/>
      <c r="VDY48" s="76"/>
      <c r="VDZ48" s="76"/>
      <c r="VEA48" s="76"/>
      <c r="VEB48" s="76"/>
      <c r="VEC48" s="76"/>
      <c r="VED48" s="76"/>
      <c r="VEE48" s="76"/>
      <c r="VEF48" s="76"/>
      <c r="VEG48" s="76"/>
      <c r="VEH48" s="76"/>
      <c r="VEI48" s="76"/>
      <c r="VEJ48" s="76"/>
      <c r="VEK48" s="76"/>
      <c r="VEL48" s="76"/>
      <c r="VEM48" s="76"/>
      <c r="VEN48" s="76"/>
      <c r="VEO48" s="76"/>
      <c r="VEP48" s="76"/>
      <c r="VEQ48" s="76"/>
      <c r="VER48" s="76"/>
      <c r="VES48" s="76"/>
      <c r="VET48" s="76"/>
      <c r="VEU48" s="76"/>
      <c r="VEV48" s="76"/>
      <c r="VEW48" s="76"/>
      <c r="VEX48" s="76"/>
      <c r="VEY48" s="76"/>
      <c r="VEZ48" s="76"/>
      <c r="VFA48" s="76"/>
      <c r="VFB48" s="76"/>
      <c r="VFC48" s="76"/>
      <c r="VFD48" s="76"/>
      <c r="VFE48" s="76"/>
      <c r="VFF48" s="76"/>
      <c r="VFG48" s="76"/>
      <c r="VFH48" s="76"/>
      <c r="VFI48" s="76"/>
      <c r="VFJ48" s="76"/>
      <c r="VFK48" s="76"/>
      <c r="VFL48" s="76"/>
      <c r="VFM48" s="76"/>
      <c r="VFN48" s="76"/>
      <c r="VFO48" s="76"/>
      <c r="VFP48" s="76"/>
      <c r="VFQ48" s="76"/>
      <c r="VFR48" s="76"/>
      <c r="VFS48" s="76"/>
      <c r="VFT48" s="76"/>
      <c r="VFU48" s="76"/>
      <c r="VFV48" s="76"/>
      <c r="VFW48" s="76"/>
      <c r="VFX48" s="76"/>
      <c r="VFY48" s="76"/>
      <c r="VFZ48" s="76"/>
      <c r="VGA48" s="76"/>
      <c r="VGB48" s="76"/>
      <c r="VGC48" s="76"/>
      <c r="VGD48" s="76"/>
      <c r="VGE48" s="76"/>
      <c r="VGF48" s="76"/>
      <c r="VGG48" s="76"/>
      <c r="VGH48" s="76"/>
      <c r="VGI48" s="76"/>
      <c r="VGJ48" s="76"/>
      <c r="VGK48" s="76"/>
      <c r="VGL48" s="76"/>
      <c r="VGM48" s="76"/>
      <c r="VGN48" s="76"/>
      <c r="VGO48" s="76"/>
      <c r="VGP48" s="76"/>
      <c r="VGQ48" s="76"/>
      <c r="VGR48" s="76"/>
      <c r="VGS48" s="76"/>
      <c r="VGT48" s="76"/>
      <c r="VGU48" s="76"/>
      <c r="VGV48" s="76"/>
      <c r="VGW48" s="76"/>
      <c r="VGX48" s="76"/>
      <c r="VGY48" s="76"/>
      <c r="VGZ48" s="76"/>
      <c r="VHA48" s="76"/>
      <c r="VHB48" s="76"/>
      <c r="VHC48" s="76"/>
      <c r="VHD48" s="76"/>
      <c r="VHE48" s="76"/>
      <c r="VHF48" s="76"/>
      <c r="VHG48" s="76"/>
      <c r="VHH48" s="76"/>
      <c r="VHI48" s="76"/>
      <c r="VHJ48" s="76"/>
      <c r="VHK48" s="76"/>
      <c r="VHL48" s="76"/>
      <c r="VHM48" s="76"/>
      <c r="VHN48" s="76"/>
      <c r="VHO48" s="76"/>
      <c r="VHP48" s="76"/>
      <c r="VHQ48" s="76"/>
      <c r="VHR48" s="76"/>
      <c r="VHS48" s="76"/>
      <c r="VHT48" s="76"/>
      <c r="VHU48" s="76"/>
      <c r="VHV48" s="76"/>
      <c r="VHW48" s="76"/>
      <c r="VHX48" s="76"/>
      <c r="VHY48" s="76"/>
      <c r="VHZ48" s="76"/>
      <c r="VIA48" s="76"/>
      <c r="VIB48" s="76"/>
      <c r="VIC48" s="76"/>
      <c r="VID48" s="76"/>
      <c r="VIE48" s="76"/>
      <c r="VIF48" s="76"/>
      <c r="VIG48" s="76"/>
      <c r="VIH48" s="76"/>
      <c r="VII48" s="76"/>
      <c r="VIJ48" s="76"/>
      <c r="VIK48" s="76"/>
      <c r="VIL48" s="76"/>
      <c r="VIM48" s="76"/>
      <c r="VIN48" s="76"/>
      <c r="VIO48" s="76"/>
      <c r="VIP48" s="76"/>
      <c r="VIQ48" s="76"/>
      <c r="VIR48" s="76"/>
      <c r="VIS48" s="76"/>
      <c r="VIT48" s="76"/>
      <c r="VIU48" s="76"/>
      <c r="VIV48" s="76"/>
      <c r="VIW48" s="76"/>
      <c r="VIX48" s="76"/>
      <c r="VIY48" s="76"/>
      <c r="VIZ48" s="76"/>
      <c r="VJA48" s="76"/>
      <c r="VJB48" s="76"/>
      <c r="VJC48" s="76"/>
      <c r="VJD48" s="76"/>
      <c r="VJE48" s="76"/>
      <c r="VJF48" s="76"/>
      <c r="VJG48" s="76"/>
      <c r="VJH48" s="76"/>
      <c r="VJI48" s="76"/>
      <c r="VJJ48" s="76"/>
      <c r="VJK48" s="76"/>
      <c r="VJL48" s="76"/>
      <c r="VJM48" s="76"/>
      <c r="VJN48" s="76"/>
      <c r="VJO48" s="76"/>
      <c r="VJP48" s="76"/>
      <c r="VJQ48" s="76"/>
      <c r="VJR48" s="76"/>
      <c r="VJS48" s="76"/>
      <c r="VJT48" s="76"/>
      <c r="VJU48" s="76"/>
      <c r="VJV48" s="76"/>
      <c r="VJW48" s="76"/>
      <c r="VJX48" s="76"/>
      <c r="VJY48" s="76"/>
      <c r="VJZ48" s="76"/>
      <c r="VKA48" s="76"/>
      <c r="VKB48" s="76"/>
      <c r="VKC48" s="76"/>
      <c r="VKD48" s="76"/>
      <c r="VKE48" s="76"/>
      <c r="VKF48" s="76"/>
      <c r="VKG48" s="76"/>
      <c r="VKH48" s="76"/>
      <c r="VKI48" s="76"/>
      <c r="VKJ48" s="76"/>
      <c r="VKK48" s="76"/>
      <c r="VKL48" s="76"/>
      <c r="VKM48" s="76"/>
      <c r="VKN48" s="76"/>
      <c r="VKO48" s="76"/>
      <c r="VKP48" s="76"/>
      <c r="VKQ48" s="76"/>
      <c r="VKR48" s="76"/>
      <c r="VKS48" s="76"/>
      <c r="VKT48" s="76"/>
      <c r="VKU48" s="76"/>
      <c r="VKV48" s="76"/>
      <c r="VKW48" s="76"/>
      <c r="VKX48" s="76"/>
      <c r="VKY48" s="76"/>
      <c r="VKZ48" s="76"/>
      <c r="VLA48" s="76"/>
      <c r="VLB48" s="76"/>
      <c r="VLC48" s="76"/>
      <c r="VLD48" s="76"/>
      <c r="VLE48" s="76"/>
      <c r="VLF48" s="76"/>
      <c r="VLG48" s="76"/>
      <c r="VLH48" s="76"/>
      <c r="VLI48" s="76"/>
      <c r="VLJ48" s="76"/>
      <c r="VLK48" s="76"/>
      <c r="VLL48" s="76"/>
      <c r="VLM48" s="76"/>
      <c r="VLN48" s="76"/>
      <c r="VLO48" s="76"/>
      <c r="VLP48" s="76"/>
      <c r="VLQ48" s="76"/>
      <c r="VLR48" s="76"/>
      <c r="VLS48" s="76"/>
      <c r="VLT48" s="76"/>
      <c r="VLU48" s="76"/>
      <c r="VLV48" s="76"/>
      <c r="VLW48" s="76"/>
      <c r="VLX48" s="76"/>
      <c r="VLY48" s="76"/>
      <c r="VLZ48" s="76"/>
      <c r="VMA48" s="76"/>
      <c r="VMB48" s="76"/>
      <c r="VMC48" s="76"/>
      <c r="VMD48" s="76"/>
      <c r="VME48" s="76"/>
      <c r="VMF48" s="76"/>
      <c r="VMG48" s="76"/>
      <c r="VMH48" s="76"/>
      <c r="VMI48" s="76"/>
      <c r="VMJ48" s="76"/>
      <c r="VMK48" s="76"/>
      <c r="VML48" s="76"/>
      <c r="VMM48" s="76"/>
      <c r="VMN48" s="76"/>
      <c r="VMO48" s="76"/>
      <c r="VMP48" s="76"/>
      <c r="VMQ48" s="76"/>
      <c r="VMR48" s="76"/>
      <c r="VMS48" s="76"/>
      <c r="VMT48" s="76"/>
      <c r="VMU48" s="76"/>
      <c r="VMV48" s="76"/>
      <c r="VMW48" s="76"/>
      <c r="VMX48" s="76"/>
      <c r="VMY48" s="76"/>
      <c r="VMZ48" s="76"/>
      <c r="VNA48" s="76"/>
      <c r="VNB48" s="76"/>
      <c r="VNC48" s="76"/>
      <c r="VND48" s="76"/>
      <c r="VNE48" s="76"/>
      <c r="VNF48" s="76"/>
      <c r="VNG48" s="76"/>
      <c r="VNH48" s="76"/>
      <c r="VNI48" s="76"/>
      <c r="VNJ48" s="76"/>
      <c r="VNK48" s="76"/>
      <c r="VNL48" s="76"/>
      <c r="VNM48" s="76"/>
      <c r="VNN48" s="76"/>
      <c r="VNO48" s="76"/>
      <c r="VNP48" s="76"/>
      <c r="VNQ48" s="76"/>
      <c r="VNR48" s="76"/>
      <c r="VNS48" s="76"/>
      <c r="VNT48" s="76"/>
      <c r="VNU48" s="76"/>
      <c r="VNV48" s="76"/>
      <c r="VNW48" s="76"/>
      <c r="VNX48" s="76"/>
      <c r="VNY48" s="76"/>
      <c r="VNZ48" s="76"/>
      <c r="VOA48" s="76"/>
      <c r="VOB48" s="76"/>
      <c r="VOC48" s="76"/>
      <c r="VOD48" s="76"/>
      <c r="VOE48" s="76"/>
      <c r="VOF48" s="76"/>
      <c r="VOG48" s="76"/>
      <c r="VOH48" s="76"/>
      <c r="VOI48" s="76"/>
      <c r="VOJ48" s="76"/>
      <c r="VOK48" s="76"/>
      <c r="VOL48" s="76"/>
      <c r="VOM48" s="76"/>
      <c r="VON48" s="76"/>
      <c r="VOO48" s="76"/>
      <c r="VOP48" s="76"/>
      <c r="VOQ48" s="76"/>
      <c r="VOR48" s="76"/>
      <c r="VOS48" s="76"/>
      <c r="VOT48" s="76"/>
      <c r="VOU48" s="76"/>
      <c r="VOV48" s="76"/>
      <c r="VOW48" s="76"/>
      <c r="VOX48" s="76"/>
      <c r="VOY48" s="76"/>
      <c r="VOZ48" s="76"/>
      <c r="VPA48" s="76"/>
      <c r="VPB48" s="76"/>
      <c r="VPC48" s="76"/>
      <c r="VPD48" s="76"/>
      <c r="VPE48" s="76"/>
      <c r="VPF48" s="76"/>
      <c r="VPG48" s="76"/>
      <c r="VPH48" s="76"/>
      <c r="VPI48" s="76"/>
      <c r="VPJ48" s="76"/>
      <c r="VPK48" s="76"/>
      <c r="VPL48" s="76"/>
      <c r="VPM48" s="76"/>
      <c r="VPN48" s="76"/>
      <c r="VPO48" s="76"/>
      <c r="VPP48" s="76"/>
      <c r="VPQ48" s="76"/>
      <c r="VPR48" s="76"/>
      <c r="VPS48" s="76"/>
      <c r="VPT48" s="76"/>
      <c r="VPU48" s="76"/>
      <c r="VPV48" s="76"/>
      <c r="VPW48" s="76"/>
      <c r="VPX48" s="76"/>
      <c r="VPY48" s="76"/>
      <c r="VPZ48" s="76"/>
      <c r="VQA48" s="76"/>
      <c r="VQB48" s="76"/>
      <c r="VQC48" s="76"/>
      <c r="VQD48" s="76"/>
      <c r="VQE48" s="76"/>
      <c r="VQF48" s="76"/>
      <c r="VQG48" s="76"/>
      <c r="VQH48" s="76"/>
      <c r="VQI48" s="76"/>
      <c r="VQJ48" s="76"/>
      <c r="VQK48" s="76"/>
      <c r="VQL48" s="76"/>
      <c r="VQM48" s="76"/>
      <c r="VQN48" s="76"/>
      <c r="VQO48" s="76"/>
      <c r="VQP48" s="76"/>
      <c r="VQQ48" s="76"/>
      <c r="VQR48" s="76"/>
      <c r="VQS48" s="76"/>
      <c r="VQT48" s="76"/>
      <c r="VQU48" s="76"/>
      <c r="VQV48" s="76"/>
      <c r="VQW48" s="76"/>
      <c r="VQX48" s="76"/>
      <c r="VQY48" s="76"/>
      <c r="VQZ48" s="76"/>
      <c r="VRA48" s="76"/>
      <c r="VRB48" s="76"/>
      <c r="VRC48" s="76"/>
      <c r="VRD48" s="76"/>
      <c r="VRE48" s="76"/>
      <c r="VRF48" s="76"/>
      <c r="VRG48" s="76"/>
      <c r="VRH48" s="76"/>
      <c r="VRI48" s="76"/>
      <c r="VRJ48" s="76"/>
      <c r="VRK48" s="76"/>
      <c r="VRL48" s="76"/>
      <c r="VRM48" s="76"/>
      <c r="VRN48" s="76"/>
      <c r="VRO48" s="76"/>
      <c r="VRP48" s="76"/>
      <c r="VRQ48" s="76"/>
      <c r="VRR48" s="76"/>
      <c r="VRS48" s="76"/>
      <c r="VRT48" s="76"/>
      <c r="VRU48" s="76"/>
      <c r="VRV48" s="76"/>
      <c r="VRW48" s="76"/>
      <c r="VRX48" s="76"/>
      <c r="VRY48" s="76"/>
      <c r="VRZ48" s="76"/>
      <c r="VSA48" s="76"/>
      <c r="VSB48" s="76"/>
      <c r="VSC48" s="76"/>
      <c r="VSD48" s="76"/>
      <c r="VSE48" s="76"/>
      <c r="VSF48" s="76"/>
      <c r="VSG48" s="76"/>
      <c r="VSH48" s="76"/>
      <c r="VSI48" s="76"/>
      <c r="VSJ48" s="76"/>
      <c r="VSK48" s="76"/>
      <c r="VSL48" s="76"/>
      <c r="VSM48" s="76"/>
      <c r="VSN48" s="76"/>
      <c r="VSO48" s="76"/>
      <c r="VSP48" s="76"/>
      <c r="VSQ48" s="76"/>
      <c r="VSR48" s="76"/>
      <c r="VSS48" s="76"/>
      <c r="VST48" s="76"/>
      <c r="VSU48" s="76"/>
      <c r="VSV48" s="76"/>
      <c r="VSW48" s="76"/>
      <c r="VSX48" s="76"/>
      <c r="VSY48" s="76"/>
      <c r="VSZ48" s="76"/>
      <c r="VTA48" s="76"/>
      <c r="VTB48" s="76"/>
      <c r="VTC48" s="76"/>
      <c r="VTD48" s="76"/>
      <c r="VTE48" s="76"/>
      <c r="VTF48" s="76"/>
      <c r="VTG48" s="76"/>
      <c r="VTH48" s="76"/>
      <c r="VTI48" s="76"/>
      <c r="VTJ48" s="76"/>
      <c r="VTK48" s="76"/>
      <c r="VTL48" s="76"/>
      <c r="VTM48" s="76"/>
      <c r="VTN48" s="76"/>
      <c r="VTO48" s="76"/>
      <c r="VTP48" s="76"/>
      <c r="VTQ48" s="76"/>
      <c r="VTR48" s="76"/>
      <c r="VTS48" s="76"/>
      <c r="VTT48" s="76"/>
      <c r="VTU48" s="76"/>
      <c r="VTV48" s="76"/>
      <c r="VTW48" s="76"/>
      <c r="VTX48" s="76"/>
      <c r="VTY48" s="76"/>
      <c r="VTZ48" s="76"/>
      <c r="VUA48" s="76"/>
      <c r="VUB48" s="76"/>
      <c r="VUC48" s="76"/>
      <c r="VUD48" s="76"/>
      <c r="VUE48" s="76"/>
      <c r="VUF48" s="76"/>
      <c r="VUG48" s="76"/>
      <c r="VUH48" s="76"/>
      <c r="VUI48" s="76"/>
      <c r="VUJ48" s="76"/>
      <c r="VUK48" s="76"/>
      <c r="VUL48" s="76"/>
      <c r="VUM48" s="76"/>
      <c r="VUN48" s="76"/>
      <c r="VUO48" s="76"/>
      <c r="VUP48" s="76"/>
      <c r="VUQ48" s="76"/>
      <c r="VUR48" s="76"/>
      <c r="VUS48" s="76"/>
      <c r="VUT48" s="76"/>
      <c r="VUU48" s="76"/>
      <c r="VUV48" s="76"/>
      <c r="VUW48" s="76"/>
      <c r="VUX48" s="76"/>
      <c r="VUY48" s="76"/>
      <c r="VUZ48" s="76"/>
      <c r="VVA48" s="76"/>
      <c r="VVB48" s="76"/>
      <c r="VVC48" s="76"/>
      <c r="VVD48" s="76"/>
      <c r="VVE48" s="76"/>
      <c r="VVF48" s="76"/>
      <c r="VVG48" s="76"/>
      <c r="VVH48" s="76"/>
      <c r="VVI48" s="76"/>
      <c r="VVJ48" s="76"/>
      <c r="VVK48" s="76"/>
      <c r="VVL48" s="76"/>
      <c r="VVM48" s="76"/>
      <c r="VVN48" s="76"/>
      <c r="VVO48" s="76"/>
      <c r="VVP48" s="76"/>
      <c r="VVQ48" s="76"/>
      <c r="VVR48" s="76"/>
      <c r="VVS48" s="76"/>
      <c r="VVT48" s="76"/>
      <c r="VVU48" s="76"/>
      <c r="VVV48" s="76"/>
      <c r="VVW48" s="76"/>
      <c r="VVX48" s="76"/>
      <c r="VVY48" s="76"/>
      <c r="VVZ48" s="76"/>
      <c r="VWA48" s="76"/>
      <c r="VWB48" s="76"/>
      <c r="VWC48" s="76"/>
      <c r="VWD48" s="76"/>
      <c r="VWE48" s="76"/>
      <c r="VWF48" s="76"/>
      <c r="VWG48" s="76"/>
      <c r="VWH48" s="76"/>
      <c r="VWI48" s="76"/>
      <c r="VWJ48" s="76"/>
      <c r="VWK48" s="76"/>
      <c r="VWL48" s="76"/>
      <c r="VWM48" s="76"/>
      <c r="VWN48" s="76"/>
      <c r="VWO48" s="76"/>
      <c r="VWP48" s="76"/>
      <c r="VWQ48" s="76"/>
      <c r="VWR48" s="76"/>
      <c r="VWS48" s="76"/>
      <c r="VWT48" s="76"/>
      <c r="VWU48" s="76"/>
      <c r="VWV48" s="76"/>
      <c r="VWW48" s="76"/>
      <c r="VWX48" s="76"/>
      <c r="VWY48" s="76"/>
      <c r="VWZ48" s="76"/>
      <c r="VXA48" s="76"/>
      <c r="VXB48" s="76"/>
      <c r="VXC48" s="76"/>
      <c r="VXD48" s="76"/>
      <c r="VXE48" s="76"/>
      <c r="VXF48" s="76"/>
      <c r="VXG48" s="76"/>
      <c r="VXH48" s="76"/>
      <c r="VXI48" s="76"/>
      <c r="VXJ48" s="76"/>
      <c r="VXK48" s="76"/>
      <c r="VXL48" s="76"/>
      <c r="VXM48" s="76"/>
      <c r="VXN48" s="76"/>
      <c r="VXO48" s="76"/>
      <c r="VXP48" s="76"/>
      <c r="VXQ48" s="76"/>
      <c r="VXR48" s="76"/>
      <c r="VXS48" s="76"/>
      <c r="VXT48" s="76"/>
      <c r="VXU48" s="76"/>
      <c r="VXV48" s="76"/>
      <c r="VXW48" s="76"/>
      <c r="VXX48" s="76"/>
      <c r="VXY48" s="76"/>
      <c r="VXZ48" s="76"/>
      <c r="VYA48" s="76"/>
      <c r="VYB48" s="76"/>
      <c r="VYC48" s="76"/>
      <c r="VYD48" s="76"/>
      <c r="VYE48" s="76"/>
      <c r="VYF48" s="76"/>
      <c r="VYG48" s="76"/>
      <c r="VYH48" s="76"/>
      <c r="VYI48" s="76"/>
      <c r="VYJ48" s="76"/>
      <c r="VYK48" s="76"/>
      <c r="VYL48" s="76"/>
      <c r="VYM48" s="76"/>
      <c r="VYN48" s="76"/>
      <c r="VYO48" s="76"/>
      <c r="VYP48" s="76"/>
      <c r="VYQ48" s="76"/>
      <c r="VYR48" s="76"/>
      <c r="VYS48" s="76"/>
      <c r="VYT48" s="76"/>
      <c r="VYU48" s="76"/>
      <c r="VYV48" s="76"/>
      <c r="VYW48" s="76"/>
      <c r="VYX48" s="76"/>
      <c r="VYY48" s="76"/>
      <c r="VYZ48" s="76"/>
      <c r="VZA48" s="76"/>
      <c r="VZB48" s="76"/>
      <c r="VZC48" s="76"/>
      <c r="VZD48" s="76"/>
      <c r="VZE48" s="76"/>
      <c r="VZF48" s="76"/>
      <c r="VZG48" s="76"/>
      <c r="VZH48" s="76"/>
      <c r="VZI48" s="76"/>
      <c r="VZJ48" s="76"/>
      <c r="VZK48" s="76"/>
      <c r="VZL48" s="76"/>
      <c r="VZM48" s="76"/>
      <c r="VZN48" s="76"/>
      <c r="VZO48" s="76"/>
      <c r="VZP48" s="76"/>
      <c r="VZQ48" s="76"/>
      <c r="VZR48" s="76"/>
      <c r="VZS48" s="76"/>
      <c r="VZT48" s="76"/>
      <c r="VZU48" s="76"/>
      <c r="VZV48" s="76"/>
      <c r="VZW48" s="76"/>
      <c r="VZX48" s="76"/>
      <c r="VZY48" s="76"/>
      <c r="VZZ48" s="76"/>
      <c r="WAA48" s="76"/>
      <c r="WAB48" s="76"/>
      <c r="WAC48" s="76"/>
      <c r="WAD48" s="76"/>
      <c r="WAE48" s="76"/>
      <c r="WAF48" s="76"/>
      <c r="WAG48" s="76"/>
      <c r="WAH48" s="76"/>
      <c r="WAI48" s="76"/>
      <c r="WAJ48" s="76"/>
      <c r="WAK48" s="76"/>
      <c r="WAL48" s="76"/>
      <c r="WAM48" s="76"/>
      <c r="WAN48" s="76"/>
      <c r="WAO48" s="76"/>
      <c r="WAP48" s="76"/>
      <c r="WAQ48" s="76"/>
      <c r="WAR48" s="76"/>
      <c r="WAS48" s="76"/>
      <c r="WAT48" s="76"/>
      <c r="WAU48" s="76"/>
      <c r="WAV48" s="76"/>
      <c r="WAW48" s="76"/>
      <c r="WAX48" s="76"/>
      <c r="WAY48" s="76"/>
      <c r="WAZ48" s="76"/>
      <c r="WBA48" s="76"/>
      <c r="WBB48" s="76"/>
      <c r="WBC48" s="76"/>
      <c r="WBD48" s="76"/>
      <c r="WBE48" s="76"/>
      <c r="WBF48" s="76"/>
      <c r="WBG48" s="76"/>
      <c r="WBH48" s="76"/>
      <c r="WBI48" s="76"/>
      <c r="WBJ48" s="76"/>
      <c r="WBK48" s="76"/>
      <c r="WBL48" s="76"/>
      <c r="WBM48" s="76"/>
      <c r="WBN48" s="76"/>
      <c r="WBO48" s="76"/>
      <c r="WBP48" s="76"/>
      <c r="WBQ48" s="76"/>
      <c r="WBR48" s="76"/>
      <c r="WBS48" s="76"/>
      <c r="WBT48" s="76"/>
      <c r="WBU48" s="76"/>
      <c r="WBV48" s="76"/>
      <c r="WBW48" s="76"/>
      <c r="WBX48" s="76"/>
      <c r="WBY48" s="76"/>
      <c r="WBZ48" s="76"/>
      <c r="WCA48" s="76"/>
      <c r="WCB48" s="76"/>
      <c r="WCC48" s="76"/>
      <c r="WCD48" s="76"/>
      <c r="WCE48" s="76"/>
      <c r="WCF48" s="76"/>
      <c r="WCG48" s="76"/>
      <c r="WCH48" s="76"/>
      <c r="WCI48" s="76"/>
      <c r="WCJ48" s="76"/>
      <c r="WCK48" s="76"/>
      <c r="WCL48" s="76"/>
      <c r="WCM48" s="76"/>
      <c r="WCN48" s="76"/>
      <c r="WCO48" s="76"/>
      <c r="WCP48" s="76"/>
      <c r="WCQ48" s="76"/>
      <c r="WCR48" s="76"/>
      <c r="WCS48" s="76"/>
      <c r="WCT48" s="76"/>
      <c r="WCU48" s="76"/>
      <c r="WCV48" s="76"/>
      <c r="WCW48" s="76"/>
      <c r="WCX48" s="76"/>
      <c r="WCY48" s="76"/>
      <c r="WCZ48" s="76"/>
      <c r="WDA48" s="76"/>
      <c r="WDB48" s="76"/>
      <c r="WDC48" s="76"/>
      <c r="WDD48" s="76"/>
      <c r="WDE48" s="76"/>
      <c r="WDF48" s="76"/>
      <c r="WDG48" s="76"/>
      <c r="WDH48" s="76"/>
      <c r="WDI48" s="76"/>
      <c r="WDJ48" s="76"/>
      <c r="WDK48" s="76"/>
      <c r="WDL48" s="76"/>
      <c r="WDM48" s="76"/>
      <c r="WDN48" s="76"/>
      <c r="WDO48" s="76"/>
      <c r="WDP48" s="76"/>
      <c r="WDQ48" s="76"/>
      <c r="WDR48" s="76"/>
      <c r="WDS48" s="76"/>
      <c r="WDT48" s="76"/>
      <c r="WDU48" s="76"/>
      <c r="WDV48" s="76"/>
      <c r="WDW48" s="76"/>
      <c r="WDX48" s="76"/>
      <c r="WDY48" s="76"/>
      <c r="WDZ48" s="76"/>
      <c r="WEA48" s="76"/>
      <c r="WEB48" s="76"/>
      <c r="WEC48" s="76"/>
      <c r="WED48" s="76"/>
      <c r="WEE48" s="76"/>
      <c r="WEF48" s="76"/>
      <c r="WEG48" s="76"/>
      <c r="WEH48" s="76"/>
      <c r="WEI48" s="76"/>
      <c r="WEJ48" s="76"/>
      <c r="WEK48" s="76"/>
      <c r="WEL48" s="76"/>
      <c r="WEM48" s="76"/>
      <c r="WEN48" s="76"/>
      <c r="WEO48" s="76"/>
      <c r="WEP48" s="76"/>
      <c r="WEQ48" s="76"/>
      <c r="WER48" s="76"/>
      <c r="WES48" s="76"/>
      <c r="WET48" s="76"/>
      <c r="WEU48" s="76"/>
      <c r="WEV48" s="76"/>
      <c r="WEW48" s="76"/>
      <c r="WEX48" s="76"/>
      <c r="WEY48" s="76"/>
      <c r="WEZ48" s="76"/>
      <c r="WFA48" s="76"/>
      <c r="WFB48" s="76"/>
      <c r="WFC48" s="76"/>
      <c r="WFD48" s="76"/>
      <c r="WFE48" s="76"/>
      <c r="WFF48" s="76"/>
      <c r="WFG48" s="76"/>
      <c r="WFH48" s="76"/>
      <c r="WFI48" s="76"/>
      <c r="WFJ48" s="76"/>
      <c r="WFK48" s="76"/>
      <c r="WFL48" s="76"/>
      <c r="WFM48" s="76"/>
      <c r="WFN48" s="76"/>
      <c r="WFO48" s="76"/>
      <c r="WFP48" s="76"/>
      <c r="WFQ48" s="76"/>
      <c r="WFR48" s="76"/>
      <c r="WFS48" s="76"/>
      <c r="WFT48" s="76"/>
      <c r="WFU48" s="76"/>
      <c r="WFV48" s="76"/>
      <c r="WFW48" s="76"/>
      <c r="WFX48" s="76"/>
      <c r="WFY48" s="76"/>
      <c r="WFZ48" s="76"/>
      <c r="WGA48" s="76"/>
      <c r="WGB48" s="76"/>
      <c r="WGC48" s="76"/>
      <c r="WGD48" s="76"/>
      <c r="WGE48" s="76"/>
      <c r="WGF48" s="76"/>
      <c r="WGG48" s="76"/>
      <c r="WGH48" s="76"/>
      <c r="WGI48" s="76"/>
      <c r="WGJ48" s="76"/>
      <c r="WGK48" s="76"/>
      <c r="WGL48" s="76"/>
      <c r="WGM48" s="76"/>
      <c r="WGN48" s="76"/>
      <c r="WGO48" s="76"/>
      <c r="WGP48" s="76"/>
      <c r="WGQ48" s="76"/>
      <c r="WGR48" s="76"/>
      <c r="WGS48" s="76"/>
      <c r="WGT48" s="76"/>
      <c r="WGU48" s="76"/>
      <c r="WGV48" s="76"/>
      <c r="WGW48" s="76"/>
      <c r="WGX48" s="76"/>
      <c r="WGY48" s="76"/>
      <c r="WGZ48" s="76"/>
      <c r="WHA48" s="76"/>
      <c r="WHB48" s="76"/>
      <c r="WHC48" s="76"/>
      <c r="WHD48" s="76"/>
      <c r="WHE48" s="76"/>
      <c r="WHF48" s="76"/>
      <c r="WHG48" s="76"/>
      <c r="WHH48" s="76"/>
      <c r="WHI48" s="76"/>
      <c r="WHJ48" s="76"/>
      <c r="WHK48" s="76"/>
      <c r="WHL48" s="76"/>
      <c r="WHM48" s="76"/>
      <c r="WHN48" s="76"/>
      <c r="WHO48" s="76"/>
      <c r="WHP48" s="76"/>
      <c r="WHQ48" s="76"/>
      <c r="WHR48" s="76"/>
      <c r="WHS48" s="76"/>
      <c r="WHT48" s="76"/>
      <c r="WHU48" s="76"/>
      <c r="WHV48" s="76"/>
      <c r="WHW48" s="76"/>
      <c r="WHX48" s="76"/>
      <c r="WHY48" s="76"/>
      <c r="WHZ48" s="76"/>
      <c r="WIA48" s="76"/>
      <c r="WIB48" s="76"/>
      <c r="WIC48" s="76"/>
      <c r="WID48" s="76"/>
      <c r="WIE48" s="76"/>
      <c r="WIF48" s="76"/>
      <c r="WIG48" s="76"/>
      <c r="WIH48" s="76"/>
      <c r="WII48" s="76"/>
      <c r="WIJ48" s="76"/>
      <c r="WIK48" s="76"/>
      <c r="WIL48" s="76"/>
      <c r="WIM48" s="76"/>
      <c r="WIN48" s="76"/>
      <c r="WIO48" s="76"/>
      <c r="WIP48" s="76"/>
      <c r="WIQ48" s="76"/>
      <c r="WIR48" s="76"/>
      <c r="WIS48" s="76"/>
      <c r="WIT48" s="76"/>
      <c r="WIU48" s="76"/>
      <c r="WIV48" s="76"/>
      <c r="WIW48" s="76"/>
      <c r="WIX48" s="76"/>
      <c r="WIY48" s="76"/>
      <c r="WIZ48" s="76"/>
      <c r="WJA48" s="76"/>
      <c r="WJB48" s="76"/>
      <c r="WJC48" s="76"/>
      <c r="WJD48" s="76"/>
      <c r="WJE48" s="76"/>
      <c r="WJF48" s="76"/>
      <c r="WJG48" s="76"/>
      <c r="WJH48" s="76"/>
      <c r="WJI48" s="76"/>
      <c r="WJJ48" s="76"/>
      <c r="WJK48" s="76"/>
      <c r="WJL48" s="76"/>
      <c r="WJM48" s="76"/>
      <c r="WJN48" s="76"/>
      <c r="WJO48" s="76"/>
      <c r="WJP48" s="76"/>
      <c r="WJQ48" s="76"/>
      <c r="WJR48" s="76"/>
      <c r="WJS48" s="76"/>
      <c r="WJT48" s="76"/>
      <c r="WJU48" s="76"/>
      <c r="WJV48" s="76"/>
      <c r="WJW48" s="76"/>
      <c r="WJX48" s="76"/>
      <c r="WJY48" s="76"/>
      <c r="WJZ48" s="76"/>
      <c r="WKA48" s="76"/>
      <c r="WKB48" s="76"/>
      <c r="WKC48" s="76"/>
      <c r="WKD48" s="76"/>
      <c r="WKE48" s="76"/>
      <c r="WKF48" s="76"/>
      <c r="WKG48" s="76"/>
      <c r="WKH48" s="76"/>
      <c r="WKI48" s="76"/>
      <c r="WKJ48" s="76"/>
      <c r="WKK48" s="76"/>
      <c r="WKL48" s="76"/>
      <c r="WKM48" s="76"/>
      <c r="WKN48" s="76"/>
      <c r="WKO48" s="76"/>
      <c r="WKP48" s="76"/>
      <c r="WKQ48" s="76"/>
      <c r="WKR48" s="76"/>
      <c r="WKS48" s="76"/>
      <c r="WKT48" s="76"/>
      <c r="WKU48" s="76"/>
      <c r="WKV48" s="76"/>
      <c r="WKW48" s="76"/>
      <c r="WKX48" s="76"/>
      <c r="WKY48" s="76"/>
      <c r="WKZ48" s="76"/>
      <c r="WLA48" s="76"/>
      <c r="WLB48" s="76"/>
      <c r="WLC48" s="76"/>
      <c r="WLD48" s="76"/>
      <c r="WLE48" s="76"/>
      <c r="WLF48" s="76"/>
      <c r="WLG48" s="76"/>
      <c r="WLH48" s="76"/>
      <c r="WLI48" s="76"/>
      <c r="WLJ48" s="76"/>
      <c r="WLK48" s="76"/>
      <c r="WLL48" s="76"/>
      <c r="WLM48" s="76"/>
      <c r="WLN48" s="76"/>
      <c r="WLO48" s="76"/>
      <c r="WLP48" s="76"/>
      <c r="WLQ48" s="76"/>
      <c r="WLR48" s="76"/>
      <c r="WLS48" s="76"/>
      <c r="WLT48" s="76"/>
      <c r="WLU48" s="76"/>
      <c r="WLV48" s="76"/>
      <c r="WLW48" s="76"/>
      <c r="WLX48" s="76"/>
      <c r="WLY48" s="76"/>
      <c r="WLZ48" s="76"/>
      <c r="WMA48" s="76"/>
      <c r="WMB48" s="76"/>
      <c r="WMC48" s="76"/>
      <c r="WMD48" s="76"/>
      <c r="WME48" s="76"/>
      <c r="WMF48" s="76"/>
      <c r="WMG48" s="76"/>
      <c r="WMH48" s="76"/>
      <c r="WMI48" s="76"/>
      <c r="WMJ48" s="76"/>
      <c r="WMK48" s="76"/>
      <c r="WML48" s="76"/>
      <c r="WMM48" s="76"/>
      <c r="WMN48" s="76"/>
      <c r="WMO48" s="76"/>
      <c r="WMP48" s="76"/>
      <c r="WMQ48" s="76"/>
      <c r="WMR48" s="76"/>
      <c r="WMS48" s="76"/>
      <c r="WMT48" s="76"/>
      <c r="WMU48" s="76"/>
      <c r="WMV48" s="76"/>
      <c r="WMW48" s="76"/>
      <c r="WMX48" s="76"/>
      <c r="WMY48" s="76"/>
      <c r="WMZ48" s="76"/>
      <c r="WNA48" s="76"/>
      <c r="WNB48" s="76"/>
      <c r="WNC48" s="76"/>
      <c r="WND48" s="76"/>
      <c r="WNE48" s="76"/>
      <c r="WNF48" s="76"/>
      <c r="WNG48" s="76"/>
      <c r="WNH48" s="76"/>
      <c r="WNI48" s="76"/>
      <c r="WNJ48" s="76"/>
      <c r="WNK48" s="76"/>
      <c r="WNL48" s="76"/>
      <c r="WNM48" s="76"/>
      <c r="WNN48" s="76"/>
      <c r="WNO48" s="76"/>
      <c r="WNP48" s="76"/>
      <c r="WNQ48" s="76"/>
      <c r="WNR48" s="76"/>
      <c r="WNS48" s="76"/>
      <c r="WNT48" s="76"/>
      <c r="WNU48" s="76"/>
      <c r="WNV48" s="76"/>
      <c r="WNW48" s="76"/>
      <c r="WNX48" s="76"/>
      <c r="WNY48" s="76"/>
      <c r="WNZ48" s="76"/>
      <c r="WOA48" s="76"/>
      <c r="WOB48" s="76"/>
      <c r="WOC48" s="76"/>
      <c r="WOD48" s="76"/>
      <c r="WOE48" s="76"/>
      <c r="WOF48" s="76"/>
      <c r="WOG48" s="76"/>
      <c r="WOH48" s="76"/>
      <c r="WOI48" s="76"/>
      <c r="WOJ48" s="76"/>
      <c r="WOK48" s="76"/>
      <c r="WOL48" s="76"/>
      <c r="WOM48" s="76"/>
      <c r="WON48" s="76"/>
      <c r="WOO48" s="76"/>
      <c r="WOP48" s="76"/>
      <c r="WOQ48" s="76"/>
      <c r="WOR48" s="76"/>
      <c r="WOS48" s="76"/>
      <c r="WOT48" s="76"/>
      <c r="WOU48" s="76"/>
      <c r="WOV48" s="76"/>
      <c r="WOW48" s="76"/>
      <c r="WOX48" s="76"/>
      <c r="WOY48" s="76"/>
      <c r="WOZ48" s="76"/>
      <c r="WPA48" s="76"/>
      <c r="WPB48" s="76"/>
      <c r="WPC48" s="76"/>
      <c r="WPD48" s="76"/>
      <c r="WPE48" s="76"/>
      <c r="WPF48" s="76"/>
      <c r="WPG48" s="76"/>
      <c r="WPH48" s="76"/>
      <c r="WPI48" s="76"/>
      <c r="WPJ48" s="76"/>
      <c r="WPK48" s="76"/>
      <c r="WPL48" s="76"/>
      <c r="WPM48" s="76"/>
      <c r="WPN48" s="76"/>
      <c r="WPO48" s="76"/>
      <c r="WPP48" s="76"/>
      <c r="WPQ48" s="76"/>
      <c r="WPR48" s="76"/>
      <c r="WPS48" s="76"/>
      <c r="WPT48" s="76"/>
      <c r="WPU48" s="76"/>
      <c r="WPV48" s="76"/>
      <c r="WPW48" s="76"/>
      <c r="WPX48" s="76"/>
      <c r="WPY48" s="76"/>
      <c r="WPZ48" s="76"/>
      <c r="WQA48" s="76"/>
      <c r="WQB48" s="76"/>
      <c r="WQC48" s="76"/>
      <c r="WQD48" s="76"/>
      <c r="WQE48" s="76"/>
      <c r="WQF48" s="76"/>
      <c r="WQG48" s="76"/>
      <c r="WQH48" s="76"/>
      <c r="WQI48" s="76"/>
      <c r="WQJ48" s="76"/>
      <c r="WQK48" s="76"/>
      <c r="WQL48" s="76"/>
      <c r="WQM48" s="76"/>
      <c r="WQN48" s="76"/>
      <c r="WQO48" s="76"/>
      <c r="WQP48" s="76"/>
      <c r="WQQ48" s="76"/>
      <c r="WQR48" s="76"/>
      <c r="WQS48" s="76"/>
      <c r="WQT48" s="76"/>
      <c r="WQU48" s="76"/>
      <c r="WQV48" s="76"/>
      <c r="WQW48" s="76"/>
      <c r="WQX48" s="76"/>
      <c r="WQY48" s="76"/>
      <c r="WQZ48" s="76"/>
      <c r="WRA48" s="76"/>
      <c r="WRB48" s="76"/>
      <c r="WRC48" s="76"/>
      <c r="WRD48" s="76"/>
      <c r="WRE48" s="76"/>
      <c r="WRF48" s="76"/>
      <c r="WRG48" s="76"/>
      <c r="WRH48" s="76"/>
      <c r="WRI48" s="76"/>
      <c r="WRJ48" s="76"/>
      <c r="WRK48" s="76"/>
      <c r="WRL48" s="76"/>
      <c r="WRM48" s="76"/>
      <c r="WRN48" s="76"/>
      <c r="WRO48" s="76"/>
      <c r="WRP48" s="76"/>
      <c r="WRQ48" s="76"/>
      <c r="WRR48" s="76"/>
      <c r="WRS48" s="76"/>
      <c r="WRT48" s="76"/>
      <c r="WRU48" s="76"/>
      <c r="WRV48" s="76"/>
      <c r="WRW48" s="76"/>
      <c r="WRX48" s="76"/>
      <c r="WRY48" s="76"/>
      <c r="WRZ48" s="76"/>
      <c r="WSA48" s="76"/>
      <c r="WSB48" s="76"/>
      <c r="WSC48" s="76"/>
      <c r="WSD48" s="76"/>
      <c r="WSE48" s="76"/>
      <c r="WSF48" s="76"/>
      <c r="WSG48" s="76"/>
      <c r="WSH48" s="76"/>
      <c r="WSI48" s="76"/>
      <c r="WSJ48" s="76"/>
      <c r="WSK48" s="76"/>
      <c r="WSL48" s="76"/>
      <c r="WSM48" s="76"/>
      <c r="WSN48" s="76"/>
      <c r="WSO48" s="76"/>
      <c r="WSP48" s="76"/>
      <c r="WSQ48" s="76"/>
      <c r="WSR48" s="76"/>
      <c r="WSS48" s="76"/>
      <c r="WST48" s="76"/>
      <c r="WSU48" s="76"/>
      <c r="WSV48" s="76"/>
      <c r="WSW48" s="76"/>
      <c r="WSX48" s="76"/>
      <c r="WSY48" s="76"/>
      <c r="WSZ48" s="76"/>
      <c r="WTA48" s="76"/>
      <c r="WTB48" s="76"/>
      <c r="WTC48" s="76"/>
      <c r="WTD48" s="76"/>
      <c r="WTE48" s="76"/>
      <c r="WTF48" s="76"/>
      <c r="WTG48" s="76"/>
      <c r="WTH48" s="76"/>
      <c r="WTI48" s="76"/>
      <c r="WTJ48" s="76"/>
      <c r="WTK48" s="76"/>
      <c r="WTL48" s="76"/>
      <c r="WTM48" s="76"/>
      <c r="WTN48" s="76"/>
      <c r="WTO48" s="76"/>
      <c r="WTP48" s="76"/>
      <c r="WTQ48" s="76"/>
      <c r="WTR48" s="76"/>
      <c r="WTS48" s="76"/>
      <c r="WTT48" s="76"/>
      <c r="WTU48" s="76"/>
      <c r="WTV48" s="76"/>
      <c r="WTW48" s="76"/>
      <c r="WTX48" s="76"/>
      <c r="WTY48" s="76"/>
      <c r="WTZ48" s="76"/>
      <c r="WUA48" s="76"/>
      <c r="WUB48" s="76"/>
      <c r="WUC48" s="76"/>
      <c r="WUD48" s="76"/>
      <c r="WUE48" s="76"/>
      <c r="WUF48" s="76"/>
      <c r="WUG48" s="76"/>
      <c r="WUH48" s="76"/>
      <c r="WUI48" s="76"/>
      <c r="WUJ48" s="76"/>
      <c r="WUK48" s="76"/>
      <c r="WUL48" s="76"/>
      <c r="WUM48" s="76"/>
      <c r="WUN48" s="76"/>
      <c r="WUO48" s="76"/>
      <c r="WUP48" s="76"/>
      <c r="WUQ48" s="76"/>
      <c r="WUR48" s="76"/>
      <c r="WUS48" s="76"/>
      <c r="WUT48" s="76"/>
      <c r="WUU48" s="76"/>
      <c r="WUV48" s="76"/>
      <c r="WUW48" s="76"/>
      <c r="WUX48" s="76"/>
      <c r="WUY48" s="76"/>
      <c r="WUZ48" s="76"/>
      <c r="WVA48" s="76"/>
      <c r="WVB48" s="76"/>
      <c r="WVC48" s="76"/>
      <c r="WVD48" s="76"/>
      <c r="WVE48" s="76"/>
      <c r="WVF48" s="76"/>
      <c r="WVG48" s="76"/>
      <c r="WVH48" s="76"/>
      <c r="WVI48" s="76"/>
      <c r="WVJ48" s="76"/>
      <c r="WVK48" s="76"/>
      <c r="WVL48" s="76"/>
      <c r="WVM48" s="76"/>
      <c r="WVN48" s="76"/>
      <c r="WVO48" s="76"/>
      <c r="WVP48" s="76"/>
      <c r="WVQ48" s="76"/>
      <c r="WVR48" s="76"/>
      <c r="WVS48" s="76"/>
      <c r="WVT48" s="76"/>
      <c r="WVU48" s="76"/>
      <c r="WVV48" s="76"/>
      <c r="WVW48" s="76"/>
      <c r="WVX48" s="76"/>
      <c r="WVY48" s="76"/>
      <c r="WVZ48" s="76"/>
      <c r="WWA48" s="76"/>
      <c r="WWB48" s="76"/>
      <c r="WWC48" s="76"/>
      <c r="WWD48" s="76"/>
      <c r="WWE48" s="76"/>
      <c r="WWF48" s="76"/>
      <c r="WWG48" s="76"/>
      <c r="WWH48" s="76"/>
      <c r="WWI48" s="76"/>
      <c r="WWJ48" s="76"/>
      <c r="WWK48" s="76"/>
      <c r="WWL48" s="76"/>
      <c r="WWM48" s="76"/>
      <c r="WWN48" s="76"/>
      <c r="WWO48" s="76"/>
      <c r="WWP48" s="76"/>
      <c r="WWQ48" s="76"/>
      <c r="WWR48" s="76"/>
      <c r="WWS48" s="76"/>
      <c r="WWT48" s="76"/>
      <c r="WWU48" s="76"/>
      <c r="WWV48" s="76"/>
      <c r="WWW48" s="76"/>
      <c r="WWX48" s="76"/>
      <c r="WWY48" s="76"/>
      <c r="WWZ48" s="76"/>
      <c r="WXA48" s="76"/>
    </row>
    <row r="49" spans="1:16173" s="77" customFormat="1" ht="34" customHeight="1" x14ac:dyDescent="0.55000000000000004">
      <c r="A49" s="76"/>
      <c r="B49" s="76"/>
      <c r="C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6"/>
      <c r="CE49" s="76"/>
      <c r="CF49" s="76"/>
      <c r="CG49" s="76"/>
      <c r="CH49" s="76"/>
      <c r="CI49" s="76"/>
      <c r="CJ49" s="76"/>
      <c r="CK49" s="76"/>
      <c r="CL49" s="76"/>
      <c r="CM49" s="76"/>
      <c r="CN49" s="76"/>
      <c r="CO49" s="76"/>
      <c r="CP49" s="76"/>
      <c r="CQ49" s="76"/>
      <c r="CR49" s="76"/>
      <c r="CS49" s="76"/>
      <c r="CT49" s="76"/>
      <c r="CU49" s="76"/>
      <c r="CV49" s="76"/>
      <c r="CW49" s="76"/>
      <c r="CX49" s="76"/>
      <c r="CY49" s="76"/>
      <c r="CZ49" s="76"/>
      <c r="DA49" s="76"/>
      <c r="DB49" s="76"/>
      <c r="DC49" s="76"/>
      <c r="DD49" s="76"/>
      <c r="DE49" s="76"/>
      <c r="DF49" s="76"/>
      <c r="DG49" s="76"/>
      <c r="DH49" s="76"/>
      <c r="DI49" s="76"/>
      <c r="DJ49" s="76"/>
      <c r="DK49" s="76"/>
      <c r="DL49" s="76"/>
      <c r="DM49" s="76"/>
      <c r="DN49" s="76"/>
      <c r="DO49" s="76"/>
      <c r="DP49" s="76"/>
      <c r="DQ49" s="76"/>
      <c r="DR49" s="76"/>
      <c r="DS49" s="76"/>
      <c r="DT49" s="76"/>
      <c r="DU49" s="76"/>
      <c r="DV49" s="76"/>
      <c r="DW49" s="76"/>
      <c r="DX49" s="76"/>
      <c r="DY49" s="76"/>
      <c r="DZ49" s="76"/>
      <c r="EA49" s="76"/>
      <c r="EB49" s="76"/>
      <c r="EC49" s="76"/>
      <c r="ED49" s="76"/>
      <c r="EE49" s="76"/>
      <c r="EF49" s="76"/>
      <c r="EG49" s="76"/>
      <c r="EH49" s="76"/>
      <c r="EI49" s="76"/>
      <c r="EJ49" s="76"/>
      <c r="EK49" s="76"/>
      <c r="EL49" s="76"/>
      <c r="EM49" s="76"/>
      <c r="EN49" s="76"/>
      <c r="EO49" s="76"/>
      <c r="EP49" s="76"/>
      <c r="EQ49" s="76"/>
      <c r="ER49" s="76"/>
      <c r="ES49" s="76"/>
      <c r="ET49" s="76"/>
      <c r="EU49" s="76"/>
      <c r="EV49" s="76"/>
      <c r="EW49" s="76"/>
      <c r="EX49" s="76"/>
      <c r="EY49" s="76"/>
      <c r="EZ49" s="76"/>
      <c r="FA49" s="76"/>
      <c r="FB49" s="76"/>
      <c r="FC49" s="76"/>
      <c r="FD49" s="76"/>
      <c r="FE49" s="76"/>
      <c r="FF49" s="76"/>
      <c r="FG49" s="76"/>
      <c r="FH49" s="76"/>
      <c r="FI49" s="76"/>
      <c r="FJ49" s="76"/>
      <c r="FK49" s="76"/>
      <c r="FL49" s="76"/>
      <c r="FM49" s="76"/>
      <c r="FN49" s="76"/>
      <c r="FO49" s="76"/>
      <c r="FP49" s="76"/>
      <c r="FQ49" s="76"/>
      <c r="FR49" s="76"/>
      <c r="FS49" s="76"/>
      <c r="FT49" s="76"/>
      <c r="FU49" s="76"/>
      <c r="FV49" s="76"/>
      <c r="FW49" s="76"/>
      <c r="FX49" s="76"/>
      <c r="FY49" s="76"/>
      <c r="FZ49" s="76"/>
      <c r="GA49" s="76"/>
      <c r="GB49" s="76"/>
      <c r="GC49" s="76"/>
      <c r="GD49" s="76"/>
      <c r="GE49" s="76"/>
      <c r="GF49" s="76"/>
      <c r="GG49" s="76"/>
      <c r="GH49" s="76"/>
      <c r="GI49" s="76"/>
      <c r="GJ49" s="76"/>
      <c r="GK49" s="76"/>
      <c r="GL49" s="76"/>
      <c r="GM49" s="76"/>
      <c r="GN49" s="76"/>
      <c r="GO49" s="76"/>
      <c r="GP49" s="76"/>
      <c r="GQ49" s="76"/>
      <c r="GR49" s="76"/>
      <c r="GS49" s="76"/>
      <c r="GT49" s="76"/>
      <c r="GU49" s="76"/>
      <c r="GV49" s="76"/>
      <c r="GW49" s="76"/>
      <c r="GX49" s="76"/>
      <c r="GY49" s="76"/>
      <c r="GZ49" s="76"/>
      <c r="HA49" s="76"/>
      <c r="HB49" s="76"/>
      <c r="HC49" s="76"/>
      <c r="HD49" s="76"/>
      <c r="HE49" s="76"/>
      <c r="HF49" s="76"/>
      <c r="HG49" s="76"/>
      <c r="HH49" s="76"/>
      <c r="HI49" s="76"/>
      <c r="HJ49" s="76"/>
      <c r="HK49" s="76"/>
      <c r="HL49" s="76"/>
      <c r="HM49" s="76"/>
      <c r="HN49" s="76"/>
      <c r="HO49" s="76"/>
      <c r="HP49" s="76"/>
      <c r="HQ49" s="76"/>
      <c r="HR49" s="76"/>
      <c r="HS49" s="76"/>
      <c r="HT49" s="76"/>
      <c r="HU49" s="76"/>
      <c r="HV49" s="76"/>
      <c r="HW49" s="76"/>
      <c r="HX49" s="76"/>
      <c r="HY49" s="76"/>
      <c r="HZ49" s="76"/>
      <c r="IA49" s="76"/>
      <c r="IB49" s="76"/>
      <c r="IC49" s="76"/>
      <c r="ID49" s="76"/>
      <c r="IE49" s="76"/>
      <c r="IF49" s="76"/>
      <c r="IG49" s="76"/>
      <c r="IH49" s="76"/>
      <c r="II49" s="76"/>
      <c r="IJ49" s="76"/>
      <c r="IK49" s="76"/>
      <c r="IL49" s="76"/>
      <c r="IM49" s="76"/>
      <c r="IN49" s="76"/>
      <c r="IO49" s="76"/>
      <c r="IP49" s="76"/>
      <c r="IQ49" s="76"/>
      <c r="IR49" s="76"/>
      <c r="IS49" s="76"/>
      <c r="IT49" s="76"/>
      <c r="IU49" s="76"/>
      <c r="IV49" s="76"/>
      <c r="IW49" s="76"/>
      <c r="IX49" s="76"/>
      <c r="IY49" s="76"/>
      <c r="IZ49" s="76"/>
      <c r="JA49" s="76"/>
      <c r="JB49" s="76"/>
      <c r="JC49" s="76"/>
      <c r="JD49" s="76"/>
      <c r="JE49" s="76"/>
      <c r="JF49" s="76"/>
      <c r="JG49" s="76"/>
      <c r="JH49" s="76"/>
      <c r="JI49" s="76"/>
      <c r="JJ49" s="76"/>
      <c r="JK49" s="76"/>
      <c r="JL49" s="76"/>
      <c r="JM49" s="76"/>
      <c r="JN49" s="76"/>
      <c r="JO49" s="76"/>
      <c r="JP49" s="76"/>
      <c r="JQ49" s="76"/>
      <c r="JR49" s="76"/>
      <c r="JS49" s="76"/>
      <c r="JT49" s="76"/>
      <c r="JU49" s="76"/>
      <c r="JV49" s="76"/>
      <c r="JW49" s="76"/>
      <c r="JX49" s="76"/>
      <c r="JY49" s="76"/>
      <c r="JZ49" s="76"/>
      <c r="KA49" s="76"/>
      <c r="KB49" s="76"/>
      <c r="KC49" s="76"/>
      <c r="KD49" s="76"/>
      <c r="KE49" s="76"/>
      <c r="KF49" s="76"/>
      <c r="KG49" s="76"/>
      <c r="KH49" s="76"/>
      <c r="KI49" s="76"/>
      <c r="KJ49" s="76"/>
      <c r="KK49" s="76"/>
      <c r="KL49" s="76"/>
      <c r="KM49" s="76"/>
      <c r="KN49" s="76"/>
      <c r="KO49" s="76"/>
      <c r="KP49" s="76"/>
      <c r="KQ49" s="76"/>
      <c r="KR49" s="76"/>
      <c r="KS49" s="76"/>
      <c r="KT49" s="76"/>
      <c r="KU49" s="76"/>
      <c r="KV49" s="76"/>
      <c r="KW49" s="76"/>
      <c r="KX49" s="76"/>
      <c r="KY49" s="76"/>
      <c r="KZ49" s="76"/>
      <c r="LA49" s="76"/>
      <c r="LB49" s="76"/>
      <c r="LC49" s="76"/>
      <c r="LD49" s="76"/>
      <c r="LE49" s="76"/>
      <c r="LF49" s="76"/>
      <c r="LG49" s="76"/>
      <c r="LH49" s="76"/>
      <c r="LI49" s="76"/>
      <c r="LJ49" s="76"/>
      <c r="LK49" s="76"/>
      <c r="LL49" s="76"/>
      <c r="LM49" s="76"/>
      <c r="LN49" s="76"/>
      <c r="LO49" s="76"/>
      <c r="LP49" s="76"/>
      <c r="LQ49" s="76"/>
      <c r="LR49" s="76"/>
      <c r="LS49" s="76"/>
      <c r="LT49" s="76"/>
      <c r="LU49" s="76"/>
      <c r="LV49" s="76"/>
      <c r="LW49" s="76"/>
      <c r="LX49" s="76"/>
      <c r="LY49" s="76"/>
      <c r="LZ49" s="76"/>
      <c r="MA49" s="76"/>
      <c r="MB49" s="76"/>
      <c r="MC49" s="76"/>
      <c r="MD49" s="76"/>
      <c r="ME49" s="76"/>
      <c r="MF49" s="76"/>
      <c r="MG49" s="76"/>
      <c r="MH49" s="76"/>
      <c r="MI49" s="76"/>
      <c r="MJ49" s="76"/>
      <c r="MK49" s="76"/>
      <c r="ML49" s="76"/>
      <c r="MM49" s="76"/>
      <c r="MN49" s="76"/>
      <c r="MO49" s="76"/>
      <c r="MP49" s="76"/>
      <c r="MQ49" s="76"/>
      <c r="MR49" s="76"/>
      <c r="MS49" s="76"/>
      <c r="MT49" s="76"/>
      <c r="MU49" s="76"/>
      <c r="MV49" s="76"/>
      <c r="MW49" s="76"/>
      <c r="MX49" s="76"/>
      <c r="MY49" s="76"/>
      <c r="MZ49" s="76"/>
      <c r="NA49" s="76"/>
      <c r="NB49" s="76"/>
      <c r="NC49" s="76"/>
      <c r="ND49" s="76"/>
      <c r="NE49" s="76"/>
      <c r="NF49" s="76"/>
      <c r="NG49" s="76"/>
      <c r="NH49" s="76"/>
      <c r="NI49" s="76"/>
      <c r="NJ49" s="76"/>
      <c r="NK49" s="76"/>
      <c r="NL49" s="76"/>
      <c r="NM49" s="76"/>
      <c r="NN49" s="76"/>
      <c r="NO49" s="76"/>
      <c r="NP49" s="76"/>
      <c r="NQ49" s="76"/>
      <c r="NR49" s="76"/>
      <c r="NS49" s="76"/>
      <c r="NT49" s="76"/>
      <c r="NU49" s="76"/>
      <c r="NV49" s="76"/>
      <c r="NW49" s="76"/>
      <c r="NX49" s="76"/>
      <c r="NY49" s="76"/>
      <c r="NZ49" s="76"/>
      <c r="OA49" s="76"/>
      <c r="OB49" s="76"/>
      <c r="OC49" s="76"/>
      <c r="OD49" s="76"/>
      <c r="OE49" s="76"/>
      <c r="OF49" s="76"/>
      <c r="OG49" s="76"/>
      <c r="OH49" s="76"/>
      <c r="OI49" s="76"/>
      <c r="OJ49" s="76"/>
      <c r="OK49" s="76"/>
      <c r="OL49" s="76"/>
      <c r="OM49" s="76"/>
      <c r="ON49" s="76"/>
      <c r="OO49" s="76"/>
      <c r="OP49" s="76"/>
      <c r="OQ49" s="76"/>
      <c r="OR49" s="76"/>
      <c r="OS49" s="76"/>
      <c r="OT49" s="76"/>
      <c r="OU49" s="76"/>
      <c r="OV49" s="76"/>
      <c r="OW49" s="76"/>
      <c r="OX49" s="76"/>
      <c r="OY49" s="76"/>
      <c r="OZ49" s="76"/>
      <c r="PA49" s="76"/>
      <c r="PB49" s="76"/>
      <c r="PC49" s="76"/>
      <c r="PD49" s="76"/>
      <c r="PE49" s="76"/>
      <c r="PF49" s="76"/>
      <c r="PG49" s="76"/>
      <c r="PH49" s="76"/>
      <c r="PI49" s="76"/>
      <c r="PJ49" s="76"/>
      <c r="PK49" s="76"/>
      <c r="PL49" s="76"/>
      <c r="PM49" s="76"/>
      <c r="PN49" s="76"/>
      <c r="PO49" s="76"/>
      <c r="PP49" s="76"/>
      <c r="PQ49" s="76"/>
      <c r="PR49" s="76"/>
      <c r="PS49" s="76"/>
      <c r="PT49" s="76"/>
      <c r="PU49" s="76"/>
      <c r="PV49" s="76"/>
      <c r="PW49" s="76"/>
      <c r="PX49" s="76"/>
      <c r="PY49" s="76"/>
      <c r="PZ49" s="76"/>
      <c r="QA49" s="76"/>
      <c r="QB49" s="76"/>
      <c r="QC49" s="76"/>
      <c r="QD49" s="76"/>
      <c r="QE49" s="76"/>
      <c r="QF49" s="76"/>
      <c r="QG49" s="76"/>
      <c r="QH49" s="76"/>
      <c r="QI49" s="76"/>
      <c r="QJ49" s="76"/>
      <c r="QK49" s="76"/>
      <c r="QL49" s="76"/>
      <c r="QM49" s="76"/>
      <c r="QN49" s="76"/>
      <c r="QO49" s="76"/>
      <c r="QP49" s="76"/>
      <c r="QQ49" s="76"/>
      <c r="QR49" s="76"/>
      <c r="QS49" s="76"/>
      <c r="QT49" s="76"/>
      <c r="QU49" s="76"/>
      <c r="QV49" s="76"/>
      <c r="QW49" s="76"/>
      <c r="QX49" s="76"/>
      <c r="QY49" s="76"/>
      <c r="QZ49" s="76"/>
      <c r="RA49" s="76"/>
      <c r="RB49" s="76"/>
      <c r="RC49" s="76"/>
      <c r="RD49" s="76"/>
      <c r="RE49" s="76"/>
      <c r="RF49" s="76"/>
      <c r="RG49" s="76"/>
      <c r="RH49" s="76"/>
      <c r="RI49" s="76"/>
      <c r="RJ49" s="76"/>
      <c r="RK49" s="76"/>
      <c r="RL49" s="76"/>
      <c r="RM49" s="76"/>
      <c r="RN49" s="76"/>
      <c r="RO49" s="76"/>
      <c r="RP49" s="76"/>
      <c r="RQ49" s="76"/>
      <c r="RR49" s="76"/>
      <c r="RS49" s="76"/>
      <c r="RT49" s="76"/>
      <c r="RU49" s="76"/>
      <c r="RV49" s="76"/>
      <c r="RW49" s="76"/>
      <c r="RX49" s="76"/>
      <c r="RY49" s="76"/>
      <c r="RZ49" s="76"/>
      <c r="SA49" s="76"/>
      <c r="SB49" s="76"/>
      <c r="SC49" s="76"/>
      <c r="SD49" s="76"/>
      <c r="SE49" s="76"/>
      <c r="SF49" s="76"/>
      <c r="SG49" s="76"/>
      <c r="SH49" s="76"/>
      <c r="SI49" s="76"/>
      <c r="SJ49" s="76"/>
      <c r="SK49" s="76"/>
      <c r="SL49" s="76"/>
      <c r="SM49" s="76"/>
      <c r="SN49" s="76"/>
      <c r="SO49" s="76"/>
      <c r="SP49" s="76"/>
      <c r="SQ49" s="76"/>
      <c r="SR49" s="76"/>
      <c r="SS49" s="76"/>
      <c r="ST49" s="76"/>
      <c r="SU49" s="76"/>
      <c r="SV49" s="76"/>
      <c r="SW49" s="76"/>
      <c r="SX49" s="76"/>
      <c r="SY49" s="76"/>
      <c r="SZ49" s="76"/>
      <c r="TA49" s="76"/>
      <c r="TB49" s="76"/>
      <c r="TC49" s="76"/>
      <c r="TD49" s="76"/>
      <c r="TE49" s="76"/>
      <c r="TF49" s="76"/>
      <c r="TG49" s="76"/>
      <c r="TH49" s="76"/>
      <c r="TI49" s="76"/>
      <c r="TJ49" s="76"/>
      <c r="TK49" s="76"/>
      <c r="TL49" s="76"/>
      <c r="TM49" s="76"/>
      <c r="TN49" s="76"/>
      <c r="TO49" s="76"/>
      <c r="TP49" s="76"/>
      <c r="TQ49" s="76"/>
      <c r="TR49" s="76"/>
      <c r="TS49" s="76"/>
      <c r="TT49" s="76"/>
      <c r="TU49" s="76"/>
      <c r="TV49" s="76"/>
      <c r="TW49" s="76"/>
      <c r="TX49" s="76"/>
      <c r="TY49" s="76"/>
      <c r="TZ49" s="76"/>
      <c r="UA49" s="76"/>
      <c r="UB49" s="76"/>
      <c r="UC49" s="76"/>
      <c r="UD49" s="76"/>
      <c r="UE49" s="76"/>
      <c r="UF49" s="76"/>
      <c r="UG49" s="76"/>
      <c r="UH49" s="76"/>
      <c r="UI49" s="76"/>
      <c r="UJ49" s="76"/>
      <c r="UK49" s="76"/>
      <c r="UL49" s="76"/>
      <c r="UM49" s="76"/>
      <c r="UN49" s="76"/>
      <c r="UO49" s="76"/>
      <c r="UP49" s="76"/>
      <c r="UQ49" s="76"/>
      <c r="UR49" s="76"/>
      <c r="US49" s="76"/>
      <c r="UT49" s="76"/>
      <c r="UU49" s="76"/>
      <c r="UV49" s="76"/>
      <c r="UW49" s="76"/>
      <c r="UX49" s="76"/>
      <c r="UY49" s="76"/>
      <c r="UZ49" s="76"/>
      <c r="VA49" s="76"/>
      <c r="VB49" s="76"/>
      <c r="VC49" s="76"/>
      <c r="VD49" s="76"/>
      <c r="VE49" s="76"/>
      <c r="VF49" s="76"/>
      <c r="VG49" s="76"/>
      <c r="VH49" s="76"/>
      <c r="VI49" s="76"/>
      <c r="VJ49" s="76"/>
      <c r="VK49" s="76"/>
      <c r="VL49" s="76"/>
      <c r="VM49" s="76"/>
      <c r="VN49" s="76"/>
      <c r="VO49" s="76"/>
      <c r="VP49" s="76"/>
      <c r="VQ49" s="76"/>
      <c r="VR49" s="76"/>
      <c r="VS49" s="76"/>
      <c r="VT49" s="76"/>
      <c r="VU49" s="76"/>
      <c r="VV49" s="76"/>
      <c r="VW49" s="76"/>
      <c r="VX49" s="76"/>
      <c r="VY49" s="76"/>
      <c r="VZ49" s="76"/>
      <c r="WA49" s="76"/>
      <c r="WB49" s="76"/>
      <c r="WC49" s="76"/>
      <c r="WD49" s="76"/>
      <c r="WE49" s="76"/>
      <c r="WF49" s="76"/>
      <c r="WG49" s="76"/>
      <c r="WH49" s="76"/>
      <c r="WI49" s="76"/>
      <c r="WJ49" s="76"/>
      <c r="WK49" s="76"/>
      <c r="WL49" s="76"/>
      <c r="WM49" s="76"/>
      <c r="WN49" s="76"/>
      <c r="WO49" s="76"/>
      <c r="WP49" s="76"/>
      <c r="WQ49" s="76"/>
      <c r="WR49" s="76"/>
      <c r="WS49" s="76"/>
      <c r="WT49" s="76"/>
      <c r="WU49" s="76"/>
      <c r="WV49" s="76"/>
      <c r="WW49" s="76"/>
      <c r="WX49" s="76"/>
      <c r="WY49" s="76"/>
      <c r="WZ49" s="76"/>
      <c r="XA49" s="76"/>
      <c r="XB49" s="76"/>
      <c r="XC49" s="76"/>
      <c r="XD49" s="76"/>
      <c r="XE49" s="76"/>
      <c r="XF49" s="76"/>
      <c r="XG49" s="76"/>
      <c r="XH49" s="76"/>
      <c r="XI49" s="76"/>
      <c r="XJ49" s="76"/>
      <c r="XK49" s="76"/>
      <c r="XL49" s="76"/>
      <c r="XM49" s="76"/>
      <c r="XN49" s="76"/>
      <c r="XO49" s="76"/>
      <c r="XP49" s="76"/>
      <c r="XQ49" s="76"/>
      <c r="XR49" s="76"/>
      <c r="XS49" s="76"/>
      <c r="XT49" s="76"/>
      <c r="XU49" s="76"/>
      <c r="XV49" s="76"/>
      <c r="XW49" s="76"/>
      <c r="XX49" s="76"/>
      <c r="XY49" s="76"/>
      <c r="XZ49" s="76"/>
      <c r="YA49" s="76"/>
      <c r="YB49" s="76"/>
      <c r="YC49" s="76"/>
      <c r="YD49" s="76"/>
      <c r="YE49" s="76"/>
      <c r="YF49" s="76"/>
      <c r="YG49" s="76"/>
      <c r="YH49" s="76"/>
      <c r="YI49" s="76"/>
      <c r="YJ49" s="76"/>
      <c r="YK49" s="76"/>
      <c r="YL49" s="76"/>
      <c r="YM49" s="76"/>
      <c r="YN49" s="76"/>
      <c r="YO49" s="76"/>
      <c r="YP49" s="76"/>
      <c r="YQ49" s="76"/>
      <c r="YR49" s="76"/>
      <c r="YS49" s="76"/>
      <c r="YT49" s="76"/>
      <c r="YU49" s="76"/>
      <c r="YV49" s="76"/>
      <c r="YW49" s="76"/>
      <c r="YX49" s="76"/>
      <c r="YY49" s="76"/>
      <c r="YZ49" s="76"/>
      <c r="ZA49" s="76"/>
      <c r="ZB49" s="76"/>
      <c r="ZC49" s="76"/>
      <c r="ZD49" s="76"/>
      <c r="ZE49" s="76"/>
      <c r="ZF49" s="76"/>
      <c r="ZG49" s="76"/>
      <c r="ZH49" s="76"/>
      <c r="ZI49" s="76"/>
      <c r="ZJ49" s="76"/>
      <c r="ZK49" s="76"/>
      <c r="ZL49" s="76"/>
      <c r="ZM49" s="76"/>
      <c r="ZN49" s="76"/>
      <c r="ZO49" s="76"/>
      <c r="ZP49" s="76"/>
      <c r="ZQ49" s="76"/>
      <c r="ZR49" s="76"/>
      <c r="ZS49" s="76"/>
      <c r="ZT49" s="76"/>
      <c r="ZU49" s="76"/>
      <c r="ZV49" s="76"/>
      <c r="ZW49" s="76"/>
      <c r="ZX49" s="76"/>
      <c r="ZY49" s="76"/>
      <c r="ZZ49" s="76"/>
      <c r="AAA49" s="76"/>
      <c r="AAB49" s="76"/>
      <c r="AAC49" s="76"/>
      <c r="AAD49" s="76"/>
      <c r="AAE49" s="76"/>
      <c r="AAF49" s="76"/>
      <c r="AAG49" s="76"/>
      <c r="AAH49" s="76"/>
      <c r="AAI49" s="76"/>
      <c r="AAJ49" s="76"/>
      <c r="AAK49" s="76"/>
      <c r="AAL49" s="76"/>
      <c r="AAM49" s="76"/>
      <c r="AAN49" s="76"/>
      <c r="AAO49" s="76"/>
      <c r="AAP49" s="76"/>
      <c r="AAQ49" s="76"/>
      <c r="AAR49" s="76"/>
      <c r="AAS49" s="76"/>
      <c r="AAT49" s="76"/>
      <c r="AAU49" s="76"/>
      <c r="AAV49" s="76"/>
      <c r="AAW49" s="76"/>
      <c r="AAX49" s="76"/>
      <c r="AAY49" s="76"/>
      <c r="AAZ49" s="76"/>
      <c r="ABA49" s="76"/>
      <c r="ABB49" s="76"/>
      <c r="ABC49" s="76"/>
      <c r="ABD49" s="76"/>
      <c r="ABE49" s="76"/>
      <c r="ABF49" s="76"/>
      <c r="ABG49" s="76"/>
      <c r="ABH49" s="76"/>
      <c r="ABI49" s="76"/>
      <c r="ABJ49" s="76"/>
      <c r="ABK49" s="76"/>
      <c r="ABL49" s="76"/>
      <c r="ABM49" s="76"/>
      <c r="ABN49" s="76"/>
      <c r="ABO49" s="76"/>
      <c r="ABP49" s="76"/>
      <c r="ABQ49" s="76"/>
      <c r="ABR49" s="76"/>
      <c r="ABS49" s="76"/>
      <c r="ABT49" s="76"/>
      <c r="ABU49" s="76"/>
      <c r="ABV49" s="76"/>
      <c r="ABW49" s="76"/>
      <c r="ABX49" s="76"/>
      <c r="ABY49" s="76"/>
      <c r="ABZ49" s="76"/>
      <c r="ACA49" s="76"/>
      <c r="ACB49" s="76"/>
      <c r="ACC49" s="76"/>
      <c r="ACD49" s="76"/>
      <c r="ACE49" s="76"/>
      <c r="ACF49" s="76"/>
      <c r="ACG49" s="76"/>
      <c r="ACH49" s="76"/>
      <c r="ACI49" s="76"/>
      <c r="ACJ49" s="76"/>
      <c r="ACK49" s="76"/>
      <c r="ACL49" s="76"/>
      <c r="ACM49" s="76"/>
      <c r="ACN49" s="76"/>
      <c r="ACO49" s="76"/>
      <c r="ACP49" s="76"/>
      <c r="ACQ49" s="76"/>
      <c r="ACR49" s="76"/>
      <c r="ACS49" s="76"/>
      <c r="ACT49" s="76"/>
      <c r="ACU49" s="76"/>
      <c r="ACV49" s="76"/>
      <c r="ACW49" s="76"/>
      <c r="ACX49" s="76"/>
      <c r="ACY49" s="76"/>
      <c r="ACZ49" s="76"/>
      <c r="ADA49" s="76"/>
      <c r="ADB49" s="76"/>
      <c r="ADC49" s="76"/>
      <c r="ADD49" s="76"/>
      <c r="ADE49" s="76"/>
      <c r="ADF49" s="76"/>
      <c r="ADG49" s="76"/>
      <c r="ADH49" s="76"/>
      <c r="ADI49" s="76"/>
      <c r="ADJ49" s="76"/>
      <c r="ADK49" s="76"/>
      <c r="ADL49" s="76"/>
      <c r="ADM49" s="76"/>
      <c r="ADN49" s="76"/>
      <c r="ADO49" s="76"/>
      <c r="ADP49" s="76"/>
      <c r="ADQ49" s="76"/>
      <c r="ADR49" s="76"/>
      <c r="ADS49" s="76"/>
      <c r="ADT49" s="76"/>
      <c r="ADU49" s="76"/>
      <c r="ADV49" s="76"/>
      <c r="ADW49" s="76"/>
      <c r="ADX49" s="76"/>
      <c r="ADY49" s="76"/>
      <c r="ADZ49" s="76"/>
      <c r="AEA49" s="76"/>
      <c r="AEB49" s="76"/>
      <c r="AEC49" s="76"/>
      <c r="AED49" s="76"/>
      <c r="AEE49" s="76"/>
      <c r="AEF49" s="76"/>
      <c r="AEG49" s="76"/>
      <c r="AEH49" s="76"/>
      <c r="AEI49" s="76"/>
      <c r="AEJ49" s="76"/>
      <c r="AEK49" s="76"/>
      <c r="AEL49" s="76"/>
      <c r="AEM49" s="76"/>
      <c r="AEN49" s="76"/>
      <c r="AEO49" s="76"/>
      <c r="AEP49" s="76"/>
      <c r="AEQ49" s="76"/>
      <c r="AER49" s="76"/>
      <c r="AES49" s="76"/>
      <c r="AET49" s="76"/>
      <c r="AEU49" s="76"/>
      <c r="AEV49" s="76"/>
      <c r="AEW49" s="76"/>
      <c r="AEX49" s="76"/>
      <c r="AEY49" s="76"/>
      <c r="AEZ49" s="76"/>
      <c r="AFA49" s="76"/>
      <c r="AFB49" s="76"/>
      <c r="AFC49" s="76"/>
      <c r="AFD49" s="76"/>
      <c r="AFE49" s="76"/>
      <c r="AFF49" s="76"/>
      <c r="AFG49" s="76"/>
      <c r="AFH49" s="76"/>
      <c r="AFI49" s="76"/>
      <c r="AFJ49" s="76"/>
      <c r="AFK49" s="76"/>
      <c r="AFL49" s="76"/>
      <c r="AFM49" s="76"/>
      <c r="AFN49" s="76"/>
      <c r="AFO49" s="76"/>
      <c r="AFP49" s="76"/>
      <c r="AFQ49" s="76"/>
      <c r="AFR49" s="76"/>
      <c r="AFS49" s="76"/>
      <c r="AFT49" s="76"/>
      <c r="AFU49" s="76"/>
      <c r="AFV49" s="76"/>
      <c r="AFW49" s="76"/>
      <c r="AFX49" s="76"/>
      <c r="AFY49" s="76"/>
      <c r="AFZ49" s="76"/>
      <c r="AGA49" s="76"/>
      <c r="AGB49" s="76"/>
      <c r="AGC49" s="76"/>
      <c r="AGD49" s="76"/>
      <c r="AGE49" s="76"/>
      <c r="AGF49" s="76"/>
      <c r="AGG49" s="76"/>
      <c r="AGH49" s="76"/>
      <c r="AGI49" s="76"/>
      <c r="AGJ49" s="76"/>
      <c r="AGK49" s="76"/>
      <c r="AGL49" s="76"/>
      <c r="AGM49" s="76"/>
      <c r="AGN49" s="76"/>
      <c r="AGO49" s="76"/>
      <c r="AGP49" s="76"/>
      <c r="AGQ49" s="76"/>
      <c r="AGR49" s="76"/>
      <c r="AGS49" s="76"/>
      <c r="AGT49" s="76"/>
      <c r="AGU49" s="76"/>
      <c r="AGV49" s="76"/>
      <c r="AGW49" s="76"/>
      <c r="AGX49" s="76"/>
      <c r="AGY49" s="76"/>
      <c r="AGZ49" s="76"/>
      <c r="AHA49" s="76"/>
      <c r="AHB49" s="76"/>
      <c r="AHC49" s="76"/>
      <c r="AHD49" s="76"/>
      <c r="AHE49" s="76"/>
      <c r="AHF49" s="76"/>
      <c r="AHG49" s="76"/>
      <c r="AHH49" s="76"/>
      <c r="AHI49" s="76"/>
      <c r="AHJ49" s="76"/>
      <c r="AHK49" s="76"/>
      <c r="AHL49" s="76"/>
      <c r="AHM49" s="76"/>
      <c r="AHN49" s="76"/>
      <c r="AHO49" s="76"/>
      <c r="AHP49" s="76"/>
      <c r="AHQ49" s="76"/>
      <c r="AHR49" s="76"/>
      <c r="AHS49" s="76"/>
      <c r="AHT49" s="76"/>
      <c r="AHU49" s="76"/>
      <c r="AHV49" s="76"/>
      <c r="AHW49" s="76"/>
      <c r="AHX49" s="76"/>
      <c r="AHY49" s="76"/>
      <c r="AHZ49" s="76"/>
      <c r="AIA49" s="76"/>
      <c r="AIB49" s="76"/>
      <c r="AIC49" s="76"/>
      <c r="AID49" s="76"/>
      <c r="AIE49" s="76"/>
      <c r="AIF49" s="76"/>
      <c r="AIG49" s="76"/>
      <c r="AIH49" s="76"/>
      <c r="AII49" s="76"/>
      <c r="AIJ49" s="76"/>
      <c r="AIK49" s="76"/>
      <c r="AIL49" s="76"/>
      <c r="AIM49" s="76"/>
      <c r="AIN49" s="76"/>
      <c r="AIO49" s="76"/>
      <c r="AIP49" s="76"/>
      <c r="AIQ49" s="76"/>
      <c r="AIR49" s="76"/>
      <c r="AIS49" s="76"/>
      <c r="AIT49" s="76"/>
      <c r="AIU49" s="76"/>
      <c r="AIV49" s="76"/>
      <c r="AIW49" s="76"/>
      <c r="AIX49" s="76"/>
      <c r="AIY49" s="76"/>
      <c r="AIZ49" s="76"/>
      <c r="AJA49" s="76"/>
      <c r="AJB49" s="76"/>
      <c r="AJC49" s="76"/>
      <c r="AJD49" s="76"/>
      <c r="AJE49" s="76"/>
      <c r="AJF49" s="76"/>
      <c r="AJG49" s="76"/>
      <c r="AJH49" s="76"/>
      <c r="AJI49" s="76"/>
      <c r="AJJ49" s="76"/>
      <c r="AJK49" s="76"/>
      <c r="AJL49" s="76"/>
      <c r="AJM49" s="76"/>
      <c r="AJN49" s="76"/>
      <c r="AJO49" s="76"/>
      <c r="AJP49" s="76"/>
      <c r="AJQ49" s="76"/>
      <c r="AJR49" s="76"/>
      <c r="AJS49" s="76"/>
      <c r="AJT49" s="76"/>
      <c r="AJU49" s="76"/>
      <c r="AJV49" s="76"/>
      <c r="AJW49" s="76"/>
      <c r="AJX49" s="76"/>
      <c r="AJY49" s="76"/>
      <c r="AJZ49" s="76"/>
      <c r="AKA49" s="76"/>
      <c r="AKB49" s="76"/>
      <c r="AKC49" s="76"/>
      <c r="AKD49" s="76"/>
      <c r="AKE49" s="76"/>
      <c r="AKF49" s="76"/>
      <c r="AKG49" s="76"/>
      <c r="AKH49" s="76"/>
      <c r="AKI49" s="76"/>
      <c r="AKJ49" s="76"/>
      <c r="AKK49" s="76"/>
      <c r="AKL49" s="76"/>
      <c r="AKM49" s="76"/>
      <c r="AKN49" s="76"/>
      <c r="AKO49" s="76"/>
      <c r="AKP49" s="76"/>
      <c r="AKQ49" s="76"/>
      <c r="AKR49" s="76"/>
      <c r="AKS49" s="76"/>
      <c r="AKT49" s="76"/>
      <c r="AKU49" s="76"/>
      <c r="AKV49" s="76"/>
      <c r="AKW49" s="76"/>
      <c r="AKX49" s="76"/>
      <c r="AKY49" s="76"/>
      <c r="AKZ49" s="76"/>
      <c r="ALA49" s="76"/>
      <c r="ALB49" s="76"/>
      <c r="ALC49" s="76"/>
      <c r="ALD49" s="76"/>
      <c r="ALE49" s="76"/>
      <c r="ALF49" s="76"/>
      <c r="ALG49" s="76"/>
      <c r="ALH49" s="76"/>
      <c r="ALI49" s="76"/>
      <c r="ALJ49" s="76"/>
      <c r="ALK49" s="76"/>
      <c r="ALL49" s="76"/>
      <c r="ALM49" s="76"/>
      <c r="ALN49" s="76"/>
      <c r="ALO49" s="76"/>
      <c r="ALP49" s="76"/>
      <c r="ALQ49" s="76"/>
      <c r="ALR49" s="76"/>
      <c r="ALS49" s="76"/>
      <c r="ALT49" s="76"/>
      <c r="ALU49" s="76"/>
      <c r="ALV49" s="76"/>
      <c r="ALW49" s="76"/>
      <c r="ALX49" s="76"/>
      <c r="ALY49" s="76"/>
      <c r="ALZ49" s="76"/>
      <c r="AMA49" s="76"/>
      <c r="AMB49" s="76"/>
      <c r="AMC49" s="76"/>
      <c r="AMD49" s="76"/>
      <c r="AME49" s="76"/>
      <c r="AMF49" s="76"/>
      <c r="AMG49" s="76"/>
      <c r="AMH49" s="76"/>
      <c r="AMI49" s="76"/>
      <c r="AMJ49" s="76"/>
      <c r="AMK49" s="76"/>
      <c r="AML49" s="76"/>
      <c r="AMM49" s="76"/>
      <c r="AMN49" s="76"/>
      <c r="AMO49" s="76"/>
      <c r="AMP49" s="76"/>
      <c r="AMQ49" s="76"/>
      <c r="AMR49" s="76"/>
      <c r="AMS49" s="76"/>
      <c r="AMT49" s="76"/>
      <c r="AMU49" s="76"/>
      <c r="AMV49" s="76"/>
      <c r="AMW49" s="76"/>
      <c r="AMX49" s="76"/>
      <c r="AMY49" s="76"/>
      <c r="AMZ49" s="76"/>
      <c r="ANA49" s="76"/>
      <c r="ANB49" s="76"/>
      <c r="ANC49" s="76"/>
      <c r="AND49" s="76"/>
      <c r="ANE49" s="76"/>
      <c r="ANF49" s="76"/>
      <c r="ANG49" s="76"/>
      <c r="ANH49" s="76"/>
      <c r="ANI49" s="76"/>
      <c r="ANJ49" s="76"/>
      <c r="ANK49" s="76"/>
      <c r="ANL49" s="76"/>
      <c r="ANM49" s="76"/>
      <c r="ANN49" s="76"/>
      <c r="ANO49" s="76"/>
      <c r="ANP49" s="76"/>
      <c r="ANQ49" s="76"/>
      <c r="ANR49" s="76"/>
      <c r="ANS49" s="76"/>
      <c r="ANT49" s="76"/>
      <c r="ANU49" s="76"/>
      <c r="ANV49" s="76"/>
      <c r="ANW49" s="76"/>
      <c r="ANX49" s="76"/>
      <c r="ANY49" s="76"/>
      <c r="ANZ49" s="76"/>
      <c r="AOA49" s="76"/>
      <c r="AOB49" s="76"/>
      <c r="AOC49" s="76"/>
      <c r="AOD49" s="76"/>
      <c r="AOE49" s="76"/>
      <c r="AOF49" s="76"/>
      <c r="AOG49" s="76"/>
      <c r="AOH49" s="76"/>
      <c r="AOI49" s="76"/>
      <c r="AOJ49" s="76"/>
      <c r="AOK49" s="76"/>
      <c r="AOL49" s="76"/>
      <c r="AOM49" s="76"/>
      <c r="AON49" s="76"/>
      <c r="AOO49" s="76"/>
      <c r="AOP49" s="76"/>
      <c r="AOQ49" s="76"/>
      <c r="AOR49" s="76"/>
      <c r="AOS49" s="76"/>
      <c r="AOT49" s="76"/>
      <c r="AOU49" s="76"/>
      <c r="AOV49" s="76"/>
      <c r="AOW49" s="76"/>
      <c r="AOX49" s="76"/>
      <c r="AOY49" s="76"/>
      <c r="AOZ49" s="76"/>
      <c r="APA49" s="76"/>
      <c r="APB49" s="76"/>
      <c r="APC49" s="76"/>
      <c r="APD49" s="76"/>
      <c r="APE49" s="76"/>
      <c r="APF49" s="76"/>
      <c r="APG49" s="76"/>
      <c r="APH49" s="76"/>
      <c r="API49" s="76"/>
      <c r="APJ49" s="76"/>
      <c r="APK49" s="76"/>
      <c r="APL49" s="76"/>
      <c r="APM49" s="76"/>
      <c r="APN49" s="76"/>
      <c r="APO49" s="76"/>
      <c r="APP49" s="76"/>
      <c r="APQ49" s="76"/>
      <c r="APR49" s="76"/>
      <c r="APS49" s="76"/>
      <c r="APT49" s="76"/>
      <c r="APU49" s="76"/>
      <c r="APV49" s="76"/>
      <c r="APW49" s="76"/>
      <c r="APX49" s="76"/>
      <c r="APY49" s="76"/>
      <c r="APZ49" s="76"/>
      <c r="AQA49" s="76"/>
      <c r="AQB49" s="76"/>
      <c r="AQC49" s="76"/>
      <c r="AQD49" s="76"/>
      <c r="AQE49" s="76"/>
      <c r="AQF49" s="76"/>
      <c r="AQG49" s="76"/>
      <c r="AQH49" s="76"/>
      <c r="AQI49" s="76"/>
      <c r="AQJ49" s="76"/>
      <c r="AQK49" s="76"/>
      <c r="AQL49" s="76"/>
      <c r="AQM49" s="76"/>
      <c r="AQN49" s="76"/>
      <c r="AQO49" s="76"/>
      <c r="AQP49" s="76"/>
      <c r="AQQ49" s="76"/>
      <c r="AQR49" s="76"/>
      <c r="AQS49" s="76"/>
      <c r="AQT49" s="76"/>
      <c r="AQU49" s="76"/>
      <c r="AQV49" s="76"/>
      <c r="AQW49" s="76"/>
      <c r="AQX49" s="76"/>
      <c r="AQY49" s="76"/>
      <c r="AQZ49" s="76"/>
      <c r="ARA49" s="76"/>
      <c r="ARB49" s="76"/>
      <c r="ARC49" s="76"/>
      <c r="ARD49" s="76"/>
      <c r="ARE49" s="76"/>
      <c r="ARF49" s="76"/>
      <c r="ARG49" s="76"/>
      <c r="ARH49" s="76"/>
      <c r="ARI49" s="76"/>
      <c r="ARJ49" s="76"/>
      <c r="ARK49" s="76"/>
      <c r="ARL49" s="76"/>
      <c r="ARM49" s="76"/>
      <c r="ARN49" s="76"/>
      <c r="ARO49" s="76"/>
      <c r="ARP49" s="76"/>
      <c r="ARQ49" s="76"/>
      <c r="ARR49" s="76"/>
      <c r="ARS49" s="76"/>
      <c r="ART49" s="76"/>
      <c r="ARU49" s="76"/>
      <c r="ARV49" s="76"/>
      <c r="ARW49" s="76"/>
      <c r="ARX49" s="76"/>
      <c r="ARY49" s="76"/>
      <c r="ARZ49" s="76"/>
      <c r="ASA49" s="76"/>
      <c r="ASB49" s="76"/>
      <c r="ASC49" s="76"/>
      <c r="ASD49" s="76"/>
      <c r="ASE49" s="76"/>
      <c r="ASF49" s="76"/>
      <c r="ASG49" s="76"/>
      <c r="ASH49" s="76"/>
      <c r="ASI49" s="76"/>
      <c r="ASJ49" s="76"/>
      <c r="ASK49" s="76"/>
      <c r="ASL49" s="76"/>
      <c r="ASM49" s="76"/>
      <c r="ASN49" s="76"/>
      <c r="ASO49" s="76"/>
      <c r="ASP49" s="76"/>
      <c r="ASQ49" s="76"/>
      <c r="ASR49" s="76"/>
      <c r="ASS49" s="76"/>
      <c r="AST49" s="76"/>
      <c r="ASU49" s="76"/>
      <c r="ASV49" s="76"/>
      <c r="ASW49" s="76"/>
      <c r="ASX49" s="76"/>
      <c r="ASY49" s="76"/>
      <c r="ASZ49" s="76"/>
      <c r="ATA49" s="76"/>
      <c r="ATB49" s="76"/>
      <c r="ATC49" s="76"/>
      <c r="ATD49" s="76"/>
      <c r="ATE49" s="76"/>
      <c r="ATF49" s="76"/>
      <c r="ATG49" s="76"/>
      <c r="ATH49" s="76"/>
      <c r="ATI49" s="76"/>
      <c r="ATJ49" s="76"/>
      <c r="ATK49" s="76"/>
      <c r="ATL49" s="76"/>
      <c r="ATM49" s="76"/>
      <c r="ATN49" s="76"/>
      <c r="ATO49" s="76"/>
      <c r="ATP49" s="76"/>
      <c r="ATQ49" s="76"/>
      <c r="ATR49" s="76"/>
      <c r="ATS49" s="76"/>
      <c r="ATT49" s="76"/>
      <c r="ATU49" s="76"/>
      <c r="ATV49" s="76"/>
      <c r="ATW49" s="76"/>
      <c r="ATX49" s="76"/>
      <c r="ATY49" s="76"/>
      <c r="ATZ49" s="76"/>
      <c r="AUA49" s="76"/>
      <c r="AUB49" s="76"/>
      <c r="AUC49" s="76"/>
      <c r="AUD49" s="76"/>
      <c r="AUE49" s="76"/>
      <c r="AUF49" s="76"/>
      <c r="AUG49" s="76"/>
      <c r="AUH49" s="76"/>
      <c r="AUI49" s="76"/>
      <c r="AUJ49" s="76"/>
      <c r="AUK49" s="76"/>
      <c r="AUL49" s="76"/>
      <c r="AUM49" s="76"/>
      <c r="AUN49" s="76"/>
      <c r="AUO49" s="76"/>
      <c r="AUP49" s="76"/>
      <c r="AUQ49" s="76"/>
      <c r="AUR49" s="76"/>
      <c r="AUS49" s="76"/>
      <c r="AUT49" s="76"/>
      <c r="AUU49" s="76"/>
      <c r="AUV49" s="76"/>
      <c r="AUW49" s="76"/>
      <c r="AUX49" s="76"/>
      <c r="AUY49" s="76"/>
      <c r="AUZ49" s="76"/>
      <c r="AVA49" s="76"/>
      <c r="AVB49" s="76"/>
      <c r="AVC49" s="76"/>
      <c r="AVD49" s="76"/>
      <c r="AVE49" s="76"/>
      <c r="AVF49" s="76"/>
      <c r="AVG49" s="76"/>
      <c r="AVH49" s="76"/>
      <c r="AVI49" s="76"/>
      <c r="AVJ49" s="76"/>
      <c r="AVK49" s="76"/>
      <c r="AVL49" s="76"/>
      <c r="AVM49" s="76"/>
      <c r="AVN49" s="76"/>
      <c r="AVO49" s="76"/>
      <c r="AVP49" s="76"/>
      <c r="AVQ49" s="76"/>
      <c r="AVR49" s="76"/>
      <c r="AVS49" s="76"/>
      <c r="AVT49" s="76"/>
      <c r="AVU49" s="76"/>
      <c r="AVV49" s="76"/>
      <c r="AVW49" s="76"/>
      <c r="AVX49" s="76"/>
      <c r="AVY49" s="76"/>
      <c r="AVZ49" s="76"/>
      <c r="AWA49" s="76"/>
      <c r="AWB49" s="76"/>
      <c r="AWC49" s="76"/>
      <c r="AWD49" s="76"/>
      <c r="AWE49" s="76"/>
      <c r="AWF49" s="76"/>
      <c r="AWG49" s="76"/>
      <c r="AWH49" s="76"/>
      <c r="AWI49" s="76"/>
      <c r="AWJ49" s="76"/>
      <c r="AWK49" s="76"/>
      <c r="AWL49" s="76"/>
      <c r="AWM49" s="76"/>
      <c r="AWN49" s="76"/>
      <c r="AWO49" s="76"/>
      <c r="AWP49" s="76"/>
      <c r="AWQ49" s="76"/>
      <c r="AWR49" s="76"/>
      <c r="AWS49" s="76"/>
      <c r="AWT49" s="76"/>
      <c r="AWU49" s="76"/>
      <c r="AWV49" s="76"/>
      <c r="AWW49" s="76"/>
      <c r="AWX49" s="76"/>
      <c r="AWY49" s="76"/>
      <c r="AWZ49" s="76"/>
      <c r="AXA49" s="76"/>
      <c r="AXB49" s="76"/>
      <c r="AXC49" s="76"/>
      <c r="AXD49" s="76"/>
      <c r="AXE49" s="76"/>
      <c r="AXF49" s="76"/>
      <c r="AXG49" s="76"/>
      <c r="AXH49" s="76"/>
      <c r="AXI49" s="76"/>
      <c r="AXJ49" s="76"/>
      <c r="AXK49" s="76"/>
      <c r="AXL49" s="76"/>
      <c r="AXM49" s="76"/>
      <c r="AXN49" s="76"/>
      <c r="AXO49" s="76"/>
      <c r="AXP49" s="76"/>
      <c r="AXQ49" s="76"/>
      <c r="AXR49" s="76"/>
      <c r="AXS49" s="76"/>
      <c r="AXT49" s="76"/>
      <c r="AXU49" s="76"/>
      <c r="AXV49" s="76"/>
      <c r="AXW49" s="76"/>
      <c r="AXX49" s="76"/>
      <c r="AXY49" s="76"/>
      <c r="AXZ49" s="76"/>
      <c r="AYA49" s="76"/>
      <c r="AYB49" s="76"/>
      <c r="AYC49" s="76"/>
      <c r="AYD49" s="76"/>
      <c r="AYE49" s="76"/>
      <c r="AYF49" s="76"/>
      <c r="AYG49" s="76"/>
      <c r="AYH49" s="76"/>
      <c r="AYI49" s="76"/>
      <c r="AYJ49" s="76"/>
      <c r="AYK49" s="76"/>
      <c r="AYL49" s="76"/>
      <c r="AYM49" s="76"/>
      <c r="AYN49" s="76"/>
      <c r="AYO49" s="76"/>
      <c r="AYP49" s="76"/>
      <c r="AYQ49" s="76"/>
      <c r="AYR49" s="76"/>
      <c r="AYS49" s="76"/>
      <c r="AYT49" s="76"/>
      <c r="AYU49" s="76"/>
      <c r="AYV49" s="76"/>
      <c r="AYW49" s="76"/>
      <c r="AYX49" s="76"/>
      <c r="AYY49" s="76"/>
      <c r="AYZ49" s="76"/>
      <c r="AZA49" s="76"/>
      <c r="AZB49" s="76"/>
      <c r="AZC49" s="76"/>
      <c r="AZD49" s="76"/>
      <c r="AZE49" s="76"/>
      <c r="AZF49" s="76"/>
      <c r="AZG49" s="76"/>
      <c r="AZH49" s="76"/>
      <c r="AZI49" s="76"/>
      <c r="AZJ49" s="76"/>
      <c r="AZK49" s="76"/>
      <c r="AZL49" s="76"/>
      <c r="AZM49" s="76"/>
      <c r="AZN49" s="76"/>
      <c r="AZO49" s="76"/>
      <c r="AZP49" s="76"/>
      <c r="AZQ49" s="76"/>
      <c r="AZR49" s="76"/>
      <c r="AZS49" s="76"/>
      <c r="AZT49" s="76"/>
      <c r="AZU49" s="76"/>
      <c r="AZV49" s="76"/>
      <c r="AZW49" s="76"/>
      <c r="AZX49" s="76"/>
      <c r="AZY49" s="76"/>
      <c r="AZZ49" s="76"/>
      <c r="BAA49" s="76"/>
      <c r="BAB49" s="76"/>
      <c r="BAC49" s="76"/>
      <c r="BAD49" s="76"/>
      <c r="BAE49" s="76"/>
      <c r="BAF49" s="76"/>
      <c r="BAG49" s="76"/>
      <c r="BAH49" s="76"/>
      <c r="BAI49" s="76"/>
      <c r="BAJ49" s="76"/>
      <c r="BAK49" s="76"/>
      <c r="BAL49" s="76"/>
      <c r="BAM49" s="76"/>
      <c r="BAN49" s="76"/>
      <c r="BAO49" s="76"/>
      <c r="BAP49" s="76"/>
      <c r="BAQ49" s="76"/>
      <c r="BAR49" s="76"/>
      <c r="BAS49" s="76"/>
      <c r="BAT49" s="76"/>
      <c r="BAU49" s="76"/>
      <c r="BAV49" s="76"/>
      <c r="BAW49" s="76"/>
      <c r="BAX49" s="76"/>
      <c r="BAY49" s="76"/>
      <c r="BAZ49" s="76"/>
      <c r="BBA49" s="76"/>
      <c r="BBB49" s="76"/>
      <c r="BBC49" s="76"/>
      <c r="BBD49" s="76"/>
      <c r="BBE49" s="76"/>
      <c r="BBF49" s="76"/>
      <c r="BBG49" s="76"/>
      <c r="BBH49" s="76"/>
      <c r="BBI49" s="76"/>
      <c r="BBJ49" s="76"/>
      <c r="BBK49" s="76"/>
      <c r="BBL49" s="76"/>
      <c r="BBM49" s="76"/>
      <c r="BBN49" s="76"/>
      <c r="BBO49" s="76"/>
      <c r="BBP49" s="76"/>
      <c r="BBQ49" s="76"/>
      <c r="BBR49" s="76"/>
      <c r="BBS49" s="76"/>
      <c r="BBT49" s="76"/>
      <c r="BBU49" s="76"/>
      <c r="BBV49" s="76"/>
      <c r="BBW49" s="76"/>
      <c r="BBX49" s="76"/>
      <c r="BBY49" s="76"/>
      <c r="BBZ49" s="76"/>
      <c r="BCA49" s="76"/>
      <c r="BCB49" s="76"/>
      <c r="BCC49" s="76"/>
      <c r="BCD49" s="76"/>
      <c r="BCE49" s="76"/>
      <c r="BCF49" s="76"/>
      <c r="BCG49" s="76"/>
      <c r="BCH49" s="76"/>
      <c r="BCI49" s="76"/>
      <c r="BCJ49" s="76"/>
      <c r="BCK49" s="76"/>
      <c r="BCL49" s="76"/>
      <c r="BCM49" s="76"/>
      <c r="BCN49" s="76"/>
      <c r="BCO49" s="76"/>
      <c r="BCP49" s="76"/>
      <c r="BCQ49" s="76"/>
      <c r="BCR49" s="76"/>
      <c r="BCS49" s="76"/>
      <c r="BCT49" s="76"/>
      <c r="BCU49" s="76"/>
      <c r="BCV49" s="76"/>
      <c r="BCW49" s="76"/>
      <c r="BCX49" s="76"/>
      <c r="BCY49" s="76"/>
      <c r="BCZ49" s="76"/>
      <c r="BDA49" s="76"/>
      <c r="BDB49" s="76"/>
      <c r="BDC49" s="76"/>
      <c r="BDD49" s="76"/>
      <c r="BDE49" s="76"/>
      <c r="BDF49" s="76"/>
      <c r="BDG49" s="76"/>
      <c r="BDH49" s="76"/>
      <c r="BDI49" s="76"/>
      <c r="BDJ49" s="76"/>
      <c r="BDK49" s="76"/>
      <c r="BDL49" s="76"/>
      <c r="BDM49" s="76"/>
      <c r="BDN49" s="76"/>
      <c r="BDO49" s="76"/>
      <c r="BDP49" s="76"/>
      <c r="BDQ49" s="76"/>
      <c r="BDR49" s="76"/>
      <c r="BDS49" s="76"/>
      <c r="BDT49" s="76"/>
      <c r="BDU49" s="76"/>
      <c r="BDV49" s="76"/>
      <c r="BDW49" s="76"/>
      <c r="BDX49" s="76"/>
      <c r="BDY49" s="76"/>
      <c r="BDZ49" s="76"/>
      <c r="BEA49" s="76"/>
      <c r="BEB49" s="76"/>
      <c r="BEC49" s="76"/>
      <c r="BED49" s="76"/>
      <c r="BEE49" s="76"/>
      <c r="BEF49" s="76"/>
      <c r="BEG49" s="76"/>
      <c r="BEH49" s="76"/>
      <c r="BEI49" s="76"/>
      <c r="BEJ49" s="76"/>
      <c r="BEK49" s="76"/>
      <c r="BEL49" s="76"/>
      <c r="BEM49" s="76"/>
      <c r="BEN49" s="76"/>
      <c r="BEO49" s="76"/>
      <c r="BEP49" s="76"/>
      <c r="BEQ49" s="76"/>
      <c r="BER49" s="76"/>
      <c r="BES49" s="76"/>
      <c r="BET49" s="76"/>
      <c r="BEU49" s="76"/>
      <c r="BEV49" s="76"/>
      <c r="BEW49" s="76"/>
      <c r="BEX49" s="76"/>
      <c r="BEY49" s="76"/>
      <c r="BEZ49" s="76"/>
      <c r="BFA49" s="76"/>
      <c r="BFB49" s="76"/>
      <c r="BFC49" s="76"/>
      <c r="BFD49" s="76"/>
      <c r="BFE49" s="76"/>
      <c r="BFF49" s="76"/>
      <c r="BFG49" s="76"/>
      <c r="BFH49" s="76"/>
      <c r="BFI49" s="76"/>
      <c r="BFJ49" s="76"/>
      <c r="BFK49" s="76"/>
      <c r="BFL49" s="76"/>
      <c r="BFM49" s="76"/>
      <c r="BFN49" s="76"/>
      <c r="BFO49" s="76"/>
      <c r="BFP49" s="76"/>
      <c r="BFQ49" s="76"/>
      <c r="BFR49" s="76"/>
      <c r="BFS49" s="76"/>
      <c r="BFT49" s="76"/>
      <c r="BFU49" s="76"/>
      <c r="BFV49" s="76"/>
      <c r="BFW49" s="76"/>
      <c r="BFX49" s="76"/>
      <c r="BFY49" s="76"/>
      <c r="BFZ49" s="76"/>
      <c r="BGA49" s="76"/>
      <c r="BGB49" s="76"/>
      <c r="BGC49" s="76"/>
      <c r="BGD49" s="76"/>
      <c r="BGE49" s="76"/>
      <c r="BGF49" s="76"/>
      <c r="BGG49" s="76"/>
      <c r="BGH49" s="76"/>
      <c r="BGI49" s="76"/>
      <c r="BGJ49" s="76"/>
      <c r="BGK49" s="76"/>
      <c r="BGL49" s="76"/>
      <c r="BGM49" s="76"/>
      <c r="BGN49" s="76"/>
      <c r="BGO49" s="76"/>
      <c r="BGP49" s="76"/>
      <c r="BGQ49" s="76"/>
      <c r="BGR49" s="76"/>
      <c r="BGS49" s="76"/>
      <c r="BGT49" s="76"/>
      <c r="BGU49" s="76"/>
      <c r="BGV49" s="76"/>
      <c r="BGW49" s="76"/>
      <c r="BGX49" s="76"/>
      <c r="BGY49" s="76"/>
      <c r="BGZ49" s="76"/>
      <c r="BHA49" s="76"/>
      <c r="BHB49" s="76"/>
      <c r="BHC49" s="76"/>
      <c r="BHD49" s="76"/>
      <c r="BHE49" s="76"/>
      <c r="BHF49" s="76"/>
      <c r="BHG49" s="76"/>
      <c r="BHH49" s="76"/>
      <c r="BHI49" s="76"/>
      <c r="BHJ49" s="76"/>
      <c r="BHK49" s="76"/>
      <c r="BHL49" s="76"/>
      <c r="BHM49" s="76"/>
      <c r="BHN49" s="76"/>
      <c r="BHO49" s="76"/>
      <c r="BHP49" s="76"/>
      <c r="BHQ49" s="76"/>
      <c r="BHR49" s="76"/>
      <c r="BHS49" s="76"/>
      <c r="BHT49" s="76"/>
      <c r="BHU49" s="76"/>
      <c r="BHV49" s="76"/>
      <c r="BHW49" s="76"/>
      <c r="BHX49" s="76"/>
      <c r="BHY49" s="76"/>
      <c r="BHZ49" s="76"/>
      <c r="BIA49" s="76"/>
      <c r="BIB49" s="76"/>
      <c r="BIC49" s="76"/>
      <c r="BID49" s="76"/>
      <c r="BIE49" s="76"/>
      <c r="BIF49" s="76"/>
      <c r="BIG49" s="76"/>
      <c r="BIH49" s="76"/>
      <c r="BII49" s="76"/>
      <c r="BIJ49" s="76"/>
      <c r="BIK49" s="76"/>
      <c r="BIL49" s="76"/>
      <c r="BIM49" s="76"/>
      <c r="BIN49" s="76"/>
      <c r="BIO49" s="76"/>
      <c r="BIP49" s="76"/>
      <c r="BIQ49" s="76"/>
      <c r="BIR49" s="76"/>
      <c r="BIS49" s="76"/>
      <c r="BIT49" s="76"/>
      <c r="BIU49" s="76"/>
      <c r="BIV49" s="76"/>
      <c r="BIW49" s="76"/>
      <c r="BIX49" s="76"/>
      <c r="BIY49" s="76"/>
      <c r="BIZ49" s="76"/>
      <c r="BJA49" s="76"/>
      <c r="BJB49" s="76"/>
      <c r="BJC49" s="76"/>
      <c r="BJD49" s="76"/>
      <c r="BJE49" s="76"/>
      <c r="BJF49" s="76"/>
      <c r="BJG49" s="76"/>
      <c r="BJH49" s="76"/>
      <c r="BJI49" s="76"/>
      <c r="BJJ49" s="76"/>
      <c r="BJK49" s="76"/>
      <c r="BJL49" s="76"/>
      <c r="BJM49" s="76"/>
      <c r="BJN49" s="76"/>
      <c r="BJO49" s="76"/>
      <c r="BJP49" s="76"/>
      <c r="BJQ49" s="76"/>
      <c r="BJR49" s="76"/>
      <c r="BJS49" s="76"/>
      <c r="BJT49" s="76"/>
      <c r="BJU49" s="76"/>
      <c r="BJV49" s="76"/>
      <c r="BJW49" s="76"/>
      <c r="BJX49" s="76"/>
      <c r="BJY49" s="76"/>
      <c r="BJZ49" s="76"/>
      <c r="BKA49" s="76"/>
      <c r="BKB49" s="76"/>
      <c r="BKC49" s="76"/>
      <c r="BKD49" s="76"/>
      <c r="BKE49" s="76"/>
      <c r="BKF49" s="76"/>
      <c r="BKG49" s="76"/>
      <c r="BKH49" s="76"/>
      <c r="BKI49" s="76"/>
      <c r="BKJ49" s="76"/>
      <c r="BKK49" s="76"/>
      <c r="BKL49" s="76"/>
      <c r="BKM49" s="76"/>
      <c r="BKN49" s="76"/>
      <c r="BKO49" s="76"/>
      <c r="BKP49" s="76"/>
      <c r="BKQ49" s="76"/>
      <c r="BKR49" s="76"/>
      <c r="BKS49" s="76"/>
      <c r="BKT49" s="76"/>
      <c r="BKU49" s="76"/>
      <c r="BKV49" s="76"/>
      <c r="BKW49" s="76"/>
      <c r="BKX49" s="76"/>
      <c r="BKY49" s="76"/>
      <c r="BKZ49" s="76"/>
      <c r="BLA49" s="76"/>
      <c r="BLB49" s="76"/>
      <c r="BLC49" s="76"/>
      <c r="BLD49" s="76"/>
      <c r="BLE49" s="76"/>
      <c r="BLF49" s="76"/>
      <c r="BLG49" s="76"/>
      <c r="BLH49" s="76"/>
      <c r="BLI49" s="76"/>
      <c r="BLJ49" s="76"/>
      <c r="BLK49" s="76"/>
      <c r="BLL49" s="76"/>
      <c r="BLM49" s="76"/>
      <c r="BLN49" s="76"/>
      <c r="BLO49" s="76"/>
      <c r="BLP49" s="76"/>
      <c r="BLQ49" s="76"/>
      <c r="BLR49" s="76"/>
      <c r="BLS49" s="76"/>
      <c r="BLT49" s="76"/>
      <c r="BLU49" s="76"/>
      <c r="BLV49" s="76"/>
      <c r="BLW49" s="76"/>
      <c r="BLX49" s="76"/>
      <c r="BLY49" s="76"/>
      <c r="BLZ49" s="76"/>
      <c r="BMA49" s="76"/>
      <c r="BMB49" s="76"/>
      <c r="BMC49" s="76"/>
      <c r="BMD49" s="76"/>
      <c r="BME49" s="76"/>
      <c r="BMF49" s="76"/>
      <c r="BMG49" s="76"/>
      <c r="BMH49" s="76"/>
      <c r="BMI49" s="76"/>
      <c r="BMJ49" s="76"/>
      <c r="BMK49" s="76"/>
      <c r="BML49" s="76"/>
      <c r="BMM49" s="76"/>
      <c r="BMN49" s="76"/>
      <c r="BMO49" s="76"/>
      <c r="BMP49" s="76"/>
      <c r="BMQ49" s="76"/>
      <c r="BMR49" s="76"/>
      <c r="BMS49" s="76"/>
      <c r="BMT49" s="76"/>
      <c r="BMU49" s="76"/>
      <c r="BMV49" s="76"/>
      <c r="BMW49" s="76"/>
      <c r="BMX49" s="76"/>
      <c r="BMY49" s="76"/>
      <c r="BMZ49" s="76"/>
      <c r="BNA49" s="76"/>
      <c r="BNB49" s="76"/>
      <c r="BNC49" s="76"/>
      <c r="BND49" s="76"/>
      <c r="BNE49" s="76"/>
      <c r="BNF49" s="76"/>
      <c r="BNG49" s="76"/>
      <c r="BNH49" s="76"/>
      <c r="BNI49" s="76"/>
      <c r="BNJ49" s="76"/>
      <c r="BNK49" s="76"/>
      <c r="BNL49" s="76"/>
      <c r="BNM49" s="76"/>
      <c r="BNN49" s="76"/>
      <c r="BNO49" s="76"/>
      <c r="BNP49" s="76"/>
      <c r="BNQ49" s="76"/>
      <c r="BNR49" s="76"/>
      <c r="BNS49" s="76"/>
      <c r="BNT49" s="76"/>
      <c r="BNU49" s="76"/>
      <c r="BNV49" s="76"/>
      <c r="BNW49" s="76"/>
      <c r="BNX49" s="76"/>
      <c r="BNY49" s="76"/>
      <c r="BNZ49" s="76"/>
      <c r="BOA49" s="76"/>
      <c r="BOB49" s="76"/>
      <c r="BOC49" s="76"/>
      <c r="BOD49" s="76"/>
      <c r="BOE49" s="76"/>
      <c r="BOF49" s="76"/>
      <c r="BOG49" s="76"/>
      <c r="BOH49" s="76"/>
      <c r="BOI49" s="76"/>
      <c r="BOJ49" s="76"/>
      <c r="BOK49" s="76"/>
      <c r="BOL49" s="76"/>
      <c r="BOM49" s="76"/>
      <c r="BON49" s="76"/>
      <c r="BOO49" s="76"/>
      <c r="BOP49" s="76"/>
      <c r="BOQ49" s="76"/>
      <c r="BOR49" s="76"/>
      <c r="BOS49" s="76"/>
      <c r="BOT49" s="76"/>
      <c r="BOU49" s="76"/>
      <c r="BOV49" s="76"/>
      <c r="BOW49" s="76"/>
      <c r="BOX49" s="76"/>
      <c r="BOY49" s="76"/>
      <c r="BOZ49" s="76"/>
      <c r="BPA49" s="76"/>
      <c r="BPB49" s="76"/>
      <c r="BPC49" s="76"/>
      <c r="BPD49" s="76"/>
      <c r="BPE49" s="76"/>
      <c r="BPF49" s="76"/>
      <c r="BPG49" s="76"/>
      <c r="BPH49" s="76"/>
      <c r="BPI49" s="76"/>
      <c r="BPJ49" s="76"/>
      <c r="BPK49" s="76"/>
      <c r="BPL49" s="76"/>
      <c r="BPM49" s="76"/>
      <c r="BPN49" s="76"/>
      <c r="BPO49" s="76"/>
      <c r="BPP49" s="76"/>
      <c r="BPQ49" s="76"/>
      <c r="BPR49" s="76"/>
      <c r="BPS49" s="76"/>
      <c r="BPT49" s="76"/>
      <c r="BPU49" s="76"/>
      <c r="BPV49" s="76"/>
      <c r="BPW49" s="76"/>
      <c r="BPX49" s="76"/>
      <c r="BPY49" s="76"/>
      <c r="BPZ49" s="76"/>
      <c r="BQA49" s="76"/>
      <c r="BQB49" s="76"/>
      <c r="BQC49" s="76"/>
      <c r="BQD49" s="76"/>
      <c r="BQE49" s="76"/>
      <c r="BQF49" s="76"/>
      <c r="BQG49" s="76"/>
      <c r="BQH49" s="76"/>
      <c r="BQI49" s="76"/>
      <c r="BQJ49" s="76"/>
      <c r="BQK49" s="76"/>
      <c r="BQL49" s="76"/>
      <c r="BQM49" s="76"/>
      <c r="BQN49" s="76"/>
      <c r="BQO49" s="76"/>
      <c r="BQP49" s="76"/>
      <c r="BQQ49" s="76"/>
      <c r="BQR49" s="76"/>
      <c r="BQS49" s="76"/>
      <c r="BQT49" s="76"/>
      <c r="BQU49" s="76"/>
      <c r="BQV49" s="76"/>
      <c r="BQW49" s="76"/>
      <c r="BQX49" s="76"/>
      <c r="BQY49" s="76"/>
      <c r="BQZ49" s="76"/>
      <c r="BRA49" s="76"/>
      <c r="BRB49" s="76"/>
      <c r="BRC49" s="76"/>
      <c r="BRD49" s="76"/>
      <c r="BRE49" s="76"/>
      <c r="BRF49" s="76"/>
      <c r="BRG49" s="76"/>
      <c r="BRH49" s="76"/>
      <c r="BRI49" s="76"/>
      <c r="BRJ49" s="76"/>
      <c r="BRK49" s="76"/>
      <c r="BRL49" s="76"/>
      <c r="BRM49" s="76"/>
      <c r="BRN49" s="76"/>
      <c r="BRO49" s="76"/>
      <c r="BRP49" s="76"/>
      <c r="BRQ49" s="76"/>
      <c r="BRR49" s="76"/>
      <c r="BRS49" s="76"/>
      <c r="BRT49" s="76"/>
      <c r="BRU49" s="76"/>
      <c r="BRV49" s="76"/>
      <c r="BRW49" s="76"/>
      <c r="BRX49" s="76"/>
      <c r="BRY49" s="76"/>
      <c r="BRZ49" s="76"/>
      <c r="BSA49" s="76"/>
      <c r="BSB49" s="76"/>
      <c r="BSC49" s="76"/>
      <c r="BSD49" s="76"/>
      <c r="BSE49" s="76"/>
      <c r="BSF49" s="76"/>
      <c r="BSG49" s="76"/>
      <c r="BSH49" s="76"/>
      <c r="BSI49" s="76"/>
      <c r="BSJ49" s="76"/>
      <c r="BSK49" s="76"/>
      <c r="BSL49" s="76"/>
      <c r="BSM49" s="76"/>
      <c r="BSN49" s="76"/>
      <c r="BSO49" s="76"/>
      <c r="BSP49" s="76"/>
      <c r="BSQ49" s="76"/>
      <c r="BSR49" s="76"/>
      <c r="BSS49" s="76"/>
      <c r="BST49" s="76"/>
      <c r="BSU49" s="76"/>
      <c r="BSV49" s="76"/>
      <c r="BSW49" s="76"/>
      <c r="BSX49" s="76"/>
      <c r="BSY49" s="76"/>
      <c r="BSZ49" s="76"/>
      <c r="BTA49" s="76"/>
      <c r="BTB49" s="76"/>
      <c r="BTC49" s="76"/>
      <c r="BTD49" s="76"/>
      <c r="BTE49" s="76"/>
      <c r="BTF49" s="76"/>
      <c r="BTG49" s="76"/>
      <c r="BTH49" s="76"/>
      <c r="BTI49" s="76"/>
      <c r="BTJ49" s="76"/>
      <c r="BTK49" s="76"/>
      <c r="BTL49" s="76"/>
      <c r="BTM49" s="76"/>
      <c r="BTN49" s="76"/>
      <c r="BTO49" s="76"/>
      <c r="BTP49" s="76"/>
      <c r="BTQ49" s="76"/>
      <c r="BTR49" s="76"/>
      <c r="BTS49" s="76"/>
      <c r="BTT49" s="76"/>
      <c r="BTU49" s="76"/>
      <c r="BTV49" s="76"/>
      <c r="BTW49" s="76"/>
      <c r="BTX49" s="76"/>
      <c r="BTY49" s="76"/>
      <c r="BTZ49" s="76"/>
      <c r="BUA49" s="76"/>
      <c r="BUB49" s="76"/>
      <c r="BUC49" s="76"/>
      <c r="BUD49" s="76"/>
      <c r="BUE49" s="76"/>
      <c r="BUF49" s="76"/>
      <c r="BUG49" s="76"/>
      <c r="BUH49" s="76"/>
      <c r="BUI49" s="76"/>
      <c r="BUJ49" s="76"/>
      <c r="BUK49" s="76"/>
      <c r="BUL49" s="76"/>
      <c r="BUM49" s="76"/>
      <c r="BUN49" s="76"/>
      <c r="BUO49" s="76"/>
      <c r="BUP49" s="76"/>
      <c r="BUQ49" s="76"/>
      <c r="BUR49" s="76"/>
      <c r="BUS49" s="76"/>
      <c r="BUT49" s="76"/>
      <c r="BUU49" s="76"/>
      <c r="BUV49" s="76"/>
      <c r="BUW49" s="76"/>
      <c r="BUX49" s="76"/>
      <c r="BUY49" s="76"/>
      <c r="BUZ49" s="76"/>
      <c r="BVA49" s="76"/>
      <c r="BVB49" s="76"/>
      <c r="BVC49" s="76"/>
      <c r="BVD49" s="76"/>
      <c r="BVE49" s="76"/>
      <c r="BVF49" s="76"/>
      <c r="BVG49" s="76"/>
      <c r="BVH49" s="76"/>
      <c r="BVI49" s="76"/>
      <c r="BVJ49" s="76"/>
      <c r="BVK49" s="76"/>
      <c r="BVL49" s="76"/>
      <c r="BVM49" s="76"/>
      <c r="BVN49" s="76"/>
      <c r="BVO49" s="76"/>
      <c r="BVP49" s="76"/>
      <c r="BVQ49" s="76"/>
      <c r="BVR49" s="76"/>
      <c r="BVS49" s="76"/>
      <c r="BVT49" s="76"/>
      <c r="BVU49" s="76"/>
      <c r="BVV49" s="76"/>
      <c r="BVW49" s="76"/>
      <c r="BVX49" s="76"/>
      <c r="BVY49" s="76"/>
      <c r="BVZ49" s="76"/>
      <c r="BWA49" s="76"/>
      <c r="BWB49" s="76"/>
      <c r="BWC49" s="76"/>
      <c r="BWD49" s="76"/>
      <c r="BWE49" s="76"/>
      <c r="BWF49" s="76"/>
      <c r="BWG49" s="76"/>
      <c r="BWH49" s="76"/>
      <c r="BWI49" s="76"/>
      <c r="BWJ49" s="76"/>
      <c r="BWK49" s="76"/>
      <c r="BWL49" s="76"/>
      <c r="BWM49" s="76"/>
      <c r="BWN49" s="76"/>
      <c r="BWO49" s="76"/>
      <c r="BWP49" s="76"/>
      <c r="BWQ49" s="76"/>
      <c r="BWR49" s="76"/>
      <c r="BWS49" s="76"/>
      <c r="BWT49" s="76"/>
      <c r="BWU49" s="76"/>
      <c r="BWV49" s="76"/>
      <c r="BWW49" s="76"/>
      <c r="BWX49" s="76"/>
      <c r="BWY49" s="76"/>
      <c r="BWZ49" s="76"/>
      <c r="BXA49" s="76"/>
      <c r="BXB49" s="76"/>
      <c r="BXC49" s="76"/>
      <c r="BXD49" s="76"/>
      <c r="BXE49" s="76"/>
      <c r="BXF49" s="76"/>
      <c r="BXG49" s="76"/>
      <c r="BXH49" s="76"/>
      <c r="BXI49" s="76"/>
      <c r="BXJ49" s="76"/>
      <c r="BXK49" s="76"/>
      <c r="BXL49" s="76"/>
      <c r="BXM49" s="76"/>
      <c r="BXN49" s="76"/>
      <c r="BXO49" s="76"/>
      <c r="BXP49" s="76"/>
      <c r="BXQ49" s="76"/>
      <c r="BXR49" s="76"/>
      <c r="BXS49" s="76"/>
      <c r="BXT49" s="76"/>
      <c r="BXU49" s="76"/>
      <c r="BXV49" s="76"/>
      <c r="BXW49" s="76"/>
      <c r="BXX49" s="76"/>
      <c r="BXY49" s="76"/>
      <c r="BXZ49" s="76"/>
      <c r="BYA49" s="76"/>
      <c r="BYB49" s="76"/>
      <c r="BYC49" s="76"/>
      <c r="BYD49" s="76"/>
      <c r="BYE49" s="76"/>
      <c r="BYF49" s="76"/>
      <c r="BYG49" s="76"/>
      <c r="BYH49" s="76"/>
      <c r="BYI49" s="76"/>
      <c r="BYJ49" s="76"/>
      <c r="BYK49" s="76"/>
      <c r="BYL49" s="76"/>
      <c r="BYM49" s="76"/>
      <c r="BYN49" s="76"/>
      <c r="BYO49" s="76"/>
      <c r="BYP49" s="76"/>
      <c r="BYQ49" s="76"/>
      <c r="BYR49" s="76"/>
      <c r="BYS49" s="76"/>
      <c r="BYT49" s="76"/>
      <c r="BYU49" s="76"/>
      <c r="BYV49" s="76"/>
      <c r="BYW49" s="76"/>
      <c r="BYX49" s="76"/>
      <c r="BYY49" s="76"/>
      <c r="BYZ49" s="76"/>
      <c r="BZA49" s="76"/>
      <c r="BZB49" s="76"/>
      <c r="BZC49" s="76"/>
      <c r="BZD49" s="76"/>
      <c r="BZE49" s="76"/>
      <c r="BZF49" s="76"/>
      <c r="BZG49" s="76"/>
      <c r="BZH49" s="76"/>
      <c r="BZI49" s="76"/>
      <c r="BZJ49" s="76"/>
      <c r="BZK49" s="76"/>
      <c r="BZL49" s="76"/>
      <c r="BZM49" s="76"/>
      <c r="BZN49" s="76"/>
      <c r="BZO49" s="76"/>
      <c r="BZP49" s="76"/>
      <c r="BZQ49" s="76"/>
      <c r="BZR49" s="76"/>
      <c r="BZS49" s="76"/>
      <c r="BZT49" s="76"/>
      <c r="BZU49" s="76"/>
      <c r="BZV49" s="76"/>
      <c r="BZW49" s="76"/>
      <c r="BZX49" s="76"/>
      <c r="BZY49" s="76"/>
      <c r="BZZ49" s="76"/>
      <c r="CAA49" s="76"/>
      <c r="CAB49" s="76"/>
      <c r="CAC49" s="76"/>
      <c r="CAD49" s="76"/>
      <c r="CAE49" s="76"/>
      <c r="CAF49" s="76"/>
      <c r="CAG49" s="76"/>
      <c r="CAH49" s="76"/>
      <c r="CAI49" s="76"/>
      <c r="CAJ49" s="76"/>
      <c r="CAK49" s="76"/>
      <c r="CAL49" s="76"/>
      <c r="CAM49" s="76"/>
      <c r="CAN49" s="76"/>
      <c r="CAO49" s="76"/>
      <c r="CAP49" s="76"/>
      <c r="CAQ49" s="76"/>
      <c r="CAR49" s="76"/>
      <c r="CAS49" s="76"/>
      <c r="CAT49" s="76"/>
      <c r="CAU49" s="76"/>
      <c r="CAV49" s="76"/>
      <c r="CAW49" s="76"/>
      <c r="CAX49" s="76"/>
      <c r="CAY49" s="76"/>
      <c r="CAZ49" s="76"/>
      <c r="CBA49" s="76"/>
      <c r="CBB49" s="76"/>
      <c r="CBC49" s="76"/>
      <c r="CBD49" s="76"/>
      <c r="CBE49" s="76"/>
      <c r="CBF49" s="76"/>
      <c r="CBG49" s="76"/>
      <c r="CBH49" s="76"/>
      <c r="CBI49" s="76"/>
      <c r="CBJ49" s="76"/>
      <c r="CBK49" s="76"/>
      <c r="CBL49" s="76"/>
      <c r="CBM49" s="76"/>
      <c r="CBN49" s="76"/>
      <c r="CBO49" s="76"/>
      <c r="CBP49" s="76"/>
      <c r="CBQ49" s="76"/>
      <c r="CBR49" s="76"/>
      <c r="CBS49" s="76"/>
      <c r="CBT49" s="76"/>
      <c r="CBU49" s="76"/>
      <c r="CBV49" s="76"/>
      <c r="CBW49" s="76"/>
      <c r="CBX49" s="76"/>
      <c r="CBY49" s="76"/>
      <c r="CBZ49" s="76"/>
      <c r="CCA49" s="76"/>
      <c r="CCB49" s="76"/>
      <c r="CCC49" s="76"/>
      <c r="CCD49" s="76"/>
      <c r="CCE49" s="76"/>
      <c r="CCF49" s="76"/>
      <c r="CCG49" s="76"/>
      <c r="CCH49" s="76"/>
      <c r="CCI49" s="76"/>
      <c r="CCJ49" s="76"/>
      <c r="CCK49" s="76"/>
      <c r="CCL49" s="76"/>
      <c r="CCM49" s="76"/>
      <c r="CCN49" s="76"/>
      <c r="CCO49" s="76"/>
      <c r="CCP49" s="76"/>
      <c r="CCQ49" s="76"/>
      <c r="CCR49" s="76"/>
      <c r="CCS49" s="76"/>
      <c r="CCT49" s="76"/>
      <c r="CCU49" s="76"/>
      <c r="CCV49" s="76"/>
      <c r="CCW49" s="76"/>
      <c r="CCX49" s="76"/>
      <c r="CCY49" s="76"/>
      <c r="CCZ49" s="76"/>
      <c r="CDA49" s="76"/>
      <c r="CDB49" s="76"/>
      <c r="CDC49" s="76"/>
      <c r="CDD49" s="76"/>
      <c r="CDE49" s="76"/>
      <c r="CDF49" s="76"/>
      <c r="CDG49" s="76"/>
      <c r="CDH49" s="76"/>
      <c r="CDI49" s="76"/>
      <c r="CDJ49" s="76"/>
      <c r="CDK49" s="76"/>
      <c r="CDL49" s="76"/>
      <c r="CDM49" s="76"/>
      <c r="CDN49" s="76"/>
      <c r="CDO49" s="76"/>
      <c r="CDP49" s="76"/>
      <c r="CDQ49" s="76"/>
      <c r="CDR49" s="76"/>
      <c r="CDS49" s="76"/>
      <c r="CDT49" s="76"/>
      <c r="CDU49" s="76"/>
      <c r="CDV49" s="76"/>
      <c r="CDW49" s="76"/>
      <c r="CDX49" s="76"/>
      <c r="CDY49" s="76"/>
      <c r="CDZ49" s="76"/>
      <c r="CEA49" s="76"/>
      <c r="CEB49" s="76"/>
      <c r="CEC49" s="76"/>
      <c r="CED49" s="76"/>
      <c r="CEE49" s="76"/>
      <c r="CEF49" s="76"/>
      <c r="CEG49" s="76"/>
      <c r="CEH49" s="76"/>
      <c r="CEI49" s="76"/>
      <c r="CEJ49" s="76"/>
      <c r="CEK49" s="76"/>
      <c r="CEL49" s="76"/>
      <c r="CEM49" s="76"/>
      <c r="CEN49" s="76"/>
      <c r="CEO49" s="76"/>
      <c r="CEP49" s="76"/>
      <c r="CEQ49" s="76"/>
      <c r="CER49" s="76"/>
      <c r="CES49" s="76"/>
      <c r="CET49" s="76"/>
      <c r="CEU49" s="76"/>
      <c r="CEV49" s="76"/>
      <c r="CEW49" s="76"/>
      <c r="CEX49" s="76"/>
      <c r="CEY49" s="76"/>
      <c r="CEZ49" s="76"/>
      <c r="CFA49" s="76"/>
      <c r="CFB49" s="76"/>
      <c r="CFC49" s="76"/>
      <c r="CFD49" s="76"/>
      <c r="CFE49" s="76"/>
      <c r="CFF49" s="76"/>
      <c r="CFG49" s="76"/>
      <c r="CFH49" s="76"/>
      <c r="CFI49" s="76"/>
      <c r="CFJ49" s="76"/>
      <c r="CFK49" s="76"/>
      <c r="CFL49" s="76"/>
      <c r="CFM49" s="76"/>
      <c r="CFN49" s="76"/>
      <c r="CFO49" s="76"/>
      <c r="CFP49" s="76"/>
      <c r="CFQ49" s="76"/>
      <c r="CFR49" s="76"/>
      <c r="CFS49" s="76"/>
      <c r="CFT49" s="76"/>
      <c r="CFU49" s="76"/>
      <c r="CFV49" s="76"/>
      <c r="CFW49" s="76"/>
      <c r="CFX49" s="76"/>
      <c r="CFY49" s="76"/>
      <c r="CFZ49" s="76"/>
      <c r="CGA49" s="76"/>
      <c r="CGB49" s="76"/>
      <c r="CGC49" s="76"/>
      <c r="CGD49" s="76"/>
      <c r="CGE49" s="76"/>
      <c r="CGF49" s="76"/>
      <c r="CGG49" s="76"/>
      <c r="CGH49" s="76"/>
      <c r="CGI49" s="76"/>
      <c r="CGJ49" s="76"/>
      <c r="CGK49" s="76"/>
      <c r="CGL49" s="76"/>
      <c r="CGM49" s="76"/>
      <c r="CGN49" s="76"/>
      <c r="CGO49" s="76"/>
      <c r="CGP49" s="76"/>
      <c r="CGQ49" s="76"/>
      <c r="CGR49" s="76"/>
      <c r="CGS49" s="76"/>
      <c r="CGT49" s="76"/>
      <c r="CGU49" s="76"/>
      <c r="CGV49" s="76"/>
      <c r="CGW49" s="76"/>
      <c r="CGX49" s="76"/>
      <c r="CGY49" s="76"/>
      <c r="CGZ49" s="76"/>
      <c r="CHA49" s="76"/>
      <c r="CHB49" s="76"/>
      <c r="CHC49" s="76"/>
      <c r="CHD49" s="76"/>
      <c r="CHE49" s="76"/>
      <c r="CHF49" s="76"/>
      <c r="CHG49" s="76"/>
      <c r="CHH49" s="76"/>
      <c r="CHI49" s="76"/>
      <c r="CHJ49" s="76"/>
      <c r="CHK49" s="76"/>
      <c r="CHL49" s="76"/>
      <c r="CHM49" s="76"/>
      <c r="CHN49" s="76"/>
      <c r="CHO49" s="76"/>
      <c r="CHP49" s="76"/>
      <c r="CHQ49" s="76"/>
      <c r="CHR49" s="76"/>
      <c r="CHS49" s="76"/>
      <c r="CHT49" s="76"/>
      <c r="CHU49" s="76"/>
      <c r="CHV49" s="76"/>
      <c r="CHW49" s="76"/>
      <c r="CHX49" s="76"/>
      <c r="CHY49" s="76"/>
      <c r="CHZ49" s="76"/>
      <c r="CIA49" s="76"/>
      <c r="CIB49" s="76"/>
      <c r="CIC49" s="76"/>
      <c r="CID49" s="76"/>
      <c r="CIE49" s="76"/>
      <c r="CIF49" s="76"/>
      <c r="CIG49" s="76"/>
      <c r="CIH49" s="76"/>
      <c r="CII49" s="76"/>
      <c r="CIJ49" s="76"/>
      <c r="CIK49" s="76"/>
      <c r="CIL49" s="76"/>
      <c r="CIM49" s="76"/>
      <c r="CIN49" s="76"/>
      <c r="CIO49" s="76"/>
      <c r="CIP49" s="76"/>
      <c r="CIQ49" s="76"/>
      <c r="CIR49" s="76"/>
      <c r="CIS49" s="76"/>
      <c r="CIT49" s="76"/>
      <c r="CIU49" s="76"/>
      <c r="CIV49" s="76"/>
      <c r="CIW49" s="76"/>
      <c r="CIX49" s="76"/>
      <c r="CIY49" s="76"/>
      <c r="CIZ49" s="76"/>
      <c r="CJA49" s="76"/>
      <c r="CJB49" s="76"/>
      <c r="CJC49" s="76"/>
      <c r="CJD49" s="76"/>
      <c r="CJE49" s="76"/>
      <c r="CJF49" s="76"/>
      <c r="CJG49" s="76"/>
      <c r="CJH49" s="76"/>
      <c r="CJI49" s="76"/>
      <c r="CJJ49" s="76"/>
      <c r="CJK49" s="76"/>
      <c r="CJL49" s="76"/>
      <c r="CJM49" s="76"/>
      <c r="CJN49" s="76"/>
      <c r="CJO49" s="76"/>
      <c r="CJP49" s="76"/>
      <c r="CJQ49" s="76"/>
      <c r="CJR49" s="76"/>
      <c r="CJS49" s="76"/>
      <c r="CJT49" s="76"/>
      <c r="CJU49" s="76"/>
      <c r="CJV49" s="76"/>
      <c r="CJW49" s="76"/>
      <c r="CJX49" s="76"/>
      <c r="CJY49" s="76"/>
      <c r="CJZ49" s="76"/>
      <c r="CKA49" s="76"/>
      <c r="CKB49" s="76"/>
      <c r="CKC49" s="76"/>
      <c r="CKD49" s="76"/>
      <c r="CKE49" s="76"/>
      <c r="CKF49" s="76"/>
      <c r="CKG49" s="76"/>
      <c r="CKH49" s="76"/>
      <c r="CKI49" s="76"/>
      <c r="CKJ49" s="76"/>
      <c r="CKK49" s="76"/>
      <c r="CKL49" s="76"/>
      <c r="CKM49" s="76"/>
      <c r="CKN49" s="76"/>
      <c r="CKO49" s="76"/>
      <c r="CKP49" s="76"/>
      <c r="CKQ49" s="76"/>
      <c r="CKR49" s="76"/>
      <c r="CKS49" s="76"/>
      <c r="CKT49" s="76"/>
      <c r="CKU49" s="76"/>
      <c r="CKV49" s="76"/>
      <c r="CKW49" s="76"/>
      <c r="CKX49" s="76"/>
      <c r="CKY49" s="76"/>
      <c r="CKZ49" s="76"/>
      <c r="CLA49" s="76"/>
      <c r="CLB49" s="76"/>
      <c r="CLC49" s="76"/>
      <c r="CLD49" s="76"/>
      <c r="CLE49" s="76"/>
      <c r="CLF49" s="76"/>
      <c r="CLG49" s="76"/>
      <c r="CLH49" s="76"/>
      <c r="CLI49" s="76"/>
      <c r="CLJ49" s="76"/>
      <c r="CLK49" s="76"/>
      <c r="CLL49" s="76"/>
      <c r="CLM49" s="76"/>
      <c r="CLN49" s="76"/>
      <c r="CLO49" s="76"/>
      <c r="CLP49" s="76"/>
      <c r="CLQ49" s="76"/>
      <c r="CLR49" s="76"/>
      <c r="CLS49" s="76"/>
      <c r="CLT49" s="76"/>
      <c r="CLU49" s="76"/>
      <c r="CLV49" s="76"/>
      <c r="CLW49" s="76"/>
      <c r="CLX49" s="76"/>
      <c r="CLY49" s="76"/>
      <c r="CLZ49" s="76"/>
      <c r="CMA49" s="76"/>
      <c r="CMB49" s="76"/>
      <c r="CMC49" s="76"/>
      <c r="CMD49" s="76"/>
      <c r="CME49" s="76"/>
      <c r="CMF49" s="76"/>
      <c r="CMG49" s="76"/>
      <c r="CMH49" s="76"/>
      <c r="CMI49" s="76"/>
      <c r="CMJ49" s="76"/>
      <c r="CMK49" s="76"/>
      <c r="CML49" s="76"/>
      <c r="CMM49" s="76"/>
      <c r="CMN49" s="76"/>
      <c r="CMO49" s="76"/>
      <c r="CMP49" s="76"/>
      <c r="CMQ49" s="76"/>
      <c r="CMR49" s="76"/>
      <c r="CMS49" s="76"/>
      <c r="CMT49" s="76"/>
      <c r="CMU49" s="76"/>
      <c r="CMV49" s="76"/>
      <c r="CMW49" s="76"/>
      <c r="CMX49" s="76"/>
      <c r="CMY49" s="76"/>
      <c r="CMZ49" s="76"/>
      <c r="CNA49" s="76"/>
      <c r="CNB49" s="76"/>
      <c r="CNC49" s="76"/>
      <c r="CND49" s="76"/>
      <c r="CNE49" s="76"/>
      <c r="CNF49" s="76"/>
      <c r="CNG49" s="76"/>
      <c r="CNH49" s="76"/>
      <c r="CNI49" s="76"/>
      <c r="CNJ49" s="76"/>
      <c r="CNK49" s="76"/>
      <c r="CNL49" s="76"/>
      <c r="CNM49" s="76"/>
      <c r="CNN49" s="76"/>
      <c r="CNO49" s="76"/>
      <c r="CNP49" s="76"/>
      <c r="CNQ49" s="76"/>
      <c r="CNR49" s="76"/>
      <c r="CNS49" s="76"/>
      <c r="CNT49" s="76"/>
      <c r="CNU49" s="76"/>
      <c r="CNV49" s="76"/>
      <c r="CNW49" s="76"/>
      <c r="CNX49" s="76"/>
      <c r="CNY49" s="76"/>
      <c r="CNZ49" s="76"/>
      <c r="COA49" s="76"/>
      <c r="COB49" s="76"/>
      <c r="COC49" s="76"/>
      <c r="COD49" s="76"/>
      <c r="COE49" s="76"/>
      <c r="COF49" s="76"/>
      <c r="COG49" s="76"/>
      <c r="COH49" s="76"/>
      <c r="COI49" s="76"/>
      <c r="COJ49" s="76"/>
      <c r="COK49" s="76"/>
      <c r="COL49" s="76"/>
      <c r="COM49" s="76"/>
      <c r="CON49" s="76"/>
      <c r="COO49" s="76"/>
      <c r="COP49" s="76"/>
      <c r="COQ49" s="76"/>
      <c r="COR49" s="76"/>
      <c r="COS49" s="76"/>
      <c r="COT49" s="76"/>
      <c r="COU49" s="76"/>
      <c r="COV49" s="76"/>
      <c r="COW49" s="76"/>
      <c r="COX49" s="76"/>
      <c r="COY49" s="76"/>
      <c r="COZ49" s="76"/>
      <c r="CPA49" s="76"/>
      <c r="CPB49" s="76"/>
      <c r="CPC49" s="76"/>
      <c r="CPD49" s="76"/>
      <c r="CPE49" s="76"/>
      <c r="CPF49" s="76"/>
      <c r="CPG49" s="76"/>
      <c r="CPH49" s="76"/>
      <c r="CPI49" s="76"/>
      <c r="CPJ49" s="76"/>
      <c r="CPK49" s="76"/>
      <c r="CPL49" s="76"/>
      <c r="CPM49" s="76"/>
      <c r="CPN49" s="76"/>
      <c r="CPO49" s="76"/>
      <c r="CPP49" s="76"/>
      <c r="CPQ49" s="76"/>
      <c r="CPR49" s="76"/>
      <c r="CPS49" s="76"/>
      <c r="CPT49" s="76"/>
      <c r="CPU49" s="76"/>
      <c r="CPV49" s="76"/>
      <c r="CPW49" s="76"/>
      <c r="CPX49" s="76"/>
      <c r="CPY49" s="76"/>
      <c r="CPZ49" s="76"/>
      <c r="CQA49" s="76"/>
      <c r="CQB49" s="76"/>
      <c r="CQC49" s="76"/>
      <c r="CQD49" s="76"/>
      <c r="CQE49" s="76"/>
      <c r="CQF49" s="76"/>
      <c r="CQG49" s="76"/>
      <c r="CQH49" s="76"/>
      <c r="CQI49" s="76"/>
      <c r="CQJ49" s="76"/>
      <c r="CQK49" s="76"/>
      <c r="CQL49" s="76"/>
      <c r="CQM49" s="76"/>
      <c r="CQN49" s="76"/>
      <c r="CQO49" s="76"/>
      <c r="CQP49" s="76"/>
      <c r="CQQ49" s="76"/>
      <c r="CQR49" s="76"/>
      <c r="CQS49" s="76"/>
      <c r="CQT49" s="76"/>
      <c r="CQU49" s="76"/>
      <c r="CQV49" s="76"/>
      <c r="CQW49" s="76"/>
      <c r="CQX49" s="76"/>
      <c r="CQY49" s="76"/>
      <c r="CQZ49" s="76"/>
      <c r="CRA49" s="76"/>
      <c r="CRB49" s="76"/>
      <c r="CRC49" s="76"/>
      <c r="CRD49" s="76"/>
      <c r="CRE49" s="76"/>
      <c r="CRF49" s="76"/>
      <c r="CRG49" s="76"/>
      <c r="CRH49" s="76"/>
      <c r="CRI49" s="76"/>
      <c r="CRJ49" s="76"/>
      <c r="CRK49" s="76"/>
      <c r="CRL49" s="76"/>
      <c r="CRM49" s="76"/>
      <c r="CRN49" s="76"/>
      <c r="CRO49" s="76"/>
      <c r="CRP49" s="76"/>
      <c r="CRQ49" s="76"/>
      <c r="CRR49" s="76"/>
      <c r="CRS49" s="76"/>
      <c r="CRT49" s="76"/>
      <c r="CRU49" s="76"/>
      <c r="CRV49" s="76"/>
      <c r="CRW49" s="76"/>
      <c r="CRX49" s="76"/>
      <c r="CRY49" s="76"/>
      <c r="CRZ49" s="76"/>
      <c r="CSA49" s="76"/>
      <c r="CSB49" s="76"/>
      <c r="CSC49" s="76"/>
      <c r="CSD49" s="76"/>
      <c r="CSE49" s="76"/>
      <c r="CSF49" s="76"/>
      <c r="CSG49" s="76"/>
      <c r="CSH49" s="76"/>
      <c r="CSI49" s="76"/>
      <c r="CSJ49" s="76"/>
      <c r="CSK49" s="76"/>
      <c r="CSL49" s="76"/>
      <c r="CSM49" s="76"/>
      <c r="CSN49" s="76"/>
      <c r="CSO49" s="76"/>
      <c r="CSP49" s="76"/>
      <c r="CSQ49" s="76"/>
      <c r="CSR49" s="76"/>
      <c r="CSS49" s="76"/>
      <c r="CST49" s="76"/>
      <c r="CSU49" s="76"/>
      <c r="CSV49" s="76"/>
      <c r="CSW49" s="76"/>
      <c r="CSX49" s="76"/>
      <c r="CSY49" s="76"/>
      <c r="CSZ49" s="76"/>
      <c r="CTA49" s="76"/>
      <c r="CTB49" s="76"/>
      <c r="CTC49" s="76"/>
      <c r="CTD49" s="76"/>
      <c r="CTE49" s="76"/>
      <c r="CTF49" s="76"/>
      <c r="CTG49" s="76"/>
      <c r="CTH49" s="76"/>
      <c r="CTI49" s="76"/>
      <c r="CTJ49" s="76"/>
      <c r="CTK49" s="76"/>
      <c r="CTL49" s="76"/>
      <c r="CTM49" s="76"/>
      <c r="CTN49" s="76"/>
      <c r="CTO49" s="76"/>
      <c r="CTP49" s="76"/>
      <c r="CTQ49" s="76"/>
      <c r="CTR49" s="76"/>
      <c r="CTS49" s="76"/>
      <c r="CTT49" s="76"/>
      <c r="CTU49" s="76"/>
      <c r="CTV49" s="76"/>
      <c r="CTW49" s="76"/>
      <c r="CTX49" s="76"/>
      <c r="CTY49" s="76"/>
      <c r="CTZ49" s="76"/>
      <c r="CUA49" s="76"/>
      <c r="CUB49" s="76"/>
      <c r="CUC49" s="76"/>
      <c r="CUD49" s="76"/>
      <c r="CUE49" s="76"/>
      <c r="CUF49" s="76"/>
      <c r="CUG49" s="76"/>
      <c r="CUH49" s="76"/>
      <c r="CUI49" s="76"/>
      <c r="CUJ49" s="76"/>
      <c r="CUK49" s="76"/>
      <c r="CUL49" s="76"/>
      <c r="CUM49" s="76"/>
      <c r="CUN49" s="76"/>
      <c r="CUO49" s="76"/>
      <c r="CUP49" s="76"/>
      <c r="CUQ49" s="76"/>
      <c r="CUR49" s="76"/>
      <c r="CUS49" s="76"/>
      <c r="CUT49" s="76"/>
      <c r="CUU49" s="76"/>
      <c r="CUV49" s="76"/>
      <c r="CUW49" s="76"/>
      <c r="CUX49" s="76"/>
      <c r="CUY49" s="76"/>
      <c r="CUZ49" s="76"/>
      <c r="CVA49" s="76"/>
      <c r="CVB49" s="76"/>
      <c r="CVC49" s="76"/>
      <c r="CVD49" s="76"/>
      <c r="CVE49" s="76"/>
      <c r="CVF49" s="76"/>
      <c r="CVG49" s="76"/>
      <c r="CVH49" s="76"/>
      <c r="CVI49" s="76"/>
      <c r="CVJ49" s="76"/>
      <c r="CVK49" s="76"/>
      <c r="CVL49" s="76"/>
      <c r="CVM49" s="76"/>
      <c r="CVN49" s="76"/>
      <c r="CVO49" s="76"/>
      <c r="CVP49" s="76"/>
      <c r="CVQ49" s="76"/>
      <c r="CVR49" s="76"/>
      <c r="CVS49" s="76"/>
      <c r="CVT49" s="76"/>
      <c r="CVU49" s="76"/>
      <c r="CVV49" s="76"/>
      <c r="CVW49" s="76"/>
      <c r="CVX49" s="76"/>
      <c r="CVY49" s="76"/>
      <c r="CVZ49" s="76"/>
      <c r="CWA49" s="76"/>
      <c r="CWB49" s="76"/>
      <c r="CWC49" s="76"/>
      <c r="CWD49" s="76"/>
      <c r="CWE49" s="76"/>
      <c r="CWF49" s="76"/>
      <c r="CWG49" s="76"/>
      <c r="CWH49" s="76"/>
      <c r="CWI49" s="76"/>
      <c r="CWJ49" s="76"/>
      <c r="CWK49" s="76"/>
      <c r="CWL49" s="76"/>
      <c r="CWM49" s="76"/>
      <c r="CWN49" s="76"/>
      <c r="CWO49" s="76"/>
      <c r="CWP49" s="76"/>
      <c r="CWQ49" s="76"/>
      <c r="CWR49" s="76"/>
      <c r="CWS49" s="76"/>
      <c r="CWT49" s="76"/>
      <c r="CWU49" s="76"/>
      <c r="CWV49" s="76"/>
      <c r="CWW49" s="76"/>
      <c r="CWX49" s="76"/>
      <c r="CWY49" s="76"/>
      <c r="CWZ49" s="76"/>
      <c r="CXA49" s="76"/>
      <c r="CXB49" s="76"/>
      <c r="CXC49" s="76"/>
      <c r="CXD49" s="76"/>
      <c r="CXE49" s="76"/>
      <c r="CXF49" s="76"/>
      <c r="CXG49" s="76"/>
      <c r="CXH49" s="76"/>
      <c r="CXI49" s="76"/>
      <c r="CXJ49" s="76"/>
      <c r="CXK49" s="76"/>
      <c r="CXL49" s="76"/>
      <c r="CXM49" s="76"/>
      <c r="CXN49" s="76"/>
      <c r="CXO49" s="76"/>
      <c r="CXP49" s="76"/>
      <c r="CXQ49" s="76"/>
      <c r="CXR49" s="76"/>
      <c r="CXS49" s="76"/>
      <c r="CXT49" s="76"/>
      <c r="CXU49" s="76"/>
      <c r="CXV49" s="76"/>
      <c r="CXW49" s="76"/>
      <c r="CXX49" s="76"/>
      <c r="CXY49" s="76"/>
      <c r="CXZ49" s="76"/>
      <c r="CYA49" s="76"/>
      <c r="CYB49" s="76"/>
      <c r="CYC49" s="76"/>
      <c r="CYD49" s="76"/>
      <c r="CYE49" s="76"/>
      <c r="CYF49" s="76"/>
      <c r="CYG49" s="76"/>
      <c r="CYH49" s="76"/>
      <c r="CYI49" s="76"/>
      <c r="CYJ49" s="76"/>
      <c r="CYK49" s="76"/>
      <c r="CYL49" s="76"/>
      <c r="CYM49" s="76"/>
      <c r="CYN49" s="76"/>
      <c r="CYO49" s="76"/>
      <c r="CYP49" s="76"/>
      <c r="CYQ49" s="76"/>
      <c r="CYR49" s="76"/>
      <c r="CYS49" s="76"/>
      <c r="CYT49" s="76"/>
      <c r="CYU49" s="76"/>
      <c r="CYV49" s="76"/>
      <c r="CYW49" s="76"/>
      <c r="CYX49" s="76"/>
      <c r="CYY49" s="76"/>
      <c r="CYZ49" s="76"/>
      <c r="CZA49" s="76"/>
      <c r="CZB49" s="76"/>
      <c r="CZC49" s="76"/>
      <c r="CZD49" s="76"/>
      <c r="CZE49" s="76"/>
      <c r="CZF49" s="76"/>
      <c r="CZG49" s="76"/>
      <c r="CZH49" s="76"/>
      <c r="CZI49" s="76"/>
      <c r="CZJ49" s="76"/>
      <c r="CZK49" s="76"/>
      <c r="CZL49" s="76"/>
      <c r="CZM49" s="76"/>
      <c r="CZN49" s="76"/>
      <c r="CZO49" s="76"/>
      <c r="CZP49" s="76"/>
      <c r="CZQ49" s="76"/>
      <c r="CZR49" s="76"/>
      <c r="CZS49" s="76"/>
      <c r="CZT49" s="76"/>
      <c r="CZU49" s="76"/>
      <c r="CZV49" s="76"/>
      <c r="CZW49" s="76"/>
      <c r="CZX49" s="76"/>
      <c r="CZY49" s="76"/>
      <c r="CZZ49" s="76"/>
      <c r="DAA49" s="76"/>
      <c r="DAB49" s="76"/>
      <c r="DAC49" s="76"/>
      <c r="DAD49" s="76"/>
      <c r="DAE49" s="76"/>
      <c r="DAF49" s="76"/>
      <c r="DAG49" s="76"/>
      <c r="DAH49" s="76"/>
      <c r="DAI49" s="76"/>
      <c r="DAJ49" s="76"/>
      <c r="DAK49" s="76"/>
      <c r="DAL49" s="76"/>
      <c r="DAM49" s="76"/>
      <c r="DAN49" s="76"/>
      <c r="DAO49" s="76"/>
      <c r="DAP49" s="76"/>
      <c r="DAQ49" s="76"/>
      <c r="DAR49" s="76"/>
      <c r="DAS49" s="76"/>
      <c r="DAT49" s="76"/>
      <c r="DAU49" s="76"/>
      <c r="DAV49" s="76"/>
      <c r="DAW49" s="76"/>
      <c r="DAX49" s="76"/>
      <c r="DAY49" s="76"/>
      <c r="DAZ49" s="76"/>
      <c r="DBA49" s="76"/>
      <c r="DBB49" s="76"/>
      <c r="DBC49" s="76"/>
      <c r="DBD49" s="76"/>
      <c r="DBE49" s="76"/>
      <c r="DBF49" s="76"/>
      <c r="DBG49" s="76"/>
      <c r="DBH49" s="76"/>
      <c r="DBI49" s="76"/>
      <c r="DBJ49" s="76"/>
      <c r="DBK49" s="76"/>
      <c r="DBL49" s="76"/>
      <c r="DBM49" s="76"/>
      <c r="DBN49" s="76"/>
      <c r="DBO49" s="76"/>
      <c r="DBP49" s="76"/>
      <c r="DBQ49" s="76"/>
      <c r="DBR49" s="76"/>
      <c r="DBS49" s="76"/>
      <c r="DBT49" s="76"/>
      <c r="DBU49" s="76"/>
      <c r="DBV49" s="76"/>
      <c r="DBW49" s="76"/>
      <c r="DBX49" s="76"/>
      <c r="DBY49" s="76"/>
      <c r="DBZ49" s="76"/>
      <c r="DCA49" s="76"/>
      <c r="DCB49" s="76"/>
      <c r="DCC49" s="76"/>
      <c r="DCD49" s="76"/>
      <c r="DCE49" s="76"/>
      <c r="DCF49" s="76"/>
      <c r="DCG49" s="76"/>
      <c r="DCH49" s="76"/>
      <c r="DCI49" s="76"/>
      <c r="DCJ49" s="76"/>
      <c r="DCK49" s="76"/>
      <c r="DCL49" s="76"/>
      <c r="DCM49" s="76"/>
      <c r="DCN49" s="76"/>
      <c r="DCO49" s="76"/>
      <c r="DCP49" s="76"/>
      <c r="DCQ49" s="76"/>
      <c r="DCR49" s="76"/>
      <c r="DCS49" s="76"/>
      <c r="DCT49" s="76"/>
      <c r="DCU49" s="76"/>
      <c r="DCV49" s="76"/>
      <c r="DCW49" s="76"/>
      <c r="DCX49" s="76"/>
      <c r="DCY49" s="76"/>
      <c r="DCZ49" s="76"/>
      <c r="DDA49" s="76"/>
      <c r="DDB49" s="76"/>
      <c r="DDC49" s="76"/>
      <c r="DDD49" s="76"/>
      <c r="DDE49" s="76"/>
      <c r="DDF49" s="76"/>
      <c r="DDG49" s="76"/>
      <c r="DDH49" s="76"/>
      <c r="DDI49" s="76"/>
      <c r="DDJ49" s="76"/>
      <c r="DDK49" s="76"/>
      <c r="DDL49" s="76"/>
      <c r="DDM49" s="76"/>
      <c r="DDN49" s="76"/>
      <c r="DDO49" s="76"/>
      <c r="DDP49" s="76"/>
      <c r="DDQ49" s="76"/>
      <c r="DDR49" s="76"/>
      <c r="DDS49" s="76"/>
      <c r="DDT49" s="76"/>
      <c r="DDU49" s="76"/>
      <c r="DDV49" s="76"/>
      <c r="DDW49" s="76"/>
      <c r="DDX49" s="76"/>
      <c r="DDY49" s="76"/>
      <c r="DDZ49" s="76"/>
      <c r="DEA49" s="76"/>
      <c r="DEB49" s="76"/>
      <c r="DEC49" s="76"/>
      <c r="DED49" s="76"/>
      <c r="DEE49" s="76"/>
      <c r="DEF49" s="76"/>
      <c r="DEG49" s="76"/>
      <c r="DEH49" s="76"/>
      <c r="DEI49" s="76"/>
      <c r="DEJ49" s="76"/>
      <c r="DEK49" s="76"/>
      <c r="DEL49" s="76"/>
      <c r="DEM49" s="76"/>
      <c r="DEN49" s="76"/>
      <c r="DEO49" s="76"/>
      <c r="DEP49" s="76"/>
      <c r="DEQ49" s="76"/>
      <c r="DER49" s="76"/>
      <c r="DES49" s="76"/>
      <c r="DET49" s="76"/>
      <c r="DEU49" s="76"/>
      <c r="DEV49" s="76"/>
      <c r="DEW49" s="76"/>
      <c r="DEX49" s="76"/>
      <c r="DEY49" s="76"/>
      <c r="DEZ49" s="76"/>
      <c r="DFA49" s="76"/>
      <c r="DFB49" s="76"/>
      <c r="DFC49" s="76"/>
      <c r="DFD49" s="76"/>
      <c r="DFE49" s="76"/>
      <c r="DFF49" s="76"/>
      <c r="DFG49" s="76"/>
      <c r="DFH49" s="76"/>
      <c r="DFI49" s="76"/>
      <c r="DFJ49" s="76"/>
      <c r="DFK49" s="76"/>
      <c r="DFL49" s="76"/>
      <c r="DFM49" s="76"/>
      <c r="DFN49" s="76"/>
      <c r="DFO49" s="76"/>
      <c r="DFP49" s="76"/>
      <c r="DFQ49" s="76"/>
      <c r="DFR49" s="76"/>
      <c r="DFS49" s="76"/>
      <c r="DFT49" s="76"/>
      <c r="DFU49" s="76"/>
      <c r="DFV49" s="76"/>
      <c r="DFW49" s="76"/>
      <c r="DFX49" s="76"/>
      <c r="DFY49" s="76"/>
      <c r="DFZ49" s="76"/>
      <c r="DGA49" s="76"/>
      <c r="DGB49" s="76"/>
      <c r="DGC49" s="76"/>
      <c r="DGD49" s="76"/>
      <c r="DGE49" s="76"/>
      <c r="DGF49" s="76"/>
      <c r="DGG49" s="76"/>
      <c r="DGH49" s="76"/>
      <c r="DGI49" s="76"/>
      <c r="DGJ49" s="76"/>
      <c r="DGK49" s="76"/>
      <c r="DGL49" s="76"/>
      <c r="DGM49" s="76"/>
      <c r="DGN49" s="76"/>
      <c r="DGO49" s="76"/>
      <c r="DGP49" s="76"/>
      <c r="DGQ49" s="76"/>
      <c r="DGR49" s="76"/>
      <c r="DGS49" s="76"/>
      <c r="DGT49" s="76"/>
      <c r="DGU49" s="76"/>
      <c r="DGV49" s="76"/>
      <c r="DGW49" s="76"/>
      <c r="DGX49" s="76"/>
      <c r="DGY49" s="76"/>
      <c r="DGZ49" s="76"/>
      <c r="DHA49" s="76"/>
      <c r="DHB49" s="76"/>
      <c r="DHC49" s="76"/>
      <c r="DHD49" s="76"/>
      <c r="DHE49" s="76"/>
      <c r="DHF49" s="76"/>
      <c r="DHG49" s="76"/>
      <c r="DHH49" s="76"/>
      <c r="DHI49" s="76"/>
      <c r="DHJ49" s="76"/>
      <c r="DHK49" s="76"/>
      <c r="DHL49" s="76"/>
      <c r="DHM49" s="76"/>
      <c r="DHN49" s="76"/>
      <c r="DHO49" s="76"/>
      <c r="DHP49" s="76"/>
      <c r="DHQ49" s="76"/>
      <c r="DHR49" s="76"/>
      <c r="DHS49" s="76"/>
      <c r="DHT49" s="76"/>
      <c r="DHU49" s="76"/>
      <c r="DHV49" s="76"/>
      <c r="DHW49" s="76"/>
      <c r="DHX49" s="76"/>
      <c r="DHY49" s="76"/>
      <c r="DHZ49" s="76"/>
      <c r="DIA49" s="76"/>
      <c r="DIB49" s="76"/>
      <c r="DIC49" s="76"/>
      <c r="DID49" s="76"/>
      <c r="DIE49" s="76"/>
      <c r="DIF49" s="76"/>
      <c r="DIG49" s="76"/>
      <c r="DIH49" s="76"/>
      <c r="DII49" s="76"/>
      <c r="DIJ49" s="76"/>
      <c r="DIK49" s="76"/>
      <c r="DIL49" s="76"/>
      <c r="DIM49" s="76"/>
      <c r="DIN49" s="76"/>
      <c r="DIO49" s="76"/>
      <c r="DIP49" s="76"/>
      <c r="DIQ49" s="76"/>
      <c r="DIR49" s="76"/>
      <c r="DIS49" s="76"/>
      <c r="DIT49" s="76"/>
      <c r="DIU49" s="76"/>
      <c r="DIV49" s="76"/>
      <c r="DIW49" s="76"/>
      <c r="DIX49" s="76"/>
      <c r="DIY49" s="76"/>
      <c r="DIZ49" s="76"/>
      <c r="DJA49" s="76"/>
      <c r="DJB49" s="76"/>
      <c r="DJC49" s="76"/>
      <c r="DJD49" s="76"/>
      <c r="DJE49" s="76"/>
      <c r="DJF49" s="76"/>
      <c r="DJG49" s="76"/>
      <c r="DJH49" s="76"/>
      <c r="DJI49" s="76"/>
      <c r="DJJ49" s="76"/>
      <c r="DJK49" s="76"/>
      <c r="DJL49" s="76"/>
      <c r="DJM49" s="76"/>
      <c r="DJN49" s="76"/>
      <c r="DJO49" s="76"/>
      <c r="DJP49" s="76"/>
      <c r="DJQ49" s="76"/>
      <c r="DJR49" s="76"/>
      <c r="DJS49" s="76"/>
      <c r="DJT49" s="76"/>
      <c r="DJU49" s="76"/>
      <c r="DJV49" s="76"/>
      <c r="DJW49" s="76"/>
      <c r="DJX49" s="76"/>
      <c r="DJY49" s="76"/>
      <c r="DJZ49" s="76"/>
      <c r="DKA49" s="76"/>
      <c r="DKB49" s="76"/>
      <c r="DKC49" s="76"/>
      <c r="DKD49" s="76"/>
      <c r="DKE49" s="76"/>
      <c r="DKF49" s="76"/>
      <c r="DKG49" s="76"/>
      <c r="DKH49" s="76"/>
      <c r="DKI49" s="76"/>
      <c r="DKJ49" s="76"/>
      <c r="DKK49" s="76"/>
      <c r="DKL49" s="76"/>
      <c r="DKM49" s="76"/>
      <c r="DKN49" s="76"/>
      <c r="DKO49" s="76"/>
      <c r="DKP49" s="76"/>
      <c r="DKQ49" s="76"/>
      <c r="DKR49" s="76"/>
      <c r="DKS49" s="76"/>
      <c r="DKT49" s="76"/>
      <c r="DKU49" s="76"/>
      <c r="DKV49" s="76"/>
      <c r="DKW49" s="76"/>
      <c r="DKX49" s="76"/>
      <c r="DKY49" s="76"/>
      <c r="DKZ49" s="76"/>
      <c r="DLA49" s="76"/>
      <c r="DLB49" s="76"/>
      <c r="DLC49" s="76"/>
      <c r="DLD49" s="76"/>
      <c r="DLE49" s="76"/>
      <c r="DLF49" s="76"/>
      <c r="DLG49" s="76"/>
      <c r="DLH49" s="76"/>
      <c r="DLI49" s="76"/>
      <c r="DLJ49" s="76"/>
      <c r="DLK49" s="76"/>
      <c r="DLL49" s="76"/>
      <c r="DLM49" s="76"/>
      <c r="DLN49" s="76"/>
      <c r="DLO49" s="76"/>
      <c r="DLP49" s="76"/>
      <c r="DLQ49" s="76"/>
      <c r="DLR49" s="76"/>
      <c r="DLS49" s="76"/>
      <c r="DLT49" s="76"/>
      <c r="DLU49" s="76"/>
      <c r="DLV49" s="76"/>
      <c r="DLW49" s="76"/>
      <c r="DLX49" s="76"/>
      <c r="DLY49" s="76"/>
      <c r="DLZ49" s="76"/>
      <c r="DMA49" s="76"/>
      <c r="DMB49" s="76"/>
      <c r="DMC49" s="76"/>
      <c r="DMD49" s="76"/>
      <c r="DME49" s="76"/>
      <c r="DMF49" s="76"/>
      <c r="DMG49" s="76"/>
      <c r="DMH49" s="76"/>
      <c r="DMI49" s="76"/>
      <c r="DMJ49" s="76"/>
      <c r="DMK49" s="76"/>
      <c r="DML49" s="76"/>
      <c r="DMM49" s="76"/>
      <c r="DMN49" s="76"/>
      <c r="DMO49" s="76"/>
      <c r="DMP49" s="76"/>
      <c r="DMQ49" s="76"/>
      <c r="DMR49" s="76"/>
      <c r="DMS49" s="76"/>
      <c r="DMT49" s="76"/>
      <c r="DMU49" s="76"/>
      <c r="DMV49" s="76"/>
      <c r="DMW49" s="76"/>
      <c r="DMX49" s="76"/>
      <c r="DMY49" s="76"/>
      <c r="DMZ49" s="76"/>
      <c r="DNA49" s="76"/>
      <c r="DNB49" s="76"/>
      <c r="DNC49" s="76"/>
      <c r="DND49" s="76"/>
      <c r="DNE49" s="76"/>
      <c r="DNF49" s="76"/>
      <c r="DNG49" s="76"/>
      <c r="DNH49" s="76"/>
      <c r="DNI49" s="76"/>
      <c r="DNJ49" s="76"/>
      <c r="DNK49" s="76"/>
      <c r="DNL49" s="76"/>
      <c r="DNM49" s="76"/>
      <c r="DNN49" s="76"/>
      <c r="DNO49" s="76"/>
      <c r="DNP49" s="76"/>
      <c r="DNQ49" s="76"/>
      <c r="DNR49" s="76"/>
      <c r="DNS49" s="76"/>
      <c r="DNT49" s="76"/>
      <c r="DNU49" s="76"/>
      <c r="DNV49" s="76"/>
      <c r="DNW49" s="76"/>
      <c r="DNX49" s="76"/>
      <c r="DNY49" s="76"/>
      <c r="DNZ49" s="76"/>
      <c r="DOA49" s="76"/>
      <c r="DOB49" s="76"/>
      <c r="DOC49" s="76"/>
      <c r="DOD49" s="76"/>
      <c r="DOE49" s="76"/>
      <c r="DOF49" s="76"/>
      <c r="DOG49" s="76"/>
      <c r="DOH49" s="76"/>
      <c r="DOI49" s="76"/>
      <c r="DOJ49" s="76"/>
      <c r="DOK49" s="76"/>
      <c r="DOL49" s="76"/>
      <c r="DOM49" s="76"/>
      <c r="DON49" s="76"/>
      <c r="DOO49" s="76"/>
      <c r="DOP49" s="76"/>
      <c r="DOQ49" s="76"/>
      <c r="DOR49" s="76"/>
      <c r="DOS49" s="76"/>
      <c r="DOT49" s="76"/>
      <c r="DOU49" s="76"/>
      <c r="DOV49" s="76"/>
      <c r="DOW49" s="76"/>
      <c r="DOX49" s="76"/>
      <c r="DOY49" s="76"/>
      <c r="DOZ49" s="76"/>
      <c r="DPA49" s="76"/>
      <c r="DPB49" s="76"/>
      <c r="DPC49" s="76"/>
      <c r="DPD49" s="76"/>
      <c r="DPE49" s="76"/>
      <c r="DPF49" s="76"/>
      <c r="DPG49" s="76"/>
      <c r="DPH49" s="76"/>
      <c r="DPI49" s="76"/>
      <c r="DPJ49" s="76"/>
      <c r="DPK49" s="76"/>
      <c r="DPL49" s="76"/>
      <c r="DPM49" s="76"/>
      <c r="DPN49" s="76"/>
      <c r="DPO49" s="76"/>
      <c r="DPP49" s="76"/>
      <c r="DPQ49" s="76"/>
      <c r="DPR49" s="76"/>
      <c r="DPS49" s="76"/>
      <c r="DPT49" s="76"/>
      <c r="DPU49" s="76"/>
      <c r="DPV49" s="76"/>
      <c r="DPW49" s="76"/>
      <c r="DPX49" s="76"/>
      <c r="DPY49" s="76"/>
      <c r="DPZ49" s="76"/>
      <c r="DQA49" s="76"/>
      <c r="DQB49" s="76"/>
      <c r="DQC49" s="76"/>
      <c r="DQD49" s="76"/>
      <c r="DQE49" s="76"/>
      <c r="DQF49" s="76"/>
      <c r="DQG49" s="76"/>
      <c r="DQH49" s="76"/>
      <c r="DQI49" s="76"/>
      <c r="DQJ49" s="76"/>
      <c r="DQK49" s="76"/>
      <c r="DQL49" s="76"/>
      <c r="DQM49" s="76"/>
      <c r="DQN49" s="76"/>
      <c r="DQO49" s="76"/>
      <c r="DQP49" s="76"/>
      <c r="DQQ49" s="76"/>
      <c r="DQR49" s="76"/>
      <c r="DQS49" s="76"/>
      <c r="DQT49" s="76"/>
      <c r="DQU49" s="76"/>
      <c r="DQV49" s="76"/>
      <c r="DQW49" s="76"/>
      <c r="DQX49" s="76"/>
      <c r="DQY49" s="76"/>
      <c r="DQZ49" s="76"/>
      <c r="DRA49" s="76"/>
      <c r="DRB49" s="76"/>
      <c r="DRC49" s="76"/>
      <c r="DRD49" s="76"/>
      <c r="DRE49" s="76"/>
      <c r="DRF49" s="76"/>
      <c r="DRG49" s="76"/>
      <c r="DRH49" s="76"/>
      <c r="DRI49" s="76"/>
      <c r="DRJ49" s="76"/>
      <c r="DRK49" s="76"/>
      <c r="DRL49" s="76"/>
      <c r="DRM49" s="76"/>
      <c r="DRN49" s="76"/>
      <c r="DRO49" s="76"/>
      <c r="DRP49" s="76"/>
      <c r="DRQ49" s="76"/>
      <c r="DRR49" s="76"/>
      <c r="DRS49" s="76"/>
      <c r="DRT49" s="76"/>
      <c r="DRU49" s="76"/>
      <c r="DRV49" s="76"/>
      <c r="DRW49" s="76"/>
      <c r="DRX49" s="76"/>
      <c r="DRY49" s="76"/>
      <c r="DRZ49" s="76"/>
      <c r="DSA49" s="76"/>
      <c r="DSB49" s="76"/>
      <c r="DSC49" s="76"/>
      <c r="DSD49" s="76"/>
      <c r="DSE49" s="76"/>
      <c r="DSF49" s="76"/>
      <c r="DSG49" s="76"/>
      <c r="DSH49" s="76"/>
      <c r="DSI49" s="76"/>
      <c r="DSJ49" s="76"/>
      <c r="DSK49" s="76"/>
      <c r="DSL49" s="76"/>
      <c r="DSM49" s="76"/>
      <c r="DSN49" s="76"/>
      <c r="DSO49" s="76"/>
      <c r="DSP49" s="76"/>
      <c r="DSQ49" s="76"/>
      <c r="DSR49" s="76"/>
      <c r="DSS49" s="76"/>
      <c r="DST49" s="76"/>
      <c r="DSU49" s="76"/>
      <c r="DSV49" s="76"/>
      <c r="DSW49" s="76"/>
      <c r="DSX49" s="76"/>
      <c r="DSY49" s="76"/>
      <c r="DSZ49" s="76"/>
      <c r="DTA49" s="76"/>
      <c r="DTB49" s="76"/>
      <c r="DTC49" s="76"/>
      <c r="DTD49" s="76"/>
      <c r="DTE49" s="76"/>
      <c r="DTF49" s="76"/>
      <c r="DTG49" s="76"/>
      <c r="DTH49" s="76"/>
      <c r="DTI49" s="76"/>
      <c r="DTJ49" s="76"/>
      <c r="DTK49" s="76"/>
      <c r="DTL49" s="76"/>
      <c r="DTM49" s="76"/>
      <c r="DTN49" s="76"/>
      <c r="DTO49" s="76"/>
      <c r="DTP49" s="76"/>
      <c r="DTQ49" s="76"/>
      <c r="DTR49" s="76"/>
      <c r="DTS49" s="76"/>
      <c r="DTT49" s="76"/>
      <c r="DTU49" s="76"/>
      <c r="DTV49" s="76"/>
      <c r="DTW49" s="76"/>
      <c r="DTX49" s="76"/>
      <c r="DTY49" s="76"/>
      <c r="DTZ49" s="76"/>
      <c r="DUA49" s="76"/>
      <c r="DUB49" s="76"/>
      <c r="DUC49" s="76"/>
      <c r="DUD49" s="76"/>
      <c r="DUE49" s="76"/>
      <c r="DUF49" s="76"/>
      <c r="DUG49" s="76"/>
      <c r="DUH49" s="76"/>
      <c r="DUI49" s="76"/>
      <c r="DUJ49" s="76"/>
      <c r="DUK49" s="76"/>
      <c r="DUL49" s="76"/>
      <c r="DUM49" s="76"/>
      <c r="DUN49" s="76"/>
      <c r="DUO49" s="76"/>
      <c r="DUP49" s="76"/>
      <c r="DUQ49" s="76"/>
      <c r="DUR49" s="76"/>
      <c r="DUS49" s="76"/>
      <c r="DUT49" s="76"/>
      <c r="DUU49" s="76"/>
      <c r="DUV49" s="76"/>
      <c r="DUW49" s="76"/>
      <c r="DUX49" s="76"/>
      <c r="DUY49" s="76"/>
      <c r="DUZ49" s="76"/>
      <c r="DVA49" s="76"/>
      <c r="DVB49" s="76"/>
      <c r="DVC49" s="76"/>
      <c r="DVD49" s="76"/>
      <c r="DVE49" s="76"/>
      <c r="DVF49" s="76"/>
      <c r="DVG49" s="76"/>
      <c r="DVH49" s="76"/>
      <c r="DVI49" s="76"/>
      <c r="DVJ49" s="76"/>
      <c r="DVK49" s="76"/>
      <c r="DVL49" s="76"/>
      <c r="DVM49" s="76"/>
      <c r="DVN49" s="76"/>
      <c r="DVO49" s="76"/>
      <c r="DVP49" s="76"/>
      <c r="DVQ49" s="76"/>
      <c r="DVR49" s="76"/>
      <c r="DVS49" s="76"/>
      <c r="DVT49" s="76"/>
      <c r="DVU49" s="76"/>
      <c r="DVV49" s="76"/>
      <c r="DVW49" s="76"/>
      <c r="DVX49" s="76"/>
      <c r="DVY49" s="76"/>
      <c r="DVZ49" s="76"/>
      <c r="DWA49" s="76"/>
      <c r="DWB49" s="76"/>
      <c r="DWC49" s="76"/>
      <c r="DWD49" s="76"/>
      <c r="DWE49" s="76"/>
      <c r="DWF49" s="76"/>
      <c r="DWG49" s="76"/>
      <c r="DWH49" s="76"/>
      <c r="DWI49" s="76"/>
      <c r="DWJ49" s="76"/>
      <c r="DWK49" s="76"/>
      <c r="DWL49" s="76"/>
      <c r="DWM49" s="76"/>
      <c r="DWN49" s="76"/>
      <c r="DWO49" s="76"/>
      <c r="DWP49" s="76"/>
      <c r="DWQ49" s="76"/>
      <c r="DWR49" s="76"/>
      <c r="DWS49" s="76"/>
      <c r="DWT49" s="76"/>
      <c r="DWU49" s="76"/>
      <c r="DWV49" s="76"/>
      <c r="DWW49" s="76"/>
      <c r="DWX49" s="76"/>
      <c r="DWY49" s="76"/>
      <c r="DWZ49" s="76"/>
      <c r="DXA49" s="76"/>
      <c r="DXB49" s="76"/>
      <c r="DXC49" s="76"/>
      <c r="DXD49" s="76"/>
      <c r="DXE49" s="76"/>
      <c r="DXF49" s="76"/>
      <c r="DXG49" s="76"/>
      <c r="DXH49" s="76"/>
      <c r="DXI49" s="76"/>
      <c r="DXJ49" s="76"/>
      <c r="DXK49" s="76"/>
      <c r="DXL49" s="76"/>
      <c r="DXM49" s="76"/>
      <c r="DXN49" s="76"/>
      <c r="DXO49" s="76"/>
      <c r="DXP49" s="76"/>
      <c r="DXQ49" s="76"/>
      <c r="DXR49" s="76"/>
      <c r="DXS49" s="76"/>
      <c r="DXT49" s="76"/>
      <c r="DXU49" s="76"/>
      <c r="DXV49" s="76"/>
      <c r="DXW49" s="76"/>
      <c r="DXX49" s="76"/>
      <c r="DXY49" s="76"/>
      <c r="DXZ49" s="76"/>
      <c r="DYA49" s="76"/>
      <c r="DYB49" s="76"/>
      <c r="DYC49" s="76"/>
      <c r="DYD49" s="76"/>
      <c r="DYE49" s="76"/>
      <c r="DYF49" s="76"/>
      <c r="DYG49" s="76"/>
      <c r="DYH49" s="76"/>
      <c r="DYI49" s="76"/>
      <c r="DYJ49" s="76"/>
      <c r="DYK49" s="76"/>
      <c r="DYL49" s="76"/>
      <c r="DYM49" s="76"/>
      <c r="DYN49" s="76"/>
      <c r="DYO49" s="76"/>
      <c r="DYP49" s="76"/>
      <c r="DYQ49" s="76"/>
      <c r="DYR49" s="76"/>
      <c r="DYS49" s="76"/>
      <c r="DYT49" s="76"/>
      <c r="DYU49" s="76"/>
      <c r="DYV49" s="76"/>
      <c r="DYW49" s="76"/>
      <c r="DYX49" s="76"/>
      <c r="DYY49" s="76"/>
      <c r="DYZ49" s="76"/>
      <c r="DZA49" s="76"/>
      <c r="DZB49" s="76"/>
      <c r="DZC49" s="76"/>
      <c r="DZD49" s="76"/>
      <c r="DZE49" s="76"/>
      <c r="DZF49" s="76"/>
      <c r="DZG49" s="76"/>
      <c r="DZH49" s="76"/>
      <c r="DZI49" s="76"/>
      <c r="DZJ49" s="76"/>
      <c r="DZK49" s="76"/>
      <c r="DZL49" s="76"/>
      <c r="DZM49" s="76"/>
      <c r="DZN49" s="76"/>
      <c r="DZO49" s="76"/>
      <c r="DZP49" s="76"/>
      <c r="DZQ49" s="76"/>
      <c r="DZR49" s="76"/>
      <c r="DZS49" s="76"/>
      <c r="DZT49" s="76"/>
      <c r="DZU49" s="76"/>
      <c r="DZV49" s="76"/>
      <c r="DZW49" s="76"/>
      <c r="DZX49" s="76"/>
      <c r="DZY49" s="76"/>
      <c r="DZZ49" s="76"/>
      <c r="EAA49" s="76"/>
      <c r="EAB49" s="76"/>
      <c r="EAC49" s="76"/>
      <c r="EAD49" s="76"/>
      <c r="EAE49" s="76"/>
      <c r="EAF49" s="76"/>
      <c r="EAG49" s="76"/>
      <c r="EAH49" s="76"/>
      <c r="EAI49" s="76"/>
      <c r="EAJ49" s="76"/>
      <c r="EAK49" s="76"/>
      <c r="EAL49" s="76"/>
      <c r="EAM49" s="76"/>
      <c r="EAN49" s="76"/>
      <c r="EAO49" s="76"/>
      <c r="EAP49" s="76"/>
      <c r="EAQ49" s="76"/>
      <c r="EAR49" s="76"/>
      <c r="EAS49" s="76"/>
      <c r="EAT49" s="76"/>
      <c r="EAU49" s="76"/>
      <c r="EAV49" s="76"/>
      <c r="EAW49" s="76"/>
      <c r="EAX49" s="76"/>
      <c r="EAY49" s="76"/>
      <c r="EAZ49" s="76"/>
      <c r="EBA49" s="76"/>
      <c r="EBB49" s="76"/>
      <c r="EBC49" s="76"/>
      <c r="EBD49" s="76"/>
      <c r="EBE49" s="76"/>
      <c r="EBF49" s="76"/>
      <c r="EBG49" s="76"/>
      <c r="EBH49" s="76"/>
      <c r="EBI49" s="76"/>
      <c r="EBJ49" s="76"/>
      <c r="EBK49" s="76"/>
      <c r="EBL49" s="76"/>
      <c r="EBM49" s="76"/>
      <c r="EBN49" s="76"/>
      <c r="EBO49" s="76"/>
      <c r="EBP49" s="76"/>
      <c r="EBQ49" s="76"/>
      <c r="EBR49" s="76"/>
      <c r="EBS49" s="76"/>
      <c r="EBT49" s="76"/>
      <c r="EBU49" s="76"/>
      <c r="EBV49" s="76"/>
      <c r="EBW49" s="76"/>
      <c r="EBX49" s="76"/>
      <c r="EBY49" s="76"/>
      <c r="EBZ49" s="76"/>
      <c r="ECA49" s="76"/>
      <c r="ECB49" s="76"/>
      <c r="ECC49" s="76"/>
      <c r="ECD49" s="76"/>
      <c r="ECE49" s="76"/>
      <c r="ECF49" s="76"/>
      <c r="ECG49" s="76"/>
      <c r="ECH49" s="76"/>
      <c r="ECI49" s="76"/>
      <c r="ECJ49" s="76"/>
      <c r="ECK49" s="76"/>
      <c r="ECL49" s="76"/>
      <c r="ECM49" s="76"/>
      <c r="ECN49" s="76"/>
      <c r="ECO49" s="76"/>
      <c r="ECP49" s="76"/>
      <c r="ECQ49" s="76"/>
      <c r="ECR49" s="76"/>
      <c r="ECS49" s="76"/>
      <c r="ECT49" s="76"/>
      <c r="ECU49" s="76"/>
      <c r="ECV49" s="76"/>
      <c r="ECW49" s="76"/>
      <c r="ECX49" s="76"/>
      <c r="ECY49" s="76"/>
      <c r="ECZ49" s="76"/>
      <c r="EDA49" s="76"/>
      <c r="EDB49" s="76"/>
      <c r="EDC49" s="76"/>
      <c r="EDD49" s="76"/>
      <c r="EDE49" s="76"/>
      <c r="EDF49" s="76"/>
      <c r="EDG49" s="76"/>
      <c r="EDH49" s="76"/>
      <c r="EDI49" s="76"/>
      <c r="EDJ49" s="76"/>
      <c r="EDK49" s="76"/>
      <c r="EDL49" s="76"/>
      <c r="EDM49" s="76"/>
      <c r="EDN49" s="76"/>
      <c r="EDO49" s="76"/>
      <c r="EDP49" s="76"/>
      <c r="EDQ49" s="76"/>
      <c r="EDR49" s="76"/>
      <c r="EDS49" s="76"/>
      <c r="EDT49" s="76"/>
      <c r="EDU49" s="76"/>
      <c r="EDV49" s="76"/>
      <c r="EDW49" s="76"/>
      <c r="EDX49" s="76"/>
      <c r="EDY49" s="76"/>
      <c r="EDZ49" s="76"/>
      <c r="EEA49" s="76"/>
      <c r="EEB49" s="76"/>
      <c r="EEC49" s="76"/>
      <c r="EED49" s="76"/>
      <c r="EEE49" s="76"/>
      <c r="EEF49" s="76"/>
      <c r="EEG49" s="76"/>
      <c r="EEH49" s="76"/>
      <c r="EEI49" s="76"/>
      <c r="EEJ49" s="76"/>
      <c r="EEK49" s="76"/>
      <c r="EEL49" s="76"/>
      <c r="EEM49" s="76"/>
      <c r="EEN49" s="76"/>
      <c r="EEO49" s="76"/>
      <c r="EEP49" s="76"/>
      <c r="EEQ49" s="76"/>
      <c r="EER49" s="76"/>
      <c r="EES49" s="76"/>
      <c r="EET49" s="76"/>
      <c r="EEU49" s="76"/>
      <c r="EEV49" s="76"/>
      <c r="EEW49" s="76"/>
      <c r="EEX49" s="76"/>
      <c r="EEY49" s="76"/>
      <c r="EEZ49" s="76"/>
      <c r="EFA49" s="76"/>
      <c r="EFB49" s="76"/>
      <c r="EFC49" s="76"/>
      <c r="EFD49" s="76"/>
      <c r="EFE49" s="76"/>
      <c r="EFF49" s="76"/>
      <c r="EFG49" s="76"/>
      <c r="EFH49" s="76"/>
      <c r="EFI49" s="76"/>
      <c r="EFJ49" s="76"/>
      <c r="EFK49" s="76"/>
      <c r="EFL49" s="76"/>
      <c r="EFM49" s="76"/>
      <c r="EFN49" s="76"/>
      <c r="EFO49" s="76"/>
      <c r="EFP49" s="76"/>
      <c r="EFQ49" s="76"/>
      <c r="EFR49" s="76"/>
      <c r="EFS49" s="76"/>
      <c r="EFT49" s="76"/>
      <c r="EFU49" s="76"/>
      <c r="EFV49" s="76"/>
      <c r="EFW49" s="76"/>
      <c r="EFX49" s="76"/>
      <c r="EFY49" s="76"/>
      <c r="EFZ49" s="76"/>
      <c r="EGA49" s="76"/>
      <c r="EGB49" s="76"/>
      <c r="EGC49" s="76"/>
      <c r="EGD49" s="76"/>
      <c r="EGE49" s="76"/>
      <c r="EGF49" s="76"/>
      <c r="EGG49" s="76"/>
      <c r="EGH49" s="76"/>
      <c r="EGI49" s="76"/>
      <c r="EGJ49" s="76"/>
      <c r="EGK49" s="76"/>
      <c r="EGL49" s="76"/>
      <c r="EGM49" s="76"/>
      <c r="EGN49" s="76"/>
      <c r="EGO49" s="76"/>
      <c r="EGP49" s="76"/>
      <c r="EGQ49" s="76"/>
      <c r="EGR49" s="76"/>
      <c r="EGS49" s="76"/>
      <c r="EGT49" s="76"/>
      <c r="EGU49" s="76"/>
      <c r="EGV49" s="76"/>
      <c r="EGW49" s="76"/>
      <c r="EGX49" s="76"/>
      <c r="EGY49" s="76"/>
      <c r="EGZ49" s="76"/>
      <c r="EHA49" s="76"/>
      <c r="EHB49" s="76"/>
      <c r="EHC49" s="76"/>
      <c r="EHD49" s="76"/>
      <c r="EHE49" s="76"/>
      <c r="EHF49" s="76"/>
      <c r="EHG49" s="76"/>
      <c r="EHH49" s="76"/>
      <c r="EHI49" s="76"/>
      <c r="EHJ49" s="76"/>
      <c r="EHK49" s="76"/>
      <c r="EHL49" s="76"/>
      <c r="EHM49" s="76"/>
      <c r="EHN49" s="76"/>
      <c r="EHO49" s="76"/>
      <c r="EHP49" s="76"/>
      <c r="EHQ49" s="76"/>
      <c r="EHR49" s="76"/>
      <c r="EHS49" s="76"/>
      <c r="EHT49" s="76"/>
      <c r="EHU49" s="76"/>
      <c r="EHV49" s="76"/>
      <c r="EHW49" s="76"/>
      <c r="EHX49" s="76"/>
      <c r="EHY49" s="76"/>
      <c r="EHZ49" s="76"/>
      <c r="EIA49" s="76"/>
      <c r="EIB49" s="76"/>
      <c r="EIC49" s="76"/>
      <c r="EID49" s="76"/>
      <c r="EIE49" s="76"/>
      <c r="EIF49" s="76"/>
      <c r="EIG49" s="76"/>
      <c r="EIH49" s="76"/>
      <c r="EII49" s="76"/>
      <c r="EIJ49" s="76"/>
      <c r="EIK49" s="76"/>
      <c r="EIL49" s="76"/>
      <c r="EIM49" s="76"/>
      <c r="EIN49" s="76"/>
      <c r="EIO49" s="76"/>
      <c r="EIP49" s="76"/>
      <c r="EIQ49" s="76"/>
      <c r="EIR49" s="76"/>
      <c r="EIS49" s="76"/>
      <c r="EIT49" s="76"/>
      <c r="EIU49" s="76"/>
      <c r="EIV49" s="76"/>
      <c r="EIW49" s="76"/>
      <c r="EIX49" s="76"/>
      <c r="EIY49" s="76"/>
      <c r="EIZ49" s="76"/>
      <c r="EJA49" s="76"/>
      <c r="EJB49" s="76"/>
      <c r="EJC49" s="76"/>
      <c r="EJD49" s="76"/>
      <c r="EJE49" s="76"/>
      <c r="EJF49" s="76"/>
      <c r="EJG49" s="76"/>
      <c r="EJH49" s="76"/>
      <c r="EJI49" s="76"/>
      <c r="EJJ49" s="76"/>
      <c r="EJK49" s="76"/>
      <c r="EJL49" s="76"/>
      <c r="EJM49" s="76"/>
      <c r="EJN49" s="76"/>
      <c r="EJO49" s="76"/>
      <c r="EJP49" s="76"/>
      <c r="EJQ49" s="76"/>
      <c r="EJR49" s="76"/>
      <c r="EJS49" s="76"/>
      <c r="EJT49" s="76"/>
      <c r="EJU49" s="76"/>
      <c r="EJV49" s="76"/>
      <c r="EJW49" s="76"/>
      <c r="EJX49" s="76"/>
      <c r="EJY49" s="76"/>
      <c r="EJZ49" s="76"/>
      <c r="EKA49" s="76"/>
      <c r="EKB49" s="76"/>
      <c r="EKC49" s="76"/>
      <c r="EKD49" s="76"/>
      <c r="EKE49" s="76"/>
      <c r="EKF49" s="76"/>
      <c r="EKG49" s="76"/>
      <c r="EKH49" s="76"/>
      <c r="EKI49" s="76"/>
      <c r="EKJ49" s="76"/>
      <c r="EKK49" s="76"/>
      <c r="EKL49" s="76"/>
      <c r="EKM49" s="76"/>
      <c r="EKN49" s="76"/>
      <c r="EKO49" s="76"/>
      <c r="EKP49" s="76"/>
      <c r="EKQ49" s="76"/>
      <c r="EKR49" s="76"/>
      <c r="EKS49" s="76"/>
      <c r="EKT49" s="76"/>
      <c r="EKU49" s="76"/>
      <c r="EKV49" s="76"/>
      <c r="EKW49" s="76"/>
      <c r="EKX49" s="76"/>
      <c r="EKY49" s="76"/>
      <c r="EKZ49" s="76"/>
      <c r="ELA49" s="76"/>
      <c r="ELB49" s="76"/>
      <c r="ELC49" s="76"/>
      <c r="ELD49" s="76"/>
      <c r="ELE49" s="76"/>
      <c r="ELF49" s="76"/>
      <c r="ELG49" s="76"/>
      <c r="ELH49" s="76"/>
      <c r="ELI49" s="76"/>
      <c r="ELJ49" s="76"/>
      <c r="ELK49" s="76"/>
      <c r="ELL49" s="76"/>
      <c r="ELM49" s="76"/>
      <c r="ELN49" s="76"/>
      <c r="ELO49" s="76"/>
      <c r="ELP49" s="76"/>
      <c r="ELQ49" s="76"/>
      <c r="ELR49" s="76"/>
      <c r="ELS49" s="76"/>
      <c r="ELT49" s="76"/>
      <c r="ELU49" s="76"/>
      <c r="ELV49" s="76"/>
      <c r="ELW49" s="76"/>
      <c r="ELX49" s="76"/>
      <c r="ELY49" s="76"/>
      <c r="ELZ49" s="76"/>
      <c r="EMA49" s="76"/>
      <c r="EMB49" s="76"/>
      <c r="EMC49" s="76"/>
      <c r="EMD49" s="76"/>
      <c r="EME49" s="76"/>
      <c r="EMF49" s="76"/>
      <c r="EMG49" s="76"/>
      <c r="EMH49" s="76"/>
      <c r="EMI49" s="76"/>
      <c r="EMJ49" s="76"/>
      <c r="EMK49" s="76"/>
      <c r="EML49" s="76"/>
      <c r="EMM49" s="76"/>
      <c r="EMN49" s="76"/>
      <c r="EMO49" s="76"/>
      <c r="EMP49" s="76"/>
      <c r="EMQ49" s="76"/>
      <c r="EMR49" s="76"/>
      <c r="EMS49" s="76"/>
      <c r="EMT49" s="76"/>
      <c r="EMU49" s="76"/>
      <c r="EMV49" s="76"/>
      <c r="EMW49" s="76"/>
      <c r="EMX49" s="76"/>
      <c r="EMY49" s="76"/>
      <c r="EMZ49" s="76"/>
      <c r="ENA49" s="76"/>
      <c r="ENB49" s="76"/>
      <c r="ENC49" s="76"/>
      <c r="END49" s="76"/>
      <c r="ENE49" s="76"/>
      <c r="ENF49" s="76"/>
      <c r="ENG49" s="76"/>
      <c r="ENH49" s="76"/>
      <c r="ENI49" s="76"/>
      <c r="ENJ49" s="76"/>
      <c r="ENK49" s="76"/>
      <c r="ENL49" s="76"/>
      <c r="ENM49" s="76"/>
      <c r="ENN49" s="76"/>
      <c r="ENO49" s="76"/>
      <c r="ENP49" s="76"/>
      <c r="ENQ49" s="76"/>
      <c r="ENR49" s="76"/>
      <c r="ENS49" s="76"/>
      <c r="ENT49" s="76"/>
      <c r="ENU49" s="76"/>
      <c r="ENV49" s="76"/>
      <c r="ENW49" s="76"/>
      <c r="ENX49" s="76"/>
      <c r="ENY49" s="76"/>
      <c r="ENZ49" s="76"/>
      <c r="EOA49" s="76"/>
      <c r="EOB49" s="76"/>
      <c r="EOC49" s="76"/>
      <c r="EOD49" s="76"/>
      <c r="EOE49" s="76"/>
      <c r="EOF49" s="76"/>
      <c r="EOG49" s="76"/>
      <c r="EOH49" s="76"/>
      <c r="EOI49" s="76"/>
      <c r="EOJ49" s="76"/>
      <c r="EOK49" s="76"/>
      <c r="EOL49" s="76"/>
      <c r="EOM49" s="76"/>
      <c r="EON49" s="76"/>
      <c r="EOO49" s="76"/>
      <c r="EOP49" s="76"/>
      <c r="EOQ49" s="76"/>
      <c r="EOR49" s="76"/>
      <c r="EOS49" s="76"/>
      <c r="EOT49" s="76"/>
      <c r="EOU49" s="76"/>
      <c r="EOV49" s="76"/>
      <c r="EOW49" s="76"/>
      <c r="EOX49" s="76"/>
      <c r="EOY49" s="76"/>
      <c r="EOZ49" s="76"/>
      <c r="EPA49" s="76"/>
      <c r="EPB49" s="76"/>
      <c r="EPC49" s="76"/>
      <c r="EPD49" s="76"/>
      <c r="EPE49" s="76"/>
      <c r="EPF49" s="76"/>
      <c r="EPG49" s="76"/>
      <c r="EPH49" s="76"/>
      <c r="EPI49" s="76"/>
      <c r="EPJ49" s="76"/>
      <c r="EPK49" s="76"/>
      <c r="EPL49" s="76"/>
      <c r="EPM49" s="76"/>
      <c r="EPN49" s="76"/>
      <c r="EPO49" s="76"/>
      <c r="EPP49" s="76"/>
      <c r="EPQ49" s="76"/>
      <c r="EPR49" s="76"/>
      <c r="EPS49" s="76"/>
      <c r="EPT49" s="76"/>
      <c r="EPU49" s="76"/>
      <c r="EPV49" s="76"/>
      <c r="EPW49" s="76"/>
      <c r="EPX49" s="76"/>
      <c r="EPY49" s="76"/>
      <c r="EPZ49" s="76"/>
      <c r="EQA49" s="76"/>
      <c r="EQB49" s="76"/>
      <c r="EQC49" s="76"/>
      <c r="EQD49" s="76"/>
      <c r="EQE49" s="76"/>
      <c r="EQF49" s="76"/>
      <c r="EQG49" s="76"/>
      <c r="EQH49" s="76"/>
      <c r="EQI49" s="76"/>
      <c r="EQJ49" s="76"/>
      <c r="EQK49" s="76"/>
      <c r="EQL49" s="76"/>
      <c r="EQM49" s="76"/>
      <c r="EQN49" s="76"/>
      <c r="EQO49" s="76"/>
      <c r="EQP49" s="76"/>
      <c r="EQQ49" s="76"/>
      <c r="EQR49" s="76"/>
      <c r="EQS49" s="76"/>
      <c r="EQT49" s="76"/>
      <c r="EQU49" s="76"/>
      <c r="EQV49" s="76"/>
      <c r="EQW49" s="76"/>
      <c r="EQX49" s="76"/>
      <c r="EQY49" s="76"/>
      <c r="EQZ49" s="76"/>
      <c r="ERA49" s="76"/>
      <c r="ERB49" s="76"/>
      <c r="ERC49" s="76"/>
      <c r="ERD49" s="76"/>
      <c r="ERE49" s="76"/>
      <c r="ERF49" s="76"/>
      <c r="ERG49" s="76"/>
      <c r="ERH49" s="76"/>
      <c r="ERI49" s="76"/>
      <c r="ERJ49" s="76"/>
      <c r="ERK49" s="76"/>
      <c r="ERL49" s="76"/>
      <c r="ERM49" s="76"/>
      <c r="ERN49" s="76"/>
      <c r="ERO49" s="76"/>
      <c r="ERP49" s="76"/>
      <c r="ERQ49" s="76"/>
      <c r="ERR49" s="76"/>
      <c r="ERS49" s="76"/>
      <c r="ERT49" s="76"/>
      <c r="ERU49" s="76"/>
      <c r="ERV49" s="76"/>
      <c r="ERW49" s="76"/>
      <c r="ERX49" s="76"/>
      <c r="ERY49" s="76"/>
      <c r="ERZ49" s="76"/>
      <c r="ESA49" s="76"/>
      <c r="ESB49" s="76"/>
      <c r="ESC49" s="76"/>
      <c r="ESD49" s="76"/>
      <c r="ESE49" s="76"/>
      <c r="ESF49" s="76"/>
      <c r="ESG49" s="76"/>
      <c r="ESH49" s="76"/>
      <c r="ESI49" s="76"/>
      <c r="ESJ49" s="76"/>
      <c r="ESK49" s="76"/>
      <c r="ESL49" s="76"/>
      <c r="ESM49" s="76"/>
      <c r="ESN49" s="76"/>
      <c r="ESO49" s="76"/>
      <c r="ESP49" s="76"/>
      <c r="ESQ49" s="76"/>
      <c r="ESR49" s="76"/>
      <c r="ESS49" s="76"/>
      <c r="EST49" s="76"/>
      <c r="ESU49" s="76"/>
      <c r="ESV49" s="76"/>
      <c r="ESW49" s="76"/>
      <c r="ESX49" s="76"/>
      <c r="ESY49" s="76"/>
      <c r="ESZ49" s="76"/>
      <c r="ETA49" s="76"/>
      <c r="ETB49" s="76"/>
      <c r="ETC49" s="76"/>
      <c r="ETD49" s="76"/>
      <c r="ETE49" s="76"/>
      <c r="ETF49" s="76"/>
      <c r="ETG49" s="76"/>
      <c r="ETH49" s="76"/>
      <c r="ETI49" s="76"/>
      <c r="ETJ49" s="76"/>
      <c r="ETK49" s="76"/>
      <c r="ETL49" s="76"/>
      <c r="ETM49" s="76"/>
      <c r="ETN49" s="76"/>
      <c r="ETO49" s="76"/>
      <c r="ETP49" s="76"/>
      <c r="ETQ49" s="76"/>
      <c r="ETR49" s="76"/>
      <c r="ETS49" s="76"/>
      <c r="ETT49" s="76"/>
      <c r="ETU49" s="76"/>
      <c r="ETV49" s="76"/>
      <c r="ETW49" s="76"/>
      <c r="ETX49" s="76"/>
      <c r="ETY49" s="76"/>
      <c r="ETZ49" s="76"/>
      <c r="EUA49" s="76"/>
      <c r="EUB49" s="76"/>
      <c r="EUC49" s="76"/>
      <c r="EUD49" s="76"/>
      <c r="EUE49" s="76"/>
      <c r="EUF49" s="76"/>
      <c r="EUG49" s="76"/>
      <c r="EUH49" s="76"/>
      <c r="EUI49" s="76"/>
      <c r="EUJ49" s="76"/>
      <c r="EUK49" s="76"/>
      <c r="EUL49" s="76"/>
      <c r="EUM49" s="76"/>
      <c r="EUN49" s="76"/>
      <c r="EUO49" s="76"/>
      <c r="EUP49" s="76"/>
      <c r="EUQ49" s="76"/>
      <c r="EUR49" s="76"/>
      <c r="EUS49" s="76"/>
      <c r="EUT49" s="76"/>
      <c r="EUU49" s="76"/>
      <c r="EUV49" s="76"/>
      <c r="EUW49" s="76"/>
      <c r="EUX49" s="76"/>
      <c r="EUY49" s="76"/>
      <c r="EUZ49" s="76"/>
      <c r="EVA49" s="76"/>
      <c r="EVB49" s="76"/>
      <c r="EVC49" s="76"/>
      <c r="EVD49" s="76"/>
      <c r="EVE49" s="76"/>
      <c r="EVF49" s="76"/>
      <c r="EVG49" s="76"/>
      <c r="EVH49" s="76"/>
      <c r="EVI49" s="76"/>
      <c r="EVJ49" s="76"/>
      <c r="EVK49" s="76"/>
      <c r="EVL49" s="76"/>
      <c r="EVM49" s="76"/>
      <c r="EVN49" s="76"/>
      <c r="EVO49" s="76"/>
      <c r="EVP49" s="76"/>
      <c r="EVQ49" s="76"/>
      <c r="EVR49" s="76"/>
      <c r="EVS49" s="76"/>
      <c r="EVT49" s="76"/>
      <c r="EVU49" s="76"/>
      <c r="EVV49" s="76"/>
      <c r="EVW49" s="76"/>
      <c r="EVX49" s="76"/>
      <c r="EVY49" s="76"/>
      <c r="EVZ49" s="76"/>
      <c r="EWA49" s="76"/>
      <c r="EWB49" s="76"/>
      <c r="EWC49" s="76"/>
      <c r="EWD49" s="76"/>
      <c r="EWE49" s="76"/>
      <c r="EWF49" s="76"/>
      <c r="EWG49" s="76"/>
      <c r="EWH49" s="76"/>
      <c r="EWI49" s="76"/>
      <c r="EWJ49" s="76"/>
      <c r="EWK49" s="76"/>
      <c r="EWL49" s="76"/>
      <c r="EWM49" s="76"/>
      <c r="EWN49" s="76"/>
      <c r="EWO49" s="76"/>
      <c r="EWP49" s="76"/>
      <c r="EWQ49" s="76"/>
      <c r="EWR49" s="76"/>
      <c r="EWS49" s="76"/>
      <c r="EWT49" s="76"/>
      <c r="EWU49" s="76"/>
      <c r="EWV49" s="76"/>
      <c r="EWW49" s="76"/>
      <c r="EWX49" s="76"/>
      <c r="EWY49" s="76"/>
      <c r="EWZ49" s="76"/>
      <c r="EXA49" s="76"/>
      <c r="EXB49" s="76"/>
      <c r="EXC49" s="76"/>
      <c r="EXD49" s="76"/>
      <c r="EXE49" s="76"/>
      <c r="EXF49" s="76"/>
      <c r="EXG49" s="76"/>
      <c r="EXH49" s="76"/>
      <c r="EXI49" s="76"/>
      <c r="EXJ49" s="76"/>
      <c r="EXK49" s="76"/>
      <c r="EXL49" s="76"/>
      <c r="EXM49" s="76"/>
      <c r="EXN49" s="76"/>
      <c r="EXO49" s="76"/>
      <c r="EXP49" s="76"/>
      <c r="EXQ49" s="76"/>
      <c r="EXR49" s="76"/>
      <c r="EXS49" s="76"/>
      <c r="EXT49" s="76"/>
      <c r="EXU49" s="76"/>
      <c r="EXV49" s="76"/>
      <c r="EXW49" s="76"/>
      <c r="EXX49" s="76"/>
      <c r="EXY49" s="76"/>
      <c r="EXZ49" s="76"/>
      <c r="EYA49" s="76"/>
      <c r="EYB49" s="76"/>
      <c r="EYC49" s="76"/>
      <c r="EYD49" s="76"/>
      <c r="EYE49" s="76"/>
      <c r="EYF49" s="76"/>
      <c r="EYG49" s="76"/>
      <c r="EYH49" s="76"/>
      <c r="EYI49" s="76"/>
      <c r="EYJ49" s="76"/>
      <c r="EYK49" s="76"/>
      <c r="EYL49" s="76"/>
      <c r="EYM49" s="76"/>
      <c r="EYN49" s="76"/>
      <c r="EYO49" s="76"/>
      <c r="EYP49" s="76"/>
      <c r="EYQ49" s="76"/>
      <c r="EYR49" s="76"/>
      <c r="EYS49" s="76"/>
      <c r="EYT49" s="76"/>
      <c r="EYU49" s="76"/>
      <c r="EYV49" s="76"/>
      <c r="EYW49" s="76"/>
      <c r="EYX49" s="76"/>
      <c r="EYY49" s="76"/>
      <c r="EYZ49" s="76"/>
      <c r="EZA49" s="76"/>
      <c r="EZB49" s="76"/>
      <c r="EZC49" s="76"/>
      <c r="EZD49" s="76"/>
      <c r="EZE49" s="76"/>
      <c r="EZF49" s="76"/>
      <c r="EZG49" s="76"/>
      <c r="EZH49" s="76"/>
      <c r="EZI49" s="76"/>
      <c r="EZJ49" s="76"/>
      <c r="EZK49" s="76"/>
      <c r="EZL49" s="76"/>
      <c r="EZM49" s="76"/>
      <c r="EZN49" s="76"/>
      <c r="EZO49" s="76"/>
      <c r="EZP49" s="76"/>
      <c r="EZQ49" s="76"/>
      <c r="EZR49" s="76"/>
      <c r="EZS49" s="76"/>
      <c r="EZT49" s="76"/>
      <c r="EZU49" s="76"/>
      <c r="EZV49" s="76"/>
      <c r="EZW49" s="76"/>
      <c r="EZX49" s="76"/>
      <c r="EZY49" s="76"/>
      <c r="EZZ49" s="76"/>
      <c r="FAA49" s="76"/>
      <c r="FAB49" s="76"/>
      <c r="FAC49" s="76"/>
      <c r="FAD49" s="76"/>
      <c r="FAE49" s="76"/>
      <c r="FAF49" s="76"/>
      <c r="FAG49" s="76"/>
      <c r="FAH49" s="76"/>
      <c r="FAI49" s="76"/>
      <c r="FAJ49" s="76"/>
      <c r="FAK49" s="76"/>
      <c r="FAL49" s="76"/>
      <c r="FAM49" s="76"/>
      <c r="FAN49" s="76"/>
      <c r="FAO49" s="76"/>
      <c r="FAP49" s="76"/>
      <c r="FAQ49" s="76"/>
      <c r="FAR49" s="76"/>
      <c r="FAS49" s="76"/>
      <c r="FAT49" s="76"/>
      <c r="FAU49" s="76"/>
      <c r="FAV49" s="76"/>
      <c r="FAW49" s="76"/>
      <c r="FAX49" s="76"/>
      <c r="FAY49" s="76"/>
      <c r="FAZ49" s="76"/>
      <c r="FBA49" s="76"/>
      <c r="FBB49" s="76"/>
      <c r="FBC49" s="76"/>
      <c r="FBD49" s="76"/>
      <c r="FBE49" s="76"/>
      <c r="FBF49" s="76"/>
      <c r="FBG49" s="76"/>
      <c r="FBH49" s="76"/>
      <c r="FBI49" s="76"/>
      <c r="FBJ49" s="76"/>
      <c r="FBK49" s="76"/>
      <c r="FBL49" s="76"/>
      <c r="FBM49" s="76"/>
      <c r="FBN49" s="76"/>
      <c r="FBO49" s="76"/>
      <c r="FBP49" s="76"/>
      <c r="FBQ49" s="76"/>
      <c r="FBR49" s="76"/>
      <c r="FBS49" s="76"/>
      <c r="FBT49" s="76"/>
      <c r="FBU49" s="76"/>
      <c r="FBV49" s="76"/>
      <c r="FBW49" s="76"/>
      <c r="FBX49" s="76"/>
      <c r="FBY49" s="76"/>
      <c r="FBZ49" s="76"/>
      <c r="FCA49" s="76"/>
      <c r="FCB49" s="76"/>
      <c r="FCC49" s="76"/>
      <c r="FCD49" s="76"/>
      <c r="FCE49" s="76"/>
      <c r="FCF49" s="76"/>
      <c r="FCG49" s="76"/>
      <c r="FCH49" s="76"/>
      <c r="FCI49" s="76"/>
      <c r="FCJ49" s="76"/>
      <c r="FCK49" s="76"/>
      <c r="FCL49" s="76"/>
      <c r="FCM49" s="76"/>
      <c r="FCN49" s="76"/>
      <c r="FCO49" s="76"/>
      <c r="FCP49" s="76"/>
      <c r="FCQ49" s="76"/>
      <c r="FCR49" s="76"/>
      <c r="FCS49" s="76"/>
      <c r="FCT49" s="76"/>
      <c r="FCU49" s="76"/>
      <c r="FCV49" s="76"/>
      <c r="FCW49" s="76"/>
      <c r="FCX49" s="76"/>
      <c r="FCY49" s="76"/>
      <c r="FCZ49" s="76"/>
      <c r="FDA49" s="76"/>
      <c r="FDB49" s="76"/>
      <c r="FDC49" s="76"/>
      <c r="FDD49" s="76"/>
      <c r="FDE49" s="76"/>
      <c r="FDF49" s="76"/>
      <c r="FDG49" s="76"/>
      <c r="FDH49" s="76"/>
      <c r="FDI49" s="76"/>
      <c r="FDJ49" s="76"/>
      <c r="FDK49" s="76"/>
      <c r="FDL49" s="76"/>
      <c r="FDM49" s="76"/>
      <c r="FDN49" s="76"/>
      <c r="FDO49" s="76"/>
      <c r="FDP49" s="76"/>
      <c r="FDQ49" s="76"/>
      <c r="FDR49" s="76"/>
      <c r="FDS49" s="76"/>
      <c r="FDT49" s="76"/>
      <c r="FDU49" s="76"/>
      <c r="FDV49" s="76"/>
      <c r="FDW49" s="76"/>
      <c r="FDX49" s="76"/>
      <c r="FDY49" s="76"/>
      <c r="FDZ49" s="76"/>
      <c r="FEA49" s="76"/>
      <c r="FEB49" s="76"/>
      <c r="FEC49" s="76"/>
      <c r="FED49" s="76"/>
      <c r="FEE49" s="76"/>
      <c r="FEF49" s="76"/>
      <c r="FEG49" s="76"/>
      <c r="FEH49" s="76"/>
      <c r="FEI49" s="76"/>
      <c r="FEJ49" s="76"/>
      <c r="FEK49" s="76"/>
      <c r="FEL49" s="76"/>
      <c r="FEM49" s="76"/>
      <c r="FEN49" s="76"/>
      <c r="FEO49" s="76"/>
      <c r="FEP49" s="76"/>
      <c r="FEQ49" s="76"/>
      <c r="FER49" s="76"/>
      <c r="FES49" s="76"/>
      <c r="FET49" s="76"/>
      <c r="FEU49" s="76"/>
      <c r="FEV49" s="76"/>
      <c r="FEW49" s="76"/>
      <c r="FEX49" s="76"/>
      <c r="FEY49" s="76"/>
      <c r="FEZ49" s="76"/>
      <c r="FFA49" s="76"/>
      <c r="FFB49" s="76"/>
      <c r="FFC49" s="76"/>
      <c r="FFD49" s="76"/>
      <c r="FFE49" s="76"/>
      <c r="FFF49" s="76"/>
      <c r="FFG49" s="76"/>
      <c r="FFH49" s="76"/>
      <c r="FFI49" s="76"/>
      <c r="FFJ49" s="76"/>
      <c r="FFK49" s="76"/>
      <c r="FFL49" s="76"/>
      <c r="FFM49" s="76"/>
      <c r="FFN49" s="76"/>
      <c r="FFO49" s="76"/>
      <c r="FFP49" s="76"/>
      <c r="FFQ49" s="76"/>
      <c r="FFR49" s="76"/>
      <c r="FFS49" s="76"/>
      <c r="FFT49" s="76"/>
      <c r="FFU49" s="76"/>
      <c r="FFV49" s="76"/>
      <c r="FFW49" s="76"/>
      <c r="FFX49" s="76"/>
      <c r="FFY49" s="76"/>
      <c r="FFZ49" s="76"/>
      <c r="FGA49" s="76"/>
      <c r="FGB49" s="76"/>
      <c r="FGC49" s="76"/>
      <c r="FGD49" s="76"/>
      <c r="FGE49" s="76"/>
      <c r="FGF49" s="76"/>
      <c r="FGG49" s="76"/>
      <c r="FGH49" s="76"/>
      <c r="FGI49" s="76"/>
      <c r="FGJ49" s="76"/>
      <c r="FGK49" s="76"/>
      <c r="FGL49" s="76"/>
      <c r="FGM49" s="76"/>
      <c r="FGN49" s="76"/>
      <c r="FGO49" s="76"/>
      <c r="FGP49" s="76"/>
      <c r="FGQ49" s="76"/>
      <c r="FGR49" s="76"/>
      <c r="FGS49" s="76"/>
      <c r="FGT49" s="76"/>
      <c r="FGU49" s="76"/>
      <c r="FGV49" s="76"/>
      <c r="FGW49" s="76"/>
      <c r="FGX49" s="76"/>
      <c r="FGY49" s="76"/>
      <c r="FGZ49" s="76"/>
      <c r="FHA49" s="76"/>
      <c r="FHB49" s="76"/>
      <c r="FHC49" s="76"/>
      <c r="FHD49" s="76"/>
      <c r="FHE49" s="76"/>
      <c r="FHF49" s="76"/>
      <c r="FHG49" s="76"/>
      <c r="FHH49" s="76"/>
      <c r="FHI49" s="76"/>
      <c r="FHJ49" s="76"/>
      <c r="FHK49" s="76"/>
      <c r="FHL49" s="76"/>
      <c r="FHM49" s="76"/>
      <c r="FHN49" s="76"/>
      <c r="FHO49" s="76"/>
      <c r="FHP49" s="76"/>
      <c r="FHQ49" s="76"/>
      <c r="FHR49" s="76"/>
      <c r="FHS49" s="76"/>
      <c r="FHT49" s="76"/>
      <c r="FHU49" s="76"/>
      <c r="FHV49" s="76"/>
      <c r="FHW49" s="76"/>
      <c r="FHX49" s="76"/>
      <c r="FHY49" s="76"/>
      <c r="FHZ49" s="76"/>
      <c r="FIA49" s="76"/>
      <c r="FIB49" s="76"/>
      <c r="FIC49" s="76"/>
      <c r="FID49" s="76"/>
      <c r="FIE49" s="76"/>
      <c r="FIF49" s="76"/>
      <c r="FIG49" s="76"/>
      <c r="FIH49" s="76"/>
      <c r="FII49" s="76"/>
      <c r="FIJ49" s="76"/>
      <c r="FIK49" s="76"/>
      <c r="FIL49" s="76"/>
      <c r="FIM49" s="76"/>
      <c r="FIN49" s="76"/>
      <c r="FIO49" s="76"/>
      <c r="FIP49" s="76"/>
      <c r="FIQ49" s="76"/>
      <c r="FIR49" s="76"/>
      <c r="FIS49" s="76"/>
      <c r="FIT49" s="76"/>
      <c r="FIU49" s="76"/>
      <c r="FIV49" s="76"/>
      <c r="FIW49" s="76"/>
      <c r="FIX49" s="76"/>
      <c r="FIY49" s="76"/>
      <c r="FIZ49" s="76"/>
      <c r="FJA49" s="76"/>
      <c r="FJB49" s="76"/>
      <c r="FJC49" s="76"/>
      <c r="FJD49" s="76"/>
      <c r="FJE49" s="76"/>
      <c r="FJF49" s="76"/>
      <c r="FJG49" s="76"/>
      <c r="FJH49" s="76"/>
      <c r="FJI49" s="76"/>
      <c r="FJJ49" s="76"/>
      <c r="FJK49" s="76"/>
      <c r="FJL49" s="76"/>
      <c r="FJM49" s="76"/>
      <c r="FJN49" s="76"/>
      <c r="FJO49" s="76"/>
      <c r="FJP49" s="76"/>
      <c r="FJQ49" s="76"/>
      <c r="FJR49" s="76"/>
      <c r="FJS49" s="76"/>
      <c r="FJT49" s="76"/>
      <c r="FJU49" s="76"/>
      <c r="FJV49" s="76"/>
      <c r="FJW49" s="76"/>
      <c r="FJX49" s="76"/>
      <c r="FJY49" s="76"/>
      <c r="FJZ49" s="76"/>
      <c r="FKA49" s="76"/>
      <c r="FKB49" s="76"/>
      <c r="FKC49" s="76"/>
      <c r="FKD49" s="76"/>
      <c r="FKE49" s="76"/>
      <c r="FKF49" s="76"/>
      <c r="FKG49" s="76"/>
      <c r="FKH49" s="76"/>
      <c r="FKI49" s="76"/>
      <c r="FKJ49" s="76"/>
      <c r="FKK49" s="76"/>
      <c r="FKL49" s="76"/>
      <c r="FKM49" s="76"/>
      <c r="FKN49" s="76"/>
      <c r="FKO49" s="76"/>
      <c r="FKP49" s="76"/>
      <c r="FKQ49" s="76"/>
      <c r="FKR49" s="76"/>
      <c r="FKS49" s="76"/>
      <c r="FKT49" s="76"/>
      <c r="FKU49" s="76"/>
      <c r="FKV49" s="76"/>
      <c r="FKW49" s="76"/>
      <c r="FKX49" s="76"/>
      <c r="FKY49" s="76"/>
      <c r="FKZ49" s="76"/>
      <c r="FLA49" s="76"/>
      <c r="FLB49" s="76"/>
      <c r="FLC49" s="76"/>
      <c r="FLD49" s="76"/>
      <c r="FLE49" s="76"/>
      <c r="FLF49" s="76"/>
      <c r="FLG49" s="76"/>
      <c r="FLH49" s="76"/>
      <c r="FLI49" s="76"/>
      <c r="FLJ49" s="76"/>
      <c r="FLK49" s="76"/>
      <c r="FLL49" s="76"/>
      <c r="FLM49" s="76"/>
      <c r="FLN49" s="76"/>
      <c r="FLO49" s="76"/>
      <c r="FLP49" s="76"/>
      <c r="FLQ49" s="76"/>
      <c r="FLR49" s="76"/>
      <c r="FLS49" s="76"/>
      <c r="FLT49" s="76"/>
      <c r="FLU49" s="76"/>
      <c r="FLV49" s="76"/>
      <c r="FLW49" s="76"/>
      <c r="FLX49" s="76"/>
      <c r="FLY49" s="76"/>
      <c r="FLZ49" s="76"/>
      <c r="FMA49" s="76"/>
      <c r="FMB49" s="76"/>
      <c r="FMC49" s="76"/>
      <c r="FMD49" s="76"/>
      <c r="FME49" s="76"/>
      <c r="FMF49" s="76"/>
      <c r="FMG49" s="76"/>
      <c r="FMH49" s="76"/>
      <c r="FMI49" s="76"/>
      <c r="FMJ49" s="76"/>
      <c r="FMK49" s="76"/>
      <c r="FML49" s="76"/>
      <c r="FMM49" s="76"/>
      <c r="FMN49" s="76"/>
      <c r="FMO49" s="76"/>
      <c r="FMP49" s="76"/>
      <c r="FMQ49" s="76"/>
      <c r="FMR49" s="76"/>
      <c r="FMS49" s="76"/>
      <c r="FMT49" s="76"/>
      <c r="FMU49" s="76"/>
      <c r="FMV49" s="76"/>
      <c r="FMW49" s="76"/>
      <c r="FMX49" s="76"/>
      <c r="FMY49" s="76"/>
      <c r="FMZ49" s="76"/>
      <c r="FNA49" s="76"/>
      <c r="FNB49" s="76"/>
      <c r="FNC49" s="76"/>
      <c r="FND49" s="76"/>
      <c r="FNE49" s="76"/>
      <c r="FNF49" s="76"/>
      <c r="FNG49" s="76"/>
      <c r="FNH49" s="76"/>
      <c r="FNI49" s="76"/>
      <c r="FNJ49" s="76"/>
      <c r="FNK49" s="76"/>
      <c r="FNL49" s="76"/>
      <c r="FNM49" s="76"/>
      <c r="FNN49" s="76"/>
      <c r="FNO49" s="76"/>
      <c r="FNP49" s="76"/>
      <c r="FNQ49" s="76"/>
      <c r="FNR49" s="76"/>
      <c r="FNS49" s="76"/>
      <c r="FNT49" s="76"/>
      <c r="FNU49" s="76"/>
      <c r="FNV49" s="76"/>
      <c r="FNW49" s="76"/>
      <c r="FNX49" s="76"/>
      <c r="FNY49" s="76"/>
      <c r="FNZ49" s="76"/>
      <c r="FOA49" s="76"/>
      <c r="FOB49" s="76"/>
      <c r="FOC49" s="76"/>
      <c r="FOD49" s="76"/>
      <c r="FOE49" s="76"/>
      <c r="FOF49" s="76"/>
      <c r="FOG49" s="76"/>
      <c r="FOH49" s="76"/>
      <c r="FOI49" s="76"/>
      <c r="FOJ49" s="76"/>
      <c r="FOK49" s="76"/>
      <c r="FOL49" s="76"/>
      <c r="FOM49" s="76"/>
      <c r="FON49" s="76"/>
      <c r="FOO49" s="76"/>
      <c r="FOP49" s="76"/>
      <c r="FOQ49" s="76"/>
      <c r="FOR49" s="76"/>
      <c r="FOS49" s="76"/>
      <c r="FOT49" s="76"/>
      <c r="FOU49" s="76"/>
      <c r="FOV49" s="76"/>
      <c r="FOW49" s="76"/>
      <c r="FOX49" s="76"/>
      <c r="FOY49" s="76"/>
      <c r="FOZ49" s="76"/>
      <c r="FPA49" s="76"/>
      <c r="FPB49" s="76"/>
      <c r="FPC49" s="76"/>
      <c r="FPD49" s="76"/>
      <c r="FPE49" s="76"/>
      <c r="FPF49" s="76"/>
      <c r="FPG49" s="76"/>
      <c r="FPH49" s="76"/>
      <c r="FPI49" s="76"/>
      <c r="FPJ49" s="76"/>
      <c r="FPK49" s="76"/>
      <c r="FPL49" s="76"/>
      <c r="FPM49" s="76"/>
      <c r="FPN49" s="76"/>
      <c r="FPO49" s="76"/>
      <c r="FPP49" s="76"/>
      <c r="FPQ49" s="76"/>
      <c r="FPR49" s="76"/>
      <c r="FPS49" s="76"/>
      <c r="FPT49" s="76"/>
      <c r="FPU49" s="76"/>
      <c r="FPV49" s="76"/>
      <c r="FPW49" s="76"/>
      <c r="FPX49" s="76"/>
      <c r="FPY49" s="76"/>
      <c r="FPZ49" s="76"/>
      <c r="FQA49" s="76"/>
      <c r="FQB49" s="76"/>
      <c r="FQC49" s="76"/>
      <c r="FQD49" s="76"/>
      <c r="FQE49" s="76"/>
      <c r="FQF49" s="76"/>
      <c r="FQG49" s="76"/>
      <c r="FQH49" s="76"/>
      <c r="FQI49" s="76"/>
      <c r="FQJ49" s="76"/>
      <c r="FQK49" s="76"/>
      <c r="FQL49" s="76"/>
      <c r="FQM49" s="76"/>
      <c r="FQN49" s="76"/>
      <c r="FQO49" s="76"/>
      <c r="FQP49" s="76"/>
      <c r="FQQ49" s="76"/>
      <c r="FQR49" s="76"/>
      <c r="FQS49" s="76"/>
      <c r="FQT49" s="76"/>
      <c r="FQU49" s="76"/>
      <c r="FQV49" s="76"/>
      <c r="FQW49" s="76"/>
      <c r="FQX49" s="76"/>
      <c r="FQY49" s="76"/>
      <c r="FQZ49" s="76"/>
      <c r="FRA49" s="76"/>
      <c r="FRB49" s="76"/>
      <c r="FRC49" s="76"/>
      <c r="FRD49" s="76"/>
      <c r="FRE49" s="76"/>
      <c r="FRF49" s="76"/>
      <c r="FRG49" s="76"/>
      <c r="FRH49" s="76"/>
      <c r="FRI49" s="76"/>
      <c r="FRJ49" s="76"/>
      <c r="FRK49" s="76"/>
      <c r="FRL49" s="76"/>
      <c r="FRM49" s="76"/>
      <c r="FRN49" s="76"/>
      <c r="FRO49" s="76"/>
      <c r="FRP49" s="76"/>
      <c r="FRQ49" s="76"/>
      <c r="FRR49" s="76"/>
      <c r="FRS49" s="76"/>
      <c r="FRT49" s="76"/>
      <c r="FRU49" s="76"/>
      <c r="FRV49" s="76"/>
      <c r="FRW49" s="76"/>
      <c r="FRX49" s="76"/>
      <c r="FRY49" s="76"/>
      <c r="FRZ49" s="76"/>
      <c r="FSA49" s="76"/>
      <c r="FSB49" s="76"/>
      <c r="FSC49" s="76"/>
      <c r="FSD49" s="76"/>
      <c r="FSE49" s="76"/>
      <c r="FSF49" s="76"/>
      <c r="FSG49" s="76"/>
      <c r="FSH49" s="76"/>
      <c r="FSI49" s="76"/>
      <c r="FSJ49" s="76"/>
      <c r="FSK49" s="76"/>
      <c r="FSL49" s="76"/>
      <c r="FSM49" s="76"/>
      <c r="FSN49" s="76"/>
      <c r="FSO49" s="76"/>
      <c r="FSP49" s="76"/>
      <c r="FSQ49" s="76"/>
      <c r="FSR49" s="76"/>
      <c r="FSS49" s="76"/>
      <c r="FST49" s="76"/>
      <c r="FSU49" s="76"/>
      <c r="FSV49" s="76"/>
      <c r="FSW49" s="76"/>
      <c r="FSX49" s="76"/>
      <c r="FSY49" s="76"/>
      <c r="FSZ49" s="76"/>
      <c r="FTA49" s="76"/>
      <c r="FTB49" s="76"/>
      <c r="FTC49" s="76"/>
      <c r="FTD49" s="76"/>
      <c r="FTE49" s="76"/>
      <c r="FTF49" s="76"/>
      <c r="FTG49" s="76"/>
      <c r="FTH49" s="76"/>
      <c r="FTI49" s="76"/>
      <c r="FTJ49" s="76"/>
      <c r="FTK49" s="76"/>
      <c r="FTL49" s="76"/>
      <c r="FTM49" s="76"/>
      <c r="FTN49" s="76"/>
      <c r="FTO49" s="76"/>
      <c r="FTP49" s="76"/>
      <c r="FTQ49" s="76"/>
      <c r="FTR49" s="76"/>
      <c r="FTS49" s="76"/>
      <c r="FTT49" s="76"/>
      <c r="FTU49" s="76"/>
      <c r="FTV49" s="76"/>
      <c r="FTW49" s="76"/>
      <c r="FTX49" s="76"/>
      <c r="FTY49" s="76"/>
      <c r="FTZ49" s="76"/>
      <c r="FUA49" s="76"/>
      <c r="FUB49" s="76"/>
      <c r="FUC49" s="76"/>
      <c r="FUD49" s="76"/>
      <c r="FUE49" s="76"/>
      <c r="FUF49" s="76"/>
      <c r="FUG49" s="76"/>
      <c r="FUH49" s="76"/>
      <c r="FUI49" s="76"/>
      <c r="FUJ49" s="76"/>
      <c r="FUK49" s="76"/>
      <c r="FUL49" s="76"/>
      <c r="FUM49" s="76"/>
      <c r="FUN49" s="76"/>
      <c r="FUO49" s="76"/>
      <c r="FUP49" s="76"/>
      <c r="FUQ49" s="76"/>
      <c r="FUR49" s="76"/>
      <c r="FUS49" s="76"/>
      <c r="FUT49" s="76"/>
      <c r="FUU49" s="76"/>
      <c r="FUV49" s="76"/>
      <c r="FUW49" s="76"/>
      <c r="FUX49" s="76"/>
      <c r="FUY49" s="76"/>
      <c r="FUZ49" s="76"/>
      <c r="FVA49" s="76"/>
      <c r="FVB49" s="76"/>
      <c r="FVC49" s="76"/>
      <c r="FVD49" s="76"/>
      <c r="FVE49" s="76"/>
      <c r="FVF49" s="76"/>
      <c r="FVG49" s="76"/>
      <c r="FVH49" s="76"/>
      <c r="FVI49" s="76"/>
      <c r="FVJ49" s="76"/>
      <c r="FVK49" s="76"/>
      <c r="FVL49" s="76"/>
      <c r="FVM49" s="76"/>
      <c r="FVN49" s="76"/>
      <c r="FVO49" s="76"/>
      <c r="FVP49" s="76"/>
      <c r="FVQ49" s="76"/>
      <c r="FVR49" s="76"/>
      <c r="FVS49" s="76"/>
      <c r="FVT49" s="76"/>
      <c r="FVU49" s="76"/>
      <c r="FVV49" s="76"/>
      <c r="FVW49" s="76"/>
      <c r="FVX49" s="76"/>
      <c r="FVY49" s="76"/>
      <c r="FVZ49" s="76"/>
      <c r="FWA49" s="76"/>
      <c r="FWB49" s="76"/>
      <c r="FWC49" s="76"/>
      <c r="FWD49" s="76"/>
      <c r="FWE49" s="76"/>
      <c r="FWF49" s="76"/>
      <c r="FWG49" s="76"/>
      <c r="FWH49" s="76"/>
      <c r="FWI49" s="76"/>
      <c r="FWJ49" s="76"/>
      <c r="FWK49" s="76"/>
      <c r="FWL49" s="76"/>
      <c r="FWM49" s="76"/>
      <c r="FWN49" s="76"/>
      <c r="FWO49" s="76"/>
      <c r="FWP49" s="76"/>
      <c r="FWQ49" s="76"/>
      <c r="FWR49" s="76"/>
      <c r="FWS49" s="76"/>
      <c r="FWT49" s="76"/>
      <c r="FWU49" s="76"/>
      <c r="FWV49" s="76"/>
      <c r="FWW49" s="76"/>
      <c r="FWX49" s="76"/>
      <c r="FWY49" s="76"/>
      <c r="FWZ49" s="76"/>
      <c r="FXA49" s="76"/>
      <c r="FXB49" s="76"/>
      <c r="FXC49" s="76"/>
      <c r="FXD49" s="76"/>
      <c r="FXE49" s="76"/>
      <c r="FXF49" s="76"/>
      <c r="FXG49" s="76"/>
      <c r="FXH49" s="76"/>
      <c r="FXI49" s="76"/>
      <c r="FXJ49" s="76"/>
      <c r="FXK49" s="76"/>
      <c r="FXL49" s="76"/>
      <c r="FXM49" s="76"/>
      <c r="FXN49" s="76"/>
      <c r="FXO49" s="76"/>
      <c r="FXP49" s="76"/>
      <c r="FXQ49" s="76"/>
      <c r="FXR49" s="76"/>
      <c r="FXS49" s="76"/>
      <c r="FXT49" s="76"/>
      <c r="FXU49" s="76"/>
      <c r="FXV49" s="76"/>
      <c r="FXW49" s="76"/>
      <c r="FXX49" s="76"/>
      <c r="FXY49" s="76"/>
      <c r="FXZ49" s="76"/>
      <c r="FYA49" s="76"/>
      <c r="FYB49" s="76"/>
      <c r="FYC49" s="76"/>
      <c r="FYD49" s="76"/>
      <c r="FYE49" s="76"/>
      <c r="FYF49" s="76"/>
      <c r="FYG49" s="76"/>
      <c r="FYH49" s="76"/>
      <c r="FYI49" s="76"/>
      <c r="FYJ49" s="76"/>
      <c r="FYK49" s="76"/>
      <c r="FYL49" s="76"/>
      <c r="FYM49" s="76"/>
      <c r="FYN49" s="76"/>
      <c r="FYO49" s="76"/>
      <c r="FYP49" s="76"/>
      <c r="FYQ49" s="76"/>
      <c r="FYR49" s="76"/>
      <c r="FYS49" s="76"/>
      <c r="FYT49" s="76"/>
      <c r="FYU49" s="76"/>
      <c r="FYV49" s="76"/>
      <c r="FYW49" s="76"/>
      <c r="FYX49" s="76"/>
      <c r="FYY49" s="76"/>
      <c r="FYZ49" s="76"/>
      <c r="FZA49" s="76"/>
      <c r="FZB49" s="76"/>
      <c r="FZC49" s="76"/>
      <c r="FZD49" s="76"/>
      <c r="FZE49" s="76"/>
      <c r="FZF49" s="76"/>
      <c r="FZG49" s="76"/>
      <c r="FZH49" s="76"/>
      <c r="FZI49" s="76"/>
      <c r="FZJ49" s="76"/>
      <c r="FZK49" s="76"/>
      <c r="FZL49" s="76"/>
      <c r="FZM49" s="76"/>
      <c r="FZN49" s="76"/>
      <c r="FZO49" s="76"/>
      <c r="FZP49" s="76"/>
      <c r="FZQ49" s="76"/>
      <c r="FZR49" s="76"/>
      <c r="FZS49" s="76"/>
      <c r="FZT49" s="76"/>
      <c r="FZU49" s="76"/>
      <c r="FZV49" s="76"/>
      <c r="FZW49" s="76"/>
      <c r="FZX49" s="76"/>
      <c r="FZY49" s="76"/>
      <c r="FZZ49" s="76"/>
      <c r="GAA49" s="76"/>
      <c r="GAB49" s="76"/>
      <c r="GAC49" s="76"/>
      <c r="GAD49" s="76"/>
      <c r="GAE49" s="76"/>
      <c r="GAF49" s="76"/>
      <c r="GAG49" s="76"/>
      <c r="GAH49" s="76"/>
      <c r="GAI49" s="76"/>
      <c r="GAJ49" s="76"/>
      <c r="GAK49" s="76"/>
      <c r="GAL49" s="76"/>
      <c r="GAM49" s="76"/>
      <c r="GAN49" s="76"/>
      <c r="GAO49" s="76"/>
      <c r="GAP49" s="76"/>
      <c r="GAQ49" s="76"/>
      <c r="GAR49" s="76"/>
      <c r="GAS49" s="76"/>
      <c r="GAT49" s="76"/>
      <c r="GAU49" s="76"/>
      <c r="GAV49" s="76"/>
      <c r="GAW49" s="76"/>
      <c r="GAX49" s="76"/>
      <c r="GAY49" s="76"/>
      <c r="GAZ49" s="76"/>
      <c r="GBA49" s="76"/>
      <c r="GBB49" s="76"/>
      <c r="GBC49" s="76"/>
      <c r="GBD49" s="76"/>
      <c r="GBE49" s="76"/>
      <c r="GBF49" s="76"/>
      <c r="GBG49" s="76"/>
      <c r="GBH49" s="76"/>
      <c r="GBI49" s="76"/>
      <c r="GBJ49" s="76"/>
      <c r="GBK49" s="76"/>
      <c r="GBL49" s="76"/>
      <c r="GBM49" s="76"/>
      <c r="GBN49" s="76"/>
      <c r="GBO49" s="76"/>
      <c r="GBP49" s="76"/>
      <c r="GBQ49" s="76"/>
      <c r="GBR49" s="76"/>
      <c r="GBS49" s="76"/>
      <c r="GBT49" s="76"/>
      <c r="GBU49" s="76"/>
      <c r="GBV49" s="76"/>
      <c r="GBW49" s="76"/>
      <c r="GBX49" s="76"/>
      <c r="GBY49" s="76"/>
      <c r="GBZ49" s="76"/>
      <c r="GCA49" s="76"/>
      <c r="GCB49" s="76"/>
      <c r="GCC49" s="76"/>
      <c r="GCD49" s="76"/>
      <c r="GCE49" s="76"/>
      <c r="GCF49" s="76"/>
      <c r="GCG49" s="76"/>
      <c r="GCH49" s="76"/>
      <c r="GCI49" s="76"/>
      <c r="GCJ49" s="76"/>
      <c r="GCK49" s="76"/>
      <c r="GCL49" s="76"/>
      <c r="GCM49" s="76"/>
      <c r="GCN49" s="76"/>
      <c r="GCO49" s="76"/>
      <c r="GCP49" s="76"/>
      <c r="GCQ49" s="76"/>
      <c r="GCR49" s="76"/>
      <c r="GCS49" s="76"/>
      <c r="GCT49" s="76"/>
      <c r="GCU49" s="76"/>
      <c r="GCV49" s="76"/>
      <c r="GCW49" s="76"/>
      <c r="GCX49" s="76"/>
      <c r="GCY49" s="76"/>
      <c r="GCZ49" s="76"/>
      <c r="GDA49" s="76"/>
      <c r="GDB49" s="76"/>
      <c r="GDC49" s="76"/>
      <c r="GDD49" s="76"/>
      <c r="GDE49" s="76"/>
      <c r="GDF49" s="76"/>
      <c r="GDG49" s="76"/>
      <c r="GDH49" s="76"/>
      <c r="GDI49" s="76"/>
      <c r="GDJ49" s="76"/>
      <c r="GDK49" s="76"/>
      <c r="GDL49" s="76"/>
      <c r="GDM49" s="76"/>
      <c r="GDN49" s="76"/>
      <c r="GDO49" s="76"/>
      <c r="GDP49" s="76"/>
      <c r="GDQ49" s="76"/>
      <c r="GDR49" s="76"/>
      <c r="GDS49" s="76"/>
      <c r="GDT49" s="76"/>
      <c r="GDU49" s="76"/>
      <c r="GDV49" s="76"/>
      <c r="GDW49" s="76"/>
      <c r="GDX49" s="76"/>
      <c r="GDY49" s="76"/>
      <c r="GDZ49" s="76"/>
      <c r="GEA49" s="76"/>
      <c r="GEB49" s="76"/>
      <c r="GEC49" s="76"/>
      <c r="GED49" s="76"/>
      <c r="GEE49" s="76"/>
      <c r="GEF49" s="76"/>
      <c r="GEG49" s="76"/>
      <c r="GEH49" s="76"/>
      <c r="GEI49" s="76"/>
      <c r="GEJ49" s="76"/>
      <c r="GEK49" s="76"/>
      <c r="GEL49" s="76"/>
      <c r="GEM49" s="76"/>
      <c r="GEN49" s="76"/>
      <c r="GEO49" s="76"/>
      <c r="GEP49" s="76"/>
      <c r="GEQ49" s="76"/>
      <c r="GER49" s="76"/>
      <c r="GES49" s="76"/>
      <c r="GET49" s="76"/>
      <c r="GEU49" s="76"/>
      <c r="GEV49" s="76"/>
      <c r="GEW49" s="76"/>
      <c r="GEX49" s="76"/>
      <c r="GEY49" s="76"/>
      <c r="GEZ49" s="76"/>
      <c r="GFA49" s="76"/>
      <c r="GFB49" s="76"/>
      <c r="GFC49" s="76"/>
      <c r="GFD49" s="76"/>
      <c r="GFE49" s="76"/>
      <c r="GFF49" s="76"/>
      <c r="GFG49" s="76"/>
      <c r="GFH49" s="76"/>
      <c r="GFI49" s="76"/>
      <c r="GFJ49" s="76"/>
      <c r="GFK49" s="76"/>
      <c r="GFL49" s="76"/>
      <c r="GFM49" s="76"/>
      <c r="GFN49" s="76"/>
      <c r="GFO49" s="76"/>
      <c r="GFP49" s="76"/>
      <c r="GFQ49" s="76"/>
      <c r="GFR49" s="76"/>
      <c r="GFS49" s="76"/>
      <c r="GFT49" s="76"/>
      <c r="GFU49" s="76"/>
      <c r="GFV49" s="76"/>
      <c r="GFW49" s="76"/>
      <c r="GFX49" s="76"/>
      <c r="GFY49" s="76"/>
      <c r="GFZ49" s="76"/>
      <c r="GGA49" s="76"/>
      <c r="GGB49" s="76"/>
      <c r="GGC49" s="76"/>
      <c r="GGD49" s="76"/>
      <c r="GGE49" s="76"/>
      <c r="GGF49" s="76"/>
      <c r="GGG49" s="76"/>
      <c r="GGH49" s="76"/>
      <c r="GGI49" s="76"/>
      <c r="GGJ49" s="76"/>
      <c r="GGK49" s="76"/>
      <c r="GGL49" s="76"/>
      <c r="GGM49" s="76"/>
      <c r="GGN49" s="76"/>
      <c r="GGO49" s="76"/>
      <c r="GGP49" s="76"/>
      <c r="GGQ49" s="76"/>
      <c r="GGR49" s="76"/>
      <c r="GGS49" s="76"/>
      <c r="GGT49" s="76"/>
      <c r="GGU49" s="76"/>
      <c r="GGV49" s="76"/>
      <c r="GGW49" s="76"/>
      <c r="GGX49" s="76"/>
      <c r="GGY49" s="76"/>
      <c r="GGZ49" s="76"/>
      <c r="GHA49" s="76"/>
      <c r="GHB49" s="76"/>
      <c r="GHC49" s="76"/>
      <c r="GHD49" s="76"/>
      <c r="GHE49" s="76"/>
      <c r="GHF49" s="76"/>
      <c r="GHG49" s="76"/>
      <c r="GHH49" s="76"/>
      <c r="GHI49" s="76"/>
      <c r="GHJ49" s="76"/>
      <c r="GHK49" s="76"/>
      <c r="GHL49" s="76"/>
      <c r="GHM49" s="76"/>
      <c r="GHN49" s="76"/>
      <c r="GHO49" s="76"/>
      <c r="GHP49" s="76"/>
      <c r="GHQ49" s="76"/>
      <c r="GHR49" s="76"/>
      <c r="GHS49" s="76"/>
      <c r="GHT49" s="76"/>
      <c r="GHU49" s="76"/>
      <c r="GHV49" s="76"/>
      <c r="GHW49" s="76"/>
      <c r="GHX49" s="76"/>
      <c r="GHY49" s="76"/>
      <c r="GHZ49" s="76"/>
      <c r="GIA49" s="76"/>
      <c r="GIB49" s="76"/>
      <c r="GIC49" s="76"/>
      <c r="GID49" s="76"/>
      <c r="GIE49" s="76"/>
      <c r="GIF49" s="76"/>
      <c r="GIG49" s="76"/>
      <c r="GIH49" s="76"/>
      <c r="GII49" s="76"/>
      <c r="GIJ49" s="76"/>
      <c r="GIK49" s="76"/>
      <c r="GIL49" s="76"/>
      <c r="GIM49" s="76"/>
      <c r="GIN49" s="76"/>
      <c r="GIO49" s="76"/>
      <c r="GIP49" s="76"/>
      <c r="GIQ49" s="76"/>
      <c r="GIR49" s="76"/>
      <c r="GIS49" s="76"/>
      <c r="GIT49" s="76"/>
      <c r="GIU49" s="76"/>
      <c r="GIV49" s="76"/>
      <c r="GIW49" s="76"/>
      <c r="GIX49" s="76"/>
      <c r="GIY49" s="76"/>
      <c r="GIZ49" s="76"/>
      <c r="GJA49" s="76"/>
      <c r="GJB49" s="76"/>
      <c r="GJC49" s="76"/>
      <c r="GJD49" s="76"/>
      <c r="GJE49" s="76"/>
      <c r="GJF49" s="76"/>
      <c r="GJG49" s="76"/>
      <c r="GJH49" s="76"/>
      <c r="GJI49" s="76"/>
      <c r="GJJ49" s="76"/>
      <c r="GJK49" s="76"/>
      <c r="GJL49" s="76"/>
      <c r="GJM49" s="76"/>
      <c r="GJN49" s="76"/>
      <c r="GJO49" s="76"/>
      <c r="GJP49" s="76"/>
      <c r="GJQ49" s="76"/>
      <c r="GJR49" s="76"/>
      <c r="GJS49" s="76"/>
      <c r="GJT49" s="76"/>
      <c r="GJU49" s="76"/>
      <c r="GJV49" s="76"/>
      <c r="GJW49" s="76"/>
      <c r="GJX49" s="76"/>
      <c r="GJY49" s="76"/>
      <c r="GJZ49" s="76"/>
      <c r="GKA49" s="76"/>
      <c r="GKB49" s="76"/>
      <c r="GKC49" s="76"/>
      <c r="GKD49" s="76"/>
      <c r="GKE49" s="76"/>
      <c r="GKF49" s="76"/>
      <c r="GKG49" s="76"/>
      <c r="GKH49" s="76"/>
      <c r="GKI49" s="76"/>
      <c r="GKJ49" s="76"/>
      <c r="GKK49" s="76"/>
      <c r="GKL49" s="76"/>
      <c r="GKM49" s="76"/>
      <c r="GKN49" s="76"/>
      <c r="GKO49" s="76"/>
      <c r="GKP49" s="76"/>
      <c r="GKQ49" s="76"/>
      <c r="GKR49" s="76"/>
      <c r="GKS49" s="76"/>
      <c r="GKT49" s="76"/>
      <c r="GKU49" s="76"/>
      <c r="GKV49" s="76"/>
      <c r="GKW49" s="76"/>
      <c r="GKX49" s="76"/>
      <c r="GKY49" s="76"/>
      <c r="GKZ49" s="76"/>
      <c r="GLA49" s="76"/>
      <c r="GLB49" s="76"/>
      <c r="GLC49" s="76"/>
      <c r="GLD49" s="76"/>
      <c r="GLE49" s="76"/>
      <c r="GLF49" s="76"/>
      <c r="GLG49" s="76"/>
      <c r="GLH49" s="76"/>
      <c r="GLI49" s="76"/>
      <c r="GLJ49" s="76"/>
      <c r="GLK49" s="76"/>
      <c r="GLL49" s="76"/>
      <c r="GLM49" s="76"/>
      <c r="GLN49" s="76"/>
      <c r="GLO49" s="76"/>
      <c r="GLP49" s="76"/>
      <c r="GLQ49" s="76"/>
      <c r="GLR49" s="76"/>
      <c r="GLS49" s="76"/>
      <c r="GLT49" s="76"/>
      <c r="GLU49" s="76"/>
      <c r="GLV49" s="76"/>
      <c r="GLW49" s="76"/>
      <c r="GLX49" s="76"/>
      <c r="GLY49" s="76"/>
      <c r="GLZ49" s="76"/>
      <c r="GMA49" s="76"/>
      <c r="GMB49" s="76"/>
      <c r="GMC49" s="76"/>
      <c r="GMD49" s="76"/>
      <c r="GME49" s="76"/>
      <c r="GMF49" s="76"/>
      <c r="GMG49" s="76"/>
      <c r="GMH49" s="76"/>
      <c r="GMI49" s="76"/>
      <c r="GMJ49" s="76"/>
      <c r="GMK49" s="76"/>
      <c r="GML49" s="76"/>
      <c r="GMM49" s="76"/>
      <c r="GMN49" s="76"/>
      <c r="GMO49" s="76"/>
      <c r="GMP49" s="76"/>
      <c r="GMQ49" s="76"/>
      <c r="GMR49" s="76"/>
      <c r="GMS49" s="76"/>
      <c r="GMT49" s="76"/>
      <c r="GMU49" s="76"/>
      <c r="GMV49" s="76"/>
      <c r="GMW49" s="76"/>
      <c r="GMX49" s="76"/>
      <c r="GMY49" s="76"/>
      <c r="GMZ49" s="76"/>
      <c r="GNA49" s="76"/>
      <c r="GNB49" s="76"/>
      <c r="GNC49" s="76"/>
      <c r="GND49" s="76"/>
      <c r="GNE49" s="76"/>
      <c r="GNF49" s="76"/>
      <c r="GNG49" s="76"/>
      <c r="GNH49" s="76"/>
      <c r="GNI49" s="76"/>
      <c r="GNJ49" s="76"/>
      <c r="GNK49" s="76"/>
      <c r="GNL49" s="76"/>
      <c r="GNM49" s="76"/>
      <c r="GNN49" s="76"/>
      <c r="GNO49" s="76"/>
      <c r="GNP49" s="76"/>
      <c r="GNQ49" s="76"/>
      <c r="GNR49" s="76"/>
      <c r="GNS49" s="76"/>
      <c r="GNT49" s="76"/>
      <c r="GNU49" s="76"/>
      <c r="GNV49" s="76"/>
      <c r="GNW49" s="76"/>
      <c r="GNX49" s="76"/>
      <c r="GNY49" s="76"/>
      <c r="GNZ49" s="76"/>
      <c r="GOA49" s="76"/>
      <c r="GOB49" s="76"/>
      <c r="GOC49" s="76"/>
      <c r="GOD49" s="76"/>
      <c r="GOE49" s="76"/>
      <c r="GOF49" s="76"/>
      <c r="GOG49" s="76"/>
      <c r="GOH49" s="76"/>
      <c r="GOI49" s="76"/>
      <c r="GOJ49" s="76"/>
      <c r="GOK49" s="76"/>
      <c r="GOL49" s="76"/>
      <c r="GOM49" s="76"/>
      <c r="GON49" s="76"/>
      <c r="GOO49" s="76"/>
      <c r="GOP49" s="76"/>
      <c r="GOQ49" s="76"/>
      <c r="GOR49" s="76"/>
      <c r="GOS49" s="76"/>
      <c r="GOT49" s="76"/>
      <c r="GOU49" s="76"/>
      <c r="GOV49" s="76"/>
      <c r="GOW49" s="76"/>
      <c r="GOX49" s="76"/>
      <c r="GOY49" s="76"/>
      <c r="GOZ49" s="76"/>
      <c r="GPA49" s="76"/>
      <c r="GPB49" s="76"/>
      <c r="GPC49" s="76"/>
      <c r="GPD49" s="76"/>
      <c r="GPE49" s="76"/>
      <c r="GPF49" s="76"/>
      <c r="GPG49" s="76"/>
      <c r="GPH49" s="76"/>
      <c r="GPI49" s="76"/>
      <c r="GPJ49" s="76"/>
      <c r="GPK49" s="76"/>
      <c r="GPL49" s="76"/>
      <c r="GPM49" s="76"/>
      <c r="GPN49" s="76"/>
      <c r="GPO49" s="76"/>
      <c r="GPP49" s="76"/>
      <c r="GPQ49" s="76"/>
      <c r="GPR49" s="76"/>
      <c r="GPS49" s="76"/>
      <c r="GPT49" s="76"/>
      <c r="GPU49" s="76"/>
      <c r="GPV49" s="76"/>
      <c r="GPW49" s="76"/>
      <c r="GPX49" s="76"/>
      <c r="GPY49" s="76"/>
      <c r="GPZ49" s="76"/>
      <c r="GQA49" s="76"/>
      <c r="GQB49" s="76"/>
      <c r="GQC49" s="76"/>
      <c r="GQD49" s="76"/>
      <c r="GQE49" s="76"/>
      <c r="GQF49" s="76"/>
      <c r="GQG49" s="76"/>
      <c r="GQH49" s="76"/>
      <c r="GQI49" s="76"/>
      <c r="GQJ49" s="76"/>
      <c r="GQK49" s="76"/>
      <c r="GQL49" s="76"/>
      <c r="GQM49" s="76"/>
      <c r="GQN49" s="76"/>
      <c r="GQO49" s="76"/>
      <c r="GQP49" s="76"/>
      <c r="GQQ49" s="76"/>
      <c r="GQR49" s="76"/>
      <c r="GQS49" s="76"/>
      <c r="GQT49" s="76"/>
      <c r="GQU49" s="76"/>
      <c r="GQV49" s="76"/>
      <c r="GQW49" s="76"/>
      <c r="GQX49" s="76"/>
      <c r="GQY49" s="76"/>
      <c r="GQZ49" s="76"/>
      <c r="GRA49" s="76"/>
      <c r="GRB49" s="76"/>
      <c r="GRC49" s="76"/>
      <c r="GRD49" s="76"/>
      <c r="GRE49" s="76"/>
      <c r="GRF49" s="76"/>
      <c r="GRG49" s="76"/>
      <c r="GRH49" s="76"/>
      <c r="GRI49" s="76"/>
      <c r="GRJ49" s="76"/>
      <c r="GRK49" s="76"/>
      <c r="GRL49" s="76"/>
      <c r="GRM49" s="76"/>
      <c r="GRN49" s="76"/>
      <c r="GRO49" s="76"/>
      <c r="GRP49" s="76"/>
      <c r="GRQ49" s="76"/>
      <c r="GRR49" s="76"/>
      <c r="GRS49" s="76"/>
      <c r="GRT49" s="76"/>
      <c r="GRU49" s="76"/>
      <c r="GRV49" s="76"/>
      <c r="GRW49" s="76"/>
      <c r="GRX49" s="76"/>
      <c r="GRY49" s="76"/>
      <c r="GRZ49" s="76"/>
      <c r="GSA49" s="76"/>
      <c r="GSB49" s="76"/>
      <c r="GSC49" s="76"/>
      <c r="GSD49" s="76"/>
      <c r="GSE49" s="76"/>
      <c r="GSF49" s="76"/>
      <c r="GSG49" s="76"/>
      <c r="GSH49" s="76"/>
      <c r="GSI49" s="76"/>
      <c r="GSJ49" s="76"/>
      <c r="GSK49" s="76"/>
      <c r="GSL49" s="76"/>
      <c r="GSM49" s="76"/>
      <c r="GSN49" s="76"/>
      <c r="GSO49" s="76"/>
      <c r="GSP49" s="76"/>
      <c r="GSQ49" s="76"/>
      <c r="GSR49" s="76"/>
      <c r="GSS49" s="76"/>
      <c r="GST49" s="76"/>
      <c r="GSU49" s="76"/>
      <c r="GSV49" s="76"/>
      <c r="GSW49" s="76"/>
      <c r="GSX49" s="76"/>
      <c r="GSY49" s="76"/>
      <c r="GSZ49" s="76"/>
      <c r="GTA49" s="76"/>
      <c r="GTB49" s="76"/>
      <c r="GTC49" s="76"/>
      <c r="GTD49" s="76"/>
      <c r="GTE49" s="76"/>
      <c r="GTF49" s="76"/>
      <c r="GTG49" s="76"/>
      <c r="GTH49" s="76"/>
      <c r="GTI49" s="76"/>
      <c r="GTJ49" s="76"/>
      <c r="GTK49" s="76"/>
      <c r="GTL49" s="76"/>
      <c r="GTM49" s="76"/>
      <c r="GTN49" s="76"/>
      <c r="GTO49" s="76"/>
      <c r="GTP49" s="76"/>
      <c r="GTQ49" s="76"/>
      <c r="GTR49" s="76"/>
      <c r="GTS49" s="76"/>
      <c r="GTT49" s="76"/>
      <c r="GTU49" s="76"/>
      <c r="GTV49" s="76"/>
      <c r="GTW49" s="76"/>
      <c r="GTX49" s="76"/>
      <c r="GTY49" s="76"/>
      <c r="GTZ49" s="76"/>
      <c r="GUA49" s="76"/>
      <c r="GUB49" s="76"/>
      <c r="GUC49" s="76"/>
      <c r="GUD49" s="76"/>
      <c r="GUE49" s="76"/>
      <c r="GUF49" s="76"/>
      <c r="GUG49" s="76"/>
      <c r="GUH49" s="76"/>
      <c r="GUI49" s="76"/>
      <c r="GUJ49" s="76"/>
      <c r="GUK49" s="76"/>
      <c r="GUL49" s="76"/>
      <c r="GUM49" s="76"/>
      <c r="GUN49" s="76"/>
      <c r="GUO49" s="76"/>
      <c r="GUP49" s="76"/>
      <c r="GUQ49" s="76"/>
      <c r="GUR49" s="76"/>
      <c r="GUS49" s="76"/>
      <c r="GUT49" s="76"/>
      <c r="GUU49" s="76"/>
      <c r="GUV49" s="76"/>
      <c r="GUW49" s="76"/>
      <c r="GUX49" s="76"/>
      <c r="GUY49" s="76"/>
      <c r="GUZ49" s="76"/>
      <c r="GVA49" s="76"/>
      <c r="GVB49" s="76"/>
      <c r="GVC49" s="76"/>
      <c r="GVD49" s="76"/>
      <c r="GVE49" s="76"/>
      <c r="GVF49" s="76"/>
      <c r="GVG49" s="76"/>
      <c r="GVH49" s="76"/>
      <c r="GVI49" s="76"/>
      <c r="GVJ49" s="76"/>
      <c r="GVK49" s="76"/>
      <c r="GVL49" s="76"/>
      <c r="GVM49" s="76"/>
      <c r="GVN49" s="76"/>
      <c r="GVO49" s="76"/>
      <c r="GVP49" s="76"/>
      <c r="GVQ49" s="76"/>
      <c r="GVR49" s="76"/>
      <c r="GVS49" s="76"/>
      <c r="GVT49" s="76"/>
      <c r="GVU49" s="76"/>
      <c r="GVV49" s="76"/>
      <c r="GVW49" s="76"/>
      <c r="GVX49" s="76"/>
      <c r="GVY49" s="76"/>
      <c r="GVZ49" s="76"/>
      <c r="GWA49" s="76"/>
      <c r="GWB49" s="76"/>
      <c r="GWC49" s="76"/>
      <c r="GWD49" s="76"/>
      <c r="GWE49" s="76"/>
      <c r="GWF49" s="76"/>
      <c r="GWG49" s="76"/>
      <c r="GWH49" s="76"/>
      <c r="GWI49" s="76"/>
      <c r="GWJ49" s="76"/>
      <c r="GWK49" s="76"/>
      <c r="GWL49" s="76"/>
      <c r="GWM49" s="76"/>
      <c r="GWN49" s="76"/>
      <c r="GWO49" s="76"/>
      <c r="GWP49" s="76"/>
      <c r="GWQ49" s="76"/>
      <c r="GWR49" s="76"/>
      <c r="GWS49" s="76"/>
      <c r="GWT49" s="76"/>
      <c r="GWU49" s="76"/>
      <c r="GWV49" s="76"/>
      <c r="GWW49" s="76"/>
      <c r="GWX49" s="76"/>
      <c r="GWY49" s="76"/>
      <c r="GWZ49" s="76"/>
      <c r="GXA49" s="76"/>
      <c r="GXB49" s="76"/>
      <c r="GXC49" s="76"/>
      <c r="GXD49" s="76"/>
      <c r="GXE49" s="76"/>
      <c r="GXF49" s="76"/>
      <c r="GXG49" s="76"/>
      <c r="GXH49" s="76"/>
      <c r="GXI49" s="76"/>
      <c r="GXJ49" s="76"/>
      <c r="GXK49" s="76"/>
      <c r="GXL49" s="76"/>
      <c r="GXM49" s="76"/>
      <c r="GXN49" s="76"/>
      <c r="GXO49" s="76"/>
      <c r="GXP49" s="76"/>
      <c r="GXQ49" s="76"/>
      <c r="GXR49" s="76"/>
      <c r="GXS49" s="76"/>
      <c r="GXT49" s="76"/>
      <c r="GXU49" s="76"/>
      <c r="GXV49" s="76"/>
      <c r="GXW49" s="76"/>
      <c r="GXX49" s="76"/>
      <c r="GXY49" s="76"/>
      <c r="GXZ49" s="76"/>
      <c r="GYA49" s="76"/>
      <c r="GYB49" s="76"/>
      <c r="GYC49" s="76"/>
      <c r="GYD49" s="76"/>
      <c r="GYE49" s="76"/>
      <c r="GYF49" s="76"/>
      <c r="GYG49" s="76"/>
      <c r="GYH49" s="76"/>
      <c r="GYI49" s="76"/>
      <c r="GYJ49" s="76"/>
      <c r="GYK49" s="76"/>
      <c r="GYL49" s="76"/>
      <c r="GYM49" s="76"/>
      <c r="GYN49" s="76"/>
      <c r="GYO49" s="76"/>
      <c r="GYP49" s="76"/>
      <c r="GYQ49" s="76"/>
      <c r="GYR49" s="76"/>
      <c r="GYS49" s="76"/>
      <c r="GYT49" s="76"/>
      <c r="GYU49" s="76"/>
      <c r="GYV49" s="76"/>
      <c r="GYW49" s="76"/>
      <c r="GYX49" s="76"/>
      <c r="GYY49" s="76"/>
      <c r="GYZ49" s="76"/>
      <c r="GZA49" s="76"/>
      <c r="GZB49" s="76"/>
      <c r="GZC49" s="76"/>
      <c r="GZD49" s="76"/>
      <c r="GZE49" s="76"/>
      <c r="GZF49" s="76"/>
      <c r="GZG49" s="76"/>
      <c r="GZH49" s="76"/>
      <c r="GZI49" s="76"/>
      <c r="GZJ49" s="76"/>
      <c r="GZK49" s="76"/>
      <c r="GZL49" s="76"/>
      <c r="GZM49" s="76"/>
      <c r="GZN49" s="76"/>
      <c r="GZO49" s="76"/>
      <c r="GZP49" s="76"/>
      <c r="GZQ49" s="76"/>
      <c r="GZR49" s="76"/>
      <c r="GZS49" s="76"/>
      <c r="GZT49" s="76"/>
      <c r="GZU49" s="76"/>
      <c r="GZV49" s="76"/>
      <c r="GZW49" s="76"/>
      <c r="GZX49" s="76"/>
      <c r="GZY49" s="76"/>
      <c r="GZZ49" s="76"/>
      <c r="HAA49" s="76"/>
      <c r="HAB49" s="76"/>
      <c r="HAC49" s="76"/>
      <c r="HAD49" s="76"/>
      <c r="HAE49" s="76"/>
      <c r="HAF49" s="76"/>
      <c r="HAG49" s="76"/>
      <c r="HAH49" s="76"/>
      <c r="HAI49" s="76"/>
      <c r="HAJ49" s="76"/>
      <c r="HAK49" s="76"/>
      <c r="HAL49" s="76"/>
      <c r="HAM49" s="76"/>
      <c r="HAN49" s="76"/>
      <c r="HAO49" s="76"/>
      <c r="HAP49" s="76"/>
      <c r="HAQ49" s="76"/>
      <c r="HAR49" s="76"/>
      <c r="HAS49" s="76"/>
      <c r="HAT49" s="76"/>
      <c r="HAU49" s="76"/>
      <c r="HAV49" s="76"/>
      <c r="HAW49" s="76"/>
      <c r="HAX49" s="76"/>
      <c r="HAY49" s="76"/>
      <c r="HAZ49" s="76"/>
      <c r="HBA49" s="76"/>
      <c r="HBB49" s="76"/>
      <c r="HBC49" s="76"/>
      <c r="HBD49" s="76"/>
      <c r="HBE49" s="76"/>
      <c r="HBF49" s="76"/>
      <c r="HBG49" s="76"/>
      <c r="HBH49" s="76"/>
      <c r="HBI49" s="76"/>
      <c r="HBJ49" s="76"/>
      <c r="HBK49" s="76"/>
      <c r="HBL49" s="76"/>
      <c r="HBM49" s="76"/>
      <c r="HBN49" s="76"/>
      <c r="HBO49" s="76"/>
      <c r="HBP49" s="76"/>
      <c r="HBQ49" s="76"/>
      <c r="HBR49" s="76"/>
      <c r="HBS49" s="76"/>
      <c r="HBT49" s="76"/>
      <c r="HBU49" s="76"/>
      <c r="HBV49" s="76"/>
      <c r="HBW49" s="76"/>
      <c r="HBX49" s="76"/>
      <c r="HBY49" s="76"/>
      <c r="HBZ49" s="76"/>
      <c r="HCA49" s="76"/>
      <c r="HCB49" s="76"/>
      <c r="HCC49" s="76"/>
      <c r="HCD49" s="76"/>
      <c r="HCE49" s="76"/>
      <c r="HCF49" s="76"/>
      <c r="HCG49" s="76"/>
      <c r="HCH49" s="76"/>
      <c r="HCI49" s="76"/>
      <c r="HCJ49" s="76"/>
      <c r="HCK49" s="76"/>
      <c r="HCL49" s="76"/>
      <c r="HCM49" s="76"/>
      <c r="HCN49" s="76"/>
      <c r="HCO49" s="76"/>
      <c r="HCP49" s="76"/>
      <c r="HCQ49" s="76"/>
      <c r="HCR49" s="76"/>
      <c r="HCS49" s="76"/>
      <c r="HCT49" s="76"/>
      <c r="HCU49" s="76"/>
      <c r="HCV49" s="76"/>
      <c r="HCW49" s="76"/>
      <c r="HCX49" s="76"/>
      <c r="HCY49" s="76"/>
      <c r="HCZ49" s="76"/>
      <c r="HDA49" s="76"/>
      <c r="HDB49" s="76"/>
      <c r="HDC49" s="76"/>
      <c r="HDD49" s="76"/>
      <c r="HDE49" s="76"/>
      <c r="HDF49" s="76"/>
      <c r="HDG49" s="76"/>
      <c r="HDH49" s="76"/>
      <c r="HDI49" s="76"/>
      <c r="HDJ49" s="76"/>
      <c r="HDK49" s="76"/>
      <c r="HDL49" s="76"/>
      <c r="HDM49" s="76"/>
      <c r="HDN49" s="76"/>
      <c r="HDO49" s="76"/>
      <c r="HDP49" s="76"/>
      <c r="HDQ49" s="76"/>
      <c r="HDR49" s="76"/>
      <c r="HDS49" s="76"/>
      <c r="HDT49" s="76"/>
      <c r="HDU49" s="76"/>
      <c r="HDV49" s="76"/>
      <c r="HDW49" s="76"/>
      <c r="HDX49" s="76"/>
      <c r="HDY49" s="76"/>
      <c r="HDZ49" s="76"/>
      <c r="HEA49" s="76"/>
      <c r="HEB49" s="76"/>
      <c r="HEC49" s="76"/>
      <c r="HED49" s="76"/>
      <c r="HEE49" s="76"/>
      <c r="HEF49" s="76"/>
      <c r="HEG49" s="76"/>
      <c r="HEH49" s="76"/>
      <c r="HEI49" s="76"/>
      <c r="HEJ49" s="76"/>
      <c r="HEK49" s="76"/>
      <c r="HEL49" s="76"/>
      <c r="HEM49" s="76"/>
      <c r="HEN49" s="76"/>
      <c r="HEO49" s="76"/>
      <c r="HEP49" s="76"/>
      <c r="HEQ49" s="76"/>
      <c r="HER49" s="76"/>
      <c r="HES49" s="76"/>
      <c r="HET49" s="76"/>
      <c r="HEU49" s="76"/>
      <c r="HEV49" s="76"/>
      <c r="HEW49" s="76"/>
      <c r="HEX49" s="76"/>
      <c r="HEY49" s="76"/>
      <c r="HEZ49" s="76"/>
      <c r="HFA49" s="76"/>
      <c r="HFB49" s="76"/>
      <c r="HFC49" s="76"/>
      <c r="HFD49" s="76"/>
      <c r="HFE49" s="76"/>
      <c r="HFF49" s="76"/>
      <c r="HFG49" s="76"/>
      <c r="HFH49" s="76"/>
      <c r="HFI49" s="76"/>
      <c r="HFJ49" s="76"/>
      <c r="HFK49" s="76"/>
      <c r="HFL49" s="76"/>
      <c r="HFM49" s="76"/>
      <c r="HFN49" s="76"/>
      <c r="HFO49" s="76"/>
      <c r="HFP49" s="76"/>
      <c r="HFQ49" s="76"/>
      <c r="HFR49" s="76"/>
      <c r="HFS49" s="76"/>
      <c r="HFT49" s="76"/>
      <c r="HFU49" s="76"/>
      <c r="HFV49" s="76"/>
      <c r="HFW49" s="76"/>
      <c r="HFX49" s="76"/>
      <c r="HFY49" s="76"/>
      <c r="HFZ49" s="76"/>
      <c r="HGA49" s="76"/>
      <c r="HGB49" s="76"/>
      <c r="HGC49" s="76"/>
      <c r="HGD49" s="76"/>
      <c r="HGE49" s="76"/>
      <c r="HGF49" s="76"/>
      <c r="HGG49" s="76"/>
      <c r="HGH49" s="76"/>
      <c r="HGI49" s="76"/>
      <c r="HGJ49" s="76"/>
      <c r="HGK49" s="76"/>
      <c r="HGL49" s="76"/>
      <c r="HGM49" s="76"/>
      <c r="HGN49" s="76"/>
      <c r="HGO49" s="76"/>
      <c r="HGP49" s="76"/>
      <c r="HGQ49" s="76"/>
      <c r="HGR49" s="76"/>
      <c r="HGS49" s="76"/>
      <c r="HGT49" s="76"/>
      <c r="HGU49" s="76"/>
      <c r="HGV49" s="76"/>
      <c r="HGW49" s="76"/>
      <c r="HGX49" s="76"/>
      <c r="HGY49" s="76"/>
      <c r="HGZ49" s="76"/>
      <c r="HHA49" s="76"/>
      <c r="HHB49" s="76"/>
      <c r="HHC49" s="76"/>
      <c r="HHD49" s="76"/>
      <c r="HHE49" s="76"/>
      <c r="HHF49" s="76"/>
      <c r="HHG49" s="76"/>
      <c r="HHH49" s="76"/>
      <c r="HHI49" s="76"/>
      <c r="HHJ49" s="76"/>
      <c r="HHK49" s="76"/>
      <c r="HHL49" s="76"/>
      <c r="HHM49" s="76"/>
      <c r="HHN49" s="76"/>
      <c r="HHO49" s="76"/>
      <c r="HHP49" s="76"/>
      <c r="HHQ49" s="76"/>
      <c r="HHR49" s="76"/>
      <c r="HHS49" s="76"/>
      <c r="HHT49" s="76"/>
      <c r="HHU49" s="76"/>
      <c r="HHV49" s="76"/>
      <c r="HHW49" s="76"/>
      <c r="HHX49" s="76"/>
      <c r="HHY49" s="76"/>
      <c r="HHZ49" s="76"/>
      <c r="HIA49" s="76"/>
      <c r="HIB49" s="76"/>
      <c r="HIC49" s="76"/>
      <c r="HID49" s="76"/>
      <c r="HIE49" s="76"/>
      <c r="HIF49" s="76"/>
      <c r="HIG49" s="76"/>
      <c r="HIH49" s="76"/>
      <c r="HII49" s="76"/>
      <c r="HIJ49" s="76"/>
      <c r="HIK49" s="76"/>
      <c r="HIL49" s="76"/>
      <c r="HIM49" s="76"/>
      <c r="HIN49" s="76"/>
      <c r="HIO49" s="76"/>
      <c r="HIP49" s="76"/>
      <c r="HIQ49" s="76"/>
      <c r="HIR49" s="76"/>
      <c r="HIS49" s="76"/>
      <c r="HIT49" s="76"/>
      <c r="HIU49" s="76"/>
      <c r="HIV49" s="76"/>
      <c r="HIW49" s="76"/>
      <c r="HIX49" s="76"/>
      <c r="HIY49" s="76"/>
      <c r="HIZ49" s="76"/>
      <c r="HJA49" s="76"/>
      <c r="HJB49" s="76"/>
      <c r="HJC49" s="76"/>
      <c r="HJD49" s="76"/>
      <c r="HJE49" s="76"/>
      <c r="HJF49" s="76"/>
      <c r="HJG49" s="76"/>
      <c r="HJH49" s="76"/>
      <c r="HJI49" s="76"/>
      <c r="HJJ49" s="76"/>
      <c r="HJK49" s="76"/>
      <c r="HJL49" s="76"/>
      <c r="HJM49" s="76"/>
      <c r="HJN49" s="76"/>
      <c r="HJO49" s="76"/>
      <c r="HJP49" s="76"/>
      <c r="HJQ49" s="76"/>
      <c r="HJR49" s="76"/>
      <c r="HJS49" s="76"/>
      <c r="HJT49" s="76"/>
      <c r="HJU49" s="76"/>
      <c r="HJV49" s="76"/>
      <c r="HJW49" s="76"/>
      <c r="HJX49" s="76"/>
      <c r="HJY49" s="76"/>
      <c r="HJZ49" s="76"/>
      <c r="HKA49" s="76"/>
      <c r="HKB49" s="76"/>
      <c r="HKC49" s="76"/>
      <c r="HKD49" s="76"/>
      <c r="HKE49" s="76"/>
      <c r="HKF49" s="76"/>
      <c r="HKG49" s="76"/>
      <c r="HKH49" s="76"/>
      <c r="HKI49" s="76"/>
      <c r="HKJ49" s="76"/>
      <c r="HKK49" s="76"/>
      <c r="HKL49" s="76"/>
      <c r="HKM49" s="76"/>
      <c r="HKN49" s="76"/>
      <c r="HKO49" s="76"/>
      <c r="HKP49" s="76"/>
      <c r="HKQ49" s="76"/>
      <c r="HKR49" s="76"/>
      <c r="HKS49" s="76"/>
      <c r="HKT49" s="76"/>
      <c r="HKU49" s="76"/>
      <c r="HKV49" s="76"/>
      <c r="HKW49" s="76"/>
      <c r="HKX49" s="76"/>
      <c r="HKY49" s="76"/>
      <c r="HKZ49" s="76"/>
      <c r="HLA49" s="76"/>
      <c r="HLB49" s="76"/>
      <c r="HLC49" s="76"/>
      <c r="HLD49" s="76"/>
      <c r="HLE49" s="76"/>
      <c r="HLF49" s="76"/>
      <c r="HLG49" s="76"/>
      <c r="HLH49" s="76"/>
      <c r="HLI49" s="76"/>
      <c r="HLJ49" s="76"/>
      <c r="HLK49" s="76"/>
      <c r="HLL49" s="76"/>
      <c r="HLM49" s="76"/>
      <c r="HLN49" s="76"/>
      <c r="HLO49" s="76"/>
      <c r="HLP49" s="76"/>
      <c r="HLQ49" s="76"/>
      <c r="HLR49" s="76"/>
      <c r="HLS49" s="76"/>
      <c r="HLT49" s="76"/>
      <c r="HLU49" s="76"/>
      <c r="HLV49" s="76"/>
      <c r="HLW49" s="76"/>
      <c r="HLX49" s="76"/>
      <c r="HLY49" s="76"/>
      <c r="HLZ49" s="76"/>
      <c r="HMA49" s="76"/>
      <c r="HMB49" s="76"/>
      <c r="HMC49" s="76"/>
      <c r="HMD49" s="76"/>
      <c r="HME49" s="76"/>
      <c r="HMF49" s="76"/>
      <c r="HMG49" s="76"/>
      <c r="HMH49" s="76"/>
      <c r="HMI49" s="76"/>
      <c r="HMJ49" s="76"/>
      <c r="HMK49" s="76"/>
      <c r="HML49" s="76"/>
      <c r="HMM49" s="76"/>
      <c r="HMN49" s="76"/>
      <c r="HMO49" s="76"/>
      <c r="HMP49" s="76"/>
      <c r="HMQ49" s="76"/>
      <c r="HMR49" s="76"/>
      <c r="HMS49" s="76"/>
      <c r="HMT49" s="76"/>
      <c r="HMU49" s="76"/>
      <c r="HMV49" s="76"/>
      <c r="HMW49" s="76"/>
      <c r="HMX49" s="76"/>
      <c r="HMY49" s="76"/>
      <c r="HMZ49" s="76"/>
      <c r="HNA49" s="76"/>
      <c r="HNB49" s="76"/>
      <c r="HNC49" s="76"/>
      <c r="HND49" s="76"/>
      <c r="HNE49" s="76"/>
      <c r="HNF49" s="76"/>
      <c r="HNG49" s="76"/>
      <c r="HNH49" s="76"/>
      <c r="HNI49" s="76"/>
      <c r="HNJ49" s="76"/>
      <c r="HNK49" s="76"/>
      <c r="HNL49" s="76"/>
      <c r="HNM49" s="76"/>
      <c r="HNN49" s="76"/>
      <c r="HNO49" s="76"/>
      <c r="HNP49" s="76"/>
      <c r="HNQ49" s="76"/>
      <c r="HNR49" s="76"/>
      <c r="HNS49" s="76"/>
      <c r="HNT49" s="76"/>
      <c r="HNU49" s="76"/>
      <c r="HNV49" s="76"/>
      <c r="HNW49" s="76"/>
      <c r="HNX49" s="76"/>
      <c r="HNY49" s="76"/>
      <c r="HNZ49" s="76"/>
      <c r="HOA49" s="76"/>
      <c r="HOB49" s="76"/>
      <c r="HOC49" s="76"/>
      <c r="HOD49" s="76"/>
      <c r="HOE49" s="76"/>
      <c r="HOF49" s="76"/>
      <c r="HOG49" s="76"/>
      <c r="HOH49" s="76"/>
      <c r="HOI49" s="76"/>
      <c r="HOJ49" s="76"/>
      <c r="HOK49" s="76"/>
      <c r="HOL49" s="76"/>
      <c r="HOM49" s="76"/>
      <c r="HON49" s="76"/>
      <c r="HOO49" s="76"/>
      <c r="HOP49" s="76"/>
      <c r="HOQ49" s="76"/>
      <c r="HOR49" s="76"/>
      <c r="HOS49" s="76"/>
      <c r="HOT49" s="76"/>
      <c r="HOU49" s="76"/>
      <c r="HOV49" s="76"/>
      <c r="HOW49" s="76"/>
      <c r="HOX49" s="76"/>
      <c r="HOY49" s="76"/>
      <c r="HOZ49" s="76"/>
      <c r="HPA49" s="76"/>
      <c r="HPB49" s="76"/>
      <c r="HPC49" s="76"/>
      <c r="HPD49" s="76"/>
      <c r="HPE49" s="76"/>
      <c r="HPF49" s="76"/>
      <c r="HPG49" s="76"/>
      <c r="HPH49" s="76"/>
      <c r="HPI49" s="76"/>
      <c r="HPJ49" s="76"/>
      <c r="HPK49" s="76"/>
      <c r="HPL49" s="76"/>
      <c r="HPM49" s="76"/>
      <c r="HPN49" s="76"/>
      <c r="HPO49" s="76"/>
      <c r="HPP49" s="76"/>
      <c r="HPQ49" s="76"/>
      <c r="HPR49" s="76"/>
      <c r="HPS49" s="76"/>
      <c r="HPT49" s="76"/>
      <c r="HPU49" s="76"/>
      <c r="HPV49" s="76"/>
      <c r="HPW49" s="76"/>
      <c r="HPX49" s="76"/>
      <c r="HPY49" s="76"/>
      <c r="HPZ49" s="76"/>
      <c r="HQA49" s="76"/>
      <c r="HQB49" s="76"/>
      <c r="HQC49" s="76"/>
      <c r="HQD49" s="76"/>
      <c r="HQE49" s="76"/>
      <c r="HQF49" s="76"/>
      <c r="HQG49" s="76"/>
      <c r="HQH49" s="76"/>
      <c r="HQI49" s="76"/>
      <c r="HQJ49" s="76"/>
      <c r="HQK49" s="76"/>
      <c r="HQL49" s="76"/>
      <c r="HQM49" s="76"/>
      <c r="HQN49" s="76"/>
      <c r="HQO49" s="76"/>
      <c r="HQP49" s="76"/>
      <c r="HQQ49" s="76"/>
      <c r="HQR49" s="76"/>
      <c r="HQS49" s="76"/>
      <c r="HQT49" s="76"/>
      <c r="HQU49" s="76"/>
      <c r="HQV49" s="76"/>
      <c r="HQW49" s="76"/>
      <c r="HQX49" s="76"/>
      <c r="HQY49" s="76"/>
      <c r="HQZ49" s="76"/>
      <c r="HRA49" s="76"/>
      <c r="HRB49" s="76"/>
      <c r="HRC49" s="76"/>
      <c r="HRD49" s="76"/>
      <c r="HRE49" s="76"/>
      <c r="HRF49" s="76"/>
      <c r="HRG49" s="76"/>
      <c r="HRH49" s="76"/>
      <c r="HRI49" s="76"/>
      <c r="HRJ49" s="76"/>
      <c r="HRK49" s="76"/>
      <c r="HRL49" s="76"/>
      <c r="HRM49" s="76"/>
      <c r="HRN49" s="76"/>
      <c r="HRO49" s="76"/>
      <c r="HRP49" s="76"/>
      <c r="HRQ49" s="76"/>
      <c r="HRR49" s="76"/>
      <c r="HRS49" s="76"/>
      <c r="HRT49" s="76"/>
      <c r="HRU49" s="76"/>
      <c r="HRV49" s="76"/>
      <c r="HRW49" s="76"/>
      <c r="HRX49" s="76"/>
      <c r="HRY49" s="76"/>
      <c r="HRZ49" s="76"/>
      <c r="HSA49" s="76"/>
      <c r="HSB49" s="76"/>
      <c r="HSC49" s="76"/>
      <c r="HSD49" s="76"/>
      <c r="HSE49" s="76"/>
      <c r="HSF49" s="76"/>
      <c r="HSG49" s="76"/>
      <c r="HSH49" s="76"/>
      <c r="HSI49" s="76"/>
      <c r="HSJ49" s="76"/>
      <c r="HSK49" s="76"/>
      <c r="HSL49" s="76"/>
      <c r="HSM49" s="76"/>
      <c r="HSN49" s="76"/>
      <c r="HSO49" s="76"/>
      <c r="HSP49" s="76"/>
      <c r="HSQ49" s="76"/>
      <c r="HSR49" s="76"/>
      <c r="HSS49" s="76"/>
      <c r="HST49" s="76"/>
      <c r="HSU49" s="76"/>
      <c r="HSV49" s="76"/>
      <c r="HSW49" s="76"/>
      <c r="HSX49" s="76"/>
      <c r="HSY49" s="76"/>
      <c r="HSZ49" s="76"/>
      <c r="HTA49" s="76"/>
      <c r="HTB49" s="76"/>
      <c r="HTC49" s="76"/>
      <c r="HTD49" s="76"/>
      <c r="HTE49" s="76"/>
      <c r="HTF49" s="76"/>
      <c r="HTG49" s="76"/>
      <c r="HTH49" s="76"/>
      <c r="HTI49" s="76"/>
      <c r="HTJ49" s="76"/>
      <c r="HTK49" s="76"/>
      <c r="HTL49" s="76"/>
      <c r="HTM49" s="76"/>
      <c r="HTN49" s="76"/>
      <c r="HTO49" s="76"/>
      <c r="HTP49" s="76"/>
      <c r="HTQ49" s="76"/>
      <c r="HTR49" s="76"/>
      <c r="HTS49" s="76"/>
      <c r="HTT49" s="76"/>
      <c r="HTU49" s="76"/>
      <c r="HTV49" s="76"/>
      <c r="HTW49" s="76"/>
      <c r="HTX49" s="76"/>
      <c r="HTY49" s="76"/>
      <c r="HTZ49" s="76"/>
      <c r="HUA49" s="76"/>
      <c r="HUB49" s="76"/>
      <c r="HUC49" s="76"/>
      <c r="HUD49" s="76"/>
      <c r="HUE49" s="76"/>
      <c r="HUF49" s="76"/>
      <c r="HUG49" s="76"/>
      <c r="HUH49" s="76"/>
      <c r="HUI49" s="76"/>
      <c r="HUJ49" s="76"/>
      <c r="HUK49" s="76"/>
      <c r="HUL49" s="76"/>
      <c r="HUM49" s="76"/>
      <c r="HUN49" s="76"/>
      <c r="HUO49" s="76"/>
      <c r="HUP49" s="76"/>
      <c r="HUQ49" s="76"/>
      <c r="HUR49" s="76"/>
      <c r="HUS49" s="76"/>
      <c r="HUT49" s="76"/>
      <c r="HUU49" s="76"/>
      <c r="HUV49" s="76"/>
      <c r="HUW49" s="76"/>
      <c r="HUX49" s="76"/>
      <c r="HUY49" s="76"/>
      <c r="HUZ49" s="76"/>
      <c r="HVA49" s="76"/>
      <c r="HVB49" s="76"/>
      <c r="HVC49" s="76"/>
      <c r="HVD49" s="76"/>
      <c r="HVE49" s="76"/>
      <c r="HVF49" s="76"/>
      <c r="HVG49" s="76"/>
      <c r="HVH49" s="76"/>
      <c r="HVI49" s="76"/>
      <c r="HVJ49" s="76"/>
      <c r="HVK49" s="76"/>
      <c r="HVL49" s="76"/>
      <c r="HVM49" s="76"/>
      <c r="HVN49" s="76"/>
      <c r="HVO49" s="76"/>
      <c r="HVP49" s="76"/>
      <c r="HVQ49" s="76"/>
      <c r="HVR49" s="76"/>
      <c r="HVS49" s="76"/>
      <c r="HVT49" s="76"/>
      <c r="HVU49" s="76"/>
      <c r="HVV49" s="76"/>
      <c r="HVW49" s="76"/>
      <c r="HVX49" s="76"/>
      <c r="HVY49" s="76"/>
      <c r="HVZ49" s="76"/>
      <c r="HWA49" s="76"/>
      <c r="HWB49" s="76"/>
      <c r="HWC49" s="76"/>
      <c r="HWD49" s="76"/>
      <c r="HWE49" s="76"/>
      <c r="HWF49" s="76"/>
      <c r="HWG49" s="76"/>
      <c r="HWH49" s="76"/>
      <c r="HWI49" s="76"/>
      <c r="HWJ49" s="76"/>
      <c r="HWK49" s="76"/>
      <c r="HWL49" s="76"/>
      <c r="HWM49" s="76"/>
      <c r="HWN49" s="76"/>
      <c r="HWO49" s="76"/>
      <c r="HWP49" s="76"/>
      <c r="HWQ49" s="76"/>
      <c r="HWR49" s="76"/>
      <c r="HWS49" s="76"/>
      <c r="HWT49" s="76"/>
      <c r="HWU49" s="76"/>
      <c r="HWV49" s="76"/>
      <c r="HWW49" s="76"/>
      <c r="HWX49" s="76"/>
      <c r="HWY49" s="76"/>
      <c r="HWZ49" s="76"/>
      <c r="HXA49" s="76"/>
      <c r="HXB49" s="76"/>
      <c r="HXC49" s="76"/>
      <c r="HXD49" s="76"/>
      <c r="HXE49" s="76"/>
      <c r="HXF49" s="76"/>
      <c r="HXG49" s="76"/>
      <c r="HXH49" s="76"/>
      <c r="HXI49" s="76"/>
      <c r="HXJ49" s="76"/>
      <c r="HXK49" s="76"/>
      <c r="HXL49" s="76"/>
      <c r="HXM49" s="76"/>
      <c r="HXN49" s="76"/>
      <c r="HXO49" s="76"/>
      <c r="HXP49" s="76"/>
      <c r="HXQ49" s="76"/>
      <c r="HXR49" s="76"/>
      <c r="HXS49" s="76"/>
      <c r="HXT49" s="76"/>
      <c r="HXU49" s="76"/>
      <c r="HXV49" s="76"/>
      <c r="HXW49" s="76"/>
      <c r="HXX49" s="76"/>
      <c r="HXY49" s="76"/>
      <c r="HXZ49" s="76"/>
      <c r="HYA49" s="76"/>
      <c r="HYB49" s="76"/>
      <c r="HYC49" s="76"/>
      <c r="HYD49" s="76"/>
      <c r="HYE49" s="76"/>
      <c r="HYF49" s="76"/>
      <c r="HYG49" s="76"/>
      <c r="HYH49" s="76"/>
      <c r="HYI49" s="76"/>
      <c r="HYJ49" s="76"/>
      <c r="HYK49" s="76"/>
      <c r="HYL49" s="76"/>
      <c r="HYM49" s="76"/>
      <c r="HYN49" s="76"/>
      <c r="HYO49" s="76"/>
      <c r="HYP49" s="76"/>
      <c r="HYQ49" s="76"/>
      <c r="HYR49" s="76"/>
      <c r="HYS49" s="76"/>
      <c r="HYT49" s="76"/>
      <c r="HYU49" s="76"/>
      <c r="HYV49" s="76"/>
      <c r="HYW49" s="76"/>
      <c r="HYX49" s="76"/>
      <c r="HYY49" s="76"/>
      <c r="HYZ49" s="76"/>
      <c r="HZA49" s="76"/>
      <c r="HZB49" s="76"/>
      <c r="HZC49" s="76"/>
      <c r="HZD49" s="76"/>
      <c r="HZE49" s="76"/>
      <c r="HZF49" s="76"/>
      <c r="HZG49" s="76"/>
      <c r="HZH49" s="76"/>
      <c r="HZI49" s="76"/>
      <c r="HZJ49" s="76"/>
      <c r="HZK49" s="76"/>
      <c r="HZL49" s="76"/>
      <c r="HZM49" s="76"/>
      <c r="HZN49" s="76"/>
      <c r="HZO49" s="76"/>
      <c r="HZP49" s="76"/>
      <c r="HZQ49" s="76"/>
      <c r="HZR49" s="76"/>
      <c r="HZS49" s="76"/>
      <c r="HZT49" s="76"/>
      <c r="HZU49" s="76"/>
      <c r="HZV49" s="76"/>
      <c r="HZW49" s="76"/>
      <c r="HZX49" s="76"/>
      <c r="HZY49" s="76"/>
      <c r="HZZ49" s="76"/>
      <c r="IAA49" s="76"/>
      <c r="IAB49" s="76"/>
      <c r="IAC49" s="76"/>
      <c r="IAD49" s="76"/>
      <c r="IAE49" s="76"/>
      <c r="IAF49" s="76"/>
      <c r="IAG49" s="76"/>
      <c r="IAH49" s="76"/>
      <c r="IAI49" s="76"/>
      <c r="IAJ49" s="76"/>
      <c r="IAK49" s="76"/>
      <c r="IAL49" s="76"/>
      <c r="IAM49" s="76"/>
      <c r="IAN49" s="76"/>
      <c r="IAO49" s="76"/>
      <c r="IAP49" s="76"/>
      <c r="IAQ49" s="76"/>
      <c r="IAR49" s="76"/>
      <c r="IAS49" s="76"/>
      <c r="IAT49" s="76"/>
      <c r="IAU49" s="76"/>
      <c r="IAV49" s="76"/>
      <c r="IAW49" s="76"/>
      <c r="IAX49" s="76"/>
      <c r="IAY49" s="76"/>
      <c r="IAZ49" s="76"/>
      <c r="IBA49" s="76"/>
      <c r="IBB49" s="76"/>
      <c r="IBC49" s="76"/>
      <c r="IBD49" s="76"/>
      <c r="IBE49" s="76"/>
      <c r="IBF49" s="76"/>
      <c r="IBG49" s="76"/>
      <c r="IBH49" s="76"/>
      <c r="IBI49" s="76"/>
      <c r="IBJ49" s="76"/>
      <c r="IBK49" s="76"/>
      <c r="IBL49" s="76"/>
      <c r="IBM49" s="76"/>
      <c r="IBN49" s="76"/>
      <c r="IBO49" s="76"/>
      <c r="IBP49" s="76"/>
      <c r="IBQ49" s="76"/>
      <c r="IBR49" s="76"/>
      <c r="IBS49" s="76"/>
      <c r="IBT49" s="76"/>
      <c r="IBU49" s="76"/>
      <c r="IBV49" s="76"/>
      <c r="IBW49" s="76"/>
      <c r="IBX49" s="76"/>
      <c r="IBY49" s="76"/>
      <c r="IBZ49" s="76"/>
      <c r="ICA49" s="76"/>
      <c r="ICB49" s="76"/>
      <c r="ICC49" s="76"/>
      <c r="ICD49" s="76"/>
      <c r="ICE49" s="76"/>
      <c r="ICF49" s="76"/>
      <c r="ICG49" s="76"/>
      <c r="ICH49" s="76"/>
      <c r="ICI49" s="76"/>
      <c r="ICJ49" s="76"/>
      <c r="ICK49" s="76"/>
      <c r="ICL49" s="76"/>
      <c r="ICM49" s="76"/>
      <c r="ICN49" s="76"/>
      <c r="ICO49" s="76"/>
      <c r="ICP49" s="76"/>
      <c r="ICQ49" s="76"/>
      <c r="ICR49" s="76"/>
      <c r="ICS49" s="76"/>
      <c r="ICT49" s="76"/>
      <c r="ICU49" s="76"/>
      <c r="ICV49" s="76"/>
      <c r="ICW49" s="76"/>
      <c r="ICX49" s="76"/>
      <c r="ICY49" s="76"/>
      <c r="ICZ49" s="76"/>
      <c r="IDA49" s="76"/>
      <c r="IDB49" s="76"/>
      <c r="IDC49" s="76"/>
      <c r="IDD49" s="76"/>
      <c r="IDE49" s="76"/>
      <c r="IDF49" s="76"/>
      <c r="IDG49" s="76"/>
      <c r="IDH49" s="76"/>
      <c r="IDI49" s="76"/>
      <c r="IDJ49" s="76"/>
      <c r="IDK49" s="76"/>
      <c r="IDL49" s="76"/>
      <c r="IDM49" s="76"/>
      <c r="IDN49" s="76"/>
      <c r="IDO49" s="76"/>
      <c r="IDP49" s="76"/>
      <c r="IDQ49" s="76"/>
      <c r="IDR49" s="76"/>
      <c r="IDS49" s="76"/>
      <c r="IDT49" s="76"/>
      <c r="IDU49" s="76"/>
      <c r="IDV49" s="76"/>
      <c r="IDW49" s="76"/>
      <c r="IDX49" s="76"/>
      <c r="IDY49" s="76"/>
      <c r="IDZ49" s="76"/>
      <c r="IEA49" s="76"/>
      <c r="IEB49" s="76"/>
      <c r="IEC49" s="76"/>
      <c r="IED49" s="76"/>
      <c r="IEE49" s="76"/>
      <c r="IEF49" s="76"/>
      <c r="IEG49" s="76"/>
      <c r="IEH49" s="76"/>
      <c r="IEI49" s="76"/>
      <c r="IEJ49" s="76"/>
      <c r="IEK49" s="76"/>
      <c r="IEL49" s="76"/>
      <c r="IEM49" s="76"/>
      <c r="IEN49" s="76"/>
      <c r="IEO49" s="76"/>
      <c r="IEP49" s="76"/>
      <c r="IEQ49" s="76"/>
      <c r="IER49" s="76"/>
      <c r="IES49" s="76"/>
      <c r="IET49" s="76"/>
      <c r="IEU49" s="76"/>
      <c r="IEV49" s="76"/>
      <c r="IEW49" s="76"/>
      <c r="IEX49" s="76"/>
      <c r="IEY49" s="76"/>
      <c r="IEZ49" s="76"/>
      <c r="IFA49" s="76"/>
      <c r="IFB49" s="76"/>
      <c r="IFC49" s="76"/>
      <c r="IFD49" s="76"/>
      <c r="IFE49" s="76"/>
      <c r="IFF49" s="76"/>
      <c r="IFG49" s="76"/>
      <c r="IFH49" s="76"/>
      <c r="IFI49" s="76"/>
      <c r="IFJ49" s="76"/>
      <c r="IFK49" s="76"/>
      <c r="IFL49" s="76"/>
      <c r="IFM49" s="76"/>
      <c r="IFN49" s="76"/>
      <c r="IFO49" s="76"/>
      <c r="IFP49" s="76"/>
      <c r="IFQ49" s="76"/>
      <c r="IFR49" s="76"/>
      <c r="IFS49" s="76"/>
      <c r="IFT49" s="76"/>
      <c r="IFU49" s="76"/>
      <c r="IFV49" s="76"/>
      <c r="IFW49" s="76"/>
      <c r="IFX49" s="76"/>
      <c r="IFY49" s="76"/>
      <c r="IFZ49" s="76"/>
      <c r="IGA49" s="76"/>
      <c r="IGB49" s="76"/>
      <c r="IGC49" s="76"/>
      <c r="IGD49" s="76"/>
      <c r="IGE49" s="76"/>
      <c r="IGF49" s="76"/>
      <c r="IGG49" s="76"/>
      <c r="IGH49" s="76"/>
      <c r="IGI49" s="76"/>
      <c r="IGJ49" s="76"/>
      <c r="IGK49" s="76"/>
      <c r="IGL49" s="76"/>
      <c r="IGM49" s="76"/>
      <c r="IGN49" s="76"/>
      <c r="IGO49" s="76"/>
      <c r="IGP49" s="76"/>
      <c r="IGQ49" s="76"/>
      <c r="IGR49" s="76"/>
      <c r="IGS49" s="76"/>
      <c r="IGT49" s="76"/>
      <c r="IGU49" s="76"/>
      <c r="IGV49" s="76"/>
      <c r="IGW49" s="76"/>
      <c r="IGX49" s="76"/>
      <c r="IGY49" s="76"/>
      <c r="IGZ49" s="76"/>
      <c r="IHA49" s="76"/>
      <c r="IHB49" s="76"/>
      <c r="IHC49" s="76"/>
      <c r="IHD49" s="76"/>
      <c r="IHE49" s="76"/>
      <c r="IHF49" s="76"/>
      <c r="IHG49" s="76"/>
      <c r="IHH49" s="76"/>
      <c r="IHI49" s="76"/>
      <c r="IHJ49" s="76"/>
      <c r="IHK49" s="76"/>
      <c r="IHL49" s="76"/>
      <c r="IHM49" s="76"/>
      <c r="IHN49" s="76"/>
      <c r="IHO49" s="76"/>
      <c r="IHP49" s="76"/>
      <c r="IHQ49" s="76"/>
      <c r="IHR49" s="76"/>
      <c r="IHS49" s="76"/>
      <c r="IHT49" s="76"/>
      <c r="IHU49" s="76"/>
      <c r="IHV49" s="76"/>
      <c r="IHW49" s="76"/>
      <c r="IHX49" s="76"/>
      <c r="IHY49" s="76"/>
      <c r="IHZ49" s="76"/>
      <c r="IIA49" s="76"/>
      <c r="IIB49" s="76"/>
      <c r="IIC49" s="76"/>
      <c r="IID49" s="76"/>
      <c r="IIE49" s="76"/>
      <c r="IIF49" s="76"/>
      <c r="IIG49" s="76"/>
      <c r="IIH49" s="76"/>
      <c r="III49" s="76"/>
      <c r="IIJ49" s="76"/>
      <c r="IIK49" s="76"/>
      <c r="IIL49" s="76"/>
      <c r="IIM49" s="76"/>
      <c r="IIN49" s="76"/>
      <c r="IIO49" s="76"/>
      <c r="IIP49" s="76"/>
      <c r="IIQ49" s="76"/>
      <c r="IIR49" s="76"/>
      <c r="IIS49" s="76"/>
      <c r="IIT49" s="76"/>
      <c r="IIU49" s="76"/>
      <c r="IIV49" s="76"/>
      <c r="IIW49" s="76"/>
      <c r="IIX49" s="76"/>
      <c r="IIY49" s="76"/>
      <c r="IIZ49" s="76"/>
      <c r="IJA49" s="76"/>
      <c r="IJB49" s="76"/>
      <c r="IJC49" s="76"/>
      <c r="IJD49" s="76"/>
      <c r="IJE49" s="76"/>
      <c r="IJF49" s="76"/>
      <c r="IJG49" s="76"/>
      <c r="IJH49" s="76"/>
      <c r="IJI49" s="76"/>
      <c r="IJJ49" s="76"/>
      <c r="IJK49" s="76"/>
      <c r="IJL49" s="76"/>
      <c r="IJM49" s="76"/>
      <c r="IJN49" s="76"/>
      <c r="IJO49" s="76"/>
      <c r="IJP49" s="76"/>
      <c r="IJQ49" s="76"/>
      <c r="IJR49" s="76"/>
      <c r="IJS49" s="76"/>
      <c r="IJT49" s="76"/>
      <c r="IJU49" s="76"/>
      <c r="IJV49" s="76"/>
      <c r="IJW49" s="76"/>
      <c r="IJX49" s="76"/>
      <c r="IJY49" s="76"/>
      <c r="IJZ49" s="76"/>
      <c r="IKA49" s="76"/>
      <c r="IKB49" s="76"/>
      <c r="IKC49" s="76"/>
      <c r="IKD49" s="76"/>
      <c r="IKE49" s="76"/>
      <c r="IKF49" s="76"/>
      <c r="IKG49" s="76"/>
      <c r="IKH49" s="76"/>
      <c r="IKI49" s="76"/>
      <c r="IKJ49" s="76"/>
      <c r="IKK49" s="76"/>
      <c r="IKL49" s="76"/>
      <c r="IKM49" s="76"/>
      <c r="IKN49" s="76"/>
      <c r="IKO49" s="76"/>
      <c r="IKP49" s="76"/>
      <c r="IKQ49" s="76"/>
      <c r="IKR49" s="76"/>
      <c r="IKS49" s="76"/>
      <c r="IKT49" s="76"/>
      <c r="IKU49" s="76"/>
      <c r="IKV49" s="76"/>
      <c r="IKW49" s="76"/>
      <c r="IKX49" s="76"/>
      <c r="IKY49" s="76"/>
      <c r="IKZ49" s="76"/>
      <c r="ILA49" s="76"/>
      <c r="ILB49" s="76"/>
      <c r="ILC49" s="76"/>
      <c r="ILD49" s="76"/>
      <c r="ILE49" s="76"/>
      <c r="ILF49" s="76"/>
      <c r="ILG49" s="76"/>
      <c r="ILH49" s="76"/>
      <c r="ILI49" s="76"/>
      <c r="ILJ49" s="76"/>
      <c r="ILK49" s="76"/>
      <c r="ILL49" s="76"/>
      <c r="ILM49" s="76"/>
      <c r="ILN49" s="76"/>
      <c r="ILO49" s="76"/>
      <c r="ILP49" s="76"/>
      <c r="ILQ49" s="76"/>
      <c r="ILR49" s="76"/>
      <c r="ILS49" s="76"/>
      <c r="ILT49" s="76"/>
      <c r="ILU49" s="76"/>
      <c r="ILV49" s="76"/>
      <c r="ILW49" s="76"/>
      <c r="ILX49" s="76"/>
      <c r="ILY49" s="76"/>
      <c r="ILZ49" s="76"/>
      <c r="IMA49" s="76"/>
      <c r="IMB49" s="76"/>
      <c r="IMC49" s="76"/>
      <c r="IMD49" s="76"/>
      <c r="IME49" s="76"/>
      <c r="IMF49" s="76"/>
      <c r="IMG49" s="76"/>
      <c r="IMH49" s="76"/>
      <c r="IMI49" s="76"/>
      <c r="IMJ49" s="76"/>
      <c r="IMK49" s="76"/>
      <c r="IML49" s="76"/>
      <c r="IMM49" s="76"/>
      <c r="IMN49" s="76"/>
      <c r="IMO49" s="76"/>
      <c r="IMP49" s="76"/>
      <c r="IMQ49" s="76"/>
      <c r="IMR49" s="76"/>
      <c r="IMS49" s="76"/>
      <c r="IMT49" s="76"/>
      <c r="IMU49" s="76"/>
      <c r="IMV49" s="76"/>
      <c r="IMW49" s="76"/>
      <c r="IMX49" s="76"/>
      <c r="IMY49" s="76"/>
      <c r="IMZ49" s="76"/>
      <c r="INA49" s="76"/>
      <c r="INB49" s="76"/>
      <c r="INC49" s="76"/>
      <c r="IND49" s="76"/>
      <c r="INE49" s="76"/>
      <c r="INF49" s="76"/>
      <c r="ING49" s="76"/>
      <c r="INH49" s="76"/>
      <c r="INI49" s="76"/>
      <c r="INJ49" s="76"/>
      <c r="INK49" s="76"/>
      <c r="INL49" s="76"/>
      <c r="INM49" s="76"/>
      <c r="INN49" s="76"/>
      <c r="INO49" s="76"/>
      <c r="INP49" s="76"/>
      <c r="INQ49" s="76"/>
      <c r="INR49" s="76"/>
      <c r="INS49" s="76"/>
      <c r="INT49" s="76"/>
      <c r="INU49" s="76"/>
      <c r="INV49" s="76"/>
      <c r="INW49" s="76"/>
      <c r="INX49" s="76"/>
      <c r="INY49" s="76"/>
      <c r="INZ49" s="76"/>
      <c r="IOA49" s="76"/>
      <c r="IOB49" s="76"/>
      <c r="IOC49" s="76"/>
      <c r="IOD49" s="76"/>
      <c r="IOE49" s="76"/>
      <c r="IOF49" s="76"/>
      <c r="IOG49" s="76"/>
      <c r="IOH49" s="76"/>
      <c r="IOI49" s="76"/>
      <c r="IOJ49" s="76"/>
      <c r="IOK49" s="76"/>
      <c r="IOL49" s="76"/>
      <c r="IOM49" s="76"/>
      <c r="ION49" s="76"/>
      <c r="IOO49" s="76"/>
      <c r="IOP49" s="76"/>
      <c r="IOQ49" s="76"/>
      <c r="IOR49" s="76"/>
      <c r="IOS49" s="76"/>
      <c r="IOT49" s="76"/>
      <c r="IOU49" s="76"/>
      <c r="IOV49" s="76"/>
      <c r="IOW49" s="76"/>
      <c r="IOX49" s="76"/>
      <c r="IOY49" s="76"/>
      <c r="IOZ49" s="76"/>
      <c r="IPA49" s="76"/>
      <c r="IPB49" s="76"/>
      <c r="IPC49" s="76"/>
      <c r="IPD49" s="76"/>
      <c r="IPE49" s="76"/>
      <c r="IPF49" s="76"/>
      <c r="IPG49" s="76"/>
      <c r="IPH49" s="76"/>
      <c r="IPI49" s="76"/>
      <c r="IPJ49" s="76"/>
      <c r="IPK49" s="76"/>
      <c r="IPL49" s="76"/>
      <c r="IPM49" s="76"/>
      <c r="IPN49" s="76"/>
      <c r="IPO49" s="76"/>
      <c r="IPP49" s="76"/>
      <c r="IPQ49" s="76"/>
      <c r="IPR49" s="76"/>
      <c r="IPS49" s="76"/>
      <c r="IPT49" s="76"/>
      <c r="IPU49" s="76"/>
      <c r="IPV49" s="76"/>
      <c r="IPW49" s="76"/>
      <c r="IPX49" s="76"/>
      <c r="IPY49" s="76"/>
      <c r="IPZ49" s="76"/>
      <c r="IQA49" s="76"/>
      <c r="IQB49" s="76"/>
      <c r="IQC49" s="76"/>
      <c r="IQD49" s="76"/>
      <c r="IQE49" s="76"/>
      <c r="IQF49" s="76"/>
      <c r="IQG49" s="76"/>
      <c r="IQH49" s="76"/>
      <c r="IQI49" s="76"/>
      <c r="IQJ49" s="76"/>
      <c r="IQK49" s="76"/>
      <c r="IQL49" s="76"/>
      <c r="IQM49" s="76"/>
      <c r="IQN49" s="76"/>
      <c r="IQO49" s="76"/>
      <c r="IQP49" s="76"/>
      <c r="IQQ49" s="76"/>
      <c r="IQR49" s="76"/>
      <c r="IQS49" s="76"/>
      <c r="IQT49" s="76"/>
      <c r="IQU49" s="76"/>
      <c r="IQV49" s="76"/>
      <c r="IQW49" s="76"/>
      <c r="IQX49" s="76"/>
      <c r="IQY49" s="76"/>
      <c r="IQZ49" s="76"/>
      <c r="IRA49" s="76"/>
      <c r="IRB49" s="76"/>
      <c r="IRC49" s="76"/>
      <c r="IRD49" s="76"/>
      <c r="IRE49" s="76"/>
      <c r="IRF49" s="76"/>
      <c r="IRG49" s="76"/>
      <c r="IRH49" s="76"/>
      <c r="IRI49" s="76"/>
      <c r="IRJ49" s="76"/>
      <c r="IRK49" s="76"/>
      <c r="IRL49" s="76"/>
      <c r="IRM49" s="76"/>
      <c r="IRN49" s="76"/>
      <c r="IRO49" s="76"/>
      <c r="IRP49" s="76"/>
      <c r="IRQ49" s="76"/>
      <c r="IRR49" s="76"/>
      <c r="IRS49" s="76"/>
      <c r="IRT49" s="76"/>
      <c r="IRU49" s="76"/>
      <c r="IRV49" s="76"/>
      <c r="IRW49" s="76"/>
      <c r="IRX49" s="76"/>
      <c r="IRY49" s="76"/>
      <c r="IRZ49" s="76"/>
      <c r="ISA49" s="76"/>
      <c r="ISB49" s="76"/>
      <c r="ISC49" s="76"/>
      <c r="ISD49" s="76"/>
      <c r="ISE49" s="76"/>
      <c r="ISF49" s="76"/>
      <c r="ISG49" s="76"/>
      <c r="ISH49" s="76"/>
      <c r="ISI49" s="76"/>
      <c r="ISJ49" s="76"/>
      <c r="ISK49" s="76"/>
      <c r="ISL49" s="76"/>
      <c r="ISM49" s="76"/>
      <c r="ISN49" s="76"/>
      <c r="ISO49" s="76"/>
      <c r="ISP49" s="76"/>
      <c r="ISQ49" s="76"/>
      <c r="ISR49" s="76"/>
      <c r="ISS49" s="76"/>
      <c r="IST49" s="76"/>
      <c r="ISU49" s="76"/>
      <c r="ISV49" s="76"/>
      <c r="ISW49" s="76"/>
      <c r="ISX49" s="76"/>
      <c r="ISY49" s="76"/>
      <c r="ISZ49" s="76"/>
      <c r="ITA49" s="76"/>
      <c r="ITB49" s="76"/>
      <c r="ITC49" s="76"/>
      <c r="ITD49" s="76"/>
      <c r="ITE49" s="76"/>
      <c r="ITF49" s="76"/>
      <c r="ITG49" s="76"/>
      <c r="ITH49" s="76"/>
      <c r="ITI49" s="76"/>
      <c r="ITJ49" s="76"/>
      <c r="ITK49" s="76"/>
      <c r="ITL49" s="76"/>
      <c r="ITM49" s="76"/>
      <c r="ITN49" s="76"/>
      <c r="ITO49" s="76"/>
      <c r="ITP49" s="76"/>
      <c r="ITQ49" s="76"/>
      <c r="ITR49" s="76"/>
      <c r="ITS49" s="76"/>
      <c r="ITT49" s="76"/>
      <c r="ITU49" s="76"/>
      <c r="ITV49" s="76"/>
      <c r="ITW49" s="76"/>
      <c r="ITX49" s="76"/>
      <c r="ITY49" s="76"/>
      <c r="ITZ49" s="76"/>
      <c r="IUA49" s="76"/>
      <c r="IUB49" s="76"/>
      <c r="IUC49" s="76"/>
      <c r="IUD49" s="76"/>
      <c r="IUE49" s="76"/>
      <c r="IUF49" s="76"/>
      <c r="IUG49" s="76"/>
      <c r="IUH49" s="76"/>
      <c r="IUI49" s="76"/>
      <c r="IUJ49" s="76"/>
      <c r="IUK49" s="76"/>
      <c r="IUL49" s="76"/>
      <c r="IUM49" s="76"/>
      <c r="IUN49" s="76"/>
      <c r="IUO49" s="76"/>
      <c r="IUP49" s="76"/>
      <c r="IUQ49" s="76"/>
      <c r="IUR49" s="76"/>
      <c r="IUS49" s="76"/>
      <c r="IUT49" s="76"/>
      <c r="IUU49" s="76"/>
      <c r="IUV49" s="76"/>
      <c r="IUW49" s="76"/>
      <c r="IUX49" s="76"/>
      <c r="IUY49" s="76"/>
      <c r="IUZ49" s="76"/>
      <c r="IVA49" s="76"/>
      <c r="IVB49" s="76"/>
      <c r="IVC49" s="76"/>
      <c r="IVD49" s="76"/>
      <c r="IVE49" s="76"/>
      <c r="IVF49" s="76"/>
      <c r="IVG49" s="76"/>
      <c r="IVH49" s="76"/>
      <c r="IVI49" s="76"/>
      <c r="IVJ49" s="76"/>
      <c r="IVK49" s="76"/>
      <c r="IVL49" s="76"/>
      <c r="IVM49" s="76"/>
      <c r="IVN49" s="76"/>
      <c r="IVO49" s="76"/>
      <c r="IVP49" s="76"/>
      <c r="IVQ49" s="76"/>
      <c r="IVR49" s="76"/>
      <c r="IVS49" s="76"/>
      <c r="IVT49" s="76"/>
      <c r="IVU49" s="76"/>
      <c r="IVV49" s="76"/>
      <c r="IVW49" s="76"/>
      <c r="IVX49" s="76"/>
      <c r="IVY49" s="76"/>
      <c r="IVZ49" s="76"/>
      <c r="IWA49" s="76"/>
      <c r="IWB49" s="76"/>
      <c r="IWC49" s="76"/>
      <c r="IWD49" s="76"/>
      <c r="IWE49" s="76"/>
      <c r="IWF49" s="76"/>
      <c r="IWG49" s="76"/>
      <c r="IWH49" s="76"/>
      <c r="IWI49" s="76"/>
      <c r="IWJ49" s="76"/>
      <c r="IWK49" s="76"/>
      <c r="IWL49" s="76"/>
      <c r="IWM49" s="76"/>
      <c r="IWN49" s="76"/>
      <c r="IWO49" s="76"/>
      <c r="IWP49" s="76"/>
      <c r="IWQ49" s="76"/>
      <c r="IWR49" s="76"/>
      <c r="IWS49" s="76"/>
      <c r="IWT49" s="76"/>
      <c r="IWU49" s="76"/>
      <c r="IWV49" s="76"/>
      <c r="IWW49" s="76"/>
      <c r="IWX49" s="76"/>
      <c r="IWY49" s="76"/>
      <c r="IWZ49" s="76"/>
      <c r="IXA49" s="76"/>
      <c r="IXB49" s="76"/>
      <c r="IXC49" s="76"/>
      <c r="IXD49" s="76"/>
      <c r="IXE49" s="76"/>
      <c r="IXF49" s="76"/>
      <c r="IXG49" s="76"/>
      <c r="IXH49" s="76"/>
      <c r="IXI49" s="76"/>
      <c r="IXJ49" s="76"/>
      <c r="IXK49" s="76"/>
      <c r="IXL49" s="76"/>
      <c r="IXM49" s="76"/>
      <c r="IXN49" s="76"/>
      <c r="IXO49" s="76"/>
      <c r="IXP49" s="76"/>
      <c r="IXQ49" s="76"/>
      <c r="IXR49" s="76"/>
      <c r="IXS49" s="76"/>
      <c r="IXT49" s="76"/>
      <c r="IXU49" s="76"/>
      <c r="IXV49" s="76"/>
      <c r="IXW49" s="76"/>
      <c r="IXX49" s="76"/>
      <c r="IXY49" s="76"/>
      <c r="IXZ49" s="76"/>
      <c r="IYA49" s="76"/>
      <c r="IYB49" s="76"/>
      <c r="IYC49" s="76"/>
      <c r="IYD49" s="76"/>
      <c r="IYE49" s="76"/>
      <c r="IYF49" s="76"/>
      <c r="IYG49" s="76"/>
      <c r="IYH49" s="76"/>
      <c r="IYI49" s="76"/>
      <c r="IYJ49" s="76"/>
      <c r="IYK49" s="76"/>
      <c r="IYL49" s="76"/>
      <c r="IYM49" s="76"/>
      <c r="IYN49" s="76"/>
      <c r="IYO49" s="76"/>
      <c r="IYP49" s="76"/>
      <c r="IYQ49" s="76"/>
      <c r="IYR49" s="76"/>
      <c r="IYS49" s="76"/>
      <c r="IYT49" s="76"/>
      <c r="IYU49" s="76"/>
      <c r="IYV49" s="76"/>
      <c r="IYW49" s="76"/>
      <c r="IYX49" s="76"/>
      <c r="IYY49" s="76"/>
      <c r="IYZ49" s="76"/>
      <c r="IZA49" s="76"/>
      <c r="IZB49" s="76"/>
      <c r="IZC49" s="76"/>
      <c r="IZD49" s="76"/>
      <c r="IZE49" s="76"/>
      <c r="IZF49" s="76"/>
      <c r="IZG49" s="76"/>
      <c r="IZH49" s="76"/>
      <c r="IZI49" s="76"/>
      <c r="IZJ49" s="76"/>
      <c r="IZK49" s="76"/>
      <c r="IZL49" s="76"/>
      <c r="IZM49" s="76"/>
      <c r="IZN49" s="76"/>
      <c r="IZO49" s="76"/>
      <c r="IZP49" s="76"/>
      <c r="IZQ49" s="76"/>
      <c r="IZR49" s="76"/>
      <c r="IZS49" s="76"/>
      <c r="IZT49" s="76"/>
      <c r="IZU49" s="76"/>
      <c r="IZV49" s="76"/>
      <c r="IZW49" s="76"/>
      <c r="IZX49" s="76"/>
      <c r="IZY49" s="76"/>
      <c r="IZZ49" s="76"/>
      <c r="JAA49" s="76"/>
      <c r="JAB49" s="76"/>
      <c r="JAC49" s="76"/>
      <c r="JAD49" s="76"/>
      <c r="JAE49" s="76"/>
      <c r="JAF49" s="76"/>
      <c r="JAG49" s="76"/>
      <c r="JAH49" s="76"/>
      <c r="JAI49" s="76"/>
      <c r="JAJ49" s="76"/>
      <c r="JAK49" s="76"/>
      <c r="JAL49" s="76"/>
      <c r="JAM49" s="76"/>
      <c r="JAN49" s="76"/>
      <c r="JAO49" s="76"/>
      <c r="JAP49" s="76"/>
      <c r="JAQ49" s="76"/>
      <c r="JAR49" s="76"/>
      <c r="JAS49" s="76"/>
      <c r="JAT49" s="76"/>
      <c r="JAU49" s="76"/>
      <c r="JAV49" s="76"/>
      <c r="JAW49" s="76"/>
      <c r="JAX49" s="76"/>
      <c r="JAY49" s="76"/>
      <c r="JAZ49" s="76"/>
      <c r="JBA49" s="76"/>
      <c r="JBB49" s="76"/>
      <c r="JBC49" s="76"/>
      <c r="JBD49" s="76"/>
      <c r="JBE49" s="76"/>
      <c r="JBF49" s="76"/>
      <c r="JBG49" s="76"/>
      <c r="JBH49" s="76"/>
      <c r="JBI49" s="76"/>
      <c r="JBJ49" s="76"/>
      <c r="JBK49" s="76"/>
      <c r="JBL49" s="76"/>
      <c r="JBM49" s="76"/>
      <c r="JBN49" s="76"/>
      <c r="JBO49" s="76"/>
      <c r="JBP49" s="76"/>
      <c r="JBQ49" s="76"/>
      <c r="JBR49" s="76"/>
      <c r="JBS49" s="76"/>
      <c r="JBT49" s="76"/>
      <c r="JBU49" s="76"/>
      <c r="JBV49" s="76"/>
      <c r="JBW49" s="76"/>
      <c r="JBX49" s="76"/>
      <c r="JBY49" s="76"/>
      <c r="JBZ49" s="76"/>
      <c r="JCA49" s="76"/>
      <c r="JCB49" s="76"/>
      <c r="JCC49" s="76"/>
      <c r="JCD49" s="76"/>
      <c r="JCE49" s="76"/>
      <c r="JCF49" s="76"/>
      <c r="JCG49" s="76"/>
      <c r="JCH49" s="76"/>
      <c r="JCI49" s="76"/>
      <c r="JCJ49" s="76"/>
      <c r="JCK49" s="76"/>
      <c r="JCL49" s="76"/>
      <c r="JCM49" s="76"/>
      <c r="JCN49" s="76"/>
      <c r="JCO49" s="76"/>
      <c r="JCP49" s="76"/>
      <c r="JCQ49" s="76"/>
      <c r="JCR49" s="76"/>
      <c r="JCS49" s="76"/>
      <c r="JCT49" s="76"/>
      <c r="JCU49" s="76"/>
      <c r="JCV49" s="76"/>
      <c r="JCW49" s="76"/>
      <c r="JCX49" s="76"/>
      <c r="JCY49" s="76"/>
      <c r="JCZ49" s="76"/>
      <c r="JDA49" s="76"/>
      <c r="JDB49" s="76"/>
      <c r="JDC49" s="76"/>
      <c r="JDD49" s="76"/>
      <c r="JDE49" s="76"/>
      <c r="JDF49" s="76"/>
      <c r="JDG49" s="76"/>
      <c r="JDH49" s="76"/>
      <c r="JDI49" s="76"/>
      <c r="JDJ49" s="76"/>
      <c r="JDK49" s="76"/>
      <c r="JDL49" s="76"/>
      <c r="JDM49" s="76"/>
      <c r="JDN49" s="76"/>
      <c r="JDO49" s="76"/>
      <c r="JDP49" s="76"/>
      <c r="JDQ49" s="76"/>
      <c r="JDR49" s="76"/>
      <c r="JDS49" s="76"/>
      <c r="JDT49" s="76"/>
      <c r="JDU49" s="76"/>
      <c r="JDV49" s="76"/>
      <c r="JDW49" s="76"/>
      <c r="JDX49" s="76"/>
      <c r="JDY49" s="76"/>
      <c r="JDZ49" s="76"/>
      <c r="JEA49" s="76"/>
      <c r="JEB49" s="76"/>
      <c r="JEC49" s="76"/>
      <c r="JED49" s="76"/>
      <c r="JEE49" s="76"/>
      <c r="JEF49" s="76"/>
      <c r="JEG49" s="76"/>
      <c r="JEH49" s="76"/>
      <c r="JEI49" s="76"/>
      <c r="JEJ49" s="76"/>
      <c r="JEK49" s="76"/>
      <c r="JEL49" s="76"/>
      <c r="JEM49" s="76"/>
      <c r="JEN49" s="76"/>
      <c r="JEO49" s="76"/>
      <c r="JEP49" s="76"/>
      <c r="JEQ49" s="76"/>
      <c r="JER49" s="76"/>
      <c r="JES49" s="76"/>
      <c r="JET49" s="76"/>
      <c r="JEU49" s="76"/>
      <c r="JEV49" s="76"/>
      <c r="JEW49" s="76"/>
      <c r="JEX49" s="76"/>
      <c r="JEY49" s="76"/>
      <c r="JEZ49" s="76"/>
      <c r="JFA49" s="76"/>
      <c r="JFB49" s="76"/>
      <c r="JFC49" s="76"/>
      <c r="JFD49" s="76"/>
      <c r="JFE49" s="76"/>
      <c r="JFF49" s="76"/>
      <c r="JFG49" s="76"/>
      <c r="JFH49" s="76"/>
      <c r="JFI49" s="76"/>
      <c r="JFJ49" s="76"/>
      <c r="JFK49" s="76"/>
      <c r="JFL49" s="76"/>
      <c r="JFM49" s="76"/>
      <c r="JFN49" s="76"/>
      <c r="JFO49" s="76"/>
      <c r="JFP49" s="76"/>
      <c r="JFQ49" s="76"/>
      <c r="JFR49" s="76"/>
      <c r="JFS49" s="76"/>
      <c r="JFT49" s="76"/>
      <c r="JFU49" s="76"/>
      <c r="JFV49" s="76"/>
      <c r="JFW49" s="76"/>
      <c r="JFX49" s="76"/>
      <c r="JFY49" s="76"/>
      <c r="JFZ49" s="76"/>
      <c r="JGA49" s="76"/>
      <c r="JGB49" s="76"/>
      <c r="JGC49" s="76"/>
      <c r="JGD49" s="76"/>
      <c r="JGE49" s="76"/>
      <c r="JGF49" s="76"/>
      <c r="JGG49" s="76"/>
      <c r="JGH49" s="76"/>
      <c r="JGI49" s="76"/>
      <c r="JGJ49" s="76"/>
      <c r="JGK49" s="76"/>
      <c r="JGL49" s="76"/>
      <c r="JGM49" s="76"/>
      <c r="JGN49" s="76"/>
      <c r="JGO49" s="76"/>
      <c r="JGP49" s="76"/>
      <c r="JGQ49" s="76"/>
      <c r="JGR49" s="76"/>
      <c r="JGS49" s="76"/>
      <c r="JGT49" s="76"/>
      <c r="JGU49" s="76"/>
      <c r="JGV49" s="76"/>
      <c r="JGW49" s="76"/>
      <c r="JGX49" s="76"/>
      <c r="JGY49" s="76"/>
      <c r="JGZ49" s="76"/>
      <c r="JHA49" s="76"/>
      <c r="JHB49" s="76"/>
      <c r="JHC49" s="76"/>
      <c r="JHD49" s="76"/>
      <c r="JHE49" s="76"/>
      <c r="JHF49" s="76"/>
      <c r="JHG49" s="76"/>
      <c r="JHH49" s="76"/>
      <c r="JHI49" s="76"/>
      <c r="JHJ49" s="76"/>
      <c r="JHK49" s="76"/>
      <c r="JHL49" s="76"/>
      <c r="JHM49" s="76"/>
      <c r="JHN49" s="76"/>
      <c r="JHO49" s="76"/>
      <c r="JHP49" s="76"/>
      <c r="JHQ49" s="76"/>
      <c r="JHR49" s="76"/>
      <c r="JHS49" s="76"/>
      <c r="JHT49" s="76"/>
      <c r="JHU49" s="76"/>
      <c r="JHV49" s="76"/>
      <c r="JHW49" s="76"/>
      <c r="JHX49" s="76"/>
      <c r="JHY49" s="76"/>
      <c r="JHZ49" s="76"/>
      <c r="JIA49" s="76"/>
      <c r="JIB49" s="76"/>
      <c r="JIC49" s="76"/>
      <c r="JID49" s="76"/>
      <c r="JIE49" s="76"/>
      <c r="JIF49" s="76"/>
      <c r="JIG49" s="76"/>
      <c r="JIH49" s="76"/>
      <c r="JII49" s="76"/>
      <c r="JIJ49" s="76"/>
      <c r="JIK49" s="76"/>
      <c r="JIL49" s="76"/>
      <c r="JIM49" s="76"/>
      <c r="JIN49" s="76"/>
      <c r="JIO49" s="76"/>
      <c r="JIP49" s="76"/>
      <c r="JIQ49" s="76"/>
      <c r="JIR49" s="76"/>
      <c r="JIS49" s="76"/>
      <c r="JIT49" s="76"/>
      <c r="JIU49" s="76"/>
      <c r="JIV49" s="76"/>
      <c r="JIW49" s="76"/>
      <c r="JIX49" s="76"/>
      <c r="JIY49" s="76"/>
      <c r="JIZ49" s="76"/>
      <c r="JJA49" s="76"/>
      <c r="JJB49" s="76"/>
      <c r="JJC49" s="76"/>
      <c r="JJD49" s="76"/>
      <c r="JJE49" s="76"/>
      <c r="JJF49" s="76"/>
      <c r="JJG49" s="76"/>
      <c r="JJH49" s="76"/>
      <c r="JJI49" s="76"/>
      <c r="JJJ49" s="76"/>
      <c r="JJK49" s="76"/>
      <c r="JJL49" s="76"/>
      <c r="JJM49" s="76"/>
      <c r="JJN49" s="76"/>
      <c r="JJO49" s="76"/>
      <c r="JJP49" s="76"/>
      <c r="JJQ49" s="76"/>
      <c r="JJR49" s="76"/>
      <c r="JJS49" s="76"/>
      <c r="JJT49" s="76"/>
      <c r="JJU49" s="76"/>
      <c r="JJV49" s="76"/>
      <c r="JJW49" s="76"/>
      <c r="JJX49" s="76"/>
      <c r="JJY49" s="76"/>
      <c r="JJZ49" s="76"/>
      <c r="JKA49" s="76"/>
      <c r="JKB49" s="76"/>
      <c r="JKC49" s="76"/>
      <c r="JKD49" s="76"/>
      <c r="JKE49" s="76"/>
      <c r="JKF49" s="76"/>
      <c r="JKG49" s="76"/>
      <c r="JKH49" s="76"/>
      <c r="JKI49" s="76"/>
      <c r="JKJ49" s="76"/>
      <c r="JKK49" s="76"/>
      <c r="JKL49" s="76"/>
      <c r="JKM49" s="76"/>
      <c r="JKN49" s="76"/>
      <c r="JKO49" s="76"/>
      <c r="JKP49" s="76"/>
      <c r="JKQ49" s="76"/>
      <c r="JKR49" s="76"/>
      <c r="JKS49" s="76"/>
      <c r="JKT49" s="76"/>
      <c r="JKU49" s="76"/>
      <c r="JKV49" s="76"/>
      <c r="JKW49" s="76"/>
      <c r="JKX49" s="76"/>
      <c r="JKY49" s="76"/>
      <c r="JKZ49" s="76"/>
      <c r="JLA49" s="76"/>
      <c r="JLB49" s="76"/>
      <c r="JLC49" s="76"/>
      <c r="JLD49" s="76"/>
      <c r="JLE49" s="76"/>
      <c r="JLF49" s="76"/>
      <c r="JLG49" s="76"/>
      <c r="JLH49" s="76"/>
      <c r="JLI49" s="76"/>
      <c r="JLJ49" s="76"/>
      <c r="JLK49" s="76"/>
      <c r="JLL49" s="76"/>
      <c r="JLM49" s="76"/>
      <c r="JLN49" s="76"/>
      <c r="JLO49" s="76"/>
      <c r="JLP49" s="76"/>
      <c r="JLQ49" s="76"/>
      <c r="JLR49" s="76"/>
      <c r="JLS49" s="76"/>
      <c r="JLT49" s="76"/>
      <c r="JLU49" s="76"/>
      <c r="JLV49" s="76"/>
      <c r="JLW49" s="76"/>
      <c r="JLX49" s="76"/>
      <c r="JLY49" s="76"/>
      <c r="JLZ49" s="76"/>
      <c r="JMA49" s="76"/>
      <c r="JMB49" s="76"/>
      <c r="JMC49" s="76"/>
      <c r="JMD49" s="76"/>
      <c r="JME49" s="76"/>
      <c r="JMF49" s="76"/>
      <c r="JMG49" s="76"/>
      <c r="JMH49" s="76"/>
      <c r="JMI49" s="76"/>
      <c r="JMJ49" s="76"/>
      <c r="JMK49" s="76"/>
      <c r="JML49" s="76"/>
      <c r="JMM49" s="76"/>
      <c r="JMN49" s="76"/>
      <c r="JMO49" s="76"/>
      <c r="JMP49" s="76"/>
      <c r="JMQ49" s="76"/>
      <c r="JMR49" s="76"/>
      <c r="JMS49" s="76"/>
      <c r="JMT49" s="76"/>
      <c r="JMU49" s="76"/>
      <c r="JMV49" s="76"/>
      <c r="JMW49" s="76"/>
      <c r="JMX49" s="76"/>
      <c r="JMY49" s="76"/>
      <c r="JMZ49" s="76"/>
      <c r="JNA49" s="76"/>
      <c r="JNB49" s="76"/>
      <c r="JNC49" s="76"/>
      <c r="JND49" s="76"/>
      <c r="JNE49" s="76"/>
      <c r="JNF49" s="76"/>
      <c r="JNG49" s="76"/>
      <c r="JNH49" s="76"/>
      <c r="JNI49" s="76"/>
      <c r="JNJ49" s="76"/>
      <c r="JNK49" s="76"/>
      <c r="JNL49" s="76"/>
      <c r="JNM49" s="76"/>
      <c r="JNN49" s="76"/>
      <c r="JNO49" s="76"/>
      <c r="JNP49" s="76"/>
      <c r="JNQ49" s="76"/>
      <c r="JNR49" s="76"/>
      <c r="JNS49" s="76"/>
      <c r="JNT49" s="76"/>
      <c r="JNU49" s="76"/>
      <c r="JNV49" s="76"/>
      <c r="JNW49" s="76"/>
      <c r="JNX49" s="76"/>
      <c r="JNY49" s="76"/>
      <c r="JNZ49" s="76"/>
      <c r="JOA49" s="76"/>
      <c r="JOB49" s="76"/>
      <c r="JOC49" s="76"/>
      <c r="JOD49" s="76"/>
      <c r="JOE49" s="76"/>
      <c r="JOF49" s="76"/>
      <c r="JOG49" s="76"/>
      <c r="JOH49" s="76"/>
      <c r="JOI49" s="76"/>
      <c r="JOJ49" s="76"/>
      <c r="JOK49" s="76"/>
      <c r="JOL49" s="76"/>
      <c r="JOM49" s="76"/>
      <c r="JON49" s="76"/>
      <c r="JOO49" s="76"/>
      <c r="JOP49" s="76"/>
      <c r="JOQ49" s="76"/>
      <c r="JOR49" s="76"/>
      <c r="JOS49" s="76"/>
      <c r="JOT49" s="76"/>
      <c r="JOU49" s="76"/>
      <c r="JOV49" s="76"/>
      <c r="JOW49" s="76"/>
      <c r="JOX49" s="76"/>
      <c r="JOY49" s="76"/>
      <c r="JOZ49" s="76"/>
      <c r="JPA49" s="76"/>
      <c r="JPB49" s="76"/>
      <c r="JPC49" s="76"/>
      <c r="JPD49" s="76"/>
      <c r="JPE49" s="76"/>
      <c r="JPF49" s="76"/>
      <c r="JPG49" s="76"/>
      <c r="JPH49" s="76"/>
      <c r="JPI49" s="76"/>
      <c r="JPJ49" s="76"/>
      <c r="JPK49" s="76"/>
      <c r="JPL49" s="76"/>
      <c r="JPM49" s="76"/>
      <c r="JPN49" s="76"/>
      <c r="JPO49" s="76"/>
      <c r="JPP49" s="76"/>
      <c r="JPQ49" s="76"/>
      <c r="JPR49" s="76"/>
      <c r="JPS49" s="76"/>
      <c r="JPT49" s="76"/>
      <c r="JPU49" s="76"/>
      <c r="JPV49" s="76"/>
      <c r="JPW49" s="76"/>
      <c r="JPX49" s="76"/>
      <c r="JPY49" s="76"/>
      <c r="JPZ49" s="76"/>
      <c r="JQA49" s="76"/>
      <c r="JQB49" s="76"/>
      <c r="JQC49" s="76"/>
      <c r="JQD49" s="76"/>
      <c r="JQE49" s="76"/>
      <c r="JQF49" s="76"/>
      <c r="JQG49" s="76"/>
      <c r="JQH49" s="76"/>
      <c r="JQI49" s="76"/>
      <c r="JQJ49" s="76"/>
      <c r="JQK49" s="76"/>
      <c r="JQL49" s="76"/>
      <c r="JQM49" s="76"/>
      <c r="JQN49" s="76"/>
      <c r="JQO49" s="76"/>
      <c r="JQP49" s="76"/>
      <c r="JQQ49" s="76"/>
      <c r="JQR49" s="76"/>
      <c r="JQS49" s="76"/>
      <c r="JQT49" s="76"/>
      <c r="JQU49" s="76"/>
      <c r="JQV49" s="76"/>
      <c r="JQW49" s="76"/>
      <c r="JQX49" s="76"/>
      <c r="JQY49" s="76"/>
      <c r="JQZ49" s="76"/>
      <c r="JRA49" s="76"/>
      <c r="JRB49" s="76"/>
      <c r="JRC49" s="76"/>
      <c r="JRD49" s="76"/>
      <c r="JRE49" s="76"/>
      <c r="JRF49" s="76"/>
      <c r="JRG49" s="76"/>
      <c r="JRH49" s="76"/>
      <c r="JRI49" s="76"/>
      <c r="JRJ49" s="76"/>
      <c r="JRK49" s="76"/>
      <c r="JRL49" s="76"/>
      <c r="JRM49" s="76"/>
      <c r="JRN49" s="76"/>
      <c r="JRO49" s="76"/>
      <c r="JRP49" s="76"/>
      <c r="JRQ49" s="76"/>
      <c r="JRR49" s="76"/>
      <c r="JRS49" s="76"/>
      <c r="JRT49" s="76"/>
      <c r="JRU49" s="76"/>
      <c r="JRV49" s="76"/>
      <c r="JRW49" s="76"/>
      <c r="JRX49" s="76"/>
      <c r="JRY49" s="76"/>
      <c r="JRZ49" s="76"/>
      <c r="JSA49" s="76"/>
      <c r="JSB49" s="76"/>
      <c r="JSC49" s="76"/>
      <c r="JSD49" s="76"/>
      <c r="JSE49" s="76"/>
      <c r="JSF49" s="76"/>
      <c r="JSG49" s="76"/>
      <c r="JSH49" s="76"/>
      <c r="JSI49" s="76"/>
      <c r="JSJ49" s="76"/>
      <c r="JSK49" s="76"/>
      <c r="JSL49" s="76"/>
      <c r="JSM49" s="76"/>
      <c r="JSN49" s="76"/>
      <c r="JSO49" s="76"/>
      <c r="JSP49" s="76"/>
      <c r="JSQ49" s="76"/>
      <c r="JSR49" s="76"/>
      <c r="JSS49" s="76"/>
      <c r="JST49" s="76"/>
      <c r="JSU49" s="76"/>
      <c r="JSV49" s="76"/>
      <c r="JSW49" s="76"/>
      <c r="JSX49" s="76"/>
      <c r="JSY49" s="76"/>
      <c r="JSZ49" s="76"/>
      <c r="JTA49" s="76"/>
      <c r="JTB49" s="76"/>
      <c r="JTC49" s="76"/>
      <c r="JTD49" s="76"/>
      <c r="JTE49" s="76"/>
      <c r="JTF49" s="76"/>
      <c r="JTG49" s="76"/>
      <c r="JTH49" s="76"/>
      <c r="JTI49" s="76"/>
      <c r="JTJ49" s="76"/>
      <c r="JTK49" s="76"/>
      <c r="JTL49" s="76"/>
      <c r="JTM49" s="76"/>
      <c r="JTN49" s="76"/>
      <c r="JTO49" s="76"/>
      <c r="JTP49" s="76"/>
      <c r="JTQ49" s="76"/>
      <c r="JTR49" s="76"/>
      <c r="JTS49" s="76"/>
      <c r="JTT49" s="76"/>
      <c r="JTU49" s="76"/>
      <c r="JTV49" s="76"/>
      <c r="JTW49" s="76"/>
      <c r="JTX49" s="76"/>
      <c r="JTY49" s="76"/>
      <c r="JTZ49" s="76"/>
      <c r="JUA49" s="76"/>
      <c r="JUB49" s="76"/>
      <c r="JUC49" s="76"/>
      <c r="JUD49" s="76"/>
      <c r="JUE49" s="76"/>
      <c r="JUF49" s="76"/>
      <c r="JUG49" s="76"/>
      <c r="JUH49" s="76"/>
      <c r="JUI49" s="76"/>
      <c r="JUJ49" s="76"/>
      <c r="JUK49" s="76"/>
      <c r="JUL49" s="76"/>
      <c r="JUM49" s="76"/>
      <c r="JUN49" s="76"/>
      <c r="JUO49" s="76"/>
      <c r="JUP49" s="76"/>
      <c r="JUQ49" s="76"/>
      <c r="JUR49" s="76"/>
      <c r="JUS49" s="76"/>
      <c r="JUT49" s="76"/>
      <c r="JUU49" s="76"/>
      <c r="JUV49" s="76"/>
      <c r="JUW49" s="76"/>
      <c r="JUX49" s="76"/>
      <c r="JUY49" s="76"/>
      <c r="JUZ49" s="76"/>
      <c r="JVA49" s="76"/>
      <c r="JVB49" s="76"/>
      <c r="JVC49" s="76"/>
      <c r="JVD49" s="76"/>
      <c r="JVE49" s="76"/>
      <c r="JVF49" s="76"/>
      <c r="JVG49" s="76"/>
      <c r="JVH49" s="76"/>
      <c r="JVI49" s="76"/>
      <c r="JVJ49" s="76"/>
      <c r="JVK49" s="76"/>
      <c r="JVL49" s="76"/>
      <c r="JVM49" s="76"/>
      <c r="JVN49" s="76"/>
      <c r="JVO49" s="76"/>
      <c r="JVP49" s="76"/>
      <c r="JVQ49" s="76"/>
      <c r="JVR49" s="76"/>
      <c r="JVS49" s="76"/>
      <c r="JVT49" s="76"/>
      <c r="JVU49" s="76"/>
      <c r="JVV49" s="76"/>
      <c r="JVW49" s="76"/>
      <c r="JVX49" s="76"/>
      <c r="JVY49" s="76"/>
      <c r="JVZ49" s="76"/>
      <c r="JWA49" s="76"/>
      <c r="JWB49" s="76"/>
      <c r="JWC49" s="76"/>
      <c r="JWD49" s="76"/>
      <c r="JWE49" s="76"/>
      <c r="JWF49" s="76"/>
      <c r="JWG49" s="76"/>
      <c r="JWH49" s="76"/>
      <c r="JWI49" s="76"/>
      <c r="JWJ49" s="76"/>
      <c r="JWK49" s="76"/>
      <c r="JWL49" s="76"/>
      <c r="JWM49" s="76"/>
      <c r="JWN49" s="76"/>
      <c r="JWO49" s="76"/>
      <c r="JWP49" s="76"/>
      <c r="JWQ49" s="76"/>
      <c r="JWR49" s="76"/>
      <c r="JWS49" s="76"/>
      <c r="JWT49" s="76"/>
      <c r="JWU49" s="76"/>
      <c r="JWV49" s="76"/>
      <c r="JWW49" s="76"/>
      <c r="JWX49" s="76"/>
      <c r="JWY49" s="76"/>
      <c r="JWZ49" s="76"/>
      <c r="JXA49" s="76"/>
      <c r="JXB49" s="76"/>
      <c r="JXC49" s="76"/>
      <c r="JXD49" s="76"/>
      <c r="JXE49" s="76"/>
      <c r="JXF49" s="76"/>
      <c r="JXG49" s="76"/>
      <c r="JXH49" s="76"/>
      <c r="JXI49" s="76"/>
      <c r="JXJ49" s="76"/>
      <c r="JXK49" s="76"/>
      <c r="JXL49" s="76"/>
      <c r="JXM49" s="76"/>
      <c r="JXN49" s="76"/>
      <c r="JXO49" s="76"/>
      <c r="JXP49" s="76"/>
      <c r="JXQ49" s="76"/>
      <c r="JXR49" s="76"/>
      <c r="JXS49" s="76"/>
      <c r="JXT49" s="76"/>
      <c r="JXU49" s="76"/>
      <c r="JXV49" s="76"/>
      <c r="JXW49" s="76"/>
      <c r="JXX49" s="76"/>
      <c r="JXY49" s="76"/>
      <c r="JXZ49" s="76"/>
      <c r="JYA49" s="76"/>
      <c r="JYB49" s="76"/>
      <c r="JYC49" s="76"/>
      <c r="JYD49" s="76"/>
      <c r="JYE49" s="76"/>
      <c r="JYF49" s="76"/>
      <c r="JYG49" s="76"/>
      <c r="JYH49" s="76"/>
      <c r="JYI49" s="76"/>
      <c r="JYJ49" s="76"/>
      <c r="JYK49" s="76"/>
      <c r="JYL49" s="76"/>
      <c r="JYM49" s="76"/>
      <c r="JYN49" s="76"/>
      <c r="JYO49" s="76"/>
      <c r="JYP49" s="76"/>
      <c r="JYQ49" s="76"/>
      <c r="JYR49" s="76"/>
      <c r="JYS49" s="76"/>
      <c r="JYT49" s="76"/>
      <c r="JYU49" s="76"/>
      <c r="JYV49" s="76"/>
      <c r="JYW49" s="76"/>
      <c r="JYX49" s="76"/>
      <c r="JYY49" s="76"/>
      <c r="JYZ49" s="76"/>
      <c r="JZA49" s="76"/>
      <c r="JZB49" s="76"/>
      <c r="JZC49" s="76"/>
      <c r="JZD49" s="76"/>
      <c r="JZE49" s="76"/>
      <c r="JZF49" s="76"/>
      <c r="JZG49" s="76"/>
      <c r="JZH49" s="76"/>
      <c r="JZI49" s="76"/>
      <c r="JZJ49" s="76"/>
      <c r="JZK49" s="76"/>
      <c r="JZL49" s="76"/>
      <c r="JZM49" s="76"/>
      <c r="JZN49" s="76"/>
      <c r="JZO49" s="76"/>
      <c r="JZP49" s="76"/>
      <c r="JZQ49" s="76"/>
      <c r="JZR49" s="76"/>
      <c r="JZS49" s="76"/>
      <c r="JZT49" s="76"/>
      <c r="JZU49" s="76"/>
      <c r="JZV49" s="76"/>
      <c r="JZW49" s="76"/>
      <c r="JZX49" s="76"/>
      <c r="JZY49" s="76"/>
      <c r="JZZ49" s="76"/>
      <c r="KAA49" s="76"/>
      <c r="KAB49" s="76"/>
      <c r="KAC49" s="76"/>
      <c r="KAD49" s="76"/>
      <c r="KAE49" s="76"/>
      <c r="KAF49" s="76"/>
      <c r="KAG49" s="76"/>
      <c r="KAH49" s="76"/>
      <c r="KAI49" s="76"/>
      <c r="KAJ49" s="76"/>
      <c r="KAK49" s="76"/>
      <c r="KAL49" s="76"/>
      <c r="KAM49" s="76"/>
      <c r="KAN49" s="76"/>
      <c r="KAO49" s="76"/>
      <c r="KAP49" s="76"/>
      <c r="KAQ49" s="76"/>
      <c r="KAR49" s="76"/>
      <c r="KAS49" s="76"/>
      <c r="KAT49" s="76"/>
      <c r="KAU49" s="76"/>
      <c r="KAV49" s="76"/>
      <c r="KAW49" s="76"/>
      <c r="KAX49" s="76"/>
      <c r="KAY49" s="76"/>
      <c r="KAZ49" s="76"/>
      <c r="KBA49" s="76"/>
      <c r="KBB49" s="76"/>
      <c r="KBC49" s="76"/>
      <c r="KBD49" s="76"/>
      <c r="KBE49" s="76"/>
      <c r="KBF49" s="76"/>
      <c r="KBG49" s="76"/>
      <c r="KBH49" s="76"/>
      <c r="KBI49" s="76"/>
      <c r="KBJ49" s="76"/>
      <c r="KBK49" s="76"/>
      <c r="KBL49" s="76"/>
      <c r="KBM49" s="76"/>
      <c r="KBN49" s="76"/>
      <c r="KBO49" s="76"/>
      <c r="KBP49" s="76"/>
      <c r="KBQ49" s="76"/>
      <c r="KBR49" s="76"/>
      <c r="KBS49" s="76"/>
      <c r="KBT49" s="76"/>
      <c r="KBU49" s="76"/>
      <c r="KBV49" s="76"/>
      <c r="KBW49" s="76"/>
      <c r="KBX49" s="76"/>
      <c r="KBY49" s="76"/>
      <c r="KBZ49" s="76"/>
      <c r="KCA49" s="76"/>
      <c r="KCB49" s="76"/>
      <c r="KCC49" s="76"/>
      <c r="KCD49" s="76"/>
      <c r="KCE49" s="76"/>
      <c r="KCF49" s="76"/>
      <c r="KCG49" s="76"/>
      <c r="KCH49" s="76"/>
      <c r="KCI49" s="76"/>
      <c r="KCJ49" s="76"/>
      <c r="KCK49" s="76"/>
      <c r="KCL49" s="76"/>
      <c r="KCM49" s="76"/>
      <c r="KCN49" s="76"/>
      <c r="KCO49" s="76"/>
      <c r="KCP49" s="76"/>
      <c r="KCQ49" s="76"/>
      <c r="KCR49" s="76"/>
      <c r="KCS49" s="76"/>
      <c r="KCT49" s="76"/>
      <c r="KCU49" s="76"/>
      <c r="KCV49" s="76"/>
      <c r="KCW49" s="76"/>
      <c r="KCX49" s="76"/>
      <c r="KCY49" s="76"/>
      <c r="KCZ49" s="76"/>
      <c r="KDA49" s="76"/>
      <c r="KDB49" s="76"/>
      <c r="KDC49" s="76"/>
      <c r="KDD49" s="76"/>
      <c r="KDE49" s="76"/>
      <c r="KDF49" s="76"/>
      <c r="KDG49" s="76"/>
      <c r="KDH49" s="76"/>
      <c r="KDI49" s="76"/>
      <c r="KDJ49" s="76"/>
      <c r="KDK49" s="76"/>
      <c r="KDL49" s="76"/>
      <c r="KDM49" s="76"/>
      <c r="KDN49" s="76"/>
      <c r="KDO49" s="76"/>
      <c r="KDP49" s="76"/>
      <c r="KDQ49" s="76"/>
      <c r="KDR49" s="76"/>
      <c r="KDS49" s="76"/>
      <c r="KDT49" s="76"/>
      <c r="KDU49" s="76"/>
      <c r="KDV49" s="76"/>
      <c r="KDW49" s="76"/>
      <c r="KDX49" s="76"/>
      <c r="KDY49" s="76"/>
      <c r="KDZ49" s="76"/>
      <c r="KEA49" s="76"/>
      <c r="KEB49" s="76"/>
      <c r="KEC49" s="76"/>
      <c r="KED49" s="76"/>
      <c r="KEE49" s="76"/>
      <c r="KEF49" s="76"/>
      <c r="KEG49" s="76"/>
      <c r="KEH49" s="76"/>
      <c r="KEI49" s="76"/>
      <c r="KEJ49" s="76"/>
      <c r="KEK49" s="76"/>
      <c r="KEL49" s="76"/>
      <c r="KEM49" s="76"/>
      <c r="KEN49" s="76"/>
      <c r="KEO49" s="76"/>
      <c r="KEP49" s="76"/>
      <c r="KEQ49" s="76"/>
      <c r="KER49" s="76"/>
      <c r="KES49" s="76"/>
      <c r="KET49" s="76"/>
      <c r="KEU49" s="76"/>
      <c r="KEV49" s="76"/>
      <c r="KEW49" s="76"/>
      <c r="KEX49" s="76"/>
      <c r="KEY49" s="76"/>
      <c r="KEZ49" s="76"/>
      <c r="KFA49" s="76"/>
      <c r="KFB49" s="76"/>
      <c r="KFC49" s="76"/>
      <c r="KFD49" s="76"/>
      <c r="KFE49" s="76"/>
      <c r="KFF49" s="76"/>
      <c r="KFG49" s="76"/>
      <c r="KFH49" s="76"/>
      <c r="KFI49" s="76"/>
      <c r="KFJ49" s="76"/>
      <c r="KFK49" s="76"/>
      <c r="KFL49" s="76"/>
      <c r="KFM49" s="76"/>
      <c r="KFN49" s="76"/>
      <c r="KFO49" s="76"/>
      <c r="KFP49" s="76"/>
      <c r="KFQ49" s="76"/>
      <c r="KFR49" s="76"/>
      <c r="KFS49" s="76"/>
      <c r="KFT49" s="76"/>
      <c r="KFU49" s="76"/>
      <c r="KFV49" s="76"/>
      <c r="KFW49" s="76"/>
      <c r="KFX49" s="76"/>
      <c r="KFY49" s="76"/>
      <c r="KFZ49" s="76"/>
      <c r="KGA49" s="76"/>
      <c r="KGB49" s="76"/>
      <c r="KGC49" s="76"/>
      <c r="KGD49" s="76"/>
      <c r="KGE49" s="76"/>
      <c r="KGF49" s="76"/>
      <c r="KGG49" s="76"/>
      <c r="KGH49" s="76"/>
      <c r="KGI49" s="76"/>
      <c r="KGJ49" s="76"/>
      <c r="KGK49" s="76"/>
      <c r="KGL49" s="76"/>
      <c r="KGM49" s="76"/>
      <c r="KGN49" s="76"/>
      <c r="KGO49" s="76"/>
      <c r="KGP49" s="76"/>
      <c r="KGQ49" s="76"/>
      <c r="KGR49" s="76"/>
      <c r="KGS49" s="76"/>
      <c r="KGT49" s="76"/>
      <c r="KGU49" s="76"/>
      <c r="KGV49" s="76"/>
      <c r="KGW49" s="76"/>
      <c r="KGX49" s="76"/>
      <c r="KGY49" s="76"/>
      <c r="KGZ49" s="76"/>
      <c r="KHA49" s="76"/>
      <c r="KHB49" s="76"/>
      <c r="KHC49" s="76"/>
      <c r="KHD49" s="76"/>
      <c r="KHE49" s="76"/>
      <c r="KHF49" s="76"/>
      <c r="KHG49" s="76"/>
      <c r="KHH49" s="76"/>
      <c r="KHI49" s="76"/>
      <c r="KHJ49" s="76"/>
      <c r="KHK49" s="76"/>
      <c r="KHL49" s="76"/>
      <c r="KHM49" s="76"/>
      <c r="KHN49" s="76"/>
      <c r="KHO49" s="76"/>
      <c r="KHP49" s="76"/>
      <c r="KHQ49" s="76"/>
      <c r="KHR49" s="76"/>
      <c r="KHS49" s="76"/>
      <c r="KHT49" s="76"/>
      <c r="KHU49" s="76"/>
      <c r="KHV49" s="76"/>
      <c r="KHW49" s="76"/>
      <c r="KHX49" s="76"/>
      <c r="KHY49" s="76"/>
      <c r="KHZ49" s="76"/>
      <c r="KIA49" s="76"/>
      <c r="KIB49" s="76"/>
      <c r="KIC49" s="76"/>
      <c r="KID49" s="76"/>
      <c r="KIE49" s="76"/>
      <c r="KIF49" s="76"/>
      <c r="KIG49" s="76"/>
      <c r="KIH49" s="76"/>
      <c r="KII49" s="76"/>
      <c r="KIJ49" s="76"/>
      <c r="KIK49" s="76"/>
      <c r="KIL49" s="76"/>
      <c r="KIM49" s="76"/>
      <c r="KIN49" s="76"/>
      <c r="KIO49" s="76"/>
      <c r="KIP49" s="76"/>
      <c r="KIQ49" s="76"/>
      <c r="KIR49" s="76"/>
      <c r="KIS49" s="76"/>
      <c r="KIT49" s="76"/>
      <c r="KIU49" s="76"/>
      <c r="KIV49" s="76"/>
      <c r="KIW49" s="76"/>
      <c r="KIX49" s="76"/>
      <c r="KIY49" s="76"/>
      <c r="KIZ49" s="76"/>
      <c r="KJA49" s="76"/>
      <c r="KJB49" s="76"/>
      <c r="KJC49" s="76"/>
      <c r="KJD49" s="76"/>
      <c r="KJE49" s="76"/>
      <c r="KJF49" s="76"/>
      <c r="KJG49" s="76"/>
      <c r="KJH49" s="76"/>
      <c r="KJI49" s="76"/>
      <c r="KJJ49" s="76"/>
      <c r="KJK49" s="76"/>
      <c r="KJL49" s="76"/>
      <c r="KJM49" s="76"/>
      <c r="KJN49" s="76"/>
      <c r="KJO49" s="76"/>
      <c r="KJP49" s="76"/>
      <c r="KJQ49" s="76"/>
      <c r="KJR49" s="76"/>
      <c r="KJS49" s="76"/>
      <c r="KJT49" s="76"/>
      <c r="KJU49" s="76"/>
      <c r="KJV49" s="76"/>
      <c r="KJW49" s="76"/>
      <c r="KJX49" s="76"/>
      <c r="KJY49" s="76"/>
      <c r="KJZ49" s="76"/>
      <c r="KKA49" s="76"/>
      <c r="KKB49" s="76"/>
      <c r="KKC49" s="76"/>
      <c r="KKD49" s="76"/>
      <c r="KKE49" s="76"/>
      <c r="KKF49" s="76"/>
      <c r="KKG49" s="76"/>
      <c r="KKH49" s="76"/>
      <c r="KKI49" s="76"/>
      <c r="KKJ49" s="76"/>
      <c r="KKK49" s="76"/>
      <c r="KKL49" s="76"/>
      <c r="KKM49" s="76"/>
      <c r="KKN49" s="76"/>
      <c r="KKO49" s="76"/>
      <c r="KKP49" s="76"/>
      <c r="KKQ49" s="76"/>
      <c r="KKR49" s="76"/>
      <c r="KKS49" s="76"/>
      <c r="KKT49" s="76"/>
      <c r="KKU49" s="76"/>
      <c r="KKV49" s="76"/>
      <c r="KKW49" s="76"/>
      <c r="KKX49" s="76"/>
      <c r="KKY49" s="76"/>
      <c r="KKZ49" s="76"/>
      <c r="KLA49" s="76"/>
      <c r="KLB49" s="76"/>
      <c r="KLC49" s="76"/>
      <c r="KLD49" s="76"/>
      <c r="KLE49" s="76"/>
      <c r="KLF49" s="76"/>
      <c r="KLG49" s="76"/>
      <c r="KLH49" s="76"/>
      <c r="KLI49" s="76"/>
      <c r="KLJ49" s="76"/>
      <c r="KLK49" s="76"/>
      <c r="KLL49" s="76"/>
      <c r="KLM49" s="76"/>
      <c r="KLN49" s="76"/>
      <c r="KLO49" s="76"/>
      <c r="KLP49" s="76"/>
      <c r="KLQ49" s="76"/>
      <c r="KLR49" s="76"/>
      <c r="KLS49" s="76"/>
      <c r="KLT49" s="76"/>
      <c r="KLU49" s="76"/>
      <c r="KLV49" s="76"/>
      <c r="KLW49" s="76"/>
      <c r="KLX49" s="76"/>
      <c r="KLY49" s="76"/>
      <c r="KLZ49" s="76"/>
      <c r="KMA49" s="76"/>
      <c r="KMB49" s="76"/>
      <c r="KMC49" s="76"/>
      <c r="KMD49" s="76"/>
      <c r="KME49" s="76"/>
      <c r="KMF49" s="76"/>
      <c r="KMG49" s="76"/>
      <c r="KMH49" s="76"/>
      <c r="KMI49" s="76"/>
      <c r="KMJ49" s="76"/>
      <c r="KMK49" s="76"/>
      <c r="KML49" s="76"/>
      <c r="KMM49" s="76"/>
      <c r="KMN49" s="76"/>
      <c r="KMO49" s="76"/>
      <c r="KMP49" s="76"/>
      <c r="KMQ49" s="76"/>
      <c r="KMR49" s="76"/>
      <c r="KMS49" s="76"/>
      <c r="KMT49" s="76"/>
      <c r="KMU49" s="76"/>
      <c r="KMV49" s="76"/>
      <c r="KMW49" s="76"/>
      <c r="KMX49" s="76"/>
      <c r="KMY49" s="76"/>
      <c r="KMZ49" s="76"/>
      <c r="KNA49" s="76"/>
      <c r="KNB49" s="76"/>
      <c r="KNC49" s="76"/>
      <c r="KND49" s="76"/>
      <c r="KNE49" s="76"/>
      <c r="KNF49" s="76"/>
      <c r="KNG49" s="76"/>
      <c r="KNH49" s="76"/>
      <c r="KNI49" s="76"/>
      <c r="KNJ49" s="76"/>
      <c r="KNK49" s="76"/>
      <c r="KNL49" s="76"/>
      <c r="KNM49" s="76"/>
      <c r="KNN49" s="76"/>
      <c r="KNO49" s="76"/>
      <c r="KNP49" s="76"/>
      <c r="KNQ49" s="76"/>
      <c r="KNR49" s="76"/>
      <c r="KNS49" s="76"/>
      <c r="KNT49" s="76"/>
      <c r="KNU49" s="76"/>
      <c r="KNV49" s="76"/>
      <c r="KNW49" s="76"/>
      <c r="KNX49" s="76"/>
      <c r="KNY49" s="76"/>
      <c r="KNZ49" s="76"/>
      <c r="KOA49" s="76"/>
      <c r="KOB49" s="76"/>
      <c r="KOC49" s="76"/>
      <c r="KOD49" s="76"/>
      <c r="KOE49" s="76"/>
      <c r="KOF49" s="76"/>
      <c r="KOG49" s="76"/>
      <c r="KOH49" s="76"/>
      <c r="KOI49" s="76"/>
      <c r="KOJ49" s="76"/>
      <c r="KOK49" s="76"/>
      <c r="KOL49" s="76"/>
      <c r="KOM49" s="76"/>
      <c r="KON49" s="76"/>
      <c r="KOO49" s="76"/>
      <c r="KOP49" s="76"/>
      <c r="KOQ49" s="76"/>
      <c r="KOR49" s="76"/>
      <c r="KOS49" s="76"/>
      <c r="KOT49" s="76"/>
      <c r="KOU49" s="76"/>
      <c r="KOV49" s="76"/>
      <c r="KOW49" s="76"/>
      <c r="KOX49" s="76"/>
      <c r="KOY49" s="76"/>
      <c r="KOZ49" s="76"/>
      <c r="KPA49" s="76"/>
      <c r="KPB49" s="76"/>
      <c r="KPC49" s="76"/>
      <c r="KPD49" s="76"/>
      <c r="KPE49" s="76"/>
      <c r="KPF49" s="76"/>
      <c r="KPG49" s="76"/>
      <c r="KPH49" s="76"/>
      <c r="KPI49" s="76"/>
      <c r="KPJ49" s="76"/>
      <c r="KPK49" s="76"/>
      <c r="KPL49" s="76"/>
      <c r="KPM49" s="76"/>
      <c r="KPN49" s="76"/>
      <c r="KPO49" s="76"/>
      <c r="KPP49" s="76"/>
      <c r="KPQ49" s="76"/>
      <c r="KPR49" s="76"/>
      <c r="KPS49" s="76"/>
      <c r="KPT49" s="76"/>
      <c r="KPU49" s="76"/>
      <c r="KPV49" s="76"/>
      <c r="KPW49" s="76"/>
      <c r="KPX49" s="76"/>
      <c r="KPY49" s="76"/>
      <c r="KPZ49" s="76"/>
      <c r="KQA49" s="76"/>
      <c r="KQB49" s="76"/>
      <c r="KQC49" s="76"/>
      <c r="KQD49" s="76"/>
      <c r="KQE49" s="76"/>
      <c r="KQF49" s="76"/>
      <c r="KQG49" s="76"/>
      <c r="KQH49" s="76"/>
      <c r="KQI49" s="76"/>
      <c r="KQJ49" s="76"/>
      <c r="KQK49" s="76"/>
      <c r="KQL49" s="76"/>
      <c r="KQM49" s="76"/>
      <c r="KQN49" s="76"/>
      <c r="KQO49" s="76"/>
      <c r="KQP49" s="76"/>
      <c r="KQQ49" s="76"/>
      <c r="KQR49" s="76"/>
      <c r="KQS49" s="76"/>
      <c r="KQT49" s="76"/>
      <c r="KQU49" s="76"/>
      <c r="KQV49" s="76"/>
      <c r="KQW49" s="76"/>
      <c r="KQX49" s="76"/>
      <c r="KQY49" s="76"/>
      <c r="KQZ49" s="76"/>
      <c r="KRA49" s="76"/>
      <c r="KRB49" s="76"/>
      <c r="KRC49" s="76"/>
      <c r="KRD49" s="76"/>
      <c r="KRE49" s="76"/>
      <c r="KRF49" s="76"/>
      <c r="KRG49" s="76"/>
      <c r="KRH49" s="76"/>
      <c r="KRI49" s="76"/>
      <c r="KRJ49" s="76"/>
      <c r="KRK49" s="76"/>
      <c r="KRL49" s="76"/>
      <c r="KRM49" s="76"/>
      <c r="KRN49" s="76"/>
      <c r="KRO49" s="76"/>
      <c r="KRP49" s="76"/>
      <c r="KRQ49" s="76"/>
      <c r="KRR49" s="76"/>
      <c r="KRS49" s="76"/>
      <c r="KRT49" s="76"/>
      <c r="KRU49" s="76"/>
      <c r="KRV49" s="76"/>
      <c r="KRW49" s="76"/>
      <c r="KRX49" s="76"/>
      <c r="KRY49" s="76"/>
      <c r="KRZ49" s="76"/>
      <c r="KSA49" s="76"/>
      <c r="KSB49" s="76"/>
      <c r="KSC49" s="76"/>
      <c r="KSD49" s="76"/>
      <c r="KSE49" s="76"/>
      <c r="KSF49" s="76"/>
      <c r="KSG49" s="76"/>
      <c r="KSH49" s="76"/>
      <c r="KSI49" s="76"/>
      <c r="KSJ49" s="76"/>
      <c r="KSK49" s="76"/>
      <c r="KSL49" s="76"/>
      <c r="KSM49" s="76"/>
      <c r="KSN49" s="76"/>
      <c r="KSO49" s="76"/>
      <c r="KSP49" s="76"/>
      <c r="KSQ49" s="76"/>
      <c r="KSR49" s="76"/>
      <c r="KSS49" s="76"/>
      <c r="KST49" s="76"/>
      <c r="KSU49" s="76"/>
      <c r="KSV49" s="76"/>
      <c r="KSW49" s="76"/>
      <c r="KSX49" s="76"/>
      <c r="KSY49" s="76"/>
      <c r="KSZ49" s="76"/>
      <c r="KTA49" s="76"/>
      <c r="KTB49" s="76"/>
      <c r="KTC49" s="76"/>
      <c r="KTD49" s="76"/>
      <c r="KTE49" s="76"/>
      <c r="KTF49" s="76"/>
      <c r="KTG49" s="76"/>
      <c r="KTH49" s="76"/>
      <c r="KTI49" s="76"/>
      <c r="KTJ49" s="76"/>
      <c r="KTK49" s="76"/>
      <c r="KTL49" s="76"/>
      <c r="KTM49" s="76"/>
      <c r="KTN49" s="76"/>
      <c r="KTO49" s="76"/>
      <c r="KTP49" s="76"/>
      <c r="KTQ49" s="76"/>
      <c r="KTR49" s="76"/>
      <c r="KTS49" s="76"/>
      <c r="KTT49" s="76"/>
      <c r="KTU49" s="76"/>
      <c r="KTV49" s="76"/>
      <c r="KTW49" s="76"/>
      <c r="KTX49" s="76"/>
      <c r="KTY49" s="76"/>
      <c r="KTZ49" s="76"/>
      <c r="KUA49" s="76"/>
      <c r="KUB49" s="76"/>
      <c r="KUC49" s="76"/>
      <c r="KUD49" s="76"/>
      <c r="KUE49" s="76"/>
      <c r="KUF49" s="76"/>
      <c r="KUG49" s="76"/>
      <c r="KUH49" s="76"/>
      <c r="KUI49" s="76"/>
      <c r="KUJ49" s="76"/>
      <c r="KUK49" s="76"/>
      <c r="KUL49" s="76"/>
      <c r="KUM49" s="76"/>
      <c r="KUN49" s="76"/>
      <c r="KUO49" s="76"/>
      <c r="KUP49" s="76"/>
      <c r="KUQ49" s="76"/>
      <c r="KUR49" s="76"/>
      <c r="KUS49" s="76"/>
      <c r="KUT49" s="76"/>
      <c r="KUU49" s="76"/>
      <c r="KUV49" s="76"/>
      <c r="KUW49" s="76"/>
      <c r="KUX49" s="76"/>
      <c r="KUY49" s="76"/>
      <c r="KUZ49" s="76"/>
      <c r="KVA49" s="76"/>
      <c r="KVB49" s="76"/>
      <c r="KVC49" s="76"/>
      <c r="KVD49" s="76"/>
      <c r="KVE49" s="76"/>
      <c r="KVF49" s="76"/>
      <c r="KVG49" s="76"/>
      <c r="KVH49" s="76"/>
      <c r="KVI49" s="76"/>
      <c r="KVJ49" s="76"/>
      <c r="KVK49" s="76"/>
      <c r="KVL49" s="76"/>
      <c r="KVM49" s="76"/>
      <c r="KVN49" s="76"/>
      <c r="KVO49" s="76"/>
      <c r="KVP49" s="76"/>
      <c r="KVQ49" s="76"/>
      <c r="KVR49" s="76"/>
      <c r="KVS49" s="76"/>
      <c r="KVT49" s="76"/>
      <c r="KVU49" s="76"/>
      <c r="KVV49" s="76"/>
      <c r="KVW49" s="76"/>
      <c r="KVX49" s="76"/>
      <c r="KVY49" s="76"/>
      <c r="KVZ49" s="76"/>
      <c r="KWA49" s="76"/>
      <c r="KWB49" s="76"/>
      <c r="KWC49" s="76"/>
      <c r="KWD49" s="76"/>
      <c r="KWE49" s="76"/>
      <c r="KWF49" s="76"/>
      <c r="KWG49" s="76"/>
      <c r="KWH49" s="76"/>
      <c r="KWI49" s="76"/>
      <c r="KWJ49" s="76"/>
      <c r="KWK49" s="76"/>
      <c r="KWL49" s="76"/>
      <c r="KWM49" s="76"/>
      <c r="KWN49" s="76"/>
      <c r="KWO49" s="76"/>
      <c r="KWP49" s="76"/>
      <c r="KWQ49" s="76"/>
      <c r="KWR49" s="76"/>
      <c r="KWS49" s="76"/>
      <c r="KWT49" s="76"/>
      <c r="KWU49" s="76"/>
      <c r="KWV49" s="76"/>
      <c r="KWW49" s="76"/>
      <c r="KWX49" s="76"/>
      <c r="KWY49" s="76"/>
      <c r="KWZ49" s="76"/>
      <c r="KXA49" s="76"/>
      <c r="KXB49" s="76"/>
      <c r="KXC49" s="76"/>
      <c r="KXD49" s="76"/>
      <c r="KXE49" s="76"/>
      <c r="KXF49" s="76"/>
      <c r="KXG49" s="76"/>
      <c r="KXH49" s="76"/>
      <c r="KXI49" s="76"/>
      <c r="KXJ49" s="76"/>
      <c r="KXK49" s="76"/>
      <c r="KXL49" s="76"/>
      <c r="KXM49" s="76"/>
      <c r="KXN49" s="76"/>
      <c r="KXO49" s="76"/>
      <c r="KXP49" s="76"/>
      <c r="KXQ49" s="76"/>
      <c r="KXR49" s="76"/>
      <c r="KXS49" s="76"/>
      <c r="KXT49" s="76"/>
      <c r="KXU49" s="76"/>
      <c r="KXV49" s="76"/>
      <c r="KXW49" s="76"/>
      <c r="KXX49" s="76"/>
      <c r="KXY49" s="76"/>
      <c r="KXZ49" s="76"/>
      <c r="KYA49" s="76"/>
      <c r="KYB49" s="76"/>
      <c r="KYC49" s="76"/>
      <c r="KYD49" s="76"/>
      <c r="KYE49" s="76"/>
      <c r="KYF49" s="76"/>
      <c r="KYG49" s="76"/>
      <c r="KYH49" s="76"/>
      <c r="KYI49" s="76"/>
      <c r="KYJ49" s="76"/>
      <c r="KYK49" s="76"/>
      <c r="KYL49" s="76"/>
      <c r="KYM49" s="76"/>
      <c r="KYN49" s="76"/>
      <c r="KYO49" s="76"/>
      <c r="KYP49" s="76"/>
      <c r="KYQ49" s="76"/>
      <c r="KYR49" s="76"/>
      <c r="KYS49" s="76"/>
      <c r="KYT49" s="76"/>
      <c r="KYU49" s="76"/>
      <c r="KYV49" s="76"/>
      <c r="KYW49" s="76"/>
      <c r="KYX49" s="76"/>
      <c r="KYY49" s="76"/>
      <c r="KYZ49" s="76"/>
      <c r="KZA49" s="76"/>
      <c r="KZB49" s="76"/>
      <c r="KZC49" s="76"/>
      <c r="KZD49" s="76"/>
      <c r="KZE49" s="76"/>
      <c r="KZF49" s="76"/>
      <c r="KZG49" s="76"/>
      <c r="KZH49" s="76"/>
      <c r="KZI49" s="76"/>
      <c r="KZJ49" s="76"/>
      <c r="KZK49" s="76"/>
      <c r="KZL49" s="76"/>
      <c r="KZM49" s="76"/>
      <c r="KZN49" s="76"/>
      <c r="KZO49" s="76"/>
      <c r="KZP49" s="76"/>
      <c r="KZQ49" s="76"/>
      <c r="KZR49" s="76"/>
      <c r="KZS49" s="76"/>
      <c r="KZT49" s="76"/>
      <c r="KZU49" s="76"/>
      <c r="KZV49" s="76"/>
      <c r="KZW49" s="76"/>
      <c r="KZX49" s="76"/>
      <c r="KZY49" s="76"/>
      <c r="KZZ49" s="76"/>
      <c r="LAA49" s="76"/>
      <c r="LAB49" s="76"/>
      <c r="LAC49" s="76"/>
      <c r="LAD49" s="76"/>
      <c r="LAE49" s="76"/>
      <c r="LAF49" s="76"/>
      <c r="LAG49" s="76"/>
      <c r="LAH49" s="76"/>
      <c r="LAI49" s="76"/>
      <c r="LAJ49" s="76"/>
      <c r="LAK49" s="76"/>
      <c r="LAL49" s="76"/>
      <c r="LAM49" s="76"/>
      <c r="LAN49" s="76"/>
      <c r="LAO49" s="76"/>
      <c r="LAP49" s="76"/>
      <c r="LAQ49" s="76"/>
      <c r="LAR49" s="76"/>
      <c r="LAS49" s="76"/>
      <c r="LAT49" s="76"/>
      <c r="LAU49" s="76"/>
      <c r="LAV49" s="76"/>
      <c r="LAW49" s="76"/>
      <c r="LAX49" s="76"/>
      <c r="LAY49" s="76"/>
      <c r="LAZ49" s="76"/>
      <c r="LBA49" s="76"/>
      <c r="LBB49" s="76"/>
      <c r="LBC49" s="76"/>
      <c r="LBD49" s="76"/>
      <c r="LBE49" s="76"/>
      <c r="LBF49" s="76"/>
      <c r="LBG49" s="76"/>
      <c r="LBH49" s="76"/>
      <c r="LBI49" s="76"/>
      <c r="LBJ49" s="76"/>
      <c r="LBK49" s="76"/>
      <c r="LBL49" s="76"/>
      <c r="LBM49" s="76"/>
      <c r="LBN49" s="76"/>
      <c r="LBO49" s="76"/>
      <c r="LBP49" s="76"/>
      <c r="LBQ49" s="76"/>
      <c r="LBR49" s="76"/>
      <c r="LBS49" s="76"/>
      <c r="LBT49" s="76"/>
      <c r="LBU49" s="76"/>
      <c r="LBV49" s="76"/>
      <c r="LBW49" s="76"/>
      <c r="LBX49" s="76"/>
      <c r="LBY49" s="76"/>
      <c r="LBZ49" s="76"/>
      <c r="LCA49" s="76"/>
      <c r="LCB49" s="76"/>
      <c r="LCC49" s="76"/>
      <c r="LCD49" s="76"/>
      <c r="LCE49" s="76"/>
      <c r="LCF49" s="76"/>
      <c r="LCG49" s="76"/>
      <c r="LCH49" s="76"/>
      <c r="LCI49" s="76"/>
      <c r="LCJ49" s="76"/>
      <c r="LCK49" s="76"/>
      <c r="LCL49" s="76"/>
      <c r="LCM49" s="76"/>
      <c r="LCN49" s="76"/>
      <c r="LCO49" s="76"/>
      <c r="LCP49" s="76"/>
      <c r="LCQ49" s="76"/>
      <c r="LCR49" s="76"/>
      <c r="LCS49" s="76"/>
      <c r="LCT49" s="76"/>
      <c r="LCU49" s="76"/>
      <c r="LCV49" s="76"/>
      <c r="LCW49" s="76"/>
      <c r="LCX49" s="76"/>
      <c r="LCY49" s="76"/>
      <c r="LCZ49" s="76"/>
      <c r="LDA49" s="76"/>
      <c r="LDB49" s="76"/>
      <c r="LDC49" s="76"/>
      <c r="LDD49" s="76"/>
      <c r="LDE49" s="76"/>
      <c r="LDF49" s="76"/>
      <c r="LDG49" s="76"/>
      <c r="LDH49" s="76"/>
      <c r="LDI49" s="76"/>
      <c r="LDJ49" s="76"/>
      <c r="LDK49" s="76"/>
      <c r="LDL49" s="76"/>
      <c r="LDM49" s="76"/>
      <c r="LDN49" s="76"/>
      <c r="LDO49" s="76"/>
      <c r="LDP49" s="76"/>
      <c r="LDQ49" s="76"/>
      <c r="LDR49" s="76"/>
      <c r="LDS49" s="76"/>
      <c r="LDT49" s="76"/>
      <c r="LDU49" s="76"/>
      <c r="LDV49" s="76"/>
      <c r="LDW49" s="76"/>
      <c r="LDX49" s="76"/>
      <c r="LDY49" s="76"/>
      <c r="LDZ49" s="76"/>
      <c r="LEA49" s="76"/>
      <c r="LEB49" s="76"/>
      <c r="LEC49" s="76"/>
      <c r="LED49" s="76"/>
      <c r="LEE49" s="76"/>
      <c r="LEF49" s="76"/>
      <c r="LEG49" s="76"/>
      <c r="LEH49" s="76"/>
      <c r="LEI49" s="76"/>
      <c r="LEJ49" s="76"/>
      <c r="LEK49" s="76"/>
      <c r="LEL49" s="76"/>
      <c r="LEM49" s="76"/>
      <c r="LEN49" s="76"/>
      <c r="LEO49" s="76"/>
      <c r="LEP49" s="76"/>
      <c r="LEQ49" s="76"/>
      <c r="LER49" s="76"/>
      <c r="LES49" s="76"/>
      <c r="LET49" s="76"/>
      <c r="LEU49" s="76"/>
      <c r="LEV49" s="76"/>
      <c r="LEW49" s="76"/>
      <c r="LEX49" s="76"/>
      <c r="LEY49" s="76"/>
      <c r="LEZ49" s="76"/>
      <c r="LFA49" s="76"/>
      <c r="LFB49" s="76"/>
      <c r="LFC49" s="76"/>
      <c r="LFD49" s="76"/>
      <c r="LFE49" s="76"/>
      <c r="LFF49" s="76"/>
      <c r="LFG49" s="76"/>
      <c r="LFH49" s="76"/>
      <c r="LFI49" s="76"/>
      <c r="LFJ49" s="76"/>
      <c r="LFK49" s="76"/>
      <c r="LFL49" s="76"/>
      <c r="LFM49" s="76"/>
      <c r="LFN49" s="76"/>
      <c r="LFO49" s="76"/>
      <c r="LFP49" s="76"/>
      <c r="LFQ49" s="76"/>
      <c r="LFR49" s="76"/>
      <c r="LFS49" s="76"/>
      <c r="LFT49" s="76"/>
      <c r="LFU49" s="76"/>
      <c r="LFV49" s="76"/>
      <c r="LFW49" s="76"/>
      <c r="LFX49" s="76"/>
      <c r="LFY49" s="76"/>
      <c r="LFZ49" s="76"/>
      <c r="LGA49" s="76"/>
      <c r="LGB49" s="76"/>
      <c r="LGC49" s="76"/>
      <c r="LGD49" s="76"/>
      <c r="LGE49" s="76"/>
      <c r="LGF49" s="76"/>
      <c r="LGG49" s="76"/>
      <c r="LGH49" s="76"/>
      <c r="LGI49" s="76"/>
      <c r="LGJ49" s="76"/>
      <c r="LGK49" s="76"/>
      <c r="LGL49" s="76"/>
      <c r="LGM49" s="76"/>
      <c r="LGN49" s="76"/>
      <c r="LGO49" s="76"/>
      <c r="LGP49" s="76"/>
      <c r="LGQ49" s="76"/>
      <c r="LGR49" s="76"/>
      <c r="LGS49" s="76"/>
      <c r="LGT49" s="76"/>
      <c r="LGU49" s="76"/>
      <c r="LGV49" s="76"/>
      <c r="LGW49" s="76"/>
      <c r="LGX49" s="76"/>
      <c r="LGY49" s="76"/>
      <c r="LGZ49" s="76"/>
      <c r="LHA49" s="76"/>
      <c r="LHB49" s="76"/>
      <c r="LHC49" s="76"/>
      <c r="LHD49" s="76"/>
      <c r="LHE49" s="76"/>
      <c r="LHF49" s="76"/>
      <c r="LHG49" s="76"/>
      <c r="LHH49" s="76"/>
      <c r="LHI49" s="76"/>
      <c r="LHJ49" s="76"/>
      <c r="LHK49" s="76"/>
      <c r="LHL49" s="76"/>
      <c r="LHM49" s="76"/>
      <c r="LHN49" s="76"/>
      <c r="LHO49" s="76"/>
      <c r="LHP49" s="76"/>
      <c r="LHQ49" s="76"/>
      <c r="LHR49" s="76"/>
      <c r="LHS49" s="76"/>
      <c r="LHT49" s="76"/>
      <c r="LHU49" s="76"/>
      <c r="LHV49" s="76"/>
      <c r="LHW49" s="76"/>
      <c r="LHX49" s="76"/>
      <c r="LHY49" s="76"/>
      <c r="LHZ49" s="76"/>
      <c r="LIA49" s="76"/>
      <c r="LIB49" s="76"/>
      <c r="LIC49" s="76"/>
      <c r="LID49" s="76"/>
      <c r="LIE49" s="76"/>
      <c r="LIF49" s="76"/>
      <c r="LIG49" s="76"/>
      <c r="LIH49" s="76"/>
      <c r="LII49" s="76"/>
      <c r="LIJ49" s="76"/>
      <c r="LIK49" s="76"/>
      <c r="LIL49" s="76"/>
      <c r="LIM49" s="76"/>
      <c r="LIN49" s="76"/>
      <c r="LIO49" s="76"/>
      <c r="LIP49" s="76"/>
      <c r="LIQ49" s="76"/>
      <c r="LIR49" s="76"/>
      <c r="LIS49" s="76"/>
      <c r="LIT49" s="76"/>
      <c r="LIU49" s="76"/>
      <c r="LIV49" s="76"/>
      <c r="LIW49" s="76"/>
      <c r="LIX49" s="76"/>
      <c r="LIY49" s="76"/>
      <c r="LIZ49" s="76"/>
      <c r="LJA49" s="76"/>
      <c r="LJB49" s="76"/>
      <c r="LJC49" s="76"/>
      <c r="LJD49" s="76"/>
      <c r="LJE49" s="76"/>
      <c r="LJF49" s="76"/>
      <c r="LJG49" s="76"/>
      <c r="LJH49" s="76"/>
      <c r="LJI49" s="76"/>
      <c r="LJJ49" s="76"/>
      <c r="LJK49" s="76"/>
      <c r="LJL49" s="76"/>
      <c r="LJM49" s="76"/>
      <c r="LJN49" s="76"/>
      <c r="LJO49" s="76"/>
      <c r="LJP49" s="76"/>
      <c r="LJQ49" s="76"/>
      <c r="LJR49" s="76"/>
      <c r="LJS49" s="76"/>
      <c r="LJT49" s="76"/>
      <c r="LJU49" s="76"/>
      <c r="LJV49" s="76"/>
      <c r="LJW49" s="76"/>
      <c r="LJX49" s="76"/>
      <c r="LJY49" s="76"/>
      <c r="LJZ49" s="76"/>
      <c r="LKA49" s="76"/>
      <c r="LKB49" s="76"/>
      <c r="LKC49" s="76"/>
      <c r="LKD49" s="76"/>
      <c r="LKE49" s="76"/>
      <c r="LKF49" s="76"/>
      <c r="LKG49" s="76"/>
      <c r="LKH49" s="76"/>
      <c r="LKI49" s="76"/>
      <c r="LKJ49" s="76"/>
      <c r="LKK49" s="76"/>
      <c r="LKL49" s="76"/>
      <c r="LKM49" s="76"/>
      <c r="LKN49" s="76"/>
      <c r="LKO49" s="76"/>
      <c r="LKP49" s="76"/>
      <c r="LKQ49" s="76"/>
      <c r="LKR49" s="76"/>
      <c r="LKS49" s="76"/>
      <c r="LKT49" s="76"/>
      <c r="LKU49" s="76"/>
      <c r="LKV49" s="76"/>
      <c r="LKW49" s="76"/>
      <c r="LKX49" s="76"/>
      <c r="LKY49" s="76"/>
      <c r="LKZ49" s="76"/>
      <c r="LLA49" s="76"/>
      <c r="LLB49" s="76"/>
      <c r="LLC49" s="76"/>
      <c r="LLD49" s="76"/>
      <c r="LLE49" s="76"/>
      <c r="LLF49" s="76"/>
      <c r="LLG49" s="76"/>
      <c r="LLH49" s="76"/>
      <c r="LLI49" s="76"/>
      <c r="LLJ49" s="76"/>
      <c r="LLK49" s="76"/>
      <c r="LLL49" s="76"/>
      <c r="LLM49" s="76"/>
      <c r="LLN49" s="76"/>
      <c r="LLO49" s="76"/>
      <c r="LLP49" s="76"/>
      <c r="LLQ49" s="76"/>
      <c r="LLR49" s="76"/>
      <c r="LLS49" s="76"/>
      <c r="LLT49" s="76"/>
      <c r="LLU49" s="76"/>
      <c r="LLV49" s="76"/>
      <c r="LLW49" s="76"/>
      <c r="LLX49" s="76"/>
      <c r="LLY49" s="76"/>
      <c r="LLZ49" s="76"/>
      <c r="LMA49" s="76"/>
      <c r="LMB49" s="76"/>
      <c r="LMC49" s="76"/>
      <c r="LMD49" s="76"/>
      <c r="LME49" s="76"/>
      <c r="LMF49" s="76"/>
      <c r="LMG49" s="76"/>
      <c r="LMH49" s="76"/>
      <c r="LMI49" s="76"/>
      <c r="LMJ49" s="76"/>
      <c r="LMK49" s="76"/>
      <c r="LML49" s="76"/>
      <c r="LMM49" s="76"/>
      <c r="LMN49" s="76"/>
      <c r="LMO49" s="76"/>
      <c r="LMP49" s="76"/>
      <c r="LMQ49" s="76"/>
      <c r="LMR49" s="76"/>
      <c r="LMS49" s="76"/>
      <c r="LMT49" s="76"/>
      <c r="LMU49" s="76"/>
      <c r="LMV49" s="76"/>
      <c r="LMW49" s="76"/>
      <c r="LMX49" s="76"/>
      <c r="LMY49" s="76"/>
      <c r="LMZ49" s="76"/>
      <c r="LNA49" s="76"/>
      <c r="LNB49" s="76"/>
      <c r="LNC49" s="76"/>
      <c r="LND49" s="76"/>
      <c r="LNE49" s="76"/>
      <c r="LNF49" s="76"/>
      <c r="LNG49" s="76"/>
      <c r="LNH49" s="76"/>
      <c r="LNI49" s="76"/>
      <c r="LNJ49" s="76"/>
      <c r="LNK49" s="76"/>
      <c r="LNL49" s="76"/>
      <c r="LNM49" s="76"/>
      <c r="LNN49" s="76"/>
      <c r="LNO49" s="76"/>
      <c r="LNP49" s="76"/>
      <c r="LNQ49" s="76"/>
      <c r="LNR49" s="76"/>
      <c r="LNS49" s="76"/>
      <c r="LNT49" s="76"/>
      <c r="LNU49" s="76"/>
      <c r="LNV49" s="76"/>
      <c r="LNW49" s="76"/>
      <c r="LNX49" s="76"/>
      <c r="LNY49" s="76"/>
      <c r="LNZ49" s="76"/>
      <c r="LOA49" s="76"/>
      <c r="LOB49" s="76"/>
      <c r="LOC49" s="76"/>
      <c r="LOD49" s="76"/>
      <c r="LOE49" s="76"/>
      <c r="LOF49" s="76"/>
      <c r="LOG49" s="76"/>
      <c r="LOH49" s="76"/>
      <c r="LOI49" s="76"/>
      <c r="LOJ49" s="76"/>
      <c r="LOK49" s="76"/>
      <c r="LOL49" s="76"/>
      <c r="LOM49" s="76"/>
      <c r="LON49" s="76"/>
      <c r="LOO49" s="76"/>
      <c r="LOP49" s="76"/>
      <c r="LOQ49" s="76"/>
      <c r="LOR49" s="76"/>
      <c r="LOS49" s="76"/>
      <c r="LOT49" s="76"/>
      <c r="LOU49" s="76"/>
      <c r="LOV49" s="76"/>
      <c r="LOW49" s="76"/>
      <c r="LOX49" s="76"/>
      <c r="LOY49" s="76"/>
      <c r="LOZ49" s="76"/>
      <c r="LPA49" s="76"/>
      <c r="LPB49" s="76"/>
      <c r="LPC49" s="76"/>
      <c r="LPD49" s="76"/>
      <c r="LPE49" s="76"/>
      <c r="LPF49" s="76"/>
      <c r="LPG49" s="76"/>
      <c r="LPH49" s="76"/>
      <c r="LPI49" s="76"/>
      <c r="LPJ49" s="76"/>
      <c r="LPK49" s="76"/>
      <c r="LPL49" s="76"/>
      <c r="LPM49" s="76"/>
      <c r="LPN49" s="76"/>
      <c r="LPO49" s="76"/>
      <c r="LPP49" s="76"/>
      <c r="LPQ49" s="76"/>
      <c r="LPR49" s="76"/>
      <c r="LPS49" s="76"/>
      <c r="LPT49" s="76"/>
      <c r="LPU49" s="76"/>
      <c r="LPV49" s="76"/>
      <c r="LPW49" s="76"/>
      <c r="LPX49" s="76"/>
      <c r="LPY49" s="76"/>
      <c r="LPZ49" s="76"/>
      <c r="LQA49" s="76"/>
      <c r="LQB49" s="76"/>
      <c r="LQC49" s="76"/>
      <c r="LQD49" s="76"/>
      <c r="LQE49" s="76"/>
      <c r="LQF49" s="76"/>
      <c r="LQG49" s="76"/>
      <c r="LQH49" s="76"/>
      <c r="LQI49" s="76"/>
      <c r="LQJ49" s="76"/>
      <c r="LQK49" s="76"/>
      <c r="LQL49" s="76"/>
      <c r="LQM49" s="76"/>
      <c r="LQN49" s="76"/>
      <c r="LQO49" s="76"/>
      <c r="LQP49" s="76"/>
      <c r="LQQ49" s="76"/>
      <c r="LQR49" s="76"/>
      <c r="LQS49" s="76"/>
      <c r="LQT49" s="76"/>
      <c r="LQU49" s="76"/>
      <c r="LQV49" s="76"/>
      <c r="LQW49" s="76"/>
      <c r="LQX49" s="76"/>
      <c r="LQY49" s="76"/>
      <c r="LQZ49" s="76"/>
      <c r="LRA49" s="76"/>
      <c r="LRB49" s="76"/>
      <c r="LRC49" s="76"/>
      <c r="LRD49" s="76"/>
      <c r="LRE49" s="76"/>
      <c r="LRF49" s="76"/>
      <c r="LRG49" s="76"/>
      <c r="LRH49" s="76"/>
      <c r="LRI49" s="76"/>
      <c r="LRJ49" s="76"/>
      <c r="LRK49" s="76"/>
      <c r="LRL49" s="76"/>
      <c r="LRM49" s="76"/>
      <c r="LRN49" s="76"/>
      <c r="LRO49" s="76"/>
      <c r="LRP49" s="76"/>
      <c r="LRQ49" s="76"/>
      <c r="LRR49" s="76"/>
      <c r="LRS49" s="76"/>
      <c r="LRT49" s="76"/>
      <c r="LRU49" s="76"/>
      <c r="LRV49" s="76"/>
      <c r="LRW49" s="76"/>
      <c r="LRX49" s="76"/>
      <c r="LRY49" s="76"/>
      <c r="LRZ49" s="76"/>
      <c r="LSA49" s="76"/>
      <c r="LSB49" s="76"/>
      <c r="LSC49" s="76"/>
      <c r="LSD49" s="76"/>
      <c r="LSE49" s="76"/>
      <c r="LSF49" s="76"/>
      <c r="LSG49" s="76"/>
      <c r="LSH49" s="76"/>
      <c r="LSI49" s="76"/>
      <c r="LSJ49" s="76"/>
      <c r="LSK49" s="76"/>
      <c r="LSL49" s="76"/>
      <c r="LSM49" s="76"/>
      <c r="LSN49" s="76"/>
      <c r="LSO49" s="76"/>
      <c r="LSP49" s="76"/>
      <c r="LSQ49" s="76"/>
      <c r="LSR49" s="76"/>
      <c r="LSS49" s="76"/>
      <c r="LST49" s="76"/>
      <c r="LSU49" s="76"/>
      <c r="LSV49" s="76"/>
      <c r="LSW49" s="76"/>
      <c r="LSX49" s="76"/>
      <c r="LSY49" s="76"/>
      <c r="LSZ49" s="76"/>
      <c r="LTA49" s="76"/>
      <c r="LTB49" s="76"/>
      <c r="LTC49" s="76"/>
      <c r="LTD49" s="76"/>
      <c r="LTE49" s="76"/>
      <c r="LTF49" s="76"/>
      <c r="LTG49" s="76"/>
      <c r="LTH49" s="76"/>
      <c r="LTI49" s="76"/>
      <c r="LTJ49" s="76"/>
      <c r="LTK49" s="76"/>
      <c r="LTL49" s="76"/>
      <c r="LTM49" s="76"/>
      <c r="LTN49" s="76"/>
      <c r="LTO49" s="76"/>
      <c r="LTP49" s="76"/>
      <c r="LTQ49" s="76"/>
      <c r="LTR49" s="76"/>
      <c r="LTS49" s="76"/>
      <c r="LTT49" s="76"/>
      <c r="LTU49" s="76"/>
      <c r="LTV49" s="76"/>
      <c r="LTW49" s="76"/>
      <c r="LTX49" s="76"/>
      <c r="LTY49" s="76"/>
      <c r="LTZ49" s="76"/>
      <c r="LUA49" s="76"/>
      <c r="LUB49" s="76"/>
      <c r="LUC49" s="76"/>
      <c r="LUD49" s="76"/>
      <c r="LUE49" s="76"/>
      <c r="LUF49" s="76"/>
      <c r="LUG49" s="76"/>
      <c r="LUH49" s="76"/>
      <c r="LUI49" s="76"/>
      <c r="LUJ49" s="76"/>
      <c r="LUK49" s="76"/>
      <c r="LUL49" s="76"/>
      <c r="LUM49" s="76"/>
      <c r="LUN49" s="76"/>
      <c r="LUO49" s="76"/>
      <c r="LUP49" s="76"/>
      <c r="LUQ49" s="76"/>
      <c r="LUR49" s="76"/>
      <c r="LUS49" s="76"/>
      <c r="LUT49" s="76"/>
      <c r="LUU49" s="76"/>
      <c r="LUV49" s="76"/>
      <c r="LUW49" s="76"/>
      <c r="LUX49" s="76"/>
      <c r="LUY49" s="76"/>
      <c r="LUZ49" s="76"/>
      <c r="LVA49" s="76"/>
      <c r="LVB49" s="76"/>
      <c r="LVC49" s="76"/>
      <c r="LVD49" s="76"/>
      <c r="LVE49" s="76"/>
      <c r="LVF49" s="76"/>
      <c r="LVG49" s="76"/>
      <c r="LVH49" s="76"/>
      <c r="LVI49" s="76"/>
      <c r="LVJ49" s="76"/>
      <c r="LVK49" s="76"/>
      <c r="LVL49" s="76"/>
      <c r="LVM49" s="76"/>
      <c r="LVN49" s="76"/>
      <c r="LVO49" s="76"/>
      <c r="LVP49" s="76"/>
      <c r="LVQ49" s="76"/>
      <c r="LVR49" s="76"/>
      <c r="LVS49" s="76"/>
      <c r="LVT49" s="76"/>
      <c r="LVU49" s="76"/>
      <c r="LVV49" s="76"/>
      <c r="LVW49" s="76"/>
      <c r="LVX49" s="76"/>
      <c r="LVY49" s="76"/>
      <c r="LVZ49" s="76"/>
      <c r="LWA49" s="76"/>
      <c r="LWB49" s="76"/>
      <c r="LWC49" s="76"/>
      <c r="LWD49" s="76"/>
      <c r="LWE49" s="76"/>
      <c r="LWF49" s="76"/>
      <c r="LWG49" s="76"/>
      <c r="LWH49" s="76"/>
      <c r="LWI49" s="76"/>
      <c r="LWJ49" s="76"/>
      <c r="LWK49" s="76"/>
      <c r="LWL49" s="76"/>
      <c r="LWM49" s="76"/>
      <c r="LWN49" s="76"/>
      <c r="LWO49" s="76"/>
      <c r="LWP49" s="76"/>
      <c r="LWQ49" s="76"/>
      <c r="LWR49" s="76"/>
      <c r="LWS49" s="76"/>
      <c r="LWT49" s="76"/>
      <c r="LWU49" s="76"/>
      <c r="LWV49" s="76"/>
      <c r="LWW49" s="76"/>
      <c r="LWX49" s="76"/>
      <c r="LWY49" s="76"/>
      <c r="LWZ49" s="76"/>
      <c r="LXA49" s="76"/>
      <c r="LXB49" s="76"/>
      <c r="LXC49" s="76"/>
      <c r="LXD49" s="76"/>
      <c r="LXE49" s="76"/>
      <c r="LXF49" s="76"/>
      <c r="LXG49" s="76"/>
      <c r="LXH49" s="76"/>
      <c r="LXI49" s="76"/>
      <c r="LXJ49" s="76"/>
      <c r="LXK49" s="76"/>
      <c r="LXL49" s="76"/>
      <c r="LXM49" s="76"/>
      <c r="LXN49" s="76"/>
      <c r="LXO49" s="76"/>
      <c r="LXP49" s="76"/>
      <c r="LXQ49" s="76"/>
      <c r="LXR49" s="76"/>
      <c r="LXS49" s="76"/>
      <c r="LXT49" s="76"/>
      <c r="LXU49" s="76"/>
      <c r="LXV49" s="76"/>
      <c r="LXW49" s="76"/>
      <c r="LXX49" s="76"/>
      <c r="LXY49" s="76"/>
      <c r="LXZ49" s="76"/>
      <c r="LYA49" s="76"/>
      <c r="LYB49" s="76"/>
      <c r="LYC49" s="76"/>
      <c r="LYD49" s="76"/>
      <c r="LYE49" s="76"/>
      <c r="LYF49" s="76"/>
      <c r="LYG49" s="76"/>
      <c r="LYH49" s="76"/>
      <c r="LYI49" s="76"/>
      <c r="LYJ49" s="76"/>
      <c r="LYK49" s="76"/>
      <c r="LYL49" s="76"/>
      <c r="LYM49" s="76"/>
      <c r="LYN49" s="76"/>
      <c r="LYO49" s="76"/>
      <c r="LYP49" s="76"/>
      <c r="LYQ49" s="76"/>
      <c r="LYR49" s="76"/>
      <c r="LYS49" s="76"/>
      <c r="LYT49" s="76"/>
      <c r="LYU49" s="76"/>
      <c r="LYV49" s="76"/>
      <c r="LYW49" s="76"/>
      <c r="LYX49" s="76"/>
      <c r="LYY49" s="76"/>
      <c r="LYZ49" s="76"/>
      <c r="LZA49" s="76"/>
      <c r="LZB49" s="76"/>
      <c r="LZC49" s="76"/>
      <c r="LZD49" s="76"/>
      <c r="LZE49" s="76"/>
      <c r="LZF49" s="76"/>
      <c r="LZG49" s="76"/>
      <c r="LZH49" s="76"/>
      <c r="LZI49" s="76"/>
      <c r="LZJ49" s="76"/>
      <c r="LZK49" s="76"/>
      <c r="LZL49" s="76"/>
      <c r="LZM49" s="76"/>
      <c r="LZN49" s="76"/>
      <c r="LZO49" s="76"/>
      <c r="LZP49" s="76"/>
      <c r="LZQ49" s="76"/>
      <c r="LZR49" s="76"/>
      <c r="LZS49" s="76"/>
      <c r="LZT49" s="76"/>
      <c r="LZU49" s="76"/>
      <c r="LZV49" s="76"/>
      <c r="LZW49" s="76"/>
      <c r="LZX49" s="76"/>
      <c r="LZY49" s="76"/>
      <c r="LZZ49" s="76"/>
      <c r="MAA49" s="76"/>
      <c r="MAB49" s="76"/>
      <c r="MAC49" s="76"/>
      <c r="MAD49" s="76"/>
      <c r="MAE49" s="76"/>
      <c r="MAF49" s="76"/>
      <c r="MAG49" s="76"/>
      <c r="MAH49" s="76"/>
      <c r="MAI49" s="76"/>
      <c r="MAJ49" s="76"/>
      <c r="MAK49" s="76"/>
      <c r="MAL49" s="76"/>
      <c r="MAM49" s="76"/>
      <c r="MAN49" s="76"/>
      <c r="MAO49" s="76"/>
      <c r="MAP49" s="76"/>
      <c r="MAQ49" s="76"/>
      <c r="MAR49" s="76"/>
      <c r="MAS49" s="76"/>
      <c r="MAT49" s="76"/>
      <c r="MAU49" s="76"/>
      <c r="MAV49" s="76"/>
      <c r="MAW49" s="76"/>
      <c r="MAX49" s="76"/>
      <c r="MAY49" s="76"/>
      <c r="MAZ49" s="76"/>
      <c r="MBA49" s="76"/>
      <c r="MBB49" s="76"/>
      <c r="MBC49" s="76"/>
      <c r="MBD49" s="76"/>
      <c r="MBE49" s="76"/>
      <c r="MBF49" s="76"/>
      <c r="MBG49" s="76"/>
      <c r="MBH49" s="76"/>
      <c r="MBI49" s="76"/>
      <c r="MBJ49" s="76"/>
      <c r="MBK49" s="76"/>
      <c r="MBL49" s="76"/>
      <c r="MBM49" s="76"/>
      <c r="MBN49" s="76"/>
      <c r="MBO49" s="76"/>
      <c r="MBP49" s="76"/>
      <c r="MBQ49" s="76"/>
      <c r="MBR49" s="76"/>
      <c r="MBS49" s="76"/>
      <c r="MBT49" s="76"/>
      <c r="MBU49" s="76"/>
      <c r="MBV49" s="76"/>
      <c r="MBW49" s="76"/>
      <c r="MBX49" s="76"/>
      <c r="MBY49" s="76"/>
      <c r="MBZ49" s="76"/>
      <c r="MCA49" s="76"/>
      <c r="MCB49" s="76"/>
      <c r="MCC49" s="76"/>
      <c r="MCD49" s="76"/>
      <c r="MCE49" s="76"/>
      <c r="MCF49" s="76"/>
      <c r="MCG49" s="76"/>
      <c r="MCH49" s="76"/>
      <c r="MCI49" s="76"/>
      <c r="MCJ49" s="76"/>
      <c r="MCK49" s="76"/>
      <c r="MCL49" s="76"/>
      <c r="MCM49" s="76"/>
      <c r="MCN49" s="76"/>
      <c r="MCO49" s="76"/>
      <c r="MCP49" s="76"/>
      <c r="MCQ49" s="76"/>
      <c r="MCR49" s="76"/>
      <c r="MCS49" s="76"/>
      <c r="MCT49" s="76"/>
      <c r="MCU49" s="76"/>
      <c r="MCV49" s="76"/>
      <c r="MCW49" s="76"/>
      <c r="MCX49" s="76"/>
      <c r="MCY49" s="76"/>
      <c r="MCZ49" s="76"/>
      <c r="MDA49" s="76"/>
      <c r="MDB49" s="76"/>
      <c r="MDC49" s="76"/>
      <c r="MDD49" s="76"/>
      <c r="MDE49" s="76"/>
      <c r="MDF49" s="76"/>
      <c r="MDG49" s="76"/>
      <c r="MDH49" s="76"/>
      <c r="MDI49" s="76"/>
      <c r="MDJ49" s="76"/>
      <c r="MDK49" s="76"/>
      <c r="MDL49" s="76"/>
      <c r="MDM49" s="76"/>
      <c r="MDN49" s="76"/>
      <c r="MDO49" s="76"/>
      <c r="MDP49" s="76"/>
      <c r="MDQ49" s="76"/>
      <c r="MDR49" s="76"/>
      <c r="MDS49" s="76"/>
      <c r="MDT49" s="76"/>
      <c r="MDU49" s="76"/>
      <c r="MDV49" s="76"/>
      <c r="MDW49" s="76"/>
      <c r="MDX49" s="76"/>
      <c r="MDY49" s="76"/>
      <c r="MDZ49" s="76"/>
      <c r="MEA49" s="76"/>
      <c r="MEB49" s="76"/>
      <c r="MEC49" s="76"/>
      <c r="MED49" s="76"/>
      <c r="MEE49" s="76"/>
      <c r="MEF49" s="76"/>
      <c r="MEG49" s="76"/>
      <c r="MEH49" s="76"/>
      <c r="MEI49" s="76"/>
      <c r="MEJ49" s="76"/>
      <c r="MEK49" s="76"/>
      <c r="MEL49" s="76"/>
      <c r="MEM49" s="76"/>
      <c r="MEN49" s="76"/>
      <c r="MEO49" s="76"/>
      <c r="MEP49" s="76"/>
      <c r="MEQ49" s="76"/>
      <c r="MER49" s="76"/>
      <c r="MES49" s="76"/>
      <c r="MET49" s="76"/>
      <c r="MEU49" s="76"/>
      <c r="MEV49" s="76"/>
      <c r="MEW49" s="76"/>
      <c r="MEX49" s="76"/>
      <c r="MEY49" s="76"/>
      <c r="MEZ49" s="76"/>
      <c r="MFA49" s="76"/>
      <c r="MFB49" s="76"/>
      <c r="MFC49" s="76"/>
      <c r="MFD49" s="76"/>
      <c r="MFE49" s="76"/>
      <c r="MFF49" s="76"/>
      <c r="MFG49" s="76"/>
      <c r="MFH49" s="76"/>
      <c r="MFI49" s="76"/>
      <c r="MFJ49" s="76"/>
      <c r="MFK49" s="76"/>
      <c r="MFL49" s="76"/>
      <c r="MFM49" s="76"/>
      <c r="MFN49" s="76"/>
      <c r="MFO49" s="76"/>
      <c r="MFP49" s="76"/>
      <c r="MFQ49" s="76"/>
      <c r="MFR49" s="76"/>
      <c r="MFS49" s="76"/>
      <c r="MFT49" s="76"/>
      <c r="MFU49" s="76"/>
      <c r="MFV49" s="76"/>
      <c r="MFW49" s="76"/>
      <c r="MFX49" s="76"/>
      <c r="MFY49" s="76"/>
      <c r="MFZ49" s="76"/>
      <c r="MGA49" s="76"/>
      <c r="MGB49" s="76"/>
      <c r="MGC49" s="76"/>
      <c r="MGD49" s="76"/>
      <c r="MGE49" s="76"/>
      <c r="MGF49" s="76"/>
      <c r="MGG49" s="76"/>
      <c r="MGH49" s="76"/>
      <c r="MGI49" s="76"/>
      <c r="MGJ49" s="76"/>
      <c r="MGK49" s="76"/>
      <c r="MGL49" s="76"/>
      <c r="MGM49" s="76"/>
      <c r="MGN49" s="76"/>
      <c r="MGO49" s="76"/>
      <c r="MGP49" s="76"/>
      <c r="MGQ49" s="76"/>
      <c r="MGR49" s="76"/>
      <c r="MGS49" s="76"/>
      <c r="MGT49" s="76"/>
      <c r="MGU49" s="76"/>
      <c r="MGV49" s="76"/>
      <c r="MGW49" s="76"/>
      <c r="MGX49" s="76"/>
      <c r="MGY49" s="76"/>
      <c r="MGZ49" s="76"/>
      <c r="MHA49" s="76"/>
      <c r="MHB49" s="76"/>
      <c r="MHC49" s="76"/>
      <c r="MHD49" s="76"/>
      <c r="MHE49" s="76"/>
      <c r="MHF49" s="76"/>
      <c r="MHG49" s="76"/>
      <c r="MHH49" s="76"/>
      <c r="MHI49" s="76"/>
      <c r="MHJ49" s="76"/>
      <c r="MHK49" s="76"/>
      <c r="MHL49" s="76"/>
      <c r="MHM49" s="76"/>
      <c r="MHN49" s="76"/>
      <c r="MHO49" s="76"/>
      <c r="MHP49" s="76"/>
      <c r="MHQ49" s="76"/>
      <c r="MHR49" s="76"/>
      <c r="MHS49" s="76"/>
      <c r="MHT49" s="76"/>
      <c r="MHU49" s="76"/>
      <c r="MHV49" s="76"/>
      <c r="MHW49" s="76"/>
      <c r="MHX49" s="76"/>
      <c r="MHY49" s="76"/>
      <c r="MHZ49" s="76"/>
      <c r="MIA49" s="76"/>
      <c r="MIB49" s="76"/>
      <c r="MIC49" s="76"/>
      <c r="MID49" s="76"/>
      <c r="MIE49" s="76"/>
      <c r="MIF49" s="76"/>
      <c r="MIG49" s="76"/>
      <c r="MIH49" s="76"/>
      <c r="MII49" s="76"/>
      <c r="MIJ49" s="76"/>
      <c r="MIK49" s="76"/>
      <c r="MIL49" s="76"/>
      <c r="MIM49" s="76"/>
      <c r="MIN49" s="76"/>
      <c r="MIO49" s="76"/>
      <c r="MIP49" s="76"/>
      <c r="MIQ49" s="76"/>
      <c r="MIR49" s="76"/>
      <c r="MIS49" s="76"/>
      <c r="MIT49" s="76"/>
      <c r="MIU49" s="76"/>
      <c r="MIV49" s="76"/>
      <c r="MIW49" s="76"/>
      <c r="MIX49" s="76"/>
      <c r="MIY49" s="76"/>
      <c r="MIZ49" s="76"/>
      <c r="MJA49" s="76"/>
      <c r="MJB49" s="76"/>
      <c r="MJC49" s="76"/>
      <c r="MJD49" s="76"/>
      <c r="MJE49" s="76"/>
      <c r="MJF49" s="76"/>
      <c r="MJG49" s="76"/>
      <c r="MJH49" s="76"/>
      <c r="MJI49" s="76"/>
      <c r="MJJ49" s="76"/>
      <c r="MJK49" s="76"/>
      <c r="MJL49" s="76"/>
      <c r="MJM49" s="76"/>
      <c r="MJN49" s="76"/>
      <c r="MJO49" s="76"/>
      <c r="MJP49" s="76"/>
      <c r="MJQ49" s="76"/>
      <c r="MJR49" s="76"/>
      <c r="MJS49" s="76"/>
      <c r="MJT49" s="76"/>
      <c r="MJU49" s="76"/>
      <c r="MJV49" s="76"/>
      <c r="MJW49" s="76"/>
      <c r="MJX49" s="76"/>
      <c r="MJY49" s="76"/>
      <c r="MJZ49" s="76"/>
      <c r="MKA49" s="76"/>
      <c r="MKB49" s="76"/>
      <c r="MKC49" s="76"/>
      <c r="MKD49" s="76"/>
      <c r="MKE49" s="76"/>
      <c r="MKF49" s="76"/>
      <c r="MKG49" s="76"/>
      <c r="MKH49" s="76"/>
      <c r="MKI49" s="76"/>
      <c r="MKJ49" s="76"/>
      <c r="MKK49" s="76"/>
      <c r="MKL49" s="76"/>
      <c r="MKM49" s="76"/>
      <c r="MKN49" s="76"/>
      <c r="MKO49" s="76"/>
      <c r="MKP49" s="76"/>
      <c r="MKQ49" s="76"/>
      <c r="MKR49" s="76"/>
      <c r="MKS49" s="76"/>
      <c r="MKT49" s="76"/>
      <c r="MKU49" s="76"/>
      <c r="MKV49" s="76"/>
      <c r="MKW49" s="76"/>
      <c r="MKX49" s="76"/>
      <c r="MKY49" s="76"/>
      <c r="MKZ49" s="76"/>
      <c r="MLA49" s="76"/>
      <c r="MLB49" s="76"/>
      <c r="MLC49" s="76"/>
      <c r="MLD49" s="76"/>
      <c r="MLE49" s="76"/>
      <c r="MLF49" s="76"/>
      <c r="MLG49" s="76"/>
      <c r="MLH49" s="76"/>
      <c r="MLI49" s="76"/>
      <c r="MLJ49" s="76"/>
      <c r="MLK49" s="76"/>
      <c r="MLL49" s="76"/>
      <c r="MLM49" s="76"/>
      <c r="MLN49" s="76"/>
      <c r="MLO49" s="76"/>
      <c r="MLP49" s="76"/>
      <c r="MLQ49" s="76"/>
      <c r="MLR49" s="76"/>
      <c r="MLS49" s="76"/>
      <c r="MLT49" s="76"/>
      <c r="MLU49" s="76"/>
      <c r="MLV49" s="76"/>
      <c r="MLW49" s="76"/>
      <c r="MLX49" s="76"/>
      <c r="MLY49" s="76"/>
      <c r="MLZ49" s="76"/>
      <c r="MMA49" s="76"/>
      <c r="MMB49" s="76"/>
      <c r="MMC49" s="76"/>
      <c r="MMD49" s="76"/>
      <c r="MME49" s="76"/>
      <c r="MMF49" s="76"/>
      <c r="MMG49" s="76"/>
      <c r="MMH49" s="76"/>
      <c r="MMI49" s="76"/>
      <c r="MMJ49" s="76"/>
      <c r="MMK49" s="76"/>
      <c r="MML49" s="76"/>
      <c r="MMM49" s="76"/>
      <c r="MMN49" s="76"/>
      <c r="MMO49" s="76"/>
      <c r="MMP49" s="76"/>
      <c r="MMQ49" s="76"/>
      <c r="MMR49" s="76"/>
      <c r="MMS49" s="76"/>
      <c r="MMT49" s="76"/>
      <c r="MMU49" s="76"/>
      <c r="MMV49" s="76"/>
      <c r="MMW49" s="76"/>
      <c r="MMX49" s="76"/>
      <c r="MMY49" s="76"/>
      <c r="MMZ49" s="76"/>
      <c r="MNA49" s="76"/>
      <c r="MNB49" s="76"/>
      <c r="MNC49" s="76"/>
      <c r="MND49" s="76"/>
      <c r="MNE49" s="76"/>
      <c r="MNF49" s="76"/>
      <c r="MNG49" s="76"/>
      <c r="MNH49" s="76"/>
      <c r="MNI49" s="76"/>
      <c r="MNJ49" s="76"/>
      <c r="MNK49" s="76"/>
      <c r="MNL49" s="76"/>
      <c r="MNM49" s="76"/>
      <c r="MNN49" s="76"/>
      <c r="MNO49" s="76"/>
      <c r="MNP49" s="76"/>
      <c r="MNQ49" s="76"/>
      <c r="MNR49" s="76"/>
      <c r="MNS49" s="76"/>
      <c r="MNT49" s="76"/>
      <c r="MNU49" s="76"/>
      <c r="MNV49" s="76"/>
      <c r="MNW49" s="76"/>
      <c r="MNX49" s="76"/>
      <c r="MNY49" s="76"/>
      <c r="MNZ49" s="76"/>
      <c r="MOA49" s="76"/>
      <c r="MOB49" s="76"/>
      <c r="MOC49" s="76"/>
      <c r="MOD49" s="76"/>
      <c r="MOE49" s="76"/>
      <c r="MOF49" s="76"/>
      <c r="MOG49" s="76"/>
      <c r="MOH49" s="76"/>
      <c r="MOI49" s="76"/>
      <c r="MOJ49" s="76"/>
      <c r="MOK49" s="76"/>
      <c r="MOL49" s="76"/>
      <c r="MOM49" s="76"/>
      <c r="MON49" s="76"/>
      <c r="MOO49" s="76"/>
      <c r="MOP49" s="76"/>
      <c r="MOQ49" s="76"/>
      <c r="MOR49" s="76"/>
      <c r="MOS49" s="76"/>
      <c r="MOT49" s="76"/>
      <c r="MOU49" s="76"/>
      <c r="MOV49" s="76"/>
      <c r="MOW49" s="76"/>
      <c r="MOX49" s="76"/>
      <c r="MOY49" s="76"/>
      <c r="MOZ49" s="76"/>
      <c r="MPA49" s="76"/>
      <c r="MPB49" s="76"/>
      <c r="MPC49" s="76"/>
      <c r="MPD49" s="76"/>
      <c r="MPE49" s="76"/>
      <c r="MPF49" s="76"/>
      <c r="MPG49" s="76"/>
      <c r="MPH49" s="76"/>
      <c r="MPI49" s="76"/>
      <c r="MPJ49" s="76"/>
      <c r="MPK49" s="76"/>
      <c r="MPL49" s="76"/>
      <c r="MPM49" s="76"/>
      <c r="MPN49" s="76"/>
      <c r="MPO49" s="76"/>
      <c r="MPP49" s="76"/>
      <c r="MPQ49" s="76"/>
      <c r="MPR49" s="76"/>
      <c r="MPS49" s="76"/>
      <c r="MPT49" s="76"/>
      <c r="MPU49" s="76"/>
      <c r="MPV49" s="76"/>
      <c r="MPW49" s="76"/>
      <c r="MPX49" s="76"/>
      <c r="MPY49" s="76"/>
      <c r="MPZ49" s="76"/>
      <c r="MQA49" s="76"/>
      <c r="MQB49" s="76"/>
      <c r="MQC49" s="76"/>
      <c r="MQD49" s="76"/>
      <c r="MQE49" s="76"/>
      <c r="MQF49" s="76"/>
      <c r="MQG49" s="76"/>
      <c r="MQH49" s="76"/>
      <c r="MQI49" s="76"/>
      <c r="MQJ49" s="76"/>
      <c r="MQK49" s="76"/>
      <c r="MQL49" s="76"/>
      <c r="MQM49" s="76"/>
      <c r="MQN49" s="76"/>
      <c r="MQO49" s="76"/>
      <c r="MQP49" s="76"/>
      <c r="MQQ49" s="76"/>
      <c r="MQR49" s="76"/>
      <c r="MQS49" s="76"/>
      <c r="MQT49" s="76"/>
      <c r="MQU49" s="76"/>
      <c r="MQV49" s="76"/>
      <c r="MQW49" s="76"/>
      <c r="MQX49" s="76"/>
      <c r="MQY49" s="76"/>
      <c r="MQZ49" s="76"/>
      <c r="MRA49" s="76"/>
      <c r="MRB49" s="76"/>
      <c r="MRC49" s="76"/>
      <c r="MRD49" s="76"/>
      <c r="MRE49" s="76"/>
      <c r="MRF49" s="76"/>
      <c r="MRG49" s="76"/>
      <c r="MRH49" s="76"/>
      <c r="MRI49" s="76"/>
      <c r="MRJ49" s="76"/>
      <c r="MRK49" s="76"/>
      <c r="MRL49" s="76"/>
      <c r="MRM49" s="76"/>
      <c r="MRN49" s="76"/>
      <c r="MRO49" s="76"/>
      <c r="MRP49" s="76"/>
      <c r="MRQ49" s="76"/>
      <c r="MRR49" s="76"/>
      <c r="MRS49" s="76"/>
      <c r="MRT49" s="76"/>
      <c r="MRU49" s="76"/>
      <c r="MRV49" s="76"/>
      <c r="MRW49" s="76"/>
      <c r="MRX49" s="76"/>
      <c r="MRY49" s="76"/>
      <c r="MRZ49" s="76"/>
      <c r="MSA49" s="76"/>
      <c r="MSB49" s="76"/>
      <c r="MSC49" s="76"/>
      <c r="MSD49" s="76"/>
      <c r="MSE49" s="76"/>
      <c r="MSF49" s="76"/>
      <c r="MSG49" s="76"/>
      <c r="MSH49" s="76"/>
      <c r="MSI49" s="76"/>
      <c r="MSJ49" s="76"/>
      <c r="MSK49" s="76"/>
      <c r="MSL49" s="76"/>
      <c r="MSM49" s="76"/>
      <c r="MSN49" s="76"/>
      <c r="MSO49" s="76"/>
      <c r="MSP49" s="76"/>
      <c r="MSQ49" s="76"/>
      <c r="MSR49" s="76"/>
      <c r="MSS49" s="76"/>
      <c r="MST49" s="76"/>
      <c r="MSU49" s="76"/>
      <c r="MSV49" s="76"/>
      <c r="MSW49" s="76"/>
      <c r="MSX49" s="76"/>
      <c r="MSY49" s="76"/>
      <c r="MSZ49" s="76"/>
      <c r="MTA49" s="76"/>
      <c r="MTB49" s="76"/>
      <c r="MTC49" s="76"/>
      <c r="MTD49" s="76"/>
      <c r="MTE49" s="76"/>
      <c r="MTF49" s="76"/>
      <c r="MTG49" s="76"/>
      <c r="MTH49" s="76"/>
      <c r="MTI49" s="76"/>
      <c r="MTJ49" s="76"/>
      <c r="MTK49" s="76"/>
      <c r="MTL49" s="76"/>
      <c r="MTM49" s="76"/>
      <c r="MTN49" s="76"/>
      <c r="MTO49" s="76"/>
      <c r="MTP49" s="76"/>
      <c r="MTQ49" s="76"/>
      <c r="MTR49" s="76"/>
      <c r="MTS49" s="76"/>
      <c r="MTT49" s="76"/>
      <c r="MTU49" s="76"/>
      <c r="MTV49" s="76"/>
      <c r="MTW49" s="76"/>
      <c r="MTX49" s="76"/>
      <c r="MTY49" s="76"/>
      <c r="MTZ49" s="76"/>
      <c r="MUA49" s="76"/>
      <c r="MUB49" s="76"/>
      <c r="MUC49" s="76"/>
      <c r="MUD49" s="76"/>
      <c r="MUE49" s="76"/>
      <c r="MUF49" s="76"/>
      <c r="MUG49" s="76"/>
      <c r="MUH49" s="76"/>
      <c r="MUI49" s="76"/>
      <c r="MUJ49" s="76"/>
      <c r="MUK49" s="76"/>
      <c r="MUL49" s="76"/>
      <c r="MUM49" s="76"/>
      <c r="MUN49" s="76"/>
      <c r="MUO49" s="76"/>
      <c r="MUP49" s="76"/>
      <c r="MUQ49" s="76"/>
      <c r="MUR49" s="76"/>
      <c r="MUS49" s="76"/>
      <c r="MUT49" s="76"/>
      <c r="MUU49" s="76"/>
      <c r="MUV49" s="76"/>
      <c r="MUW49" s="76"/>
      <c r="MUX49" s="76"/>
      <c r="MUY49" s="76"/>
      <c r="MUZ49" s="76"/>
      <c r="MVA49" s="76"/>
      <c r="MVB49" s="76"/>
      <c r="MVC49" s="76"/>
      <c r="MVD49" s="76"/>
      <c r="MVE49" s="76"/>
      <c r="MVF49" s="76"/>
      <c r="MVG49" s="76"/>
      <c r="MVH49" s="76"/>
      <c r="MVI49" s="76"/>
      <c r="MVJ49" s="76"/>
      <c r="MVK49" s="76"/>
      <c r="MVL49" s="76"/>
      <c r="MVM49" s="76"/>
      <c r="MVN49" s="76"/>
      <c r="MVO49" s="76"/>
      <c r="MVP49" s="76"/>
      <c r="MVQ49" s="76"/>
      <c r="MVR49" s="76"/>
      <c r="MVS49" s="76"/>
      <c r="MVT49" s="76"/>
      <c r="MVU49" s="76"/>
      <c r="MVV49" s="76"/>
      <c r="MVW49" s="76"/>
      <c r="MVX49" s="76"/>
      <c r="MVY49" s="76"/>
      <c r="MVZ49" s="76"/>
      <c r="MWA49" s="76"/>
      <c r="MWB49" s="76"/>
      <c r="MWC49" s="76"/>
      <c r="MWD49" s="76"/>
      <c r="MWE49" s="76"/>
      <c r="MWF49" s="76"/>
      <c r="MWG49" s="76"/>
      <c r="MWH49" s="76"/>
      <c r="MWI49" s="76"/>
      <c r="MWJ49" s="76"/>
      <c r="MWK49" s="76"/>
      <c r="MWL49" s="76"/>
      <c r="MWM49" s="76"/>
      <c r="MWN49" s="76"/>
      <c r="MWO49" s="76"/>
      <c r="MWP49" s="76"/>
      <c r="MWQ49" s="76"/>
      <c r="MWR49" s="76"/>
      <c r="MWS49" s="76"/>
      <c r="MWT49" s="76"/>
      <c r="MWU49" s="76"/>
      <c r="MWV49" s="76"/>
      <c r="MWW49" s="76"/>
      <c r="MWX49" s="76"/>
      <c r="MWY49" s="76"/>
      <c r="MWZ49" s="76"/>
      <c r="MXA49" s="76"/>
      <c r="MXB49" s="76"/>
      <c r="MXC49" s="76"/>
      <c r="MXD49" s="76"/>
      <c r="MXE49" s="76"/>
      <c r="MXF49" s="76"/>
      <c r="MXG49" s="76"/>
      <c r="MXH49" s="76"/>
      <c r="MXI49" s="76"/>
      <c r="MXJ49" s="76"/>
      <c r="MXK49" s="76"/>
      <c r="MXL49" s="76"/>
      <c r="MXM49" s="76"/>
      <c r="MXN49" s="76"/>
      <c r="MXO49" s="76"/>
      <c r="MXP49" s="76"/>
      <c r="MXQ49" s="76"/>
      <c r="MXR49" s="76"/>
      <c r="MXS49" s="76"/>
      <c r="MXT49" s="76"/>
      <c r="MXU49" s="76"/>
      <c r="MXV49" s="76"/>
      <c r="MXW49" s="76"/>
      <c r="MXX49" s="76"/>
      <c r="MXY49" s="76"/>
      <c r="MXZ49" s="76"/>
      <c r="MYA49" s="76"/>
      <c r="MYB49" s="76"/>
      <c r="MYC49" s="76"/>
      <c r="MYD49" s="76"/>
      <c r="MYE49" s="76"/>
      <c r="MYF49" s="76"/>
      <c r="MYG49" s="76"/>
      <c r="MYH49" s="76"/>
      <c r="MYI49" s="76"/>
      <c r="MYJ49" s="76"/>
      <c r="MYK49" s="76"/>
      <c r="MYL49" s="76"/>
      <c r="MYM49" s="76"/>
      <c r="MYN49" s="76"/>
      <c r="MYO49" s="76"/>
      <c r="MYP49" s="76"/>
      <c r="MYQ49" s="76"/>
      <c r="MYR49" s="76"/>
      <c r="MYS49" s="76"/>
      <c r="MYT49" s="76"/>
      <c r="MYU49" s="76"/>
      <c r="MYV49" s="76"/>
      <c r="MYW49" s="76"/>
      <c r="MYX49" s="76"/>
      <c r="MYY49" s="76"/>
      <c r="MYZ49" s="76"/>
      <c r="MZA49" s="76"/>
      <c r="MZB49" s="76"/>
      <c r="MZC49" s="76"/>
      <c r="MZD49" s="76"/>
      <c r="MZE49" s="76"/>
      <c r="MZF49" s="76"/>
      <c r="MZG49" s="76"/>
      <c r="MZH49" s="76"/>
      <c r="MZI49" s="76"/>
      <c r="MZJ49" s="76"/>
      <c r="MZK49" s="76"/>
      <c r="MZL49" s="76"/>
      <c r="MZM49" s="76"/>
      <c r="MZN49" s="76"/>
      <c r="MZO49" s="76"/>
      <c r="MZP49" s="76"/>
      <c r="MZQ49" s="76"/>
      <c r="MZR49" s="76"/>
      <c r="MZS49" s="76"/>
      <c r="MZT49" s="76"/>
      <c r="MZU49" s="76"/>
      <c r="MZV49" s="76"/>
      <c r="MZW49" s="76"/>
      <c r="MZX49" s="76"/>
      <c r="MZY49" s="76"/>
      <c r="MZZ49" s="76"/>
      <c r="NAA49" s="76"/>
      <c r="NAB49" s="76"/>
      <c r="NAC49" s="76"/>
      <c r="NAD49" s="76"/>
      <c r="NAE49" s="76"/>
      <c r="NAF49" s="76"/>
      <c r="NAG49" s="76"/>
      <c r="NAH49" s="76"/>
      <c r="NAI49" s="76"/>
      <c r="NAJ49" s="76"/>
      <c r="NAK49" s="76"/>
      <c r="NAL49" s="76"/>
      <c r="NAM49" s="76"/>
      <c r="NAN49" s="76"/>
      <c r="NAO49" s="76"/>
      <c r="NAP49" s="76"/>
      <c r="NAQ49" s="76"/>
      <c r="NAR49" s="76"/>
      <c r="NAS49" s="76"/>
      <c r="NAT49" s="76"/>
      <c r="NAU49" s="76"/>
      <c r="NAV49" s="76"/>
      <c r="NAW49" s="76"/>
      <c r="NAX49" s="76"/>
      <c r="NAY49" s="76"/>
      <c r="NAZ49" s="76"/>
      <c r="NBA49" s="76"/>
      <c r="NBB49" s="76"/>
      <c r="NBC49" s="76"/>
      <c r="NBD49" s="76"/>
      <c r="NBE49" s="76"/>
      <c r="NBF49" s="76"/>
      <c r="NBG49" s="76"/>
      <c r="NBH49" s="76"/>
      <c r="NBI49" s="76"/>
      <c r="NBJ49" s="76"/>
      <c r="NBK49" s="76"/>
      <c r="NBL49" s="76"/>
      <c r="NBM49" s="76"/>
      <c r="NBN49" s="76"/>
      <c r="NBO49" s="76"/>
      <c r="NBP49" s="76"/>
      <c r="NBQ49" s="76"/>
      <c r="NBR49" s="76"/>
      <c r="NBS49" s="76"/>
      <c r="NBT49" s="76"/>
      <c r="NBU49" s="76"/>
      <c r="NBV49" s="76"/>
      <c r="NBW49" s="76"/>
      <c r="NBX49" s="76"/>
      <c r="NBY49" s="76"/>
      <c r="NBZ49" s="76"/>
      <c r="NCA49" s="76"/>
      <c r="NCB49" s="76"/>
      <c r="NCC49" s="76"/>
      <c r="NCD49" s="76"/>
      <c r="NCE49" s="76"/>
      <c r="NCF49" s="76"/>
      <c r="NCG49" s="76"/>
      <c r="NCH49" s="76"/>
      <c r="NCI49" s="76"/>
      <c r="NCJ49" s="76"/>
      <c r="NCK49" s="76"/>
      <c r="NCL49" s="76"/>
      <c r="NCM49" s="76"/>
      <c r="NCN49" s="76"/>
      <c r="NCO49" s="76"/>
      <c r="NCP49" s="76"/>
      <c r="NCQ49" s="76"/>
      <c r="NCR49" s="76"/>
      <c r="NCS49" s="76"/>
      <c r="NCT49" s="76"/>
      <c r="NCU49" s="76"/>
      <c r="NCV49" s="76"/>
      <c r="NCW49" s="76"/>
      <c r="NCX49" s="76"/>
      <c r="NCY49" s="76"/>
      <c r="NCZ49" s="76"/>
      <c r="NDA49" s="76"/>
      <c r="NDB49" s="76"/>
      <c r="NDC49" s="76"/>
      <c r="NDD49" s="76"/>
      <c r="NDE49" s="76"/>
      <c r="NDF49" s="76"/>
      <c r="NDG49" s="76"/>
      <c r="NDH49" s="76"/>
      <c r="NDI49" s="76"/>
      <c r="NDJ49" s="76"/>
      <c r="NDK49" s="76"/>
      <c r="NDL49" s="76"/>
      <c r="NDM49" s="76"/>
      <c r="NDN49" s="76"/>
      <c r="NDO49" s="76"/>
      <c r="NDP49" s="76"/>
      <c r="NDQ49" s="76"/>
      <c r="NDR49" s="76"/>
      <c r="NDS49" s="76"/>
      <c r="NDT49" s="76"/>
      <c r="NDU49" s="76"/>
      <c r="NDV49" s="76"/>
      <c r="NDW49" s="76"/>
      <c r="NDX49" s="76"/>
      <c r="NDY49" s="76"/>
      <c r="NDZ49" s="76"/>
      <c r="NEA49" s="76"/>
      <c r="NEB49" s="76"/>
      <c r="NEC49" s="76"/>
      <c r="NED49" s="76"/>
      <c r="NEE49" s="76"/>
      <c r="NEF49" s="76"/>
      <c r="NEG49" s="76"/>
      <c r="NEH49" s="76"/>
      <c r="NEI49" s="76"/>
      <c r="NEJ49" s="76"/>
      <c r="NEK49" s="76"/>
      <c r="NEL49" s="76"/>
      <c r="NEM49" s="76"/>
      <c r="NEN49" s="76"/>
      <c r="NEO49" s="76"/>
      <c r="NEP49" s="76"/>
      <c r="NEQ49" s="76"/>
      <c r="NER49" s="76"/>
      <c r="NES49" s="76"/>
      <c r="NET49" s="76"/>
      <c r="NEU49" s="76"/>
      <c r="NEV49" s="76"/>
      <c r="NEW49" s="76"/>
      <c r="NEX49" s="76"/>
      <c r="NEY49" s="76"/>
      <c r="NEZ49" s="76"/>
      <c r="NFA49" s="76"/>
      <c r="NFB49" s="76"/>
      <c r="NFC49" s="76"/>
      <c r="NFD49" s="76"/>
      <c r="NFE49" s="76"/>
      <c r="NFF49" s="76"/>
      <c r="NFG49" s="76"/>
      <c r="NFH49" s="76"/>
      <c r="NFI49" s="76"/>
      <c r="NFJ49" s="76"/>
      <c r="NFK49" s="76"/>
      <c r="NFL49" s="76"/>
      <c r="NFM49" s="76"/>
      <c r="NFN49" s="76"/>
      <c r="NFO49" s="76"/>
      <c r="NFP49" s="76"/>
      <c r="NFQ49" s="76"/>
      <c r="NFR49" s="76"/>
      <c r="NFS49" s="76"/>
      <c r="NFT49" s="76"/>
      <c r="NFU49" s="76"/>
      <c r="NFV49" s="76"/>
      <c r="NFW49" s="76"/>
      <c r="NFX49" s="76"/>
      <c r="NFY49" s="76"/>
      <c r="NFZ49" s="76"/>
      <c r="NGA49" s="76"/>
      <c r="NGB49" s="76"/>
      <c r="NGC49" s="76"/>
      <c r="NGD49" s="76"/>
      <c r="NGE49" s="76"/>
      <c r="NGF49" s="76"/>
      <c r="NGG49" s="76"/>
      <c r="NGH49" s="76"/>
      <c r="NGI49" s="76"/>
      <c r="NGJ49" s="76"/>
      <c r="NGK49" s="76"/>
      <c r="NGL49" s="76"/>
      <c r="NGM49" s="76"/>
      <c r="NGN49" s="76"/>
      <c r="NGO49" s="76"/>
      <c r="NGP49" s="76"/>
      <c r="NGQ49" s="76"/>
      <c r="NGR49" s="76"/>
      <c r="NGS49" s="76"/>
      <c r="NGT49" s="76"/>
      <c r="NGU49" s="76"/>
      <c r="NGV49" s="76"/>
      <c r="NGW49" s="76"/>
      <c r="NGX49" s="76"/>
      <c r="NGY49" s="76"/>
      <c r="NGZ49" s="76"/>
      <c r="NHA49" s="76"/>
      <c r="NHB49" s="76"/>
      <c r="NHC49" s="76"/>
      <c r="NHD49" s="76"/>
      <c r="NHE49" s="76"/>
      <c r="NHF49" s="76"/>
      <c r="NHG49" s="76"/>
      <c r="NHH49" s="76"/>
      <c r="NHI49" s="76"/>
      <c r="NHJ49" s="76"/>
      <c r="NHK49" s="76"/>
      <c r="NHL49" s="76"/>
      <c r="NHM49" s="76"/>
      <c r="NHN49" s="76"/>
      <c r="NHO49" s="76"/>
      <c r="NHP49" s="76"/>
      <c r="NHQ49" s="76"/>
      <c r="NHR49" s="76"/>
      <c r="NHS49" s="76"/>
      <c r="NHT49" s="76"/>
      <c r="NHU49" s="76"/>
      <c r="NHV49" s="76"/>
      <c r="NHW49" s="76"/>
      <c r="NHX49" s="76"/>
      <c r="NHY49" s="76"/>
      <c r="NHZ49" s="76"/>
      <c r="NIA49" s="76"/>
      <c r="NIB49" s="76"/>
      <c r="NIC49" s="76"/>
      <c r="NID49" s="76"/>
      <c r="NIE49" s="76"/>
      <c r="NIF49" s="76"/>
      <c r="NIG49" s="76"/>
      <c r="NIH49" s="76"/>
      <c r="NII49" s="76"/>
      <c r="NIJ49" s="76"/>
      <c r="NIK49" s="76"/>
      <c r="NIL49" s="76"/>
      <c r="NIM49" s="76"/>
      <c r="NIN49" s="76"/>
      <c r="NIO49" s="76"/>
      <c r="NIP49" s="76"/>
      <c r="NIQ49" s="76"/>
      <c r="NIR49" s="76"/>
      <c r="NIS49" s="76"/>
      <c r="NIT49" s="76"/>
      <c r="NIU49" s="76"/>
      <c r="NIV49" s="76"/>
      <c r="NIW49" s="76"/>
      <c r="NIX49" s="76"/>
      <c r="NIY49" s="76"/>
      <c r="NIZ49" s="76"/>
      <c r="NJA49" s="76"/>
      <c r="NJB49" s="76"/>
      <c r="NJC49" s="76"/>
      <c r="NJD49" s="76"/>
      <c r="NJE49" s="76"/>
      <c r="NJF49" s="76"/>
      <c r="NJG49" s="76"/>
      <c r="NJH49" s="76"/>
      <c r="NJI49" s="76"/>
      <c r="NJJ49" s="76"/>
      <c r="NJK49" s="76"/>
      <c r="NJL49" s="76"/>
      <c r="NJM49" s="76"/>
      <c r="NJN49" s="76"/>
      <c r="NJO49" s="76"/>
      <c r="NJP49" s="76"/>
      <c r="NJQ49" s="76"/>
      <c r="NJR49" s="76"/>
      <c r="NJS49" s="76"/>
      <c r="NJT49" s="76"/>
      <c r="NJU49" s="76"/>
      <c r="NJV49" s="76"/>
      <c r="NJW49" s="76"/>
      <c r="NJX49" s="76"/>
      <c r="NJY49" s="76"/>
      <c r="NJZ49" s="76"/>
      <c r="NKA49" s="76"/>
      <c r="NKB49" s="76"/>
      <c r="NKC49" s="76"/>
      <c r="NKD49" s="76"/>
      <c r="NKE49" s="76"/>
      <c r="NKF49" s="76"/>
      <c r="NKG49" s="76"/>
      <c r="NKH49" s="76"/>
      <c r="NKI49" s="76"/>
      <c r="NKJ49" s="76"/>
      <c r="NKK49" s="76"/>
      <c r="NKL49" s="76"/>
      <c r="NKM49" s="76"/>
      <c r="NKN49" s="76"/>
      <c r="NKO49" s="76"/>
      <c r="NKP49" s="76"/>
      <c r="NKQ49" s="76"/>
      <c r="NKR49" s="76"/>
      <c r="NKS49" s="76"/>
      <c r="NKT49" s="76"/>
      <c r="NKU49" s="76"/>
      <c r="NKV49" s="76"/>
      <c r="NKW49" s="76"/>
      <c r="NKX49" s="76"/>
      <c r="NKY49" s="76"/>
      <c r="NKZ49" s="76"/>
      <c r="NLA49" s="76"/>
      <c r="NLB49" s="76"/>
      <c r="NLC49" s="76"/>
      <c r="NLD49" s="76"/>
      <c r="NLE49" s="76"/>
      <c r="NLF49" s="76"/>
      <c r="NLG49" s="76"/>
      <c r="NLH49" s="76"/>
      <c r="NLI49" s="76"/>
      <c r="NLJ49" s="76"/>
      <c r="NLK49" s="76"/>
      <c r="NLL49" s="76"/>
      <c r="NLM49" s="76"/>
      <c r="NLN49" s="76"/>
      <c r="NLO49" s="76"/>
      <c r="NLP49" s="76"/>
      <c r="NLQ49" s="76"/>
      <c r="NLR49" s="76"/>
      <c r="NLS49" s="76"/>
      <c r="NLT49" s="76"/>
      <c r="NLU49" s="76"/>
      <c r="NLV49" s="76"/>
      <c r="NLW49" s="76"/>
      <c r="NLX49" s="76"/>
      <c r="NLY49" s="76"/>
      <c r="NLZ49" s="76"/>
      <c r="NMA49" s="76"/>
      <c r="NMB49" s="76"/>
      <c r="NMC49" s="76"/>
      <c r="NMD49" s="76"/>
      <c r="NME49" s="76"/>
      <c r="NMF49" s="76"/>
      <c r="NMG49" s="76"/>
      <c r="NMH49" s="76"/>
      <c r="NMI49" s="76"/>
      <c r="NMJ49" s="76"/>
      <c r="NMK49" s="76"/>
      <c r="NML49" s="76"/>
      <c r="NMM49" s="76"/>
      <c r="NMN49" s="76"/>
      <c r="NMO49" s="76"/>
      <c r="NMP49" s="76"/>
      <c r="NMQ49" s="76"/>
      <c r="NMR49" s="76"/>
      <c r="NMS49" s="76"/>
      <c r="NMT49" s="76"/>
      <c r="NMU49" s="76"/>
      <c r="NMV49" s="76"/>
      <c r="NMW49" s="76"/>
      <c r="NMX49" s="76"/>
      <c r="NMY49" s="76"/>
      <c r="NMZ49" s="76"/>
      <c r="NNA49" s="76"/>
      <c r="NNB49" s="76"/>
      <c r="NNC49" s="76"/>
      <c r="NND49" s="76"/>
      <c r="NNE49" s="76"/>
      <c r="NNF49" s="76"/>
      <c r="NNG49" s="76"/>
      <c r="NNH49" s="76"/>
      <c r="NNI49" s="76"/>
      <c r="NNJ49" s="76"/>
      <c r="NNK49" s="76"/>
      <c r="NNL49" s="76"/>
      <c r="NNM49" s="76"/>
      <c r="NNN49" s="76"/>
      <c r="NNO49" s="76"/>
      <c r="NNP49" s="76"/>
      <c r="NNQ49" s="76"/>
      <c r="NNR49" s="76"/>
      <c r="NNS49" s="76"/>
      <c r="NNT49" s="76"/>
      <c r="NNU49" s="76"/>
      <c r="NNV49" s="76"/>
      <c r="NNW49" s="76"/>
      <c r="NNX49" s="76"/>
      <c r="NNY49" s="76"/>
      <c r="NNZ49" s="76"/>
      <c r="NOA49" s="76"/>
      <c r="NOB49" s="76"/>
      <c r="NOC49" s="76"/>
      <c r="NOD49" s="76"/>
      <c r="NOE49" s="76"/>
      <c r="NOF49" s="76"/>
      <c r="NOG49" s="76"/>
      <c r="NOH49" s="76"/>
      <c r="NOI49" s="76"/>
      <c r="NOJ49" s="76"/>
      <c r="NOK49" s="76"/>
      <c r="NOL49" s="76"/>
      <c r="NOM49" s="76"/>
      <c r="NON49" s="76"/>
      <c r="NOO49" s="76"/>
      <c r="NOP49" s="76"/>
      <c r="NOQ49" s="76"/>
      <c r="NOR49" s="76"/>
      <c r="NOS49" s="76"/>
      <c r="NOT49" s="76"/>
      <c r="NOU49" s="76"/>
      <c r="NOV49" s="76"/>
      <c r="NOW49" s="76"/>
      <c r="NOX49" s="76"/>
      <c r="NOY49" s="76"/>
      <c r="NOZ49" s="76"/>
      <c r="NPA49" s="76"/>
      <c r="NPB49" s="76"/>
      <c r="NPC49" s="76"/>
      <c r="NPD49" s="76"/>
      <c r="NPE49" s="76"/>
      <c r="NPF49" s="76"/>
      <c r="NPG49" s="76"/>
      <c r="NPH49" s="76"/>
      <c r="NPI49" s="76"/>
      <c r="NPJ49" s="76"/>
      <c r="NPK49" s="76"/>
      <c r="NPL49" s="76"/>
      <c r="NPM49" s="76"/>
      <c r="NPN49" s="76"/>
      <c r="NPO49" s="76"/>
      <c r="NPP49" s="76"/>
      <c r="NPQ49" s="76"/>
      <c r="NPR49" s="76"/>
      <c r="NPS49" s="76"/>
      <c r="NPT49" s="76"/>
      <c r="NPU49" s="76"/>
      <c r="NPV49" s="76"/>
      <c r="NPW49" s="76"/>
      <c r="NPX49" s="76"/>
      <c r="NPY49" s="76"/>
      <c r="NPZ49" s="76"/>
      <c r="NQA49" s="76"/>
      <c r="NQB49" s="76"/>
      <c r="NQC49" s="76"/>
      <c r="NQD49" s="76"/>
      <c r="NQE49" s="76"/>
      <c r="NQF49" s="76"/>
      <c r="NQG49" s="76"/>
      <c r="NQH49" s="76"/>
      <c r="NQI49" s="76"/>
      <c r="NQJ49" s="76"/>
      <c r="NQK49" s="76"/>
      <c r="NQL49" s="76"/>
      <c r="NQM49" s="76"/>
      <c r="NQN49" s="76"/>
      <c r="NQO49" s="76"/>
      <c r="NQP49" s="76"/>
      <c r="NQQ49" s="76"/>
      <c r="NQR49" s="76"/>
      <c r="NQS49" s="76"/>
      <c r="NQT49" s="76"/>
      <c r="NQU49" s="76"/>
      <c r="NQV49" s="76"/>
      <c r="NQW49" s="76"/>
      <c r="NQX49" s="76"/>
      <c r="NQY49" s="76"/>
      <c r="NQZ49" s="76"/>
      <c r="NRA49" s="76"/>
      <c r="NRB49" s="76"/>
      <c r="NRC49" s="76"/>
      <c r="NRD49" s="76"/>
      <c r="NRE49" s="76"/>
      <c r="NRF49" s="76"/>
      <c r="NRG49" s="76"/>
      <c r="NRH49" s="76"/>
      <c r="NRI49" s="76"/>
      <c r="NRJ49" s="76"/>
      <c r="NRK49" s="76"/>
      <c r="NRL49" s="76"/>
      <c r="NRM49" s="76"/>
      <c r="NRN49" s="76"/>
      <c r="NRO49" s="76"/>
      <c r="NRP49" s="76"/>
      <c r="NRQ49" s="76"/>
      <c r="NRR49" s="76"/>
      <c r="NRS49" s="76"/>
      <c r="NRT49" s="76"/>
      <c r="NRU49" s="76"/>
      <c r="NRV49" s="76"/>
      <c r="NRW49" s="76"/>
      <c r="NRX49" s="76"/>
      <c r="NRY49" s="76"/>
      <c r="NRZ49" s="76"/>
      <c r="NSA49" s="76"/>
      <c r="NSB49" s="76"/>
      <c r="NSC49" s="76"/>
      <c r="NSD49" s="76"/>
      <c r="NSE49" s="76"/>
      <c r="NSF49" s="76"/>
      <c r="NSG49" s="76"/>
      <c r="NSH49" s="76"/>
      <c r="NSI49" s="76"/>
      <c r="NSJ49" s="76"/>
      <c r="NSK49" s="76"/>
      <c r="NSL49" s="76"/>
      <c r="NSM49" s="76"/>
      <c r="NSN49" s="76"/>
      <c r="NSO49" s="76"/>
      <c r="NSP49" s="76"/>
      <c r="NSQ49" s="76"/>
      <c r="NSR49" s="76"/>
      <c r="NSS49" s="76"/>
      <c r="NST49" s="76"/>
      <c r="NSU49" s="76"/>
      <c r="NSV49" s="76"/>
      <c r="NSW49" s="76"/>
      <c r="NSX49" s="76"/>
      <c r="NSY49" s="76"/>
      <c r="NSZ49" s="76"/>
      <c r="NTA49" s="76"/>
      <c r="NTB49" s="76"/>
      <c r="NTC49" s="76"/>
      <c r="NTD49" s="76"/>
      <c r="NTE49" s="76"/>
      <c r="NTF49" s="76"/>
      <c r="NTG49" s="76"/>
      <c r="NTH49" s="76"/>
      <c r="NTI49" s="76"/>
      <c r="NTJ49" s="76"/>
      <c r="NTK49" s="76"/>
      <c r="NTL49" s="76"/>
      <c r="NTM49" s="76"/>
      <c r="NTN49" s="76"/>
      <c r="NTO49" s="76"/>
      <c r="NTP49" s="76"/>
      <c r="NTQ49" s="76"/>
      <c r="NTR49" s="76"/>
      <c r="NTS49" s="76"/>
      <c r="NTT49" s="76"/>
      <c r="NTU49" s="76"/>
      <c r="NTV49" s="76"/>
      <c r="NTW49" s="76"/>
      <c r="NTX49" s="76"/>
      <c r="NTY49" s="76"/>
      <c r="NTZ49" s="76"/>
      <c r="NUA49" s="76"/>
      <c r="NUB49" s="76"/>
      <c r="NUC49" s="76"/>
      <c r="NUD49" s="76"/>
      <c r="NUE49" s="76"/>
      <c r="NUF49" s="76"/>
      <c r="NUG49" s="76"/>
      <c r="NUH49" s="76"/>
      <c r="NUI49" s="76"/>
      <c r="NUJ49" s="76"/>
      <c r="NUK49" s="76"/>
      <c r="NUL49" s="76"/>
      <c r="NUM49" s="76"/>
      <c r="NUN49" s="76"/>
      <c r="NUO49" s="76"/>
      <c r="NUP49" s="76"/>
      <c r="NUQ49" s="76"/>
      <c r="NUR49" s="76"/>
      <c r="NUS49" s="76"/>
      <c r="NUT49" s="76"/>
      <c r="NUU49" s="76"/>
      <c r="NUV49" s="76"/>
      <c r="NUW49" s="76"/>
      <c r="NUX49" s="76"/>
      <c r="NUY49" s="76"/>
      <c r="NUZ49" s="76"/>
      <c r="NVA49" s="76"/>
      <c r="NVB49" s="76"/>
      <c r="NVC49" s="76"/>
      <c r="NVD49" s="76"/>
      <c r="NVE49" s="76"/>
      <c r="NVF49" s="76"/>
      <c r="NVG49" s="76"/>
      <c r="NVH49" s="76"/>
      <c r="NVI49" s="76"/>
      <c r="NVJ49" s="76"/>
      <c r="NVK49" s="76"/>
      <c r="NVL49" s="76"/>
      <c r="NVM49" s="76"/>
      <c r="NVN49" s="76"/>
      <c r="NVO49" s="76"/>
      <c r="NVP49" s="76"/>
      <c r="NVQ49" s="76"/>
      <c r="NVR49" s="76"/>
      <c r="NVS49" s="76"/>
      <c r="NVT49" s="76"/>
      <c r="NVU49" s="76"/>
      <c r="NVV49" s="76"/>
      <c r="NVW49" s="76"/>
      <c r="NVX49" s="76"/>
      <c r="NVY49" s="76"/>
      <c r="NVZ49" s="76"/>
      <c r="NWA49" s="76"/>
      <c r="NWB49" s="76"/>
      <c r="NWC49" s="76"/>
      <c r="NWD49" s="76"/>
      <c r="NWE49" s="76"/>
      <c r="NWF49" s="76"/>
      <c r="NWG49" s="76"/>
      <c r="NWH49" s="76"/>
      <c r="NWI49" s="76"/>
      <c r="NWJ49" s="76"/>
      <c r="NWK49" s="76"/>
      <c r="NWL49" s="76"/>
      <c r="NWM49" s="76"/>
      <c r="NWN49" s="76"/>
      <c r="NWO49" s="76"/>
      <c r="NWP49" s="76"/>
      <c r="NWQ49" s="76"/>
      <c r="NWR49" s="76"/>
      <c r="NWS49" s="76"/>
      <c r="NWT49" s="76"/>
      <c r="NWU49" s="76"/>
      <c r="NWV49" s="76"/>
      <c r="NWW49" s="76"/>
      <c r="NWX49" s="76"/>
      <c r="NWY49" s="76"/>
      <c r="NWZ49" s="76"/>
      <c r="NXA49" s="76"/>
      <c r="NXB49" s="76"/>
      <c r="NXC49" s="76"/>
      <c r="NXD49" s="76"/>
      <c r="NXE49" s="76"/>
      <c r="NXF49" s="76"/>
      <c r="NXG49" s="76"/>
      <c r="NXH49" s="76"/>
      <c r="NXI49" s="76"/>
      <c r="NXJ49" s="76"/>
      <c r="NXK49" s="76"/>
      <c r="NXL49" s="76"/>
      <c r="NXM49" s="76"/>
      <c r="NXN49" s="76"/>
      <c r="NXO49" s="76"/>
      <c r="NXP49" s="76"/>
      <c r="NXQ49" s="76"/>
      <c r="NXR49" s="76"/>
      <c r="NXS49" s="76"/>
      <c r="NXT49" s="76"/>
      <c r="NXU49" s="76"/>
      <c r="NXV49" s="76"/>
      <c r="NXW49" s="76"/>
      <c r="NXX49" s="76"/>
      <c r="NXY49" s="76"/>
      <c r="NXZ49" s="76"/>
      <c r="NYA49" s="76"/>
      <c r="NYB49" s="76"/>
      <c r="NYC49" s="76"/>
      <c r="NYD49" s="76"/>
      <c r="NYE49" s="76"/>
      <c r="NYF49" s="76"/>
      <c r="NYG49" s="76"/>
      <c r="NYH49" s="76"/>
      <c r="NYI49" s="76"/>
      <c r="NYJ49" s="76"/>
      <c r="NYK49" s="76"/>
      <c r="NYL49" s="76"/>
      <c r="NYM49" s="76"/>
      <c r="NYN49" s="76"/>
      <c r="NYO49" s="76"/>
      <c r="NYP49" s="76"/>
      <c r="NYQ49" s="76"/>
      <c r="NYR49" s="76"/>
      <c r="NYS49" s="76"/>
      <c r="NYT49" s="76"/>
      <c r="NYU49" s="76"/>
      <c r="NYV49" s="76"/>
      <c r="NYW49" s="76"/>
      <c r="NYX49" s="76"/>
      <c r="NYY49" s="76"/>
      <c r="NYZ49" s="76"/>
      <c r="NZA49" s="76"/>
      <c r="NZB49" s="76"/>
      <c r="NZC49" s="76"/>
      <c r="NZD49" s="76"/>
      <c r="NZE49" s="76"/>
      <c r="NZF49" s="76"/>
      <c r="NZG49" s="76"/>
      <c r="NZH49" s="76"/>
      <c r="NZI49" s="76"/>
      <c r="NZJ49" s="76"/>
      <c r="NZK49" s="76"/>
      <c r="NZL49" s="76"/>
      <c r="NZM49" s="76"/>
      <c r="NZN49" s="76"/>
      <c r="NZO49" s="76"/>
      <c r="NZP49" s="76"/>
      <c r="NZQ49" s="76"/>
      <c r="NZR49" s="76"/>
      <c r="NZS49" s="76"/>
      <c r="NZT49" s="76"/>
      <c r="NZU49" s="76"/>
      <c r="NZV49" s="76"/>
      <c r="NZW49" s="76"/>
      <c r="NZX49" s="76"/>
      <c r="NZY49" s="76"/>
      <c r="NZZ49" s="76"/>
      <c r="OAA49" s="76"/>
      <c r="OAB49" s="76"/>
      <c r="OAC49" s="76"/>
      <c r="OAD49" s="76"/>
      <c r="OAE49" s="76"/>
      <c r="OAF49" s="76"/>
      <c r="OAG49" s="76"/>
      <c r="OAH49" s="76"/>
      <c r="OAI49" s="76"/>
      <c r="OAJ49" s="76"/>
      <c r="OAK49" s="76"/>
      <c r="OAL49" s="76"/>
      <c r="OAM49" s="76"/>
      <c r="OAN49" s="76"/>
      <c r="OAO49" s="76"/>
      <c r="OAP49" s="76"/>
      <c r="OAQ49" s="76"/>
      <c r="OAR49" s="76"/>
      <c r="OAS49" s="76"/>
      <c r="OAT49" s="76"/>
      <c r="OAU49" s="76"/>
      <c r="OAV49" s="76"/>
      <c r="OAW49" s="76"/>
      <c r="OAX49" s="76"/>
      <c r="OAY49" s="76"/>
      <c r="OAZ49" s="76"/>
      <c r="OBA49" s="76"/>
      <c r="OBB49" s="76"/>
      <c r="OBC49" s="76"/>
      <c r="OBD49" s="76"/>
      <c r="OBE49" s="76"/>
      <c r="OBF49" s="76"/>
      <c r="OBG49" s="76"/>
      <c r="OBH49" s="76"/>
      <c r="OBI49" s="76"/>
      <c r="OBJ49" s="76"/>
      <c r="OBK49" s="76"/>
      <c r="OBL49" s="76"/>
      <c r="OBM49" s="76"/>
      <c r="OBN49" s="76"/>
      <c r="OBO49" s="76"/>
      <c r="OBP49" s="76"/>
      <c r="OBQ49" s="76"/>
      <c r="OBR49" s="76"/>
      <c r="OBS49" s="76"/>
      <c r="OBT49" s="76"/>
      <c r="OBU49" s="76"/>
      <c r="OBV49" s="76"/>
      <c r="OBW49" s="76"/>
      <c r="OBX49" s="76"/>
      <c r="OBY49" s="76"/>
      <c r="OBZ49" s="76"/>
      <c r="OCA49" s="76"/>
      <c r="OCB49" s="76"/>
      <c r="OCC49" s="76"/>
      <c r="OCD49" s="76"/>
      <c r="OCE49" s="76"/>
      <c r="OCF49" s="76"/>
      <c r="OCG49" s="76"/>
      <c r="OCH49" s="76"/>
      <c r="OCI49" s="76"/>
      <c r="OCJ49" s="76"/>
      <c r="OCK49" s="76"/>
      <c r="OCL49" s="76"/>
      <c r="OCM49" s="76"/>
      <c r="OCN49" s="76"/>
      <c r="OCO49" s="76"/>
      <c r="OCP49" s="76"/>
      <c r="OCQ49" s="76"/>
      <c r="OCR49" s="76"/>
      <c r="OCS49" s="76"/>
      <c r="OCT49" s="76"/>
      <c r="OCU49" s="76"/>
      <c r="OCV49" s="76"/>
      <c r="OCW49" s="76"/>
      <c r="OCX49" s="76"/>
      <c r="OCY49" s="76"/>
      <c r="OCZ49" s="76"/>
      <c r="ODA49" s="76"/>
      <c r="ODB49" s="76"/>
      <c r="ODC49" s="76"/>
      <c r="ODD49" s="76"/>
      <c r="ODE49" s="76"/>
      <c r="ODF49" s="76"/>
      <c r="ODG49" s="76"/>
      <c r="ODH49" s="76"/>
      <c r="ODI49" s="76"/>
      <c r="ODJ49" s="76"/>
      <c r="ODK49" s="76"/>
      <c r="ODL49" s="76"/>
      <c r="ODM49" s="76"/>
      <c r="ODN49" s="76"/>
      <c r="ODO49" s="76"/>
      <c r="ODP49" s="76"/>
      <c r="ODQ49" s="76"/>
      <c r="ODR49" s="76"/>
      <c r="ODS49" s="76"/>
      <c r="ODT49" s="76"/>
      <c r="ODU49" s="76"/>
      <c r="ODV49" s="76"/>
      <c r="ODW49" s="76"/>
      <c r="ODX49" s="76"/>
      <c r="ODY49" s="76"/>
      <c r="ODZ49" s="76"/>
      <c r="OEA49" s="76"/>
      <c r="OEB49" s="76"/>
      <c r="OEC49" s="76"/>
      <c r="OED49" s="76"/>
      <c r="OEE49" s="76"/>
      <c r="OEF49" s="76"/>
      <c r="OEG49" s="76"/>
      <c r="OEH49" s="76"/>
      <c r="OEI49" s="76"/>
      <c r="OEJ49" s="76"/>
      <c r="OEK49" s="76"/>
      <c r="OEL49" s="76"/>
      <c r="OEM49" s="76"/>
      <c r="OEN49" s="76"/>
      <c r="OEO49" s="76"/>
      <c r="OEP49" s="76"/>
      <c r="OEQ49" s="76"/>
      <c r="OER49" s="76"/>
      <c r="OES49" s="76"/>
      <c r="OET49" s="76"/>
      <c r="OEU49" s="76"/>
      <c r="OEV49" s="76"/>
      <c r="OEW49" s="76"/>
      <c r="OEX49" s="76"/>
      <c r="OEY49" s="76"/>
      <c r="OEZ49" s="76"/>
      <c r="OFA49" s="76"/>
      <c r="OFB49" s="76"/>
      <c r="OFC49" s="76"/>
      <c r="OFD49" s="76"/>
      <c r="OFE49" s="76"/>
      <c r="OFF49" s="76"/>
      <c r="OFG49" s="76"/>
      <c r="OFH49" s="76"/>
      <c r="OFI49" s="76"/>
      <c r="OFJ49" s="76"/>
      <c r="OFK49" s="76"/>
      <c r="OFL49" s="76"/>
      <c r="OFM49" s="76"/>
      <c r="OFN49" s="76"/>
      <c r="OFO49" s="76"/>
      <c r="OFP49" s="76"/>
      <c r="OFQ49" s="76"/>
      <c r="OFR49" s="76"/>
      <c r="OFS49" s="76"/>
      <c r="OFT49" s="76"/>
      <c r="OFU49" s="76"/>
      <c r="OFV49" s="76"/>
      <c r="OFW49" s="76"/>
      <c r="OFX49" s="76"/>
      <c r="OFY49" s="76"/>
      <c r="OFZ49" s="76"/>
      <c r="OGA49" s="76"/>
      <c r="OGB49" s="76"/>
      <c r="OGC49" s="76"/>
      <c r="OGD49" s="76"/>
      <c r="OGE49" s="76"/>
      <c r="OGF49" s="76"/>
      <c r="OGG49" s="76"/>
      <c r="OGH49" s="76"/>
      <c r="OGI49" s="76"/>
      <c r="OGJ49" s="76"/>
      <c r="OGK49" s="76"/>
      <c r="OGL49" s="76"/>
      <c r="OGM49" s="76"/>
      <c r="OGN49" s="76"/>
      <c r="OGO49" s="76"/>
      <c r="OGP49" s="76"/>
      <c r="OGQ49" s="76"/>
      <c r="OGR49" s="76"/>
      <c r="OGS49" s="76"/>
      <c r="OGT49" s="76"/>
      <c r="OGU49" s="76"/>
      <c r="OGV49" s="76"/>
      <c r="OGW49" s="76"/>
      <c r="OGX49" s="76"/>
      <c r="OGY49" s="76"/>
      <c r="OGZ49" s="76"/>
      <c r="OHA49" s="76"/>
      <c r="OHB49" s="76"/>
      <c r="OHC49" s="76"/>
      <c r="OHD49" s="76"/>
      <c r="OHE49" s="76"/>
      <c r="OHF49" s="76"/>
      <c r="OHG49" s="76"/>
      <c r="OHH49" s="76"/>
      <c r="OHI49" s="76"/>
      <c r="OHJ49" s="76"/>
      <c r="OHK49" s="76"/>
      <c r="OHL49" s="76"/>
      <c r="OHM49" s="76"/>
      <c r="OHN49" s="76"/>
      <c r="OHO49" s="76"/>
      <c r="OHP49" s="76"/>
      <c r="OHQ49" s="76"/>
      <c r="OHR49" s="76"/>
      <c r="OHS49" s="76"/>
      <c r="OHT49" s="76"/>
      <c r="OHU49" s="76"/>
      <c r="OHV49" s="76"/>
      <c r="OHW49" s="76"/>
      <c r="OHX49" s="76"/>
      <c r="OHY49" s="76"/>
      <c r="OHZ49" s="76"/>
      <c r="OIA49" s="76"/>
      <c r="OIB49" s="76"/>
      <c r="OIC49" s="76"/>
      <c r="OID49" s="76"/>
      <c r="OIE49" s="76"/>
      <c r="OIF49" s="76"/>
      <c r="OIG49" s="76"/>
      <c r="OIH49" s="76"/>
      <c r="OII49" s="76"/>
      <c r="OIJ49" s="76"/>
      <c r="OIK49" s="76"/>
      <c r="OIL49" s="76"/>
      <c r="OIM49" s="76"/>
      <c r="OIN49" s="76"/>
      <c r="OIO49" s="76"/>
      <c r="OIP49" s="76"/>
      <c r="OIQ49" s="76"/>
      <c r="OIR49" s="76"/>
      <c r="OIS49" s="76"/>
      <c r="OIT49" s="76"/>
      <c r="OIU49" s="76"/>
      <c r="OIV49" s="76"/>
      <c r="OIW49" s="76"/>
      <c r="OIX49" s="76"/>
      <c r="OIY49" s="76"/>
      <c r="OIZ49" s="76"/>
      <c r="OJA49" s="76"/>
      <c r="OJB49" s="76"/>
      <c r="OJC49" s="76"/>
      <c r="OJD49" s="76"/>
      <c r="OJE49" s="76"/>
      <c r="OJF49" s="76"/>
      <c r="OJG49" s="76"/>
      <c r="OJH49" s="76"/>
      <c r="OJI49" s="76"/>
      <c r="OJJ49" s="76"/>
      <c r="OJK49" s="76"/>
      <c r="OJL49" s="76"/>
      <c r="OJM49" s="76"/>
      <c r="OJN49" s="76"/>
      <c r="OJO49" s="76"/>
      <c r="OJP49" s="76"/>
      <c r="OJQ49" s="76"/>
      <c r="OJR49" s="76"/>
      <c r="OJS49" s="76"/>
      <c r="OJT49" s="76"/>
      <c r="OJU49" s="76"/>
      <c r="OJV49" s="76"/>
      <c r="OJW49" s="76"/>
      <c r="OJX49" s="76"/>
      <c r="OJY49" s="76"/>
      <c r="OJZ49" s="76"/>
      <c r="OKA49" s="76"/>
      <c r="OKB49" s="76"/>
      <c r="OKC49" s="76"/>
      <c r="OKD49" s="76"/>
      <c r="OKE49" s="76"/>
      <c r="OKF49" s="76"/>
      <c r="OKG49" s="76"/>
      <c r="OKH49" s="76"/>
      <c r="OKI49" s="76"/>
      <c r="OKJ49" s="76"/>
      <c r="OKK49" s="76"/>
      <c r="OKL49" s="76"/>
      <c r="OKM49" s="76"/>
      <c r="OKN49" s="76"/>
      <c r="OKO49" s="76"/>
      <c r="OKP49" s="76"/>
      <c r="OKQ49" s="76"/>
      <c r="OKR49" s="76"/>
      <c r="OKS49" s="76"/>
      <c r="OKT49" s="76"/>
      <c r="OKU49" s="76"/>
      <c r="OKV49" s="76"/>
      <c r="OKW49" s="76"/>
      <c r="OKX49" s="76"/>
      <c r="OKY49" s="76"/>
      <c r="OKZ49" s="76"/>
      <c r="OLA49" s="76"/>
      <c r="OLB49" s="76"/>
      <c r="OLC49" s="76"/>
      <c r="OLD49" s="76"/>
      <c r="OLE49" s="76"/>
      <c r="OLF49" s="76"/>
      <c r="OLG49" s="76"/>
      <c r="OLH49" s="76"/>
      <c r="OLI49" s="76"/>
      <c r="OLJ49" s="76"/>
      <c r="OLK49" s="76"/>
      <c r="OLL49" s="76"/>
      <c r="OLM49" s="76"/>
      <c r="OLN49" s="76"/>
      <c r="OLO49" s="76"/>
      <c r="OLP49" s="76"/>
      <c r="OLQ49" s="76"/>
      <c r="OLR49" s="76"/>
      <c r="OLS49" s="76"/>
      <c r="OLT49" s="76"/>
      <c r="OLU49" s="76"/>
      <c r="OLV49" s="76"/>
      <c r="OLW49" s="76"/>
      <c r="OLX49" s="76"/>
      <c r="OLY49" s="76"/>
      <c r="OLZ49" s="76"/>
      <c r="OMA49" s="76"/>
      <c r="OMB49" s="76"/>
      <c r="OMC49" s="76"/>
      <c r="OMD49" s="76"/>
      <c r="OME49" s="76"/>
      <c r="OMF49" s="76"/>
      <c r="OMG49" s="76"/>
      <c r="OMH49" s="76"/>
      <c r="OMI49" s="76"/>
      <c r="OMJ49" s="76"/>
      <c r="OMK49" s="76"/>
      <c r="OML49" s="76"/>
      <c r="OMM49" s="76"/>
      <c r="OMN49" s="76"/>
      <c r="OMO49" s="76"/>
      <c r="OMP49" s="76"/>
      <c r="OMQ49" s="76"/>
      <c r="OMR49" s="76"/>
      <c r="OMS49" s="76"/>
      <c r="OMT49" s="76"/>
      <c r="OMU49" s="76"/>
      <c r="OMV49" s="76"/>
      <c r="OMW49" s="76"/>
      <c r="OMX49" s="76"/>
      <c r="OMY49" s="76"/>
      <c r="OMZ49" s="76"/>
      <c r="ONA49" s="76"/>
      <c r="ONB49" s="76"/>
      <c r="ONC49" s="76"/>
      <c r="OND49" s="76"/>
      <c r="ONE49" s="76"/>
      <c r="ONF49" s="76"/>
      <c r="ONG49" s="76"/>
      <c r="ONH49" s="76"/>
      <c r="ONI49" s="76"/>
      <c r="ONJ49" s="76"/>
      <c r="ONK49" s="76"/>
      <c r="ONL49" s="76"/>
      <c r="ONM49" s="76"/>
      <c r="ONN49" s="76"/>
      <c r="ONO49" s="76"/>
      <c r="ONP49" s="76"/>
      <c r="ONQ49" s="76"/>
      <c r="ONR49" s="76"/>
      <c r="ONS49" s="76"/>
      <c r="ONT49" s="76"/>
      <c r="ONU49" s="76"/>
      <c r="ONV49" s="76"/>
      <c r="ONW49" s="76"/>
      <c r="ONX49" s="76"/>
      <c r="ONY49" s="76"/>
      <c r="ONZ49" s="76"/>
      <c r="OOA49" s="76"/>
      <c r="OOB49" s="76"/>
      <c r="OOC49" s="76"/>
      <c r="OOD49" s="76"/>
      <c r="OOE49" s="76"/>
      <c r="OOF49" s="76"/>
      <c r="OOG49" s="76"/>
      <c r="OOH49" s="76"/>
      <c r="OOI49" s="76"/>
      <c r="OOJ49" s="76"/>
      <c r="OOK49" s="76"/>
      <c r="OOL49" s="76"/>
      <c r="OOM49" s="76"/>
      <c r="OON49" s="76"/>
      <c r="OOO49" s="76"/>
      <c r="OOP49" s="76"/>
      <c r="OOQ49" s="76"/>
      <c r="OOR49" s="76"/>
      <c r="OOS49" s="76"/>
      <c r="OOT49" s="76"/>
      <c r="OOU49" s="76"/>
      <c r="OOV49" s="76"/>
      <c r="OOW49" s="76"/>
      <c r="OOX49" s="76"/>
      <c r="OOY49" s="76"/>
      <c r="OOZ49" s="76"/>
      <c r="OPA49" s="76"/>
      <c r="OPB49" s="76"/>
      <c r="OPC49" s="76"/>
      <c r="OPD49" s="76"/>
      <c r="OPE49" s="76"/>
      <c r="OPF49" s="76"/>
      <c r="OPG49" s="76"/>
      <c r="OPH49" s="76"/>
      <c r="OPI49" s="76"/>
      <c r="OPJ49" s="76"/>
      <c r="OPK49" s="76"/>
      <c r="OPL49" s="76"/>
      <c r="OPM49" s="76"/>
      <c r="OPN49" s="76"/>
      <c r="OPO49" s="76"/>
      <c r="OPP49" s="76"/>
      <c r="OPQ49" s="76"/>
      <c r="OPR49" s="76"/>
      <c r="OPS49" s="76"/>
      <c r="OPT49" s="76"/>
      <c r="OPU49" s="76"/>
      <c r="OPV49" s="76"/>
      <c r="OPW49" s="76"/>
      <c r="OPX49" s="76"/>
      <c r="OPY49" s="76"/>
      <c r="OPZ49" s="76"/>
      <c r="OQA49" s="76"/>
      <c r="OQB49" s="76"/>
      <c r="OQC49" s="76"/>
      <c r="OQD49" s="76"/>
      <c r="OQE49" s="76"/>
      <c r="OQF49" s="76"/>
      <c r="OQG49" s="76"/>
      <c r="OQH49" s="76"/>
      <c r="OQI49" s="76"/>
      <c r="OQJ49" s="76"/>
      <c r="OQK49" s="76"/>
      <c r="OQL49" s="76"/>
      <c r="OQM49" s="76"/>
      <c r="OQN49" s="76"/>
      <c r="OQO49" s="76"/>
      <c r="OQP49" s="76"/>
      <c r="OQQ49" s="76"/>
      <c r="OQR49" s="76"/>
      <c r="OQS49" s="76"/>
      <c r="OQT49" s="76"/>
      <c r="OQU49" s="76"/>
      <c r="OQV49" s="76"/>
      <c r="OQW49" s="76"/>
      <c r="OQX49" s="76"/>
      <c r="OQY49" s="76"/>
      <c r="OQZ49" s="76"/>
      <c r="ORA49" s="76"/>
      <c r="ORB49" s="76"/>
      <c r="ORC49" s="76"/>
      <c r="ORD49" s="76"/>
      <c r="ORE49" s="76"/>
      <c r="ORF49" s="76"/>
      <c r="ORG49" s="76"/>
      <c r="ORH49" s="76"/>
      <c r="ORI49" s="76"/>
      <c r="ORJ49" s="76"/>
      <c r="ORK49" s="76"/>
      <c r="ORL49" s="76"/>
      <c r="ORM49" s="76"/>
      <c r="ORN49" s="76"/>
      <c r="ORO49" s="76"/>
      <c r="ORP49" s="76"/>
      <c r="ORQ49" s="76"/>
      <c r="ORR49" s="76"/>
      <c r="ORS49" s="76"/>
      <c r="ORT49" s="76"/>
      <c r="ORU49" s="76"/>
      <c r="ORV49" s="76"/>
      <c r="ORW49" s="76"/>
      <c r="ORX49" s="76"/>
      <c r="ORY49" s="76"/>
      <c r="ORZ49" s="76"/>
      <c r="OSA49" s="76"/>
      <c r="OSB49" s="76"/>
      <c r="OSC49" s="76"/>
      <c r="OSD49" s="76"/>
      <c r="OSE49" s="76"/>
      <c r="OSF49" s="76"/>
      <c r="OSG49" s="76"/>
      <c r="OSH49" s="76"/>
      <c r="OSI49" s="76"/>
      <c r="OSJ49" s="76"/>
      <c r="OSK49" s="76"/>
      <c r="OSL49" s="76"/>
      <c r="OSM49" s="76"/>
      <c r="OSN49" s="76"/>
      <c r="OSO49" s="76"/>
      <c r="OSP49" s="76"/>
      <c r="OSQ49" s="76"/>
      <c r="OSR49" s="76"/>
      <c r="OSS49" s="76"/>
      <c r="OST49" s="76"/>
      <c r="OSU49" s="76"/>
      <c r="OSV49" s="76"/>
      <c r="OSW49" s="76"/>
      <c r="OSX49" s="76"/>
      <c r="OSY49" s="76"/>
      <c r="OSZ49" s="76"/>
      <c r="OTA49" s="76"/>
      <c r="OTB49" s="76"/>
      <c r="OTC49" s="76"/>
      <c r="OTD49" s="76"/>
      <c r="OTE49" s="76"/>
      <c r="OTF49" s="76"/>
      <c r="OTG49" s="76"/>
      <c r="OTH49" s="76"/>
      <c r="OTI49" s="76"/>
      <c r="OTJ49" s="76"/>
      <c r="OTK49" s="76"/>
      <c r="OTL49" s="76"/>
      <c r="OTM49" s="76"/>
      <c r="OTN49" s="76"/>
      <c r="OTO49" s="76"/>
      <c r="OTP49" s="76"/>
      <c r="OTQ49" s="76"/>
      <c r="OTR49" s="76"/>
      <c r="OTS49" s="76"/>
      <c r="OTT49" s="76"/>
      <c r="OTU49" s="76"/>
      <c r="OTV49" s="76"/>
      <c r="OTW49" s="76"/>
      <c r="OTX49" s="76"/>
      <c r="OTY49" s="76"/>
      <c r="OTZ49" s="76"/>
      <c r="OUA49" s="76"/>
      <c r="OUB49" s="76"/>
      <c r="OUC49" s="76"/>
      <c r="OUD49" s="76"/>
      <c r="OUE49" s="76"/>
      <c r="OUF49" s="76"/>
      <c r="OUG49" s="76"/>
      <c r="OUH49" s="76"/>
      <c r="OUI49" s="76"/>
      <c r="OUJ49" s="76"/>
      <c r="OUK49" s="76"/>
      <c r="OUL49" s="76"/>
      <c r="OUM49" s="76"/>
      <c r="OUN49" s="76"/>
      <c r="OUO49" s="76"/>
      <c r="OUP49" s="76"/>
      <c r="OUQ49" s="76"/>
      <c r="OUR49" s="76"/>
      <c r="OUS49" s="76"/>
      <c r="OUT49" s="76"/>
      <c r="OUU49" s="76"/>
      <c r="OUV49" s="76"/>
      <c r="OUW49" s="76"/>
      <c r="OUX49" s="76"/>
      <c r="OUY49" s="76"/>
      <c r="OUZ49" s="76"/>
      <c r="OVA49" s="76"/>
      <c r="OVB49" s="76"/>
      <c r="OVC49" s="76"/>
      <c r="OVD49" s="76"/>
      <c r="OVE49" s="76"/>
      <c r="OVF49" s="76"/>
      <c r="OVG49" s="76"/>
      <c r="OVH49" s="76"/>
      <c r="OVI49" s="76"/>
      <c r="OVJ49" s="76"/>
      <c r="OVK49" s="76"/>
      <c r="OVL49" s="76"/>
      <c r="OVM49" s="76"/>
      <c r="OVN49" s="76"/>
      <c r="OVO49" s="76"/>
      <c r="OVP49" s="76"/>
      <c r="OVQ49" s="76"/>
      <c r="OVR49" s="76"/>
      <c r="OVS49" s="76"/>
      <c r="OVT49" s="76"/>
      <c r="OVU49" s="76"/>
      <c r="OVV49" s="76"/>
      <c r="OVW49" s="76"/>
      <c r="OVX49" s="76"/>
      <c r="OVY49" s="76"/>
      <c r="OVZ49" s="76"/>
      <c r="OWA49" s="76"/>
      <c r="OWB49" s="76"/>
      <c r="OWC49" s="76"/>
      <c r="OWD49" s="76"/>
      <c r="OWE49" s="76"/>
      <c r="OWF49" s="76"/>
      <c r="OWG49" s="76"/>
      <c r="OWH49" s="76"/>
      <c r="OWI49" s="76"/>
      <c r="OWJ49" s="76"/>
      <c r="OWK49" s="76"/>
      <c r="OWL49" s="76"/>
      <c r="OWM49" s="76"/>
      <c r="OWN49" s="76"/>
      <c r="OWO49" s="76"/>
      <c r="OWP49" s="76"/>
      <c r="OWQ49" s="76"/>
      <c r="OWR49" s="76"/>
      <c r="OWS49" s="76"/>
      <c r="OWT49" s="76"/>
      <c r="OWU49" s="76"/>
      <c r="OWV49" s="76"/>
      <c r="OWW49" s="76"/>
      <c r="OWX49" s="76"/>
      <c r="OWY49" s="76"/>
      <c r="OWZ49" s="76"/>
      <c r="OXA49" s="76"/>
      <c r="OXB49" s="76"/>
      <c r="OXC49" s="76"/>
      <c r="OXD49" s="76"/>
      <c r="OXE49" s="76"/>
      <c r="OXF49" s="76"/>
      <c r="OXG49" s="76"/>
      <c r="OXH49" s="76"/>
      <c r="OXI49" s="76"/>
      <c r="OXJ49" s="76"/>
      <c r="OXK49" s="76"/>
      <c r="OXL49" s="76"/>
      <c r="OXM49" s="76"/>
      <c r="OXN49" s="76"/>
      <c r="OXO49" s="76"/>
      <c r="OXP49" s="76"/>
      <c r="OXQ49" s="76"/>
      <c r="OXR49" s="76"/>
      <c r="OXS49" s="76"/>
      <c r="OXT49" s="76"/>
      <c r="OXU49" s="76"/>
      <c r="OXV49" s="76"/>
      <c r="OXW49" s="76"/>
      <c r="OXX49" s="76"/>
      <c r="OXY49" s="76"/>
      <c r="OXZ49" s="76"/>
      <c r="OYA49" s="76"/>
      <c r="OYB49" s="76"/>
      <c r="OYC49" s="76"/>
      <c r="OYD49" s="76"/>
      <c r="OYE49" s="76"/>
      <c r="OYF49" s="76"/>
      <c r="OYG49" s="76"/>
      <c r="OYH49" s="76"/>
      <c r="OYI49" s="76"/>
      <c r="OYJ49" s="76"/>
      <c r="OYK49" s="76"/>
      <c r="OYL49" s="76"/>
      <c r="OYM49" s="76"/>
      <c r="OYN49" s="76"/>
      <c r="OYO49" s="76"/>
      <c r="OYP49" s="76"/>
      <c r="OYQ49" s="76"/>
      <c r="OYR49" s="76"/>
      <c r="OYS49" s="76"/>
      <c r="OYT49" s="76"/>
      <c r="OYU49" s="76"/>
      <c r="OYV49" s="76"/>
      <c r="OYW49" s="76"/>
      <c r="OYX49" s="76"/>
      <c r="OYY49" s="76"/>
      <c r="OYZ49" s="76"/>
      <c r="OZA49" s="76"/>
      <c r="OZB49" s="76"/>
      <c r="OZC49" s="76"/>
      <c r="OZD49" s="76"/>
      <c r="OZE49" s="76"/>
      <c r="OZF49" s="76"/>
      <c r="OZG49" s="76"/>
      <c r="OZH49" s="76"/>
      <c r="OZI49" s="76"/>
      <c r="OZJ49" s="76"/>
      <c r="OZK49" s="76"/>
      <c r="OZL49" s="76"/>
      <c r="OZM49" s="76"/>
      <c r="OZN49" s="76"/>
      <c r="OZO49" s="76"/>
      <c r="OZP49" s="76"/>
      <c r="OZQ49" s="76"/>
      <c r="OZR49" s="76"/>
      <c r="OZS49" s="76"/>
      <c r="OZT49" s="76"/>
      <c r="OZU49" s="76"/>
      <c r="OZV49" s="76"/>
      <c r="OZW49" s="76"/>
      <c r="OZX49" s="76"/>
      <c r="OZY49" s="76"/>
      <c r="OZZ49" s="76"/>
      <c r="PAA49" s="76"/>
      <c r="PAB49" s="76"/>
      <c r="PAC49" s="76"/>
      <c r="PAD49" s="76"/>
      <c r="PAE49" s="76"/>
      <c r="PAF49" s="76"/>
      <c r="PAG49" s="76"/>
      <c r="PAH49" s="76"/>
      <c r="PAI49" s="76"/>
      <c r="PAJ49" s="76"/>
      <c r="PAK49" s="76"/>
      <c r="PAL49" s="76"/>
      <c r="PAM49" s="76"/>
      <c r="PAN49" s="76"/>
      <c r="PAO49" s="76"/>
      <c r="PAP49" s="76"/>
      <c r="PAQ49" s="76"/>
      <c r="PAR49" s="76"/>
      <c r="PAS49" s="76"/>
      <c r="PAT49" s="76"/>
      <c r="PAU49" s="76"/>
      <c r="PAV49" s="76"/>
      <c r="PAW49" s="76"/>
      <c r="PAX49" s="76"/>
      <c r="PAY49" s="76"/>
      <c r="PAZ49" s="76"/>
      <c r="PBA49" s="76"/>
      <c r="PBB49" s="76"/>
      <c r="PBC49" s="76"/>
      <c r="PBD49" s="76"/>
      <c r="PBE49" s="76"/>
      <c r="PBF49" s="76"/>
      <c r="PBG49" s="76"/>
      <c r="PBH49" s="76"/>
      <c r="PBI49" s="76"/>
      <c r="PBJ49" s="76"/>
      <c r="PBK49" s="76"/>
      <c r="PBL49" s="76"/>
      <c r="PBM49" s="76"/>
      <c r="PBN49" s="76"/>
      <c r="PBO49" s="76"/>
      <c r="PBP49" s="76"/>
      <c r="PBQ49" s="76"/>
      <c r="PBR49" s="76"/>
      <c r="PBS49" s="76"/>
      <c r="PBT49" s="76"/>
      <c r="PBU49" s="76"/>
      <c r="PBV49" s="76"/>
      <c r="PBW49" s="76"/>
      <c r="PBX49" s="76"/>
      <c r="PBY49" s="76"/>
      <c r="PBZ49" s="76"/>
      <c r="PCA49" s="76"/>
      <c r="PCB49" s="76"/>
      <c r="PCC49" s="76"/>
      <c r="PCD49" s="76"/>
      <c r="PCE49" s="76"/>
      <c r="PCF49" s="76"/>
      <c r="PCG49" s="76"/>
      <c r="PCH49" s="76"/>
      <c r="PCI49" s="76"/>
      <c r="PCJ49" s="76"/>
      <c r="PCK49" s="76"/>
      <c r="PCL49" s="76"/>
      <c r="PCM49" s="76"/>
      <c r="PCN49" s="76"/>
      <c r="PCO49" s="76"/>
      <c r="PCP49" s="76"/>
      <c r="PCQ49" s="76"/>
      <c r="PCR49" s="76"/>
      <c r="PCS49" s="76"/>
      <c r="PCT49" s="76"/>
      <c r="PCU49" s="76"/>
      <c r="PCV49" s="76"/>
      <c r="PCW49" s="76"/>
      <c r="PCX49" s="76"/>
      <c r="PCY49" s="76"/>
      <c r="PCZ49" s="76"/>
      <c r="PDA49" s="76"/>
      <c r="PDB49" s="76"/>
      <c r="PDC49" s="76"/>
      <c r="PDD49" s="76"/>
      <c r="PDE49" s="76"/>
      <c r="PDF49" s="76"/>
      <c r="PDG49" s="76"/>
      <c r="PDH49" s="76"/>
      <c r="PDI49" s="76"/>
      <c r="PDJ49" s="76"/>
      <c r="PDK49" s="76"/>
      <c r="PDL49" s="76"/>
      <c r="PDM49" s="76"/>
      <c r="PDN49" s="76"/>
      <c r="PDO49" s="76"/>
      <c r="PDP49" s="76"/>
      <c r="PDQ49" s="76"/>
      <c r="PDR49" s="76"/>
      <c r="PDS49" s="76"/>
      <c r="PDT49" s="76"/>
      <c r="PDU49" s="76"/>
      <c r="PDV49" s="76"/>
      <c r="PDW49" s="76"/>
      <c r="PDX49" s="76"/>
      <c r="PDY49" s="76"/>
      <c r="PDZ49" s="76"/>
      <c r="PEA49" s="76"/>
      <c r="PEB49" s="76"/>
      <c r="PEC49" s="76"/>
      <c r="PED49" s="76"/>
      <c r="PEE49" s="76"/>
      <c r="PEF49" s="76"/>
      <c r="PEG49" s="76"/>
      <c r="PEH49" s="76"/>
      <c r="PEI49" s="76"/>
      <c r="PEJ49" s="76"/>
      <c r="PEK49" s="76"/>
      <c r="PEL49" s="76"/>
      <c r="PEM49" s="76"/>
      <c r="PEN49" s="76"/>
      <c r="PEO49" s="76"/>
      <c r="PEP49" s="76"/>
      <c r="PEQ49" s="76"/>
      <c r="PER49" s="76"/>
      <c r="PES49" s="76"/>
      <c r="PET49" s="76"/>
      <c r="PEU49" s="76"/>
      <c r="PEV49" s="76"/>
      <c r="PEW49" s="76"/>
      <c r="PEX49" s="76"/>
      <c r="PEY49" s="76"/>
      <c r="PEZ49" s="76"/>
      <c r="PFA49" s="76"/>
      <c r="PFB49" s="76"/>
      <c r="PFC49" s="76"/>
      <c r="PFD49" s="76"/>
      <c r="PFE49" s="76"/>
      <c r="PFF49" s="76"/>
      <c r="PFG49" s="76"/>
      <c r="PFH49" s="76"/>
      <c r="PFI49" s="76"/>
      <c r="PFJ49" s="76"/>
      <c r="PFK49" s="76"/>
      <c r="PFL49" s="76"/>
      <c r="PFM49" s="76"/>
      <c r="PFN49" s="76"/>
      <c r="PFO49" s="76"/>
      <c r="PFP49" s="76"/>
      <c r="PFQ49" s="76"/>
      <c r="PFR49" s="76"/>
      <c r="PFS49" s="76"/>
      <c r="PFT49" s="76"/>
      <c r="PFU49" s="76"/>
      <c r="PFV49" s="76"/>
      <c r="PFW49" s="76"/>
      <c r="PFX49" s="76"/>
      <c r="PFY49" s="76"/>
      <c r="PFZ49" s="76"/>
      <c r="PGA49" s="76"/>
      <c r="PGB49" s="76"/>
      <c r="PGC49" s="76"/>
      <c r="PGD49" s="76"/>
      <c r="PGE49" s="76"/>
      <c r="PGF49" s="76"/>
      <c r="PGG49" s="76"/>
      <c r="PGH49" s="76"/>
      <c r="PGI49" s="76"/>
      <c r="PGJ49" s="76"/>
      <c r="PGK49" s="76"/>
      <c r="PGL49" s="76"/>
      <c r="PGM49" s="76"/>
      <c r="PGN49" s="76"/>
      <c r="PGO49" s="76"/>
      <c r="PGP49" s="76"/>
      <c r="PGQ49" s="76"/>
      <c r="PGR49" s="76"/>
      <c r="PGS49" s="76"/>
      <c r="PGT49" s="76"/>
      <c r="PGU49" s="76"/>
      <c r="PGV49" s="76"/>
      <c r="PGW49" s="76"/>
      <c r="PGX49" s="76"/>
      <c r="PGY49" s="76"/>
      <c r="PGZ49" s="76"/>
      <c r="PHA49" s="76"/>
      <c r="PHB49" s="76"/>
      <c r="PHC49" s="76"/>
      <c r="PHD49" s="76"/>
      <c r="PHE49" s="76"/>
      <c r="PHF49" s="76"/>
      <c r="PHG49" s="76"/>
      <c r="PHH49" s="76"/>
      <c r="PHI49" s="76"/>
      <c r="PHJ49" s="76"/>
      <c r="PHK49" s="76"/>
      <c r="PHL49" s="76"/>
      <c r="PHM49" s="76"/>
      <c r="PHN49" s="76"/>
      <c r="PHO49" s="76"/>
      <c r="PHP49" s="76"/>
      <c r="PHQ49" s="76"/>
      <c r="PHR49" s="76"/>
      <c r="PHS49" s="76"/>
      <c r="PHT49" s="76"/>
      <c r="PHU49" s="76"/>
      <c r="PHV49" s="76"/>
      <c r="PHW49" s="76"/>
      <c r="PHX49" s="76"/>
      <c r="PHY49" s="76"/>
      <c r="PHZ49" s="76"/>
      <c r="PIA49" s="76"/>
      <c r="PIB49" s="76"/>
      <c r="PIC49" s="76"/>
      <c r="PID49" s="76"/>
      <c r="PIE49" s="76"/>
      <c r="PIF49" s="76"/>
      <c r="PIG49" s="76"/>
      <c r="PIH49" s="76"/>
      <c r="PII49" s="76"/>
      <c r="PIJ49" s="76"/>
      <c r="PIK49" s="76"/>
      <c r="PIL49" s="76"/>
      <c r="PIM49" s="76"/>
      <c r="PIN49" s="76"/>
      <c r="PIO49" s="76"/>
      <c r="PIP49" s="76"/>
      <c r="PIQ49" s="76"/>
      <c r="PIR49" s="76"/>
      <c r="PIS49" s="76"/>
      <c r="PIT49" s="76"/>
      <c r="PIU49" s="76"/>
      <c r="PIV49" s="76"/>
      <c r="PIW49" s="76"/>
      <c r="PIX49" s="76"/>
      <c r="PIY49" s="76"/>
      <c r="PIZ49" s="76"/>
      <c r="PJA49" s="76"/>
      <c r="PJB49" s="76"/>
      <c r="PJC49" s="76"/>
      <c r="PJD49" s="76"/>
      <c r="PJE49" s="76"/>
      <c r="PJF49" s="76"/>
      <c r="PJG49" s="76"/>
      <c r="PJH49" s="76"/>
      <c r="PJI49" s="76"/>
      <c r="PJJ49" s="76"/>
      <c r="PJK49" s="76"/>
      <c r="PJL49" s="76"/>
      <c r="PJM49" s="76"/>
      <c r="PJN49" s="76"/>
      <c r="PJO49" s="76"/>
      <c r="PJP49" s="76"/>
      <c r="PJQ49" s="76"/>
      <c r="PJR49" s="76"/>
      <c r="PJS49" s="76"/>
      <c r="PJT49" s="76"/>
      <c r="PJU49" s="76"/>
      <c r="PJV49" s="76"/>
      <c r="PJW49" s="76"/>
      <c r="PJX49" s="76"/>
      <c r="PJY49" s="76"/>
      <c r="PJZ49" s="76"/>
      <c r="PKA49" s="76"/>
      <c r="PKB49" s="76"/>
      <c r="PKC49" s="76"/>
      <c r="PKD49" s="76"/>
      <c r="PKE49" s="76"/>
      <c r="PKF49" s="76"/>
      <c r="PKG49" s="76"/>
      <c r="PKH49" s="76"/>
      <c r="PKI49" s="76"/>
      <c r="PKJ49" s="76"/>
      <c r="PKK49" s="76"/>
      <c r="PKL49" s="76"/>
      <c r="PKM49" s="76"/>
      <c r="PKN49" s="76"/>
      <c r="PKO49" s="76"/>
      <c r="PKP49" s="76"/>
      <c r="PKQ49" s="76"/>
      <c r="PKR49" s="76"/>
      <c r="PKS49" s="76"/>
      <c r="PKT49" s="76"/>
      <c r="PKU49" s="76"/>
      <c r="PKV49" s="76"/>
      <c r="PKW49" s="76"/>
      <c r="PKX49" s="76"/>
      <c r="PKY49" s="76"/>
      <c r="PKZ49" s="76"/>
      <c r="PLA49" s="76"/>
      <c r="PLB49" s="76"/>
      <c r="PLC49" s="76"/>
      <c r="PLD49" s="76"/>
      <c r="PLE49" s="76"/>
      <c r="PLF49" s="76"/>
      <c r="PLG49" s="76"/>
      <c r="PLH49" s="76"/>
      <c r="PLI49" s="76"/>
      <c r="PLJ49" s="76"/>
      <c r="PLK49" s="76"/>
      <c r="PLL49" s="76"/>
      <c r="PLM49" s="76"/>
      <c r="PLN49" s="76"/>
      <c r="PLO49" s="76"/>
      <c r="PLP49" s="76"/>
      <c r="PLQ49" s="76"/>
      <c r="PLR49" s="76"/>
      <c r="PLS49" s="76"/>
      <c r="PLT49" s="76"/>
      <c r="PLU49" s="76"/>
      <c r="PLV49" s="76"/>
      <c r="PLW49" s="76"/>
      <c r="PLX49" s="76"/>
      <c r="PLY49" s="76"/>
      <c r="PLZ49" s="76"/>
      <c r="PMA49" s="76"/>
      <c r="PMB49" s="76"/>
      <c r="PMC49" s="76"/>
      <c r="PMD49" s="76"/>
      <c r="PME49" s="76"/>
      <c r="PMF49" s="76"/>
      <c r="PMG49" s="76"/>
      <c r="PMH49" s="76"/>
      <c r="PMI49" s="76"/>
      <c r="PMJ49" s="76"/>
      <c r="PMK49" s="76"/>
      <c r="PML49" s="76"/>
      <c r="PMM49" s="76"/>
      <c r="PMN49" s="76"/>
      <c r="PMO49" s="76"/>
      <c r="PMP49" s="76"/>
      <c r="PMQ49" s="76"/>
      <c r="PMR49" s="76"/>
      <c r="PMS49" s="76"/>
      <c r="PMT49" s="76"/>
      <c r="PMU49" s="76"/>
      <c r="PMV49" s="76"/>
      <c r="PMW49" s="76"/>
      <c r="PMX49" s="76"/>
      <c r="PMY49" s="76"/>
      <c r="PMZ49" s="76"/>
      <c r="PNA49" s="76"/>
      <c r="PNB49" s="76"/>
      <c r="PNC49" s="76"/>
      <c r="PND49" s="76"/>
      <c r="PNE49" s="76"/>
      <c r="PNF49" s="76"/>
      <c r="PNG49" s="76"/>
      <c r="PNH49" s="76"/>
      <c r="PNI49" s="76"/>
      <c r="PNJ49" s="76"/>
      <c r="PNK49" s="76"/>
      <c r="PNL49" s="76"/>
      <c r="PNM49" s="76"/>
      <c r="PNN49" s="76"/>
      <c r="PNO49" s="76"/>
      <c r="PNP49" s="76"/>
      <c r="PNQ49" s="76"/>
      <c r="PNR49" s="76"/>
      <c r="PNS49" s="76"/>
      <c r="PNT49" s="76"/>
      <c r="PNU49" s="76"/>
      <c r="PNV49" s="76"/>
      <c r="PNW49" s="76"/>
      <c r="PNX49" s="76"/>
      <c r="PNY49" s="76"/>
      <c r="PNZ49" s="76"/>
      <c r="POA49" s="76"/>
      <c r="POB49" s="76"/>
      <c r="POC49" s="76"/>
      <c r="POD49" s="76"/>
      <c r="POE49" s="76"/>
      <c r="POF49" s="76"/>
      <c r="POG49" s="76"/>
      <c r="POH49" s="76"/>
      <c r="POI49" s="76"/>
      <c r="POJ49" s="76"/>
      <c r="POK49" s="76"/>
      <c r="POL49" s="76"/>
      <c r="POM49" s="76"/>
      <c r="PON49" s="76"/>
      <c r="POO49" s="76"/>
      <c r="POP49" s="76"/>
      <c r="POQ49" s="76"/>
      <c r="POR49" s="76"/>
      <c r="POS49" s="76"/>
      <c r="POT49" s="76"/>
      <c r="POU49" s="76"/>
      <c r="POV49" s="76"/>
      <c r="POW49" s="76"/>
      <c r="POX49" s="76"/>
      <c r="POY49" s="76"/>
      <c r="POZ49" s="76"/>
      <c r="PPA49" s="76"/>
      <c r="PPB49" s="76"/>
      <c r="PPC49" s="76"/>
      <c r="PPD49" s="76"/>
      <c r="PPE49" s="76"/>
      <c r="PPF49" s="76"/>
      <c r="PPG49" s="76"/>
      <c r="PPH49" s="76"/>
      <c r="PPI49" s="76"/>
      <c r="PPJ49" s="76"/>
      <c r="PPK49" s="76"/>
      <c r="PPL49" s="76"/>
      <c r="PPM49" s="76"/>
      <c r="PPN49" s="76"/>
      <c r="PPO49" s="76"/>
      <c r="PPP49" s="76"/>
      <c r="PPQ49" s="76"/>
      <c r="PPR49" s="76"/>
      <c r="PPS49" s="76"/>
      <c r="PPT49" s="76"/>
      <c r="PPU49" s="76"/>
      <c r="PPV49" s="76"/>
      <c r="PPW49" s="76"/>
      <c r="PPX49" s="76"/>
      <c r="PPY49" s="76"/>
      <c r="PPZ49" s="76"/>
      <c r="PQA49" s="76"/>
      <c r="PQB49" s="76"/>
      <c r="PQC49" s="76"/>
      <c r="PQD49" s="76"/>
      <c r="PQE49" s="76"/>
      <c r="PQF49" s="76"/>
      <c r="PQG49" s="76"/>
      <c r="PQH49" s="76"/>
      <c r="PQI49" s="76"/>
      <c r="PQJ49" s="76"/>
      <c r="PQK49" s="76"/>
      <c r="PQL49" s="76"/>
      <c r="PQM49" s="76"/>
      <c r="PQN49" s="76"/>
      <c r="PQO49" s="76"/>
      <c r="PQP49" s="76"/>
      <c r="PQQ49" s="76"/>
      <c r="PQR49" s="76"/>
      <c r="PQS49" s="76"/>
      <c r="PQT49" s="76"/>
      <c r="PQU49" s="76"/>
      <c r="PQV49" s="76"/>
      <c r="PQW49" s="76"/>
      <c r="PQX49" s="76"/>
      <c r="PQY49" s="76"/>
      <c r="PQZ49" s="76"/>
      <c r="PRA49" s="76"/>
      <c r="PRB49" s="76"/>
      <c r="PRC49" s="76"/>
      <c r="PRD49" s="76"/>
      <c r="PRE49" s="76"/>
      <c r="PRF49" s="76"/>
      <c r="PRG49" s="76"/>
      <c r="PRH49" s="76"/>
      <c r="PRI49" s="76"/>
      <c r="PRJ49" s="76"/>
      <c r="PRK49" s="76"/>
      <c r="PRL49" s="76"/>
      <c r="PRM49" s="76"/>
      <c r="PRN49" s="76"/>
      <c r="PRO49" s="76"/>
      <c r="PRP49" s="76"/>
      <c r="PRQ49" s="76"/>
      <c r="PRR49" s="76"/>
      <c r="PRS49" s="76"/>
      <c r="PRT49" s="76"/>
      <c r="PRU49" s="76"/>
      <c r="PRV49" s="76"/>
      <c r="PRW49" s="76"/>
      <c r="PRX49" s="76"/>
      <c r="PRY49" s="76"/>
      <c r="PRZ49" s="76"/>
      <c r="PSA49" s="76"/>
      <c r="PSB49" s="76"/>
      <c r="PSC49" s="76"/>
      <c r="PSD49" s="76"/>
      <c r="PSE49" s="76"/>
      <c r="PSF49" s="76"/>
      <c r="PSG49" s="76"/>
      <c r="PSH49" s="76"/>
      <c r="PSI49" s="76"/>
      <c r="PSJ49" s="76"/>
      <c r="PSK49" s="76"/>
      <c r="PSL49" s="76"/>
      <c r="PSM49" s="76"/>
      <c r="PSN49" s="76"/>
      <c r="PSO49" s="76"/>
      <c r="PSP49" s="76"/>
      <c r="PSQ49" s="76"/>
      <c r="PSR49" s="76"/>
      <c r="PSS49" s="76"/>
      <c r="PST49" s="76"/>
      <c r="PSU49" s="76"/>
      <c r="PSV49" s="76"/>
      <c r="PSW49" s="76"/>
      <c r="PSX49" s="76"/>
      <c r="PSY49" s="76"/>
      <c r="PSZ49" s="76"/>
      <c r="PTA49" s="76"/>
      <c r="PTB49" s="76"/>
      <c r="PTC49" s="76"/>
      <c r="PTD49" s="76"/>
      <c r="PTE49" s="76"/>
      <c r="PTF49" s="76"/>
      <c r="PTG49" s="76"/>
      <c r="PTH49" s="76"/>
      <c r="PTI49" s="76"/>
      <c r="PTJ49" s="76"/>
      <c r="PTK49" s="76"/>
      <c r="PTL49" s="76"/>
      <c r="PTM49" s="76"/>
      <c r="PTN49" s="76"/>
      <c r="PTO49" s="76"/>
      <c r="PTP49" s="76"/>
      <c r="PTQ49" s="76"/>
      <c r="PTR49" s="76"/>
      <c r="PTS49" s="76"/>
      <c r="PTT49" s="76"/>
      <c r="PTU49" s="76"/>
      <c r="PTV49" s="76"/>
      <c r="PTW49" s="76"/>
      <c r="PTX49" s="76"/>
      <c r="PTY49" s="76"/>
      <c r="PTZ49" s="76"/>
      <c r="PUA49" s="76"/>
      <c r="PUB49" s="76"/>
      <c r="PUC49" s="76"/>
      <c r="PUD49" s="76"/>
      <c r="PUE49" s="76"/>
      <c r="PUF49" s="76"/>
      <c r="PUG49" s="76"/>
      <c r="PUH49" s="76"/>
      <c r="PUI49" s="76"/>
      <c r="PUJ49" s="76"/>
      <c r="PUK49" s="76"/>
      <c r="PUL49" s="76"/>
      <c r="PUM49" s="76"/>
      <c r="PUN49" s="76"/>
      <c r="PUO49" s="76"/>
      <c r="PUP49" s="76"/>
      <c r="PUQ49" s="76"/>
      <c r="PUR49" s="76"/>
      <c r="PUS49" s="76"/>
      <c r="PUT49" s="76"/>
      <c r="PUU49" s="76"/>
      <c r="PUV49" s="76"/>
      <c r="PUW49" s="76"/>
      <c r="PUX49" s="76"/>
      <c r="PUY49" s="76"/>
      <c r="PUZ49" s="76"/>
      <c r="PVA49" s="76"/>
      <c r="PVB49" s="76"/>
      <c r="PVC49" s="76"/>
      <c r="PVD49" s="76"/>
      <c r="PVE49" s="76"/>
      <c r="PVF49" s="76"/>
      <c r="PVG49" s="76"/>
      <c r="PVH49" s="76"/>
      <c r="PVI49" s="76"/>
      <c r="PVJ49" s="76"/>
      <c r="PVK49" s="76"/>
      <c r="PVL49" s="76"/>
      <c r="PVM49" s="76"/>
      <c r="PVN49" s="76"/>
      <c r="PVO49" s="76"/>
      <c r="PVP49" s="76"/>
      <c r="PVQ49" s="76"/>
      <c r="PVR49" s="76"/>
      <c r="PVS49" s="76"/>
      <c r="PVT49" s="76"/>
      <c r="PVU49" s="76"/>
      <c r="PVV49" s="76"/>
      <c r="PVW49" s="76"/>
      <c r="PVX49" s="76"/>
      <c r="PVY49" s="76"/>
      <c r="PVZ49" s="76"/>
      <c r="PWA49" s="76"/>
      <c r="PWB49" s="76"/>
      <c r="PWC49" s="76"/>
      <c r="PWD49" s="76"/>
      <c r="PWE49" s="76"/>
      <c r="PWF49" s="76"/>
      <c r="PWG49" s="76"/>
      <c r="PWH49" s="76"/>
      <c r="PWI49" s="76"/>
      <c r="PWJ49" s="76"/>
      <c r="PWK49" s="76"/>
      <c r="PWL49" s="76"/>
      <c r="PWM49" s="76"/>
      <c r="PWN49" s="76"/>
      <c r="PWO49" s="76"/>
      <c r="PWP49" s="76"/>
      <c r="PWQ49" s="76"/>
      <c r="PWR49" s="76"/>
      <c r="PWS49" s="76"/>
      <c r="PWT49" s="76"/>
      <c r="PWU49" s="76"/>
      <c r="PWV49" s="76"/>
      <c r="PWW49" s="76"/>
      <c r="PWX49" s="76"/>
      <c r="PWY49" s="76"/>
      <c r="PWZ49" s="76"/>
      <c r="PXA49" s="76"/>
      <c r="PXB49" s="76"/>
      <c r="PXC49" s="76"/>
      <c r="PXD49" s="76"/>
      <c r="PXE49" s="76"/>
      <c r="PXF49" s="76"/>
      <c r="PXG49" s="76"/>
      <c r="PXH49" s="76"/>
      <c r="PXI49" s="76"/>
      <c r="PXJ49" s="76"/>
      <c r="PXK49" s="76"/>
      <c r="PXL49" s="76"/>
      <c r="PXM49" s="76"/>
      <c r="PXN49" s="76"/>
      <c r="PXO49" s="76"/>
      <c r="PXP49" s="76"/>
      <c r="PXQ49" s="76"/>
      <c r="PXR49" s="76"/>
      <c r="PXS49" s="76"/>
      <c r="PXT49" s="76"/>
      <c r="PXU49" s="76"/>
      <c r="PXV49" s="76"/>
      <c r="PXW49" s="76"/>
      <c r="PXX49" s="76"/>
      <c r="PXY49" s="76"/>
      <c r="PXZ49" s="76"/>
      <c r="PYA49" s="76"/>
      <c r="PYB49" s="76"/>
      <c r="PYC49" s="76"/>
      <c r="PYD49" s="76"/>
      <c r="PYE49" s="76"/>
      <c r="PYF49" s="76"/>
      <c r="PYG49" s="76"/>
      <c r="PYH49" s="76"/>
      <c r="PYI49" s="76"/>
      <c r="PYJ49" s="76"/>
      <c r="PYK49" s="76"/>
      <c r="PYL49" s="76"/>
      <c r="PYM49" s="76"/>
      <c r="PYN49" s="76"/>
      <c r="PYO49" s="76"/>
      <c r="PYP49" s="76"/>
      <c r="PYQ49" s="76"/>
      <c r="PYR49" s="76"/>
      <c r="PYS49" s="76"/>
      <c r="PYT49" s="76"/>
      <c r="PYU49" s="76"/>
      <c r="PYV49" s="76"/>
      <c r="PYW49" s="76"/>
      <c r="PYX49" s="76"/>
      <c r="PYY49" s="76"/>
      <c r="PYZ49" s="76"/>
      <c r="PZA49" s="76"/>
      <c r="PZB49" s="76"/>
      <c r="PZC49" s="76"/>
      <c r="PZD49" s="76"/>
      <c r="PZE49" s="76"/>
      <c r="PZF49" s="76"/>
      <c r="PZG49" s="76"/>
      <c r="PZH49" s="76"/>
      <c r="PZI49" s="76"/>
      <c r="PZJ49" s="76"/>
      <c r="PZK49" s="76"/>
      <c r="PZL49" s="76"/>
      <c r="PZM49" s="76"/>
      <c r="PZN49" s="76"/>
      <c r="PZO49" s="76"/>
      <c r="PZP49" s="76"/>
      <c r="PZQ49" s="76"/>
      <c r="PZR49" s="76"/>
      <c r="PZS49" s="76"/>
      <c r="PZT49" s="76"/>
      <c r="PZU49" s="76"/>
      <c r="PZV49" s="76"/>
      <c r="PZW49" s="76"/>
      <c r="PZX49" s="76"/>
      <c r="PZY49" s="76"/>
      <c r="PZZ49" s="76"/>
      <c r="QAA49" s="76"/>
      <c r="QAB49" s="76"/>
      <c r="QAC49" s="76"/>
      <c r="QAD49" s="76"/>
      <c r="QAE49" s="76"/>
      <c r="QAF49" s="76"/>
      <c r="QAG49" s="76"/>
      <c r="QAH49" s="76"/>
      <c r="QAI49" s="76"/>
      <c r="QAJ49" s="76"/>
      <c r="QAK49" s="76"/>
      <c r="QAL49" s="76"/>
      <c r="QAM49" s="76"/>
      <c r="QAN49" s="76"/>
      <c r="QAO49" s="76"/>
      <c r="QAP49" s="76"/>
      <c r="QAQ49" s="76"/>
      <c r="QAR49" s="76"/>
      <c r="QAS49" s="76"/>
      <c r="QAT49" s="76"/>
      <c r="QAU49" s="76"/>
      <c r="QAV49" s="76"/>
      <c r="QAW49" s="76"/>
      <c r="QAX49" s="76"/>
      <c r="QAY49" s="76"/>
      <c r="QAZ49" s="76"/>
      <c r="QBA49" s="76"/>
      <c r="QBB49" s="76"/>
      <c r="QBC49" s="76"/>
      <c r="QBD49" s="76"/>
      <c r="QBE49" s="76"/>
      <c r="QBF49" s="76"/>
      <c r="QBG49" s="76"/>
      <c r="QBH49" s="76"/>
      <c r="QBI49" s="76"/>
      <c r="QBJ49" s="76"/>
      <c r="QBK49" s="76"/>
      <c r="QBL49" s="76"/>
      <c r="QBM49" s="76"/>
      <c r="QBN49" s="76"/>
      <c r="QBO49" s="76"/>
      <c r="QBP49" s="76"/>
      <c r="QBQ49" s="76"/>
      <c r="QBR49" s="76"/>
      <c r="QBS49" s="76"/>
      <c r="QBT49" s="76"/>
      <c r="QBU49" s="76"/>
      <c r="QBV49" s="76"/>
      <c r="QBW49" s="76"/>
      <c r="QBX49" s="76"/>
      <c r="QBY49" s="76"/>
      <c r="QBZ49" s="76"/>
      <c r="QCA49" s="76"/>
      <c r="QCB49" s="76"/>
      <c r="QCC49" s="76"/>
      <c r="QCD49" s="76"/>
      <c r="QCE49" s="76"/>
      <c r="QCF49" s="76"/>
      <c r="QCG49" s="76"/>
      <c r="QCH49" s="76"/>
      <c r="QCI49" s="76"/>
      <c r="QCJ49" s="76"/>
      <c r="QCK49" s="76"/>
      <c r="QCL49" s="76"/>
      <c r="QCM49" s="76"/>
      <c r="QCN49" s="76"/>
      <c r="QCO49" s="76"/>
      <c r="QCP49" s="76"/>
      <c r="QCQ49" s="76"/>
      <c r="QCR49" s="76"/>
      <c r="QCS49" s="76"/>
      <c r="QCT49" s="76"/>
      <c r="QCU49" s="76"/>
      <c r="QCV49" s="76"/>
      <c r="QCW49" s="76"/>
      <c r="QCX49" s="76"/>
      <c r="QCY49" s="76"/>
      <c r="QCZ49" s="76"/>
      <c r="QDA49" s="76"/>
      <c r="QDB49" s="76"/>
      <c r="QDC49" s="76"/>
      <c r="QDD49" s="76"/>
      <c r="QDE49" s="76"/>
      <c r="QDF49" s="76"/>
      <c r="QDG49" s="76"/>
      <c r="QDH49" s="76"/>
      <c r="QDI49" s="76"/>
      <c r="QDJ49" s="76"/>
      <c r="QDK49" s="76"/>
      <c r="QDL49" s="76"/>
      <c r="QDM49" s="76"/>
      <c r="QDN49" s="76"/>
      <c r="QDO49" s="76"/>
      <c r="QDP49" s="76"/>
      <c r="QDQ49" s="76"/>
      <c r="QDR49" s="76"/>
      <c r="QDS49" s="76"/>
      <c r="QDT49" s="76"/>
      <c r="QDU49" s="76"/>
      <c r="QDV49" s="76"/>
      <c r="QDW49" s="76"/>
      <c r="QDX49" s="76"/>
      <c r="QDY49" s="76"/>
      <c r="QDZ49" s="76"/>
      <c r="QEA49" s="76"/>
      <c r="QEB49" s="76"/>
      <c r="QEC49" s="76"/>
      <c r="QED49" s="76"/>
      <c r="QEE49" s="76"/>
      <c r="QEF49" s="76"/>
      <c r="QEG49" s="76"/>
      <c r="QEH49" s="76"/>
      <c r="QEI49" s="76"/>
      <c r="QEJ49" s="76"/>
      <c r="QEK49" s="76"/>
      <c r="QEL49" s="76"/>
      <c r="QEM49" s="76"/>
      <c r="QEN49" s="76"/>
      <c r="QEO49" s="76"/>
      <c r="QEP49" s="76"/>
      <c r="QEQ49" s="76"/>
      <c r="QER49" s="76"/>
      <c r="QES49" s="76"/>
      <c r="QET49" s="76"/>
      <c r="QEU49" s="76"/>
      <c r="QEV49" s="76"/>
      <c r="QEW49" s="76"/>
      <c r="QEX49" s="76"/>
      <c r="QEY49" s="76"/>
      <c r="QEZ49" s="76"/>
      <c r="QFA49" s="76"/>
      <c r="QFB49" s="76"/>
      <c r="QFC49" s="76"/>
      <c r="QFD49" s="76"/>
      <c r="QFE49" s="76"/>
      <c r="QFF49" s="76"/>
      <c r="QFG49" s="76"/>
      <c r="QFH49" s="76"/>
      <c r="QFI49" s="76"/>
      <c r="QFJ49" s="76"/>
      <c r="QFK49" s="76"/>
      <c r="QFL49" s="76"/>
      <c r="QFM49" s="76"/>
      <c r="QFN49" s="76"/>
      <c r="QFO49" s="76"/>
      <c r="QFP49" s="76"/>
      <c r="QFQ49" s="76"/>
      <c r="QFR49" s="76"/>
      <c r="QFS49" s="76"/>
      <c r="QFT49" s="76"/>
      <c r="QFU49" s="76"/>
      <c r="QFV49" s="76"/>
      <c r="QFW49" s="76"/>
      <c r="QFX49" s="76"/>
      <c r="QFY49" s="76"/>
      <c r="QFZ49" s="76"/>
      <c r="QGA49" s="76"/>
      <c r="QGB49" s="76"/>
      <c r="QGC49" s="76"/>
      <c r="QGD49" s="76"/>
      <c r="QGE49" s="76"/>
      <c r="QGF49" s="76"/>
      <c r="QGG49" s="76"/>
      <c r="QGH49" s="76"/>
      <c r="QGI49" s="76"/>
      <c r="QGJ49" s="76"/>
      <c r="QGK49" s="76"/>
      <c r="QGL49" s="76"/>
      <c r="QGM49" s="76"/>
      <c r="QGN49" s="76"/>
      <c r="QGO49" s="76"/>
      <c r="QGP49" s="76"/>
      <c r="QGQ49" s="76"/>
      <c r="QGR49" s="76"/>
      <c r="QGS49" s="76"/>
      <c r="QGT49" s="76"/>
      <c r="QGU49" s="76"/>
      <c r="QGV49" s="76"/>
      <c r="QGW49" s="76"/>
      <c r="QGX49" s="76"/>
      <c r="QGY49" s="76"/>
      <c r="QGZ49" s="76"/>
      <c r="QHA49" s="76"/>
      <c r="QHB49" s="76"/>
      <c r="QHC49" s="76"/>
      <c r="QHD49" s="76"/>
      <c r="QHE49" s="76"/>
      <c r="QHF49" s="76"/>
      <c r="QHG49" s="76"/>
      <c r="QHH49" s="76"/>
      <c r="QHI49" s="76"/>
      <c r="QHJ49" s="76"/>
      <c r="QHK49" s="76"/>
      <c r="QHL49" s="76"/>
      <c r="QHM49" s="76"/>
      <c r="QHN49" s="76"/>
      <c r="QHO49" s="76"/>
      <c r="QHP49" s="76"/>
      <c r="QHQ49" s="76"/>
      <c r="QHR49" s="76"/>
      <c r="QHS49" s="76"/>
      <c r="QHT49" s="76"/>
      <c r="QHU49" s="76"/>
      <c r="QHV49" s="76"/>
      <c r="QHW49" s="76"/>
      <c r="QHX49" s="76"/>
      <c r="QHY49" s="76"/>
      <c r="QHZ49" s="76"/>
      <c r="QIA49" s="76"/>
      <c r="QIB49" s="76"/>
      <c r="QIC49" s="76"/>
      <c r="QID49" s="76"/>
      <c r="QIE49" s="76"/>
      <c r="QIF49" s="76"/>
      <c r="QIG49" s="76"/>
      <c r="QIH49" s="76"/>
      <c r="QII49" s="76"/>
      <c r="QIJ49" s="76"/>
      <c r="QIK49" s="76"/>
      <c r="QIL49" s="76"/>
      <c r="QIM49" s="76"/>
      <c r="QIN49" s="76"/>
      <c r="QIO49" s="76"/>
      <c r="QIP49" s="76"/>
      <c r="QIQ49" s="76"/>
      <c r="QIR49" s="76"/>
      <c r="QIS49" s="76"/>
      <c r="QIT49" s="76"/>
      <c r="QIU49" s="76"/>
      <c r="QIV49" s="76"/>
      <c r="QIW49" s="76"/>
      <c r="QIX49" s="76"/>
      <c r="QIY49" s="76"/>
      <c r="QIZ49" s="76"/>
      <c r="QJA49" s="76"/>
      <c r="QJB49" s="76"/>
      <c r="QJC49" s="76"/>
      <c r="QJD49" s="76"/>
      <c r="QJE49" s="76"/>
      <c r="QJF49" s="76"/>
      <c r="QJG49" s="76"/>
      <c r="QJH49" s="76"/>
      <c r="QJI49" s="76"/>
      <c r="QJJ49" s="76"/>
      <c r="QJK49" s="76"/>
      <c r="QJL49" s="76"/>
      <c r="QJM49" s="76"/>
      <c r="QJN49" s="76"/>
      <c r="QJO49" s="76"/>
      <c r="QJP49" s="76"/>
      <c r="QJQ49" s="76"/>
      <c r="QJR49" s="76"/>
      <c r="QJS49" s="76"/>
      <c r="QJT49" s="76"/>
      <c r="QJU49" s="76"/>
      <c r="QJV49" s="76"/>
      <c r="QJW49" s="76"/>
      <c r="QJX49" s="76"/>
      <c r="QJY49" s="76"/>
      <c r="QJZ49" s="76"/>
      <c r="QKA49" s="76"/>
      <c r="QKB49" s="76"/>
      <c r="QKC49" s="76"/>
      <c r="QKD49" s="76"/>
      <c r="QKE49" s="76"/>
      <c r="QKF49" s="76"/>
      <c r="QKG49" s="76"/>
      <c r="QKH49" s="76"/>
      <c r="QKI49" s="76"/>
      <c r="QKJ49" s="76"/>
      <c r="QKK49" s="76"/>
      <c r="QKL49" s="76"/>
      <c r="QKM49" s="76"/>
      <c r="QKN49" s="76"/>
      <c r="QKO49" s="76"/>
      <c r="QKP49" s="76"/>
      <c r="QKQ49" s="76"/>
      <c r="QKR49" s="76"/>
      <c r="QKS49" s="76"/>
      <c r="QKT49" s="76"/>
      <c r="QKU49" s="76"/>
      <c r="QKV49" s="76"/>
      <c r="QKW49" s="76"/>
      <c r="QKX49" s="76"/>
      <c r="QKY49" s="76"/>
      <c r="QKZ49" s="76"/>
      <c r="QLA49" s="76"/>
      <c r="QLB49" s="76"/>
      <c r="QLC49" s="76"/>
      <c r="QLD49" s="76"/>
      <c r="QLE49" s="76"/>
      <c r="QLF49" s="76"/>
      <c r="QLG49" s="76"/>
      <c r="QLH49" s="76"/>
      <c r="QLI49" s="76"/>
      <c r="QLJ49" s="76"/>
      <c r="QLK49" s="76"/>
      <c r="QLL49" s="76"/>
      <c r="QLM49" s="76"/>
      <c r="QLN49" s="76"/>
      <c r="QLO49" s="76"/>
      <c r="QLP49" s="76"/>
      <c r="QLQ49" s="76"/>
      <c r="QLR49" s="76"/>
      <c r="QLS49" s="76"/>
      <c r="QLT49" s="76"/>
      <c r="QLU49" s="76"/>
      <c r="QLV49" s="76"/>
      <c r="QLW49" s="76"/>
      <c r="QLX49" s="76"/>
      <c r="QLY49" s="76"/>
      <c r="QLZ49" s="76"/>
      <c r="QMA49" s="76"/>
      <c r="QMB49" s="76"/>
      <c r="QMC49" s="76"/>
      <c r="QMD49" s="76"/>
      <c r="QME49" s="76"/>
      <c r="QMF49" s="76"/>
      <c r="QMG49" s="76"/>
      <c r="QMH49" s="76"/>
      <c r="QMI49" s="76"/>
      <c r="QMJ49" s="76"/>
      <c r="QMK49" s="76"/>
      <c r="QML49" s="76"/>
      <c r="QMM49" s="76"/>
      <c r="QMN49" s="76"/>
      <c r="QMO49" s="76"/>
      <c r="QMP49" s="76"/>
      <c r="QMQ49" s="76"/>
      <c r="QMR49" s="76"/>
      <c r="QMS49" s="76"/>
      <c r="QMT49" s="76"/>
      <c r="QMU49" s="76"/>
      <c r="QMV49" s="76"/>
      <c r="QMW49" s="76"/>
      <c r="QMX49" s="76"/>
      <c r="QMY49" s="76"/>
      <c r="QMZ49" s="76"/>
      <c r="QNA49" s="76"/>
      <c r="QNB49" s="76"/>
      <c r="QNC49" s="76"/>
      <c r="QND49" s="76"/>
      <c r="QNE49" s="76"/>
      <c r="QNF49" s="76"/>
      <c r="QNG49" s="76"/>
      <c r="QNH49" s="76"/>
      <c r="QNI49" s="76"/>
      <c r="QNJ49" s="76"/>
      <c r="QNK49" s="76"/>
      <c r="QNL49" s="76"/>
      <c r="QNM49" s="76"/>
      <c r="QNN49" s="76"/>
      <c r="QNO49" s="76"/>
      <c r="QNP49" s="76"/>
      <c r="QNQ49" s="76"/>
      <c r="QNR49" s="76"/>
      <c r="QNS49" s="76"/>
      <c r="QNT49" s="76"/>
      <c r="QNU49" s="76"/>
      <c r="QNV49" s="76"/>
      <c r="QNW49" s="76"/>
      <c r="QNX49" s="76"/>
      <c r="QNY49" s="76"/>
      <c r="QNZ49" s="76"/>
      <c r="QOA49" s="76"/>
      <c r="QOB49" s="76"/>
      <c r="QOC49" s="76"/>
      <c r="QOD49" s="76"/>
      <c r="QOE49" s="76"/>
      <c r="QOF49" s="76"/>
      <c r="QOG49" s="76"/>
      <c r="QOH49" s="76"/>
      <c r="QOI49" s="76"/>
      <c r="QOJ49" s="76"/>
      <c r="QOK49" s="76"/>
      <c r="QOL49" s="76"/>
      <c r="QOM49" s="76"/>
      <c r="QON49" s="76"/>
      <c r="QOO49" s="76"/>
      <c r="QOP49" s="76"/>
      <c r="QOQ49" s="76"/>
      <c r="QOR49" s="76"/>
      <c r="QOS49" s="76"/>
      <c r="QOT49" s="76"/>
      <c r="QOU49" s="76"/>
      <c r="QOV49" s="76"/>
      <c r="QOW49" s="76"/>
      <c r="QOX49" s="76"/>
      <c r="QOY49" s="76"/>
      <c r="QOZ49" s="76"/>
      <c r="QPA49" s="76"/>
      <c r="QPB49" s="76"/>
      <c r="QPC49" s="76"/>
      <c r="QPD49" s="76"/>
      <c r="QPE49" s="76"/>
      <c r="QPF49" s="76"/>
      <c r="QPG49" s="76"/>
      <c r="QPH49" s="76"/>
      <c r="QPI49" s="76"/>
      <c r="QPJ49" s="76"/>
      <c r="QPK49" s="76"/>
      <c r="QPL49" s="76"/>
      <c r="QPM49" s="76"/>
      <c r="QPN49" s="76"/>
      <c r="QPO49" s="76"/>
      <c r="QPP49" s="76"/>
      <c r="QPQ49" s="76"/>
      <c r="QPR49" s="76"/>
      <c r="QPS49" s="76"/>
      <c r="QPT49" s="76"/>
      <c r="QPU49" s="76"/>
      <c r="QPV49" s="76"/>
      <c r="QPW49" s="76"/>
      <c r="QPX49" s="76"/>
      <c r="QPY49" s="76"/>
      <c r="QPZ49" s="76"/>
      <c r="QQA49" s="76"/>
      <c r="QQB49" s="76"/>
      <c r="QQC49" s="76"/>
      <c r="QQD49" s="76"/>
      <c r="QQE49" s="76"/>
      <c r="QQF49" s="76"/>
      <c r="QQG49" s="76"/>
      <c r="QQH49" s="76"/>
      <c r="QQI49" s="76"/>
      <c r="QQJ49" s="76"/>
      <c r="QQK49" s="76"/>
      <c r="QQL49" s="76"/>
      <c r="QQM49" s="76"/>
      <c r="QQN49" s="76"/>
      <c r="QQO49" s="76"/>
      <c r="QQP49" s="76"/>
      <c r="QQQ49" s="76"/>
      <c r="QQR49" s="76"/>
      <c r="QQS49" s="76"/>
      <c r="QQT49" s="76"/>
      <c r="QQU49" s="76"/>
      <c r="QQV49" s="76"/>
      <c r="QQW49" s="76"/>
      <c r="QQX49" s="76"/>
      <c r="QQY49" s="76"/>
      <c r="QQZ49" s="76"/>
      <c r="QRA49" s="76"/>
      <c r="QRB49" s="76"/>
      <c r="QRC49" s="76"/>
      <c r="QRD49" s="76"/>
      <c r="QRE49" s="76"/>
      <c r="QRF49" s="76"/>
      <c r="QRG49" s="76"/>
      <c r="QRH49" s="76"/>
      <c r="QRI49" s="76"/>
      <c r="QRJ49" s="76"/>
      <c r="QRK49" s="76"/>
      <c r="QRL49" s="76"/>
      <c r="QRM49" s="76"/>
      <c r="QRN49" s="76"/>
      <c r="QRO49" s="76"/>
      <c r="QRP49" s="76"/>
      <c r="QRQ49" s="76"/>
      <c r="QRR49" s="76"/>
      <c r="QRS49" s="76"/>
      <c r="QRT49" s="76"/>
      <c r="QRU49" s="76"/>
      <c r="QRV49" s="76"/>
      <c r="QRW49" s="76"/>
      <c r="QRX49" s="76"/>
      <c r="QRY49" s="76"/>
      <c r="QRZ49" s="76"/>
      <c r="QSA49" s="76"/>
      <c r="QSB49" s="76"/>
      <c r="QSC49" s="76"/>
      <c r="QSD49" s="76"/>
      <c r="QSE49" s="76"/>
      <c r="QSF49" s="76"/>
      <c r="QSG49" s="76"/>
      <c r="QSH49" s="76"/>
      <c r="QSI49" s="76"/>
      <c r="QSJ49" s="76"/>
      <c r="QSK49" s="76"/>
      <c r="QSL49" s="76"/>
      <c r="QSM49" s="76"/>
      <c r="QSN49" s="76"/>
      <c r="QSO49" s="76"/>
      <c r="QSP49" s="76"/>
      <c r="QSQ49" s="76"/>
      <c r="QSR49" s="76"/>
      <c r="QSS49" s="76"/>
      <c r="QST49" s="76"/>
      <c r="QSU49" s="76"/>
      <c r="QSV49" s="76"/>
      <c r="QSW49" s="76"/>
      <c r="QSX49" s="76"/>
      <c r="QSY49" s="76"/>
      <c r="QSZ49" s="76"/>
      <c r="QTA49" s="76"/>
      <c r="QTB49" s="76"/>
      <c r="QTC49" s="76"/>
      <c r="QTD49" s="76"/>
      <c r="QTE49" s="76"/>
      <c r="QTF49" s="76"/>
      <c r="QTG49" s="76"/>
      <c r="QTH49" s="76"/>
      <c r="QTI49" s="76"/>
      <c r="QTJ49" s="76"/>
      <c r="QTK49" s="76"/>
      <c r="QTL49" s="76"/>
      <c r="QTM49" s="76"/>
      <c r="QTN49" s="76"/>
      <c r="QTO49" s="76"/>
      <c r="QTP49" s="76"/>
      <c r="QTQ49" s="76"/>
      <c r="QTR49" s="76"/>
      <c r="QTS49" s="76"/>
      <c r="QTT49" s="76"/>
      <c r="QTU49" s="76"/>
      <c r="QTV49" s="76"/>
      <c r="QTW49" s="76"/>
      <c r="QTX49" s="76"/>
      <c r="QTY49" s="76"/>
      <c r="QTZ49" s="76"/>
      <c r="QUA49" s="76"/>
      <c r="QUB49" s="76"/>
      <c r="QUC49" s="76"/>
      <c r="QUD49" s="76"/>
      <c r="QUE49" s="76"/>
      <c r="QUF49" s="76"/>
      <c r="QUG49" s="76"/>
      <c r="QUH49" s="76"/>
      <c r="QUI49" s="76"/>
      <c r="QUJ49" s="76"/>
      <c r="QUK49" s="76"/>
      <c r="QUL49" s="76"/>
      <c r="QUM49" s="76"/>
      <c r="QUN49" s="76"/>
      <c r="QUO49" s="76"/>
      <c r="QUP49" s="76"/>
      <c r="QUQ49" s="76"/>
      <c r="QUR49" s="76"/>
      <c r="QUS49" s="76"/>
      <c r="QUT49" s="76"/>
      <c r="QUU49" s="76"/>
      <c r="QUV49" s="76"/>
      <c r="QUW49" s="76"/>
      <c r="QUX49" s="76"/>
      <c r="QUY49" s="76"/>
      <c r="QUZ49" s="76"/>
      <c r="QVA49" s="76"/>
      <c r="QVB49" s="76"/>
      <c r="QVC49" s="76"/>
      <c r="QVD49" s="76"/>
      <c r="QVE49" s="76"/>
      <c r="QVF49" s="76"/>
      <c r="QVG49" s="76"/>
      <c r="QVH49" s="76"/>
      <c r="QVI49" s="76"/>
      <c r="QVJ49" s="76"/>
      <c r="QVK49" s="76"/>
      <c r="QVL49" s="76"/>
      <c r="QVM49" s="76"/>
      <c r="QVN49" s="76"/>
      <c r="QVO49" s="76"/>
      <c r="QVP49" s="76"/>
      <c r="QVQ49" s="76"/>
      <c r="QVR49" s="76"/>
      <c r="QVS49" s="76"/>
      <c r="QVT49" s="76"/>
      <c r="QVU49" s="76"/>
      <c r="QVV49" s="76"/>
      <c r="QVW49" s="76"/>
      <c r="QVX49" s="76"/>
      <c r="QVY49" s="76"/>
      <c r="QVZ49" s="76"/>
      <c r="QWA49" s="76"/>
      <c r="QWB49" s="76"/>
      <c r="QWC49" s="76"/>
      <c r="QWD49" s="76"/>
      <c r="QWE49" s="76"/>
      <c r="QWF49" s="76"/>
      <c r="QWG49" s="76"/>
      <c r="QWH49" s="76"/>
      <c r="QWI49" s="76"/>
      <c r="QWJ49" s="76"/>
      <c r="QWK49" s="76"/>
      <c r="QWL49" s="76"/>
      <c r="QWM49" s="76"/>
      <c r="QWN49" s="76"/>
      <c r="QWO49" s="76"/>
      <c r="QWP49" s="76"/>
      <c r="QWQ49" s="76"/>
      <c r="QWR49" s="76"/>
      <c r="QWS49" s="76"/>
      <c r="QWT49" s="76"/>
      <c r="QWU49" s="76"/>
      <c r="QWV49" s="76"/>
      <c r="QWW49" s="76"/>
      <c r="QWX49" s="76"/>
      <c r="QWY49" s="76"/>
      <c r="QWZ49" s="76"/>
      <c r="QXA49" s="76"/>
      <c r="QXB49" s="76"/>
      <c r="QXC49" s="76"/>
      <c r="QXD49" s="76"/>
      <c r="QXE49" s="76"/>
      <c r="QXF49" s="76"/>
      <c r="QXG49" s="76"/>
      <c r="QXH49" s="76"/>
      <c r="QXI49" s="76"/>
      <c r="QXJ49" s="76"/>
      <c r="QXK49" s="76"/>
      <c r="QXL49" s="76"/>
      <c r="QXM49" s="76"/>
      <c r="QXN49" s="76"/>
      <c r="QXO49" s="76"/>
      <c r="QXP49" s="76"/>
      <c r="QXQ49" s="76"/>
      <c r="QXR49" s="76"/>
      <c r="QXS49" s="76"/>
      <c r="QXT49" s="76"/>
      <c r="QXU49" s="76"/>
      <c r="QXV49" s="76"/>
      <c r="QXW49" s="76"/>
      <c r="QXX49" s="76"/>
      <c r="QXY49" s="76"/>
      <c r="QXZ49" s="76"/>
      <c r="QYA49" s="76"/>
      <c r="QYB49" s="76"/>
      <c r="QYC49" s="76"/>
      <c r="QYD49" s="76"/>
      <c r="QYE49" s="76"/>
      <c r="QYF49" s="76"/>
      <c r="QYG49" s="76"/>
      <c r="QYH49" s="76"/>
      <c r="QYI49" s="76"/>
      <c r="QYJ49" s="76"/>
      <c r="QYK49" s="76"/>
      <c r="QYL49" s="76"/>
      <c r="QYM49" s="76"/>
      <c r="QYN49" s="76"/>
      <c r="QYO49" s="76"/>
      <c r="QYP49" s="76"/>
      <c r="QYQ49" s="76"/>
      <c r="QYR49" s="76"/>
      <c r="QYS49" s="76"/>
      <c r="QYT49" s="76"/>
      <c r="QYU49" s="76"/>
      <c r="QYV49" s="76"/>
      <c r="QYW49" s="76"/>
      <c r="QYX49" s="76"/>
      <c r="QYY49" s="76"/>
      <c r="QYZ49" s="76"/>
      <c r="QZA49" s="76"/>
      <c r="QZB49" s="76"/>
      <c r="QZC49" s="76"/>
      <c r="QZD49" s="76"/>
      <c r="QZE49" s="76"/>
      <c r="QZF49" s="76"/>
      <c r="QZG49" s="76"/>
      <c r="QZH49" s="76"/>
      <c r="QZI49" s="76"/>
      <c r="QZJ49" s="76"/>
      <c r="QZK49" s="76"/>
      <c r="QZL49" s="76"/>
      <c r="QZM49" s="76"/>
      <c r="QZN49" s="76"/>
      <c r="QZO49" s="76"/>
      <c r="QZP49" s="76"/>
      <c r="QZQ49" s="76"/>
      <c r="QZR49" s="76"/>
      <c r="QZS49" s="76"/>
      <c r="QZT49" s="76"/>
      <c r="QZU49" s="76"/>
      <c r="QZV49" s="76"/>
      <c r="QZW49" s="76"/>
      <c r="QZX49" s="76"/>
      <c r="QZY49" s="76"/>
      <c r="QZZ49" s="76"/>
      <c r="RAA49" s="76"/>
      <c r="RAB49" s="76"/>
      <c r="RAC49" s="76"/>
      <c r="RAD49" s="76"/>
      <c r="RAE49" s="76"/>
      <c r="RAF49" s="76"/>
      <c r="RAG49" s="76"/>
      <c r="RAH49" s="76"/>
      <c r="RAI49" s="76"/>
      <c r="RAJ49" s="76"/>
      <c r="RAK49" s="76"/>
      <c r="RAL49" s="76"/>
      <c r="RAM49" s="76"/>
      <c r="RAN49" s="76"/>
      <c r="RAO49" s="76"/>
      <c r="RAP49" s="76"/>
      <c r="RAQ49" s="76"/>
      <c r="RAR49" s="76"/>
      <c r="RAS49" s="76"/>
      <c r="RAT49" s="76"/>
      <c r="RAU49" s="76"/>
      <c r="RAV49" s="76"/>
      <c r="RAW49" s="76"/>
      <c r="RAX49" s="76"/>
      <c r="RAY49" s="76"/>
      <c r="RAZ49" s="76"/>
      <c r="RBA49" s="76"/>
      <c r="RBB49" s="76"/>
      <c r="RBC49" s="76"/>
      <c r="RBD49" s="76"/>
      <c r="RBE49" s="76"/>
      <c r="RBF49" s="76"/>
      <c r="RBG49" s="76"/>
      <c r="RBH49" s="76"/>
      <c r="RBI49" s="76"/>
      <c r="RBJ49" s="76"/>
      <c r="RBK49" s="76"/>
      <c r="RBL49" s="76"/>
      <c r="RBM49" s="76"/>
      <c r="RBN49" s="76"/>
      <c r="RBO49" s="76"/>
      <c r="RBP49" s="76"/>
      <c r="RBQ49" s="76"/>
      <c r="RBR49" s="76"/>
      <c r="RBS49" s="76"/>
      <c r="RBT49" s="76"/>
      <c r="RBU49" s="76"/>
      <c r="RBV49" s="76"/>
      <c r="RBW49" s="76"/>
      <c r="RBX49" s="76"/>
      <c r="RBY49" s="76"/>
      <c r="RBZ49" s="76"/>
      <c r="RCA49" s="76"/>
      <c r="RCB49" s="76"/>
      <c r="RCC49" s="76"/>
      <c r="RCD49" s="76"/>
      <c r="RCE49" s="76"/>
      <c r="RCF49" s="76"/>
      <c r="RCG49" s="76"/>
      <c r="RCH49" s="76"/>
      <c r="RCI49" s="76"/>
      <c r="RCJ49" s="76"/>
      <c r="RCK49" s="76"/>
      <c r="RCL49" s="76"/>
      <c r="RCM49" s="76"/>
      <c r="RCN49" s="76"/>
      <c r="RCO49" s="76"/>
      <c r="RCP49" s="76"/>
      <c r="RCQ49" s="76"/>
      <c r="RCR49" s="76"/>
      <c r="RCS49" s="76"/>
      <c r="RCT49" s="76"/>
      <c r="RCU49" s="76"/>
      <c r="RCV49" s="76"/>
      <c r="RCW49" s="76"/>
      <c r="RCX49" s="76"/>
      <c r="RCY49" s="76"/>
      <c r="RCZ49" s="76"/>
      <c r="RDA49" s="76"/>
      <c r="RDB49" s="76"/>
      <c r="RDC49" s="76"/>
      <c r="RDD49" s="76"/>
      <c r="RDE49" s="76"/>
      <c r="RDF49" s="76"/>
      <c r="RDG49" s="76"/>
      <c r="RDH49" s="76"/>
      <c r="RDI49" s="76"/>
      <c r="RDJ49" s="76"/>
      <c r="RDK49" s="76"/>
      <c r="RDL49" s="76"/>
      <c r="RDM49" s="76"/>
      <c r="RDN49" s="76"/>
      <c r="RDO49" s="76"/>
      <c r="RDP49" s="76"/>
      <c r="RDQ49" s="76"/>
      <c r="RDR49" s="76"/>
      <c r="RDS49" s="76"/>
      <c r="RDT49" s="76"/>
      <c r="RDU49" s="76"/>
      <c r="RDV49" s="76"/>
      <c r="RDW49" s="76"/>
      <c r="RDX49" s="76"/>
      <c r="RDY49" s="76"/>
      <c r="RDZ49" s="76"/>
      <c r="REA49" s="76"/>
      <c r="REB49" s="76"/>
      <c r="REC49" s="76"/>
      <c r="RED49" s="76"/>
      <c r="REE49" s="76"/>
      <c r="REF49" s="76"/>
      <c r="REG49" s="76"/>
      <c r="REH49" s="76"/>
      <c r="REI49" s="76"/>
      <c r="REJ49" s="76"/>
      <c r="REK49" s="76"/>
      <c r="REL49" s="76"/>
      <c r="REM49" s="76"/>
      <c r="REN49" s="76"/>
      <c r="REO49" s="76"/>
      <c r="REP49" s="76"/>
      <c r="REQ49" s="76"/>
      <c r="RER49" s="76"/>
      <c r="RES49" s="76"/>
      <c r="RET49" s="76"/>
      <c r="REU49" s="76"/>
      <c r="REV49" s="76"/>
      <c r="REW49" s="76"/>
      <c r="REX49" s="76"/>
      <c r="REY49" s="76"/>
      <c r="REZ49" s="76"/>
      <c r="RFA49" s="76"/>
      <c r="RFB49" s="76"/>
      <c r="RFC49" s="76"/>
      <c r="RFD49" s="76"/>
      <c r="RFE49" s="76"/>
      <c r="RFF49" s="76"/>
      <c r="RFG49" s="76"/>
      <c r="RFH49" s="76"/>
      <c r="RFI49" s="76"/>
      <c r="RFJ49" s="76"/>
      <c r="RFK49" s="76"/>
      <c r="RFL49" s="76"/>
      <c r="RFM49" s="76"/>
      <c r="RFN49" s="76"/>
      <c r="RFO49" s="76"/>
      <c r="RFP49" s="76"/>
      <c r="RFQ49" s="76"/>
      <c r="RFR49" s="76"/>
      <c r="RFS49" s="76"/>
      <c r="RFT49" s="76"/>
      <c r="RFU49" s="76"/>
      <c r="RFV49" s="76"/>
      <c r="RFW49" s="76"/>
      <c r="RFX49" s="76"/>
      <c r="RFY49" s="76"/>
      <c r="RFZ49" s="76"/>
      <c r="RGA49" s="76"/>
      <c r="RGB49" s="76"/>
      <c r="RGC49" s="76"/>
      <c r="RGD49" s="76"/>
      <c r="RGE49" s="76"/>
      <c r="RGF49" s="76"/>
      <c r="RGG49" s="76"/>
      <c r="RGH49" s="76"/>
      <c r="RGI49" s="76"/>
      <c r="RGJ49" s="76"/>
      <c r="RGK49" s="76"/>
      <c r="RGL49" s="76"/>
      <c r="RGM49" s="76"/>
      <c r="RGN49" s="76"/>
      <c r="RGO49" s="76"/>
      <c r="RGP49" s="76"/>
      <c r="RGQ49" s="76"/>
      <c r="RGR49" s="76"/>
      <c r="RGS49" s="76"/>
      <c r="RGT49" s="76"/>
      <c r="RGU49" s="76"/>
      <c r="RGV49" s="76"/>
      <c r="RGW49" s="76"/>
      <c r="RGX49" s="76"/>
      <c r="RGY49" s="76"/>
      <c r="RGZ49" s="76"/>
      <c r="RHA49" s="76"/>
      <c r="RHB49" s="76"/>
      <c r="RHC49" s="76"/>
      <c r="RHD49" s="76"/>
      <c r="RHE49" s="76"/>
      <c r="RHF49" s="76"/>
      <c r="RHG49" s="76"/>
      <c r="RHH49" s="76"/>
      <c r="RHI49" s="76"/>
      <c r="RHJ49" s="76"/>
      <c r="RHK49" s="76"/>
      <c r="RHL49" s="76"/>
      <c r="RHM49" s="76"/>
      <c r="RHN49" s="76"/>
      <c r="RHO49" s="76"/>
      <c r="RHP49" s="76"/>
      <c r="RHQ49" s="76"/>
      <c r="RHR49" s="76"/>
      <c r="RHS49" s="76"/>
      <c r="RHT49" s="76"/>
      <c r="RHU49" s="76"/>
      <c r="RHV49" s="76"/>
      <c r="RHW49" s="76"/>
      <c r="RHX49" s="76"/>
      <c r="RHY49" s="76"/>
      <c r="RHZ49" s="76"/>
      <c r="RIA49" s="76"/>
      <c r="RIB49" s="76"/>
      <c r="RIC49" s="76"/>
      <c r="RID49" s="76"/>
      <c r="RIE49" s="76"/>
      <c r="RIF49" s="76"/>
      <c r="RIG49" s="76"/>
      <c r="RIH49" s="76"/>
      <c r="RII49" s="76"/>
      <c r="RIJ49" s="76"/>
      <c r="RIK49" s="76"/>
      <c r="RIL49" s="76"/>
      <c r="RIM49" s="76"/>
      <c r="RIN49" s="76"/>
      <c r="RIO49" s="76"/>
      <c r="RIP49" s="76"/>
      <c r="RIQ49" s="76"/>
      <c r="RIR49" s="76"/>
      <c r="RIS49" s="76"/>
      <c r="RIT49" s="76"/>
      <c r="RIU49" s="76"/>
      <c r="RIV49" s="76"/>
      <c r="RIW49" s="76"/>
      <c r="RIX49" s="76"/>
      <c r="RIY49" s="76"/>
      <c r="RIZ49" s="76"/>
      <c r="RJA49" s="76"/>
      <c r="RJB49" s="76"/>
      <c r="RJC49" s="76"/>
      <c r="RJD49" s="76"/>
      <c r="RJE49" s="76"/>
      <c r="RJF49" s="76"/>
      <c r="RJG49" s="76"/>
      <c r="RJH49" s="76"/>
      <c r="RJI49" s="76"/>
      <c r="RJJ49" s="76"/>
      <c r="RJK49" s="76"/>
      <c r="RJL49" s="76"/>
      <c r="RJM49" s="76"/>
      <c r="RJN49" s="76"/>
      <c r="RJO49" s="76"/>
      <c r="RJP49" s="76"/>
      <c r="RJQ49" s="76"/>
      <c r="RJR49" s="76"/>
      <c r="RJS49" s="76"/>
      <c r="RJT49" s="76"/>
      <c r="RJU49" s="76"/>
      <c r="RJV49" s="76"/>
      <c r="RJW49" s="76"/>
      <c r="RJX49" s="76"/>
      <c r="RJY49" s="76"/>
      <c r="RJZ49" s="76"/>
      <c r="RKA49" s="76"/>
      <c r="RKB49" s="76"/>
      <c r="RKC49" s="76"/>
      <c r="RKD49" s="76"/>
      <c r="RKE49" s="76"/>
      <c r="RKF49" s="76"/>
      <c r="RKG49" s="76"/>
      <c r="RKH49" s="76"/>
      <c r="RKI49" s="76"/>
      <c r="RKJ49" s="76"/>
      <c r="RKK49" s="76"/>
      <c r="RKL49" s="76"/>
      <c r="RKM49" s="76"/>
      <c r="RKN49" s="76"/>
      <c r="RKO49" s="76"/>
      <c r="RKP49" s="76"/>
      <c r="RKQ49" s="76"/>
      <c r="RKR49" s="76"/>
      <c r="RKS49" s="76"/>
      <c r="RKT49" s="76"/>
      <c r="RKU49" s="76"/>
      <c r="RKV49" s="76"/>
      <c r="RKW49" s="76"/>
      <c r="RKX49" s="76"/>
      <c r="RKY49" s="76"/>
      <c r="RKZ49" s="76"/>
      <c r="RLA49" s="76"/>
      <c r="RLB49" s="76"/>
      <c r="RLC49" s="76"/>
      <c r="RLD49" s="76"/>
      <c r="RLE49" s="76"/>
      <c r="RLF49" s="76"/>
      <c r="RLG49" s="76"/>
      <c r="RLH49" s="76"/>
      <c r="RLI49" s="76"/>
      <c r="RLJ49" s="76"/>
      <c r="RLK49" s="76"/>
      <c r="RLL49" s="76"/>
      <c r="RLM49" s="76"/>
      <c r="RLN49" s="76"/>
      <c r="RLO49" s="76"/>
      <c r="RLP49" s="76"/>
      <c r="RLQ49" s="76"/>
      <c r="RLR49" s="76"/>
      <c r="RLS49" s="76"/>
      <c r="RLT49" s="76"/>
      <c r="RLU49" s="76"/>
      <c r="RLV49" s="76"/>
      <c r="RLW49" s="76"/>
      <c r="RLX49" s="76"/>
      <c r="RLY49" s="76"/>
      <c r="RLZ49" s="76"/>
      <c r="RMA49" s="76"/>
      <c r="RMB49" s="76"/>
      <c r="RMC49" s="76"/>
      <c r="RMD49" s="76"/>
      <c r="RME49" s="76"/>
      <c r="RMF49" s="76"/>
      <c r="RMG49" s="76"/>
      <c r="RMH49" s="76"/>
      <c r="RMI49" s="76"/>
      <c r="RMJ49" s="76"/>
      <c r="RMK49" s="76"/>
      <c r="RML49" s="76"/>
      <c r="RMM49" s="76"/>
      <c r="RMN49" s="76"/>
      <c r="RMO49" s="76"/>
      <c r="RMP49" s="76"/>
      <c r="RMQ49" s="76"/>
      <c r="RMR49" s="76"/>
      <c r="RMS49" s="76"/>
      <c r="RMT49" s="76"/>
      <c r="RMU49" s="76"/>
      <c r="RMV49" s="76"/>
      <c r="RMW49" s="76"/>
      <c r="RMX49" s="76"/>
      <c r="RMY49" s="76"/>
      <c r="RMZ49" s="76"/>
      <c r="RNA49" s="76"/>
      <c r="RNB49" s="76"/>
      <c r="RNC49" s="76"/>
      <c r="RND49" s="76"/>
      <c r="RNE49" s="76"/>
      <c r="RNF49" s="76"/>
      <c r="RNG49" s="76"/>
      <c r="RNH49" s="76"/>
      <c r="RNI49" s="76"/>
      <c r="RNJ49" s="76"/>
      <c r="RNK49" s="76"/>
      <c r="RNL49" s="76"/>
      <c r="RNM49" s="76"/>
      <c r="RNN49" s="76"/>
      <c r="RNO49" s="76"/>
      <c r="RNP49" s="76"/>
      <c r="RNQ49" s="76"/>
      <c r="RNR49" s="76"/>
      <c r="RNS49" s="76"/>
      <c r="RNT49" s="76"/>
      <c r="RNU49" s="76"/>
      <c r="RNV49" s="76"/>
      <c r="RNW49" s="76"/>
      <c r="RNX49" s="76"/>
      <c r="RNY49" s="76"/>
      <c r="RNZ49" s="76"/>
      <c r="ROA49" s="76"/>
      <c r="ROB49" s="76"/>
      <c r="ROC49" s="76"/>
      <c r="ROD49" s="76"/>
      <c r="ROE49" s="76"/>
      <c r="ROF49" s="76"/>
      <c r="ROG49" s="76"/>
      <c r="ROH49" s="76"/>
      <c r="ROI49" s="76"/>
      <c r="ROJ49" s="76"/>
      <c r="ROK49" s="76"/>
      <c r="ROL49" s="76"/>
      <c r="ROM49" s="76"/>
      <c r="RON49" s="76"/>
      <c r="ROO49" s="76"/>
      <c r="ROP49" s="76"/>
      <c r="ROQ49" s="76"/>
      <c r="ROR49" s="76"/>
      <c r="ROS49" s="76"/>
      <c r="ROT49" s="76"/>
      <c r="ROU49" s="76"/>
      <c r="ROV49" s="76"/>
      <c r="ROW49" s="76"/>
      <c r="ROX49" s="76"/>
      <c r="ROY49" s="76"/>
      <c r="ROZ49" s="76"/>
      <c r="RPA49" s="76"/>
      <c r="RPB49" s="76"/>
      <c r="RPC49" s="76"/>
      <c r="RPD49" s="76"/>
      <c r="RPE49" s="76"/>
      <c r="RPF49" s="76"/>
      <c r="RPG49" s="76"/>
      <c r="RPH49" s="76"/>
      <c r="RPI49" s="76"/>
      <c r="RPJ49" s="76"/>
      <c r="RPK49" s="76"/>
      <c r="RPL49" s="76"/>
      <c r="RPM49" s="76"/>
      <c r="RPN49" s="76"/>
      <c r="RPO49" s="76"/>
      <c r="RPP49" s="76"/>
      <c r="RPQ49" s="76"/>
      <c r="RPR49" s="76"/>
      <c r="RPS49" s="76"/>
      <c r="RPT49" s="76"/>
      <c r="RPU49" s="76"/>
      <c r="RPV49" s="76"/>
      <c r="RPW49" s="76"/>
      <c r="RPX49" s="76"/>
      <c r="RPY49" s="76"/>
      <c r="RPZ49" s="76"/>
      <c r="RQA49" s="76"/>
      <c r="RQB49" s="76"/>
      <c r="RQC49" s="76"/>
      <c r="RQD49" s="76"/>
      <c r="RQE49" s="76"/>
      <c r="RQF49" s="76"/>
      <c r="RQG49" s="76"/>
      <c r="RQH49" s="76"/>
      <c r="RQI49" s="76"/>
      <c r="RQJ49" s="76"/>
      <c r="RQK49" s="76"/>
      <c r="RQL49" s="76"/>
      <c r="RQM49" s="76"/>
      <c r="RQN49" s="76"/>
      <c r="RQO49" s="76"/>
      <c r="RQP49" s="76"/>
      <c r="RQQ49" s="76"/>
      <c r="RQR49" s="76"/>
      <c r="RQS49" s="76"/>
      <c r="RQT49" s="76"/>
      <c r="RQU49" s="76"/>
      <c r="RQV49" s="76"/>
      <c r="RQW49" s="76"/>
      <c r="RQX49" s="76"/>
      <c r="RQY49" s="76"/>
      <c r="RQZ49" s="76"/>
      <c r="RRA49" s="76"/>
      <c r="RRB49" s="76"/>
      <c r="RRC49" s="76"/>
      <c r="RRD49" s="76"/>
      <c r="RRE49" s="76"/>
      <c r="RRF49" s="76"/>
      <c r="RRG49" s="76"/>
      <c r="RRH49" s="76"/>
      <c r="RRI49" s="76"/>
      <c r="RRJ49" s="76"/>
      <c r="RRK49" s="76"/>
      <c r="RRL49" s="76"/>
      <c r="RRM49" s="76"/>
      <c r="RRN49" s="76"/>
      <c r="RRO49" s="76"/>
      <c r="RRP49" s="76"/>
      <c r="RRQ49" s="76"/>
      <c r="RRR49" s="76"/>
      <c r="RRS49" s="76"/>
      <c r="RRT49" s="76"/>
      <c r="RRU49" s="76"/>
      <c r="RRV49" s="76"/>
      <c r="RRW49" s="76"/>
      <c r="RRX49" s="76"/>
      <c r="RRY49" s="76"/>
      <c r="RRZ49" s="76"/>
      <c r="RSA49" s="76"/>
      <c r="RSB49" s="76"/>
      <c r="RSC49" s="76"/>
      <c r="RSD49" s="76"/>
      <c r="RSE49" s="76"/>
      <c r="RSF49" s="76"/>
      <c r="RSG49" s="76"/>
      <c r="RSH49" s="76"/>
      <c r="RSI49" s="76"/>
      <c r="RSJ49" s="76"/>
      <c r="RSK49" s="76"/>
      <c r="RSL49" s="76"/>
      <c r="RSM49" s="76"/>
      <c r="RSN49" s="76"/>
      <c r="RSO49" s="76"/>
      <c r="RSP49" s="76"/>
      <c r="RSQ49" s="76"/>
      <c r="RSR49" s="76"/>
      <c r="RSS49" s="76"/>
      <c r="RST49" s="76"/>
      <c r="RSU49" s="76"/>
      <c r="RSV49" s="76"/>
      <c r="RSW49" s="76"/>
      <c r="RSX49" s="76"/>
      <c r="RSY49" s="76"/>
      <c r="RSZ49" s="76"/>
      <c r="RTA49" s="76"/>
      <c r="RTB49" s="76"/>
      <c r="RTC49" s="76"/>
      <c r="RTD49" s="76"/>
      <c r="RTE49" s="76"/>
      <c r="RTF49" s="76"/>
      <c r="RTG49" s="76"/>
      <c r="RTH49" s="76"/>
      <c r="RTI49" s="76"/>
      <c r="RTJ49" s="76"/>
      <c r="RTK49" s="76"/>
      <c r="RTL49" s="76"/>
      <c r="RTM49" s="76"/>
      <c r="RTN49" s="76"/>
      <c r="RTO49" s="76"/>
      <c r="RTP49" s="76"/>
      <c r="RTQ49" s="76"/>
      <c r="RTR49" s="76"/>
      <c r="RTS49" s="76"/>
      <c r="RTT49" s="76"/>
      <c r="RTU49" s="76"/>
      <c r="RTV49" s="76"/>
      <c r="RTW49" s="76"/>
      <c r="RTX49" s="76"/>
      <c r="RTY49" s="76"/>
      <c r="RTZ49" s="76"/>
      <c r="RUA49" s="76"/>
      <c r="RUB49" s="76"/>
      <c r="RUC49" s="76"/>
      <c r="RUD49" s="76"/>
      <c r="RUE49" s="76"/>
      <c r="RUF49" s="76"/>
      <c r="RUG49" s="76"/>
      <c r="RUH49" s="76"/>
      <c r="RUI49" s="76"/>
      <c r="RUJ49" s="76"/>
      <c r="RUK49" s="76"/>
      <c r="RUL49" s="76"/>
      <c r="RUM49" s="76"/>
      <c r="RUN49" s="76"/>
      <c r="RUO49" s="76"/>
      <c r="RUP49" s="76"/>
      <c r="RUQ49" s="76"/>
      <c r="RUR49" s="76"/>
      <c r="RUS49" s="76"/>
      <c r="RUT49" s="76"/>
      <c r="RUU49" s="76"/>
      <c r="RUV49" s="76"/>
      <c r="RUW49" s="76"/>
      <c r="RUX49" s="76"/>
      <c r="RUY49" s="76"/>
      <c r="RUZ49" s="76"/>
      <c r="RVA49" s="76"/>
      <c r="RVB49" s="76"/>
      <c r="RVC49" s="76"/>
      <c r="RVD49" s="76"/>
      <c r="RVE49" s="76"/>
      <c r="RVF49" s="76"/>
      <c r="RVG49" s="76"/>
      <c r="RVH49" s="76"/>
      <c r="RVI49" s="76"/>
      <c r="RVJ49" s="76"/>
      <c r="RVK49" s="76"/>
      <c r="RVL49" s="76"/>
      <c r="RVM49" s="76"/>
      <c r="RVN49" s="76"/>
      <c r="RVO49" s="76"/>
      <c r="RVP49" s="76"/>
      <c r="RVQ49" s="76"/>
      <c r="RVR49" s="76"/>
      <c r="RVS49" s="76"/>
      <c r="RVT49" s="76"/>
      <c r="RVU49" s="76"/>
      <c r="RVV49" s="76"/>
      <c r="RVW49" s="76"/>
      <c r="RVX49" s="76"/>
      <c r="RVY49" s="76"/>
      <c r="RVZ49" s="76"/>
      <c r="RWA49" s="76"/>
      <c r="RWB49" s="76"/>
      <c r="RWC49" s="76"/>
      <c r="RWD49" s="76"/>
      <c r="RWE49" s="76"/>
      <c r="RWF49" s="76"/>
      <c r="RWG49" s="76"/>
      <c r="RWH49" s="76"/>
      <c r="RWI49" s="76"/>
      <c r="RWJ49" s="76"/>
      <c r="RWK49" s="76"/>
      <c r="RWL49" s="76"/>
      <c r="RWM49" s="76"/>
      <c r="RWN49" s="76"/>
      <c r="RWO49" s="76"/>
      <c r="RWP49" s="76"/>
      <c r="RWQ49" s="76"/>
      <c r="RWR49" s="76"/>
      <c r="RWS49" s="76"/>
      <c r="RWT49" s="76"/>
      <c r="RWU49" s="76"/>
      <c r="RWV49" s="76"/>
      <c r="RWW49" s="76"/>
      <c r="RWX49" s="76"/>
      <c r="RWY49" s="76"/>
      <c r="RWZ49" s="76"/>
      <c r="RXA49" s="76"/>
      <c r="RXB49" s="76"/>
      <c r="RXC49" s="76"/>
      <c r="RXD49" s="76"/>
      <c r="RXE49" s="76"/>
      <c r="RXF49" s="76"/>
      <c r="RXG49" s="76"/>
      <c r="RXH49" s="76"/>
      <c r="RXI49" s="76"/>
      <c r="RXJ49" s="76"/>
      <c r="RXK49" s="76"/>
      <c r="RXL49" s="76"/>
      <c r="RXM49" s="76"/>
      <c r="RXN49" s="76"/>
      <c r="RXO49" s="76"/>
      <c r="RXP49" s="76"/>
      <c r="RXQ49" s="76"/>
      <c r="RXR49" s="76"/>
      <c r="RXS49" s="76"/>
      <c r="RXT49" s="76"/>
      <c r="RXU49" s="76"/>
      <c r="RXV49" s="76"/>
      <c r="RXW49" s="76"/>
      <c r="RXX49" s="76"/>
      <c r="RXY49" s="76"/>
      <c r="RXZ49" s="76"/>
      <c r="RYA49" s="76"/>
      <c r="RYB49" s="76"/>
      <c r="RYC49" s="76"/>
      <c r="RYD49" s="76"/>
      <c r="RYE49" s="76"/>
      <c r="RYF49" s="76"/>
      <c r="RYG49" s="76"/>
      <c r="RYH49" s="76"/>
      <c r="RYI49" s="76"/>
      <c r="RYJ49" s="76"/>
      <c r="RYK49" s="76"/>
      <c r="RYL49" s="76"/>
      <c r="RYM49" s="76"/>
      <c r="RYN49" s="76"/>
      <c r="RYO49" s="76"/>
      <c r="RYP49" s="76"/>
      <c r="RYQ49" s="76"/>
      <c r="RYR49" s="76"/>
      <c r="RYS49" s="76"/>
      <c r="RYT49" s="76"/>
      <c r="RYU49" s="76"/>
      <c r="RYV49" s="76"/>
      <c r="RYW49" s="76"/>
      <c r="RYX49" s="76"/>
      <c r="RYY49" s="76"/>
      <c r="RYZ49" s="76"/>
      <c r="RZA49" s="76"/>
      <c r="RZB49" s="76"/>
      <c r="RZC49" s="76"/>
      <c r="RZD49" s="76"/>
      <c r="RZE49" s="76"/>
      <c r="RZF49" s="76"/>
      <c r="RZG49" s="76"/>
      <c r="RZH49" s="76"/>
      <c r="RZI49" s="76"/>
      <c r="RZJ49" s="76"/>
      <c r="RZK49" s="76"/>
      <c r="RZL49" s="76"/>
      <c r="RZM49" s="76"/>
      <c r="RZN49" s="76"/>
      <c r="RZO49" s="76"/>
      <c r="RZP49" s="76"/>
      <c r="RZQ49" s="76"/>
      <c r="RZR49" s="76"/>
      <c r="RZS49" s="76"/>
      <c r="RZT49" s="76"/>
      <c r="RZU49" s="76"/>
      <c r="RZV49" s="76"/>
      <c r="RZW49" s="76"/>
      <c r="RZX49" s="76"/>
      <c r="RZY49" s="76"/>
      <c r="RZZ49" s="76"/>
      <c r="SAA49" s="76"/>
      <c r="SAB49" s="76"/>
      <c r="SAC49" s="76"/>
      <c r="SAD49" s="76"/>
      <c r="SAE49" s="76"/>
      <c r="SAF49" s="76"/>
      <c r="SAG49" s="76"/>
      <c r="SAH49" s="76"/>
      <c r="SAI49" s="76"/>
      <c r="SAJ49" s="76"/>
      <c r="SAK49" s="76"/>
      <c r="SAL49" s="76"/>
      <c r="SAM49" s="76"/>
      <c r="SAN49" s="76"/>
      <c r="SAO49" s="76"/>
      <c r="SAP49" s="76"/>
      <c r="SAQ49" s="76"/>
      <c r="SAR49" s="76"/>
      <c r="SAS49" s="76"/>
      <c r="SAT49" s="76"/>
      <c r="SAU49" s="76"/>
      <c r="SAV49" s="76"/>
      <c r="SAW49" s="76"/>
      <c r="SAX49" s="76"/>
      <c r="SAY49" s="76"/>
      <c r="SAZ49" s="76"/>
      <c r="SBA49" s="76"/>
      <c r="SBB49" s="76"/>
      <c r="SBC49" s="76"/>
      <c r="SBD49" s="76"/>
      <c r="SBE49" s="76"/>
      <c r="SBF49" s="76"/>
      <c r="SBG49" s="76"/>
      <c r="SBH49" s="76"/>
      <c r="SBI49" s="76"/>
      <c r="SBJ49" s="76"/>
      <c r="SBK49" s="76"/>
      <c r="SBL49" s="76"/>
      <c r="SBM49" s="76"/>
      <c r="SBN49" s="76"/>
      <c r="SBO49" s="76"/>
      <c r="SBP49" s="76"/>
      <c r="SBQ49" s="76"/>
      <c r="SBR49" s="76"/>
      <c r="SBS49" s="76"/>
      <c r="SBT49" s="76"/>
      <c r="SBU49" s="76"/>
      <c r="SBV49" s="76"/>
      <c r="SBW49" s="76"/>
      <c r="SBX49" s="76"/>
      <c r="SBY49" s="76"/>
      <c r="SBZ49" s="76"/>
      <c r="SCA49" s="76"/>
      <c r="SCB49" s="76"/>
      <c r="SCC49" s="76"/>
      <c r="SCD49" s="76"/>
      <c r="SCE49" s="76"/>
      <c r="SCF49" s="76"/>
      <c r="SCG49" s="76"/>
      <c r="SCH49" s="76"/>
      <c r="SCI49" s="76"/>
      <c r="SCJ49" s="76"/>
      <c r="SCK49" s="76"/>
      <c r="SCL49" s="76"/>
      <c r="SCM49" s="76"/>
      <c r="SCN49" s="76"/>
      <c r="SCO49" s="76"/>
      <c r="SCP49" s="76"/>
      <c r="SCQ49" s="76"/>
      <c r="SCR49" s="76"/>
      <c r="SCS49" s="76"/>
      <c r="SCT49" s="76"/>
      <c r="SCU49" s="76"/>
      <c r="SCV49" s="76"/>
      <c r="SCW49" s="76"/>
      <c r="SCX49" s="76"/>
      <c r="SCY49" s="76"/>
      <c r="SCZ49" s="76"/>
      <c r="SDA49" s="76"/>
      <c r="SDB49" s="76"/>
      <c r="SDC49" s="76"/>
      <c r="SDD49" s="76"/>
      <c r="SDE49" s="76"/>
      <c r="SDF49" s="76"/>
      <c r="SDG49" s="76"/>
      <c r="SDH49" s="76"/>
      <c r="SDI49" s="76"/>
      <c r="SDJ49" s="76"/>
      <c r="SDK49" s="76"/>
      <c r="SDL49" s="76"/>
      <c r="SDM49" s="76"/>
      <c r="SDN49" s="76"/>
      <c r="SDO49" s="76"/>
      <c r="SDP49" s="76"/>
      <c r="SDQ49" s="76"/>
      <c r="SDR49" s="76"/>
      <c r="SDS49" s="76"/>
      <c r="SDT49" s="76"/>
      <c r="SDU49" s="76"/>
      <c r="SDV49" s="76"/>
      <c r="SDW49" s="76"/>
      <c r="SDX49" s="76"/>
      <c r="SDY49" s="76"/>
      <c r="SDZ49" s="76"/>
      <c r="SEA49" s="76"/>
      <c r="SEB49" s="76"/>
      <c r="SEC49" s="76"/>
      <c r="SED49" s="76"/>
      <c r="SEE49" s="76"/>
      <c r="SEF49" s="76"/>
      <c r="SEG49" s="76"/>
      <c r="SEH49" s="76"/>
      <c r="SEI49" s="76"/>
      <c r="SEJ49" s="76"/>
      <c r="SEK49" s="76"/>
      <c r="SEL49" s="76"/>
      <c r="SEM49" s="76"/>
      <c r="SEN49" s="76"/>
      <c r="SEO49" s="76"/>
      <c r="SEP49" s="76"/>
      <c r="SEQ49" s="76"/>
      <c r="SER49" s="76"/>
      <c r="SES49" s="76"/>
      <c r="SET49" s="76"/>
      <c r="SEU49" s="76"/>
      <c r="SEV49" s="76"/>
      <c r="SEW49" s="76"/>
      <c r="SEX49" s="76"/>
      <c r="SEY49" s="76"/>
      <c r="SEZ49" s="76"/>
      <c r="SFA49" s="76"/>
      <c r="SFB49" s="76"/>
      <c r="SFC49" s="76"/>
      <c r="SFD49" s="76"/>
      <c r="SFE49" s="76"/>
      <c r="SFF49" s="76"/>
      <c r="SFG49" s="76"/>
      <c r="SFH49" s="76"/>
      <c r="SFI49" s="76"/>
      <c r="SFJ49" s="76"/>
      <c r="SFK49" s="76"/>
      <c r="SFL49" s="76"/>
      <c r="SFM49" s="76"/>
      <c r="SFN49" s="76"/>
      <c r="SFO49" s="76"/>
      <c r="SFP49" s="76"/>
      <c r="SFQ49" s="76"/>
      <c r="SFR49" s="76"/>
      <c r="SFS49" s="76"/>
      <c r="SFT49" s="76"/>
      <c r="SFU49" s="76"/>
      <c r="SFV49" s="76"/>
      <c r="SFW49" s="76"/>
      <c r="SFX49" s="76"/>
      <c r="SFY49" s="76"/>
      <c r="SFZ49" s="76"/>
      <c r="SGA49" s="76"/>
      <c r="SGB49" s="76"/>
      <c r="SGC49" s="76"/>
      <c r="SGD49" s="76"/>
      <c r="SGE49" s="76"/>
      <c r="SGF49" s="76"/>
      <c r="SGG49" s="76"/>
      <c r="SGH49" s="76"/>
      <c r="SGI49" s="76"/>
      <c r="SGJ49" s="76"/>
      <c r="SGK49" s="76"/>
      <c r="SGL49" s="76"/>
      <c r="SGM49" s="76"/>
      <c r="SGN49" s="76"/>
      <c r="SGO49" s="76"/>
      <c r="SGP49" s="76"/>
      <c r="SGQ49" s="76"/>
      <c r="SGR49" s="76"/>
      <c r="SGS49" s="76"/>
      <c r="SGT49" s="76"/>
      <c r="SGU49" s="76"/>
      <c r="SGV49" s="76"/>
      <c r="SGW49" s="76"/>
      <c r="SGX49" s="76"/>
      <c r="SGY49" s="76"/>
      <c r="SGZ49" s="76"/>
      <c r="SHA49" s="76"/>
      <c r="SHB49" s="76"/>
      <c r="SHC49" s="76"/>
      <c r="SHD49" s="76"/>
      <c r="SHE49" s="76"/>
      <c r="SHF49" s="76"/>
      <c r="SHG49" s="76"/>
      <c r="SHH49" s="76"/>
      <c r="SHI49" s="76"/>
      <c r="SHJ49" s="76"/>
      <c r="SHK49" s="76"/>
      <c r="SHL49" s="76"/>
      <c r="SHM49" s="76"/>
      <c r="SHN49" s="76"/>
      <c r="SHO49" s="76"/>
      <c r="SHP49" s="76"/>
      <c r="SHQ49" s="76"/>
      <c r="SHR49" s="76"/>
      <c r="SHS49" s="76"/>
      <c r="SHT49" s="76"/>
      <c r="SHU49" s="76"/>
      <c r="SHV49" s="76"/>
      <c r="SHW49" s="76"/>
      <c r="SHX49" s="76"/>
      <c r="SHY49" s="76"/>
      <c r="SHZ49" s="76"/>
      <c r="SIA49" s="76"/>
      <c r="SIB49" s="76"/>
      <c r="SIC49" s="76"/>
      <c r="SID49" s="76"/>
      <c r="SIE49" s="76"/>
      <c r="SIF49" s="76"/>
      <c r="SIG49" s="76"/>
      <c r="SIH49" s="76"/>
      <c r="SII49" s="76"/>
      <c r="SIJ49" s="76"/>
      <c r="SIK49" s="76"/>
      <c r="SIL49" s="76"/>
      <c r="SIM49" s="76"/>
      <c r="SIN49" s="76"/>
      <c r="SIO49" s="76"/>
      <c r="SIP49" s="76"/>
      <c r="SIQ49" s="76"/>
      <c r="SIR49" s="76"/>
      <c r="SIS49" s="76"/>
      <c r="SIT49" s="76"/>
      <c r="SIU49" s="76"/>
      <c r="SIV49" s="76"/>
      <c r="SIW49" s="76"/>
      <c r="SIX49" s="76"/>
      <c r="SIY49" s="76"/>
      <c r="SIZ49" s="76"/>
      <c r="SJA49" s="76"/>
      <c r="SJB49" s="76"/>
      <c r="SJC49" s="76"/>
      <c r="SJD49" s="76"/>
      <c r="SJE49" s="76"/>
      <c r="SJF49" s="76"/>
      <c r="SJG49" s="76"/>
      <c r="SJH49" s="76"/>
      <c r="SJI49" s="76"/>
      <c r="SJJ49" s="76"/>
      <c r="SJK49" s="76"/>
      <c r="SJL49" s="76"/>
      <c r="SJM49" s="76"/>
      <c r="SJN49" s="76"/>
      <c r="SJO49" s="76"/>
      <c r="SJP49" s="76"/>
      <c r="SJQ49" s="76"/>
      <c r="SJR49" s="76"/>
      <c r="SJS49" s="76"/>
      <c r="SJT49" s="76"/>
      <c r="SJU49" s="76"/>
      <c r="SJV49" s="76"/>
      <c r="SJW49" s="76"/>
      <c r="SJX49" s="76"/>
      <c r="SJY49" s="76"/>
      <c r="SJZ49" s="76"/>
      <c r="SKA49" s="76"/>
      <c r="SKB49" s="76"/>
      <c r="SKC49" s="76"/>
      <c r="SKD49" s="76"/>
      <c r="SKE49" s="76"/>
      <c r="SKF49" s="76"/>
      <c r="SKG49" s="76"/>
      <c r="SKH49" s="76"/>
      <c r="SKI49" s="76"/>
      <c r="SKJ49" s="76"/>
      <c r="SKK49" s="76"/>
      <c r="SKL49" s="76"/>
      <c r="SKM49" s="76"/>
      <c r="SKN49" s="76"/>
      <c r="SKO49" s="76"/>
      <c r="SKP49" s="76"/>
      <c r="SKQ49" s="76"/>
      <c r="SKR49" s="76"/>
      <c r="SKS49" s="76"/>
      <c r="SKT49" s="76"/>
      <c r="SKU49" s="76"/>
      <c r="SKV49" s="76"/>
      <c r="SKW49" s="76"/>
      <c r="SKX49" s="76"/>
      <c r="SKY49" s="76"/>
      <c r="SKZ49" s="76"/>
      <c r="SLA49" s="76"/>
      <c r="SLB49" s="76"/>
      <c r="SLC49" s="76"/>
      <c r="SLD49" s="76"/>
      <c r="SLE49" s="76"/>
      <c r="SLF49" s="76"/>
      <c r="SLG49" s="76"/>
      <c r="SLH49" s="76"/>
      <c r="SLI49" s="76"/>
      <c r="SLJ49" s="76"/>
      <c r="SLK49" s="76"/>
      <c r="SLL49" s="76"/>
      <c r="SLM49" s="76"/>
      <c r="SLN49" s="76"/>
      <c r="SLO49" s="76"/>
      <c r="SLP49" s="76"/>
      <c r="SLQ49" s="76"/>
      <c r="SLR49" s="76"/>
      <c r="SLS49" s="76"/>
      <c r="SLT49" s="76"/>
      <c r="SLU49" s="76"/>
      <c r="SLV49" s="76"/>
      <c r="SLW49" s="76"/>
      <c r="SLX49" s="76"/>
      <c r="SLY49" s="76"/>
      <c r="SLZ49" s="76"/>
      <c r="SMA49" s="76"/>
      <c r="SMB49" s="76"/>
      <c r="SMC49" s="76"/>
      <c r="SMD49" s="76"/>
      <c r="SME49" s="76"/>
      <c r="SMF49" s="76"/>
      <c r="SMG49" s="76"/>
      <c r="SMH49" s="76"/>
      <c r="SMI49" s="76"/>
      <c r="SMJ49" s="76"/>
      <c r="SMK49" s="76"/>
      <c r="SML49" s="76"/>
      <c r="SMM49" s="76"/>
      <c r="SMN49" s="76"/>
      <c r="SMO49" s="76"/>
      <c r="SMP49" s="76"/>
      <c r="SMQ49" s="76"/>
      <c r="SMR49" s="76"/>
      <c r="SMS49" s="76"/>
      <c r="SMT49" s="76"/>
      <c r="SMU49" s="76"/>
      <c r="SMV49" s="76"/>
      <c r="SMW49" s="76"/>
      <c r="SMX49" s="76"/>
      <c r="SMY49" s="76"/>
      <c r="SMZ49" s="76"/>
      <c r="SNA49" s="76"/>
      <c r="SNB49" s="76"/>
      <c r="SNC49" s="76"/>
      <c r="SND49" s="76"/>
      <c r="SNE49" s="76"/>
      <c r="SNF49" s="76"/>
      <c r="SNG49" s="76"/>
      <c r="SNH49" s="76"/>
      <c r="SNI49" s="76"/>
      <c r="SNJ49" s="76"/>
      <c r="SNK49" s="76"/>
      <c r="SNL49" s="76"/>
      <c r="SNM49" s="76"/>
      <c r="SNN49" s="76"/>
      <c r="SNO49" s="76"/>
      <c r="SNP49" s="76"/>
      <c r="SNQ49" s="76"/>
      <c r="SNR49" s="76"/>
      <c r="SNS49" s="76"/>
      <c r="SNT49" s="76"/>
      <c r="SNU49" s="76"/>
      <c r="SNV49" s="76"/>
      <c r="SNW49" s="76"/>
      <c r="SNX49" s="76"/>
      <c r="SNY49" s="76"/>
      <c r="SNZ49" s="76"/>
      <c r="SOA49" s="76"/>
      <c r="SOB49" s="76"/>
      <c r="SOC49" s="76"/>
      <c r="SOD49" s="76"/>
      <c r="SOE49" s="76"/>
      <c r="SOF49" s="76"/>
      <c r="SOG49" s="76"/>
      <c r="SOH49" s="76"/>
      <c r="SOI49" s="76"/>
      <c r="SOJ49" s="76"/>
      <c r="SOK49" s="76"/>
      <c r="SOL49" s="76"/>
      <c r="SOM49" s="76"/>
      <c r="SON49" s="76"/>
      <c r="SOO49" s="76"/>
      <c r="SOP49" s="76"/>
      <c r="SOQ49" s="76"/>
      <c r="SOR49" s="76"/>
      <c r="SOS49" s="76"/>
      <c r="SOT49" s="76"/>
      <c r="SOU49" s="76"/>
      <c r="SOV49" s="76"/>
      <c r="SOW49" s="76"/>
      <c r="SOX49" s="76"/>
      <c r="SOY49" s="76"/>
      <c r="SOZ49" s="76"/>
      <c r="SPA49" s="76"/>
      <c r="SPB49" s="76"/>
      <c r="SPC49" s="76"/>
      <c r="SPD49" s="76"/>
      <c r="SPE49" s="76"/>
      <c r="SPF49" s="76"/>
      <c r="SPG49" s="76"/>
      <c r="SPH49" s="76"/>
      <c r="SPI49" s="76"/>
      <c r="SPJ49" s="76"/>
      <c r="SPK49" s="76"/>
      <c r="SPL49" s="76"/>
      <c r="SPM49" s="76"/>
      <c r="SPN49" s="76"/>
      <c r="SPO49" s="76"/>
      <c r="SPP49" s="76"/>
      <c r="SPQ49" s="76"/>
      <c r="SPR49" s="76"/>
      <c r="SPS49" s="76"/>
      <c r="SPT49" s="76"/>
      <c r="SPU49" s="76"/>
      <c r="SPV49" s="76"/>
      <c r="SPW49" s="76"/>
      <c r="SPX49" s="76"/>
      <c r="SPY49" s="76"/>
      <c r="SPZ49" s="76"/>
      <c r="SQA49" s="76"/>
      <c r="SQB49" s="76"/>
      <c r="SQC49" s="76"/>
      <c r="SQD49" s="76"/>
      <c r="SQE49" s="76"/>
      <c r="SQF49" s="76"/>
      <c r="SQG49" s="76"/>
      <c r="SQH49" s="76"/>
      <c r="SQI49" s="76"/>
      <c r="SQJ49" s="76"/>
      <c r="SQK49" s="76"/>
      <c r="SQL49" s="76"/>
      <c r="SQM49" s="76"/>
      <c r="SQN49" s="76"/>
      <c r="SQO49" s="76"/>
      <c r="SQP49" s="76"/>
      <c r="SQQ49" s="76"/>
      <c r="SQR49" s="76"/>
      <c r="SQS49" s="76"/>
      <c r="SQT49" s="76"/>
      <c r="SQU49" s="76"/>
      <c r="SQV49" s="76"/>
      <c r="SQW49" s="76"/>
      <c r="SQX49" s="76"/>
      <c r="SQY49" s="76"/>
      <c r="SQZ49" s="76"/>
      <c r="SRA49" s="76"/>
      <c r="SRB49" s="76"/>
      <c r="SRC49" s="76"/>
      <c r="SRD49" s="76"/>
      <c r="SRE49" s="76"/>
      <c r="SRF49" s="76"/>
      <c r="SRG49" s="76"/>
      <c r="SRH49" s="76"/>
      <c r="SRI49" s="76"/>
      <c r="SRJ49" s="76"/>
      <c r="SRK49" s="76"/>
      <c r="SRL49" s="76"/>
      <c r="SRM49" s="76"/>
      <c r="SRN49" s="76"/>
      <c r="SRO49" s="76"/>
      <c r="SRP49" s="76"/>
      <c r="SRQ49" s="76"/>
      <c r="SRR49" s="76"/>
      <c r="SRS49" s="76"/>
      <c r="SRT49" s="76"/>
      <c r="SRU49" s="76"/>
      <c r="SRV49" s="76"/>
      <c r="SRW49" s="76"/>
      <c r="SRX49" s="76"/>
      <c r="SRY49" s="76"/>
      <c r="SRZ49" s="76"/>
      <c r="SSA49" s="76"/>
      <c r="SSB49" s="76"/>
      <c r="SSC49" s="76"/>
      <c r="SSD49" s="76"/>
      <c r="SSE49" s="76"/>
      <c r="SSF49" s="76"/>
      <c r="SSG49" s="76"/>
      <c r="SSH49" s="76"/>
      <c r="SSI49" s="76"/>
      <c r="SSJ49" s="76"/>
      <c r="SSK49" s="76"/>
      <c r="SSL49" s="76"/>
      <c r="SSM49" s="76"/>
      <c r="SSN49" s="76"/>
      <c r="SSO49" s="76"/>
      <c r="SSP49" s="76"/>
      <c r="SSQ49" s="76"/>
      <c r="SSR49" s="76"/>
      <c r="SSS49" s="76"/>
      <c r="SST49" s="76"/>
      <c r="SSU49" s="76"/>
      <c r="SSV49" s="76"/>
      <c r="SSW49" s="76"/>
      <c r="SSX49" s="76"/>
      <c r="SSY49" s="76"/>
      <c r="SSZ49" s="76"/>
      <c r="STA49" s="76"/>
      <c r="STB49" s="76"/>
      <c r="STC49" s="76"/>
      <c r="STD49" s="76"/>
      <c r="STE49" s="76"/>
      <c r="STF49" s="76"/>
      <c r="STG49" s="76"/>
      <c r="STH49" s="76"/>
      <c r="STI49" s="76"/>
      <c r="STJ49" s="76"/>
      <c r="STK49" s="76"/>
      <c r="STL49" s="76"/>
      <c r="STM49" s="76"/>
      <c r="STN49" s="76"/>
      <c r="STO49" s="76"/>
      <c r="STP49" s="76"/>
      <c r="STQ49" s="76"/>
      <c r="STR49" s="76"/>
      <c r="STS49" s="76"/>
      <c r="STT49" s="76"/>
      <c r="STU49" s="76"/>
      <c r="STV49" s="76"/>
      <c r="STW49" s="76"/>
      <c r="STX49" s="76"/>
      <c r="STY49" s="76"/>
      <c r="STZ49" s="76"/>
      <c r="SUA49" s="76"/>
      <c r="SUB49" s="76"/>
      <c r="SUC49" s="76"/>
      <c r="SUD49" s="76"/>
      <c r="SUE49" s="76"/>
      <c r="SUF49" s="76"/>
      <c r="SUG49" s="76"/>
      <c r="SUH49" s="76"/>
      <c r="SUI49" s="76"/>
      <c r="SUJ49" s="76"/>
      <c r="SUK49" s="76"/>
      <c r="SUL49" s="76"/>
      <c r="SUM49" s="76"/>
      <c r="SUN49" s="76"/>
      <c r="SUO49" s="76"/>
      <c r="SUP49" s="76"/>
      <c r="SUQ49" s="76"/>
      <c r="SUR49" s="76"/>
      <c r="SUS49" s="76"/>
      <c r="SUT49" s="76"/>
      <c r="SUU49" s="76"/>
      <c r="SUV49" s="76"/>
      <c r="SUW49" s="76"/>
      <c r="SUX49" s="76"/>
      <c r="SUY49" s="76"/>
      <c r="SUZ49" s="76"/>
      <c r="SVA49" s="76"/>
      <c r="SVB49" s="76"/>
      <c r="SVC49" s="76"/>
      <c r="SVD49" s="76"/>
      <c r="SVE49" s="76"/>
      <c r="SVF49" s="76"/>
      <c r="SVG49" s="76"/>
      <c r="SVH49" s="76"/>
      <c r="SVI49" s="76"/>
      <c r="SVJ49" s="76"/>
      <c r="SVK49" s="76"/>
      <c r="SVL49" s="76"/>
      <c r="SVM49" s="76"/>
      <c r="SVN49" s="76"/>
      <c r="SVO49" s="76"/>
      <c r="SVP49" s="76"/>
      <c r="SVQ49" s="76"/>
      <c r="SVR49" s="76"/>
      <c r="SVS49" s="76"/>
      <c r="SVT49" s="76"/>
      <c r="SVU49" s="76"/>
      <c r="SVV49" s="76"/>
      <c r="SVW49" s="76"/>
      <c r="SVX49" s="76"/>
      <c r="SVY49" s="76"/>
      <c r="SVZ49" s="76"/>
      <c r="SWA49" s="76"/>
      <c r="SWB49" s="76"/>
      <c r="SWC49" s="76"/>
      <c r="SWD49" s="76"/>
      <c r="SWE49" s="76"/>
      <c r="SWF49" s="76"/>
      <c r="SWG49" s="76"/>
      <c r="SWH49" s="76"/>
      <c r="SWI49" s="76"/>
      <c r="SWJ49" s="76"/>
      <c r="SWK49" s="76"/>
      <c r="SWL49" s="76"/>
      <c r="SWM49" s="76"/>
      <c r="SWN49" s="76"/>
      <c r="SWO49" s="76"/>
      <c r="SWP49" s="76"/>
      <c r="SWQ49" s="76"/>
      <c r="SWR49" s="76"/>
      <c r="SWS49" s="76"/>
      <c r="SWT49" s="76"/>
      <c r="SWU49" s="76"/>
      <c r="SWV49" s="76"/>
      <c r="SWW49" s="76"/>
      <c r="SWX49" s="76"/>
      <c r="SWY49" s="76"/>
      <c r="SWZ49" s="76"/>
      <c r="SXA49" s="76"/>
      <c r="SXB49" s="76"/>
      <c r="SXC49" s="76"/>
      <c r="SXD49" s="76"/>
      <c r="SXE49" s="76"/>
      <c r="SXF49" s="76"/>
      <c r="SXG49" s="76"/>
      <c r="SXH49" s="76"/>
      <c r="SXI49" s="76"/>
      <c r="SXJ49" s="76"/>
      <c r="SXK49" s="76"/>
      <c r="SXL49" s="76"/>
      <c r="SXM49" s="76"/>
      <c r="SXN49" s="76"/>
      <c r="SXO49" s="76"/>
      <c r="SXP49" s="76"/>
      <c r="SXQ49" s="76"/>
      <c r="SXR49" s="76"/>
      <c r="SXS49" s="76"/>
      <c r="SXT49" s="76"/>
      <c r="SXU49" s="76"/>
      <c r="SXV49" s="76"/>
      <c r="SXW49" s="76"/>
      <c r="SXX49" s="76"/>
      <c r="SXY49" s="76"/>
      <c r="SXZ49" s="76"/>
      <c r="SYA49" s="76"/>
      <c r="SYB49" s="76"/>
      <c r="SYC49" s="76"/>
      <c r="SYD49" s="76"/>
      <c r="SYE49" s="76"/>
      <c r="SYF49" s="76"/>
      <c r="SYG49" s="76"/>
      <c r="SYH49" s="76"/>
      <c r="SYI49" s="76"/>
      <c r="SYJ49" s="76"/>
      <c r="SYK49" s="76"/>
      <c r="SYL49" s="76"/>
      <c r="SYM49" s="76"/>
      <c r="SYN49" s="76"/>
      <c r="SYO49" s="76"/>
      <c r="SYP49" s="76"/>
      <c r="SYQ49" s="76"/>
      <c r="SYR49" s="76"/>
      <c r="SYS49" s="76"/>
      <c r="SYT49" s="76"/>
      <c r="SYU49" s="76"/>
      <c r="SYV49" s="76"/>
      <c r="SYW49" s="76"/>
      <c r="SYX49" s="76"/>
      <c r="SYY49" s="76"/>
      <c r="SYZ49" s="76"/>
      <c r="SZA49" s="76"/>
      <c r="SZB49" s="76"/>
      <c r="SZC49" s="76"/>
      <c r="SZD49" s="76"/>
      <c r="SZE49" s="76"/>
      <c r="SZF49" s="76"/>
      <c r="SZG49" s="76"/>
      <c r="SZH49" s="76"/>
      <c r="SZI49" s="76"/>
      <c r="SZJ49" s="76"/>
      <c r="SZK49" s="76"/>
      <c r="SZL49" s="76"/>
      <c r="SZM49" s="76"/>
      <c r="SZN49" s="76"/>
      <c r="SZO49" s="76"/>
      <c r="SZP49" s="76"/>
      <c r="SZQ49" s="76"/>
      <c r="SZR49" s="76"/>
      <c r="SZS49" s="76"/>
      <c r="SZT49" s="76"/>
      <c r="SZU49" s="76"/>
      <c r="SZV49" s="76"/>
      <c r="SZW49" s="76"/>
      <c r="SZX49" s="76"/>
      <c r="SZY49" s="76"/>
      <c r="SZZ49" s="76"/>
      <c r="TAA49" s="76"/>
      <c r="TAB49" s="76"/>
      <c r="TAC49" s="76"/>
      <c r="TAD49" s="76"/>
      <c r="TAE49" s="76"/>
      <c r="TAF49" s="76"/>
      <c r="TAG49" s="76"/>
      <c r="TAH49" s="76"/>
      <c r="TAI49" s="76"/>
      <c r="TAJ49" s="76"/>
      <c r="TAK49" s="76"/>
      <c r="TAL49" s="76"/>
      <c r="TAM49" s="76"/>
      <c r="TAN49" s="76"/>
      <c r="TAO49" s="76"/>
      <c r="TAP49" s="76"/>
      <c r="TAQ49" s="76"/>
      <c r="TAR49" s="76"/>
      <c r="TAS49" s="76"/>
      <c r="TAT49" s="76"/>
      <c r="TAU49" s="76"/>
      <c r="TAV49" s="76"/>
      <c r="TAW49" s="76"/>
      <c r="TAX49" s="76"/>
      <c r="TAY49" s="76"/>
      <c r="TAZ49" s="76"/>
      <c r="TBA49" s="76"/>
      <c r="TBB49" s="76"/>
      <c r="TBC49" s="76"/>
      <c r="TBD49" s="76"/>
      <c r="TBE49" s="76"/>
      <c r="TBF49" s="76"/>
      <c r="TBG49" s="76"/>
      <c r="TBH49" s="76"/>
      <c r="TBI49" s="76"/>
      <c r="TBJ49" s="76"/>
      <c r="TBK49" s="76"/>
      <c r="TBL49" s="76"/>
      <c r="TBM49" s="76"/>
      <c r="TBN49" s="76"/>
      <c r="TBO49" s="76"/>
      <c r="TBP49" s="76"/>
      <c r="TBQ49" s="76"/>
      <c r="TBR49" s="76"/>
      <c r="TBS49" s="76"/>
      <c r="TBT49" s="76"/>
      <c r="TBU49" s="76"/>
      <c r="TBV49" s="76"/>
      <c r="TBW49" s="76"/>
      <c r="TBX49" s="76"/>
      <c r="TBY49" s="76"/>
      <c r="TBZ49" s="76"/>
      <c r="TCA49" s="76"/>
      <c r="TCB49" s="76"/>
      <c r="TCC49" s="76"/>
      <c r="TCD49" s="76"/>
      <c r="TCE49" s="76"/>
      <c r="TCF49" s="76"/>
      <c r="TCG49" s="76"/>
      <c r="TCH49" s="76"/>
      <c r="TCI49" s="76"/>
      <c r="TCJ49" s="76"/>
      <c r="TCK49" s="76"/>
      <c r="TCL49" s="76"/>
      <c r="TCM49" s="76"/>
      <c r="TCN49" s="76"/>
      <c r="TCO49" s="76"/>
      <c r="TCP49" s="76"/>
      <c r="TCQ49" s="76"/>
      <c r="TCR49" s="76"/>
      <c r="TCS49" s="76"/>
      <c r="TCT49" s="76"/>
      <c r="TCU49" s="76"/>
      <c r="TCV49" s="76"/>
      <c r="TCW49" s="76"/>
      <c r="TCX49" s="76"/>
      <c r="TCY49" s="76"/>
      <c r="TCZ49" s="76"/>
      <c r="TDA49" s="76"/>
      <c r="TDB49" s="76"/>
      <c r="TDC49" s="76"/>
      <c r="TDD49" s="76"/>
      <c r="TDE49" s="76"/>
      <c r="TDF49" s="76"/>
      <c r="TDG49" s="76"/>
      <c r="TDH49" s="76"/>
      <c r="TDI49" s="76"/>
      <c r="TDJ49" s="76"/>
      <c r="TDK49" s="76"/>
      <c r="TDL49" s="76"/>
      <c r="TDM49" s="76"/>
      <c r="TDN49" s="76"/>
      <c r="TDO49" s="76"/>
      <c r="TDP49" s="76"/>
      <c r="TDQ49" s="76"/>
      <c r="TDR49" s="76"/>
      <c r="TDS49" s="76"/>
      <c r="TDT49" s="76"/>
      <c r="TDU49" s="76"/>
      <c r="TDV49" s="76"/>
      <c r="TDW49" s="76"/>
      <c r="TDX49" s="76"/>
      <c r="TDY49" s="76"/>
      <c r="TDZ49" s="76"/>
      <c r="TEA49" s="76"/>
      <c r="TEB49" s="76"/>
      <c r="TEC49" s="76"/>
      <c r="TED49" s="76"/>
      <c r="TEE49" s="76"/>
      <c r="TEF49" s="76"/>
      <c r="TEG49" s="76"/>
      <c r="TEH49" s="76"/>
      <c r="TEI49" s="76"/>
      <c r="TEJ49" s="76"/>
      <c r="TEK49" s="76"/>
      <c r="TEL49" s="76"/>
      <c r="TEM49" s="76"/>
      <c r="TEN49" s="76"/>
      <c r="TEO49" s="76"/>
      <c r="TEP49" s="76"/>
      <c r="TEQ49" s="76"/>
      <c r="TER49" s="76"/>
      <c r="TES49" s="76"/>
      <c r="TET49" s="76"/>
      <c r="TEU49" s="76"/>
      <c r="TEV49" s="76"/>
      <c r="TEW49" s="76"/>
      <c r="TEX49" s="76"/>
      <c r="TEY49" s="76"/>
      <c r="TEZ49" s="76"/>
      <c r="TFA49" s="76"/>
      <c r="TFB49" s="76"/>
      <c r="TFC49" s="76"/>
      <c r="TFD49" s="76"/>
      <c r="TFE49" s="76"/>
      <c r="TFF49" s="76"/>
      <c r="TFG49" s="76"/>
      <c r="TFH49" s="76"/>
      <c r="TFI49" s="76"/>
      <c r="TFJ49" s="76"/>
      <c r="TFK49" s="76"/>
      <c r="TFL49" s="76"/>
      <c r="TFM49" s="76"/>
      <c r="TFN49" s="76"/>
      <c r="TFO49" s="76"/>
      <c r="TFP49" s="76"/>
      <c r="TFQ49" s="76"/>
      <c r="TFR49" s="76"/>
      <c r="TFS49" s="76"/>
      <c r="TFT49" s="76"/>
      <c r="TFU49" s="76"/>
      <c r="TFV49" s="76"/>
      <c r="TFW49" s="76"/>
      <c r="TFX49" s="76"/>
      <c r="TFY49" s="76"/>
      <c r="TFZ49" s="76"/>
      <c r="TGA49" s="76"/>
      <c r="TGB49" s="76"/>
      <c r="TGC49" s="76"/>
      <c r="TGD49" s="76"/>
      <c r="TGE49" s="76"/>
      <c r="TGF49" s="76"/>
      <c r="TGG49" s="76"/>
      <c r="TGH49" s="76"/>
      <c r="TGI49" s="76"/>
      <c r="TGJ49" s="76"/>
      <c r="TGK49" s="76"/>
      <c r="TGL49" s="76"/>
      <c r="TGM49" s="76"/>
      <c r="TGN49" s="76"/>
      <c r="TGO49" s="76"/>
      <c r="TGP49" s="76"/>
      <c r="TGQ49" s="76"/>
      <c r="TGR49" s="76"/>
      <c r="TGS49" s="76"/>
      <c r="TGT49" s="76"/>
      <c r="TGU49" s="76"/>
      <c r="TGV49" s="76"/>
      <c r="TGW49" s="76"/>
      <c r="TGX49" s="76"/>
      <c r="TGY49" s="76"/>
      <c r="TGZ49" s="76"/>
      <c r="THA49" s="76"/>
      <c r="THB49" s="76"/>
      <c r="THC49" s="76"/>
      <c r="THD49" s="76"/>
      <c r="THE49" s="76"/>
      <c r="THF49" s="76"/>
      <c r="THG49" s="76"/>
      <c r="THH49" s="76"/>
      <c r="THI49" s="76"/>
      <c r="THJ49" s="76"/>
      <c r="THK49" s="76"/>
      <c r="THL49" s="76"/>
      <c r="THM49" s="76"/>
      <c r="THN49" s="76"/>
      <c r="THO49" s="76"/>
      <c r="THP49" s="76"/>
      <c r="THQ49" s="76"/>
      <c r="THR49" s="76"/>
      <c r="THS49" s="76"/>
      <c r="THT49" s="76"/>
      <c r="THU49" s="76"/>
      <c r="THV49" s="76"/>
      <c r="THW49" s="76"/>
      <c r="THX49" s="76"/>
      <c r="THY49" s="76"/>
      <c r="THZ49" s="76"/>
      <c r="TIA49" s="76"/>
      <c r="TIB49" s="76"/>
      <c r="TIC49" s="76"/>
      <c r="TID49" s="76"/>
      <c r="TIE49" s="76"/>
      <c r="TIF49" s="76"/>
      <c r="TIG49" s="76"/>
      <c r="TIH49" s="76"/>
      <c r="TII49" s="76"/>
      <c r="TIJ49" s="76"/>
      <c r="TIK49" s="76"/>
      <c r="TIL49" s="76"/>
      <c r="TIM49" s="76"/>
      <c r="TIN49" s="76"/>
      <c r="TIO49" s="76"/>
      <c r="TIP49" s="76"/>
      <c r="TIQ49" s="76"/>
      <c r="TIR49" s="76"/>
      <c r="TIS49" s="76"/>
      <c r="TIT49" s="76"/>
      <c r="TIU49" s="76"/>
      <c r="TIV49" s="76"/>
      <c r="TIW49" s="76"/>
      <c r="TIX49" s="76"/>
      <c r="TIY49" s="76"/>
      <c r="TIZ49" s="76"/>
      <c r="TJA49" s="76"/>
      <c r="TJB49" s="76"/>
      <c r="TJC49" s="76"/>
      <c r="TJD49" s="76"/>
      <c r="TJE49" s="76"/>
      <c r="TJF49" s="76"/>
      <c r="TJG49" s="76"/>
      <c r="TJH49" s="76"/>
      <c r="TJI49" s="76"/>
      <c r="TJJ49" s="76"/>
      <c r="TJK49" s="76"/>
      <c r="TJL49" s="76"/>
      <c r="TJM49" s="76"/>
      <c r="TJN49" s="76"/>
      <c r="TJO49" s="76"/>
      <c r="TJP49" s="76"/>
      <c r="TJQ49" s="76"/>
      <c r="TJR49" s="76"/>
      <c r="TJS49" s="76"/>
      <c r="TJT49" s="76"/>
      <c r="TJU49" s="76"/>
      <c r="TJV49" s="76"/>
      <c r="TJW49" s="76"/>
      <c r="TJX49" s="76"/>
      <c r="TJY49" s="76"/>
      <c r="TJZ49" s="76"/>
      <c r="TKA49" s="76"/>
      <c r="TKB49" s="76"/>
      <c r="TKC49" s="76"/>
      <c r="TKD49" s="76"/>
      <c r="TKE49" s="76"/>
      <c r="TKF49" s="76"/>
      <c r="TKG49" s="76"/>
      <c r="TKH49" s="76"/>
      <c r="TKI49" s="76"/>
      <c r="TKJ49" s="76"/>
      <c r="TKK49" s="76"/>
      <c r="TKL49" s="76"/>
      <c r="TKM49" s="76"/>
      <c r="TKN49" s="76"/>
      <c r="TKO49" s="76"/>
      <c r="TKP49" s="76"/>
      <c r="TKQ49" s="76"/>
      <c r="TKR49" s="76"/>
      <c r="TKS49" s="76"/>
      <c r="TKT49" s="76"/>
      <c r="TKU49" s="76"/>
      <c r="TKV49" s="76"/>
      <c r="TKW49" s="76"/>
      <c r="TKX49" s="76"/>
      <c r="TKY49" s="76"/>
      <c r="TKZ49" s="76"/>
      <c r="TLA49" s="76"/>
      <c r="TLB49" s="76"/>
      <c r="TLC49" s="76"/>
      <c r="TLD49" s="76"/>
      <c r="TLE49" s="76"/>
      <c r="TLF49" s="76"/>
      <c r="TLG49" s="76"/>
      <c r="TLH49" s="76"/>
      <c r="TLI49" s="76"/>
      <c r="TLJ49" s="76"/>
      <c r="TLK49" s="76"/>
      <c r="TLL49" s="76"/>
      <c r="TLM49" s="76"/>
      <c r="TLN49" s="76"/>
      <c r="TLO49" s="76"/>
      <c r="TLP49" s="76"/>
      <c r="TLQ49" s="76"/>
      <c r="TLR49" s="76"/>
      <c r="TLS49" s="76"/>
      <c r="TLT49" s="76"/>
      <c r="TLU49" s="76"/>
      <c r="TLV49" s="76"/>
      <c r="TLW49" s="76"/>
      <c r="TLX49" s="76"/>
      <c r="TLY49" s="76"/>
      <c r="TLZ49" s="76"/>
      <c r="TMA49" s="76"/>
      <c r="TMB49" s="76"/>
      <c r="TMC49" s="76"/>
      <c r="TMD49" s="76"/>
      <c r="TME49" s="76"/>
      <c r="TMF49" s="76"/>
      <c r="TMG49" s="76"/>
      <c r="TMH49" s="76"/>
      <c r="TMI49" s="76"/>
      <c r="TMJ49" s="76"/>
      <c r="TMK49" s="76"/>
      <c r="TML49" s="76"/>
      <c r="TMM49" s="76"/>
      <c r="TMN49" s="76"/>
      <c r="TMO49" s="76"/>
      <c r="TMP49" s="76"/>
      <c r="TMQ49" s="76"/>
      <c r="TMR49" s="76"/>
      <c r="TMS49" s="76"/>
      <c r="TMT49" s="76"/>
      <c r="TMU49" s="76"/>
      <c r="TMV49" s="76"/>
      <c r="TMW49" s="76"/>
      <c r="TMX49" s="76"/>
      <c r="TMY49" s="76"/>
      <c r="TMZ49" s="76"/>
      <c r="TNA49" s="76"/>
      <c r="TNB49" s="76"/>
      <c r="TNC49" s="76"/>
      <c r="TND49" s="76"/>
      <c r="TNE49" s="76"/>
      <c r="TNF49" s="76"/>
      <c r="TNG49" s="76"/>
      <c r="TNH49" s="76"/>
      <c r="TNI49" s="76"/>
      <c r="TNJ49" s="76"/>
      <c r="TNK49" s="76"/>
      <c r="TNL49" s="76"/>
      <c r="TNM49" s="76"/>
      <c r="TNN49" s="76"/>
      <c r="TNO49" s="76"/>
      <c r="TNP49" s="76"/>
      <c r="TNQ49" s="76"/>
      <c r="TNR49" s="76"/>
      <c r="TNS49" s="76"/>
      <c r="TNT49" s="76"/>
      <c r="TNU49" s="76"/>
      <c r="TNV49" s="76"/>
      <c r="TNW49" s="76"/>
      <c r="TNX49" s="76"/>
      <c r="TNY49" s="76"/>
      <c r="TNZ49" s="76"/>
      <c r="TOA49" s="76"/>
      <c r="TOB49" s="76"/>
      <c r="TOC49" s="76"/>
      <c r="TOD49" s="76"/>
      <c r="TOE49" s="76"/>
      <c r="TOF49" s="76"/>
      <c r="TOG49" s="76"/>
      <c r="TOH49" s="76"/>
      <c r="TOI49" s="76"/>
      <c r="TOJ49" s="76"/>
      <c r="TOK49" s="76"/>
      <c r="TOL49" s="76"/>
      <c r="TOM49" s="76"/>
      <c r="TON49" s="76"/>
      <c r="TOO49" s="76"/>
      <c r="TOP49" s="76"/>
      <c r="TOQ49" s="76"/>
      <c r="TOR49" s="76"/>
      <c r="TOS49" s="76"/>
      <c r="TOT49" s="76"/>
      <c r="TOU49" s="76"/>
      <c r="TOV49" s="76"/>
      <c r="TOW49" s="76"/>
      <c r="TOX49" s="76"/>
      <c r="TOY49" s="76"/>
      <c r="TOZ49" s="76"/>
      <c r="TPA49" s="76"/>
      <c r="TPB49" s="76"/>
      <c r="TPC49" s="76"/>
      <c r="TPD49" s="76"/>
      <c r="TPE49" s="76"/>
      <c r="TPF49" s="76"/>
      <c r="TPG49" s="76"/>
      <c r="TPH49" s="76"/>
      <c r="TPI49" s="76"/>
      <c r="TPJ49" s="76"/>
      <c r="TPK49" s="76"/>
      <c r="TPL49" s="76"/>
      <c r="TPM49" s="76"/>
      <c r="TPN49" s="76"/>
      <c r="TPO49" s="76"/>
      <c r="TPP49" s="76"/>
      <c r="TPQ49" s="76"/>
      <c r="TPR49" s="76"/>
      <c r="TPS49" s="76"/>
      <c r="TPT49" s="76"/>
      <c r="TPU49" s="76"/>
      <c r="TPV49" s="76"/>
      <c r="TPW49" s="76"/>
      <c r="TPX49" s="76"/>
      <c r="TPY49" s="76"/>
      <c r="TPZ49" s="76"/>
      <c r="TQA49" s="76"/>
      <c r="TQB49" s="76"/>
      <c r="TQC49" s="76"/>
      <c r="TQD49" s="76"/>
      <c r="TQE49" s="76"/>
      <c r="TQF49" s="76"/>
      <c r="TQG49" s="76"/>
      <c r="TQH49" s="76"/>
      <c r="TQI49" s="76"/>
      <c r="TQJ49" s="76"/>
      <c r="TQK49" s="76"/>
      <c r="TQL49" s="76"/>
      <c r="TQM49" s="76"/>
      <c r="TQN49" s="76"/>
      <c r="TQO49" s="76"/>
      <c r="TQP49" s="76"/>
      <c r="TQQ49" s="76"/>
      <c r="TQR49" s="76"/>
      <c r="TQS49" s="76"/>
      <c r="TQT49" s="76"/>
      <c r="TQU49" s="76"/>
      <c r="TQV49" s="76"/>
      <c r="TQW49" s="76"/>
      <c r="TQX49" s="76"/>
      <c r="TQY49" s="76"/>
      <c r="TQZ49" s="76"/>
      <c r="TRA49" s="76"/>
      <c r="TRB49" s="76"/>
      <c r="TRC49" s="76"/>
      <c r="TRD49" s="76"/>
      <c r="TRE49" s="76"/>
      <c r="TRF49" s="76"/>
      <c r="TRG49" s="76"/>
      <c r="TRH49" s="76"/>
      <c r="TRI49" s="76"/>
      <c r="TRJ49" s="76"/>
      <c r="TRK49" s="76"/>
      <c r="TRL49" s="76"/>
      <c r="TRM49" s="76"/>
      <c r="TRN49" s="76"/>
      <c r="TRO49" s="76"/>
      <c r="TRP49" s="76"/>
      <c r="TRQ49" s="76"/>
      <c r="TRR49" s="76"/>
      <c r="TRS49" s="76"/>
      <c r="TRT49" s="76"/>
      <c r="TRU49" s="76"/>
      <c r="TRV49" s="76"/>
      <c r="TRW49" s="76"/>
      <c r="TRX49" s="76"/>
      <c r="TRY49" s="76"/>
      <c r="TRZ49" s="76"/>
      <c r="TSA49" s="76"/>
      <c r="TSB49" s="76"/>
      <c r="TSC49" s="76"/>
      <c r="TSD49" s="76"/>
      <c r="TSE49" s="76"/>
      <c r="TSF49" s="76"/>
      <c r="TSG49" s="76"/>
      <c r="TSH49" s="76"/>
      <c r="TSI49" s="76"/>
      <c r="TSJ49" s="76"/>
      <c r="TSK49" s="76"/>
      <c r="TSL49" s="76"/>
      <c r="TSM49" s="76"/>
      <c r="TSN49" s="76"/>
      <c r="TSO49" s="76"/>
      <c r="TSP49" s="76"/>
      <c r="TSQ49" s="76"/>
      <c r="TSR49" s="76"/>
      <c r="TSS49" s="76"/>
      <c r="TST49" s="76"/>
      <c r="TSU49" s="76"/>
      <c r="TSV49" s="76"/>
      <c r="TSW49" s="76"/>
      <c r="TSX49" s="76"/>
      <c r="TSY49" s="76"/>
      <c r="TSZ49" s="76"/>
      <c r="TTA49" s="76"/>
      <c r="TTB49" s="76"/>
      <c r="TTC49" s="76"/>
      <c r="TTD49" s="76"/>
      <c r="TTE49" s="76"/>
      <c r="TTF49" s="76"/>
      <c r="TTG49" s="76"/>
      <c r="TTH49" s="76"/>
      <c r="TTI49" s="76"/>
      <c r="TTJ49" s="76"/>
      <c r="TTK49" s="76"/>
      <c r="TTL49" s="76"/>
      <c r="TTM49" s="76"/>
      <c r="TTN49" s="76"/>
      <c r="TTO49" s="76"/>
      <c r="TTP49" s="76"/>
      <c r="TTQ49" s="76"/>
      <c r="TTR49" s="76"/>
      <c r="TTS49" s="76"/>
      <c r="TTT49" s="76"/>
      <c r="TTU49" s="76"/>
      <c r="TTV49" s="76"/>
      <c r="TTW49" s="76"/>
      <c r="TTX49" s="76"/>
      <c r="TTY49" s="76"/>
      <c r="TTZ49" s="76"/>
      <c r="TUA49" s="76"/>
      <c r="TUB49" s="76"/>
      <c r="TUC49" s="76"/>
      <c r="TUD49" s="76"/>
      <c r="TUE49" s="76"/>
      <c r="TUF49" s="76"/>
      <c r="TUG49" s="76"/>
      <c r="TUH49" s="76"/>
      <c r="TUI49" s="76"/>
      <c r="TUJ49" s="76"/>
      <c r="TUK49" s="76"/>
      <c r="TUL49" s="76"/>
      <c r="TUM49" s="76"/>
      <c r="TUN49" s="76"/>
      <c r="TUO49" s="76"/>
      <c r="TUP49" s="76"/>
      <c r="TUQ49" s="76"/>
      <c r="TUR49" s="76"/>
      <c r="TUS49" s="76"/>
      <c r="TUT49" s="76"/>
      <c r="TUU49" s="76"/>
      <c r="TUV49" s="76"/>
      <c r="TUW49" s="76"/>
      <c r="TUX49" s="76"/>
      <c r="TUY49" s="76"/>
      <c r="TUZ49" s="76"/>
      <c r="TVA49" s="76"/>
      <c r="TVB49" s="76"/>
      <c r="TVC49" s="76"/>
      <c r="TVD49" s="76"/>
      <c r="TVE49" s="76"/>
      <c r="TVF49" s="76"/>
      <c r="TVG49" s="76"/>
      <c r="TVH49" s="76"/>
      <c r="TVI49" s="76"/>
      <c r="TVJ49" s="76"/>
      <c r="TVK49" s="76"/>
      <c r="TVL49" s="76"/>
      <c r="TVM49" s="76"/>
      <c r="TVN49" s="76"/>
      <c r="TVO49" s="76"/>
      <c r="TVP49" s="76"/>
      <c r="TVQ49" s="76"/>
      <c r="TVR49" s="76"/>
      <c r="TVS49" s="76"/>
      <c r="TVT49" s="76"/>
      <c r="TVU49" s="76"/>
      <c r="TVV49" s="76"/>
      <c r="TVW49" s="76"/>
      <c r="TVX49" s="76"/>
      <c r="TVY49" s="76"/>
      <c r="TVZ49" s="76"/>
      <c r="TWA49" s="76"/>
      <c r="TWB49" s="76"/>
      <c r="TWC49" s="76"/>
      <c r="TWD49" s="76"/>
      <c r="TWE49" s="76"/>
      <c r="TWF49" s="76"/>
      <c r="TWG49" s="76"/>
      <c r="TWH49" s="76"/>
      <c r="TWI49" s="76"/>
      <c r="TWJ49" s="76"/>
      <c r="TWK49" s="76"/>
      <c r="TWL49" s="76"/>
      <c r="TWM49" s="76"/>
      <c r="TWN49" s="76"/>
      <c r="TWO49" s="76"/>
      <c r="TWP49" s="76"/>
      <c r="TWQ49" s="76"/>
      <c r="TWR49" s="76"/>
      <c r="TWS49" s="76"/>
      <c r="TWT49" s="76"/>
      <c r="TWU49" s="76"/>
      <c r="TWV49" s="76"/>
      <c r="TWW49" s="76"/>
      <c r="TWX49" s="76"/>
      <c r="TWY49" s="76"/>
      <c r="TWZ49" s="76"/>
      <c r="TXA49" s="76"/>
      <c r="TXB49" s="76"/>
      <c r="TXC49" s="76"/>
      <c r="TXD49" s="76"/>
      <c r="TXE49" s="76"/>
      <c r="TXF49" s="76"/>
      <c r="TXG49" s="76"/>
      <c r="TXH49" s="76"/>
      <c r="TXI49" s="76"/>
      <c r="TXJ49" s="76"/>
      <c r="TXK49" s="76"/>
      <c r="TXL49" s="76"/>
      <c r="TXM49" s="76"/>
      <c r="TXN49" s="76"/>
      <c r="TXO49" s="76"/>
      <c r="TXP49" s="76"/>
      <c r="TXQ49" s="76"/>
      <c r="TXR49" s="76"/>
      <c r="TXS49" s="76"/>
      <c r="TXT49" s="76"/>
      <c r="TXU49" s="76"/>
      <c r="TXV49" s="76"/>
      <c r="TXW49" s="76"/>
      <c r="TXX49" s="76"/>
      <c r="TXY49" s="76"/>
      <c r="TXZ49" s="76"/>
      <c r="TYA49" s="76"/>
      <c r="TYB49" s="76"/>
      <c r="TYC49" s="76"/>
      <c r="TYD49" s="76"/>
      <c r="TYE49" s="76"/>
      <c r="TYF49" s="76"/>
      <c r="TYG49" s="76"/>
      <c r="TYH49" s="76"/>
      <c r="TYI49" s="76"/>
      <c r="TYJ49" s="76"/>
      <c r="TYK49" s="76"/>
      <c r="TYL49" s="76"/>
      <c r="TYM49" s="76"/>
      <c r="TYN49" s="76"/>
      <c r="TYO49" s="76"/>
      <c r="TYP49" s="76"/>
      <c r="TYQ49" s="76"/>
      <c r="TYR49" s="76"/>
      <c r="TYS49" s="76"/>
      <c r="TYT49" s="76"/>
      <c r="TYU49" s="76"/>
      <c r="TYV49" s="76"/>
      <c r="TYW49" s="76"/>
      <c r="TYX49" s="76"/>
      <c r="TYY49" s="76"/>
      <c r="TYZ49" s="76"/>
      <c r="TZA49" s="76"/>
      <c r="TZB49" s="76"/>
      <c r="TZC49" s="76"/>
      <c r="TZD49" s="76"/>
      <c r="TZE49" s="76"/>
      <c r="TZF49" s="76"/>
      <c r="TZG49" s="76"/>
      <c r="TZH49" s="76"/>
      <c r="TZI49" s="76"/>
      <c r="TZJ49" s="76"/>
      <c r="TZK49" s="76"/>
      <c r="TZL49" s="76"/>
      <c r="TZM49" s="76"/>
      <c r="TZN49" s="76"/>
      <c r="TZO49" s="76"/>
      <c r="TZP49" s="76"/>
      <c r="TZQ49" s="76"/>
      <c r="TZR49" s="76"/>
      <c r="TZS49" s="76"/>
      <c r="TZT49" s="76"/>
      <c r="TZU49" s="76"/>
      <c r="TZV49" s="76"/>
      <c r="TZW49" s="76"/>
      <c r="TZX49" s="76"/>
      <c r="TZY49" s="76"/>
      <c r="TZZ49" s="76"/>
      <c r="UAA49" s="76"/>
      <c r="UAB49" s="76"/>
      <c r="UAC49" s="76"/>
      <c r="UAD49" s="76"/>
      <c r="UAE49" s="76"/>
      <c r="UAF49" s="76"/>
      <c r="UAG49" s="76"/>
      <c r="UAH49" s="76"/>
      <c r="UAI49" s="76"/>
      <c r="UAJ49" s="76"/>
      <c r="UAK49" s="76"/>
      <c r="UAL49" s="76"/>
      <c r="UAM49" s="76"/>
      <c r="UAN49" s="76"/>
      <c r="UAO49" s="76"/>
      <c r="UAP49" s="76"/>
      <c r="UAQ49" s="76"/>
      <c r="UAR49" s="76"/>
      <c r="UAS49" s="76"/>
      <c r="UAT49" s="76"/>
      <c r="UAU49" s="76"/>
      <c r="UAV49" s="76"/>
      <c r="UAW49" s="76"/>
      <c r="UAX49" s="76"/>
      <c r="UAY49" s="76"/>
      <c r="UAZ49" s="76"/>
      <c r="UBA49" s="76"/>
      <c r="UBB49" s="76"/>
      <c r="UBC49" s="76"/>
      <c r="UBD49" s="76"/>
      <c r="UBE49" s="76"/>
      <c r="UBF49" s="76"/>
      <c r="UBG49" s="76"/>
      <c r="UBH49" s="76"/>
      <c r="UBI49" s="76"/>
      <c r="UBJ49" s="76"/>
      <c r="UBK49" s="76"/>
      <c r="UBL49" s="76"/>
      <c r="UBM49" s="76"/>
      <c r="UBN49" s="76"/>
      <c r="UBO49" s="76"/>
      <c r="UBP49" s="76"/>
      <c r="UBQ49" s="76"/>
      <c r="UBR49" s="76"/>
      <c r="UBS49" s="76"/>
      <c r="UBT49" s="76"/>
      <c r="UBU49" s="76"/>
      <c r="UBV49" s="76"/>
      <c r="UBW49" s="76"/>
      <c r="UBX49" s="76"/>
      <c r="UBY49" s="76"/>
      <c r="UBZ49" s="76"/>
      <c r="UCA49" s="76"/>
      <c r="UCB49" s="76"/>
      <c r="UCC49" s="76"/>
      <c r="UCD49" s="76"/>
      <c r="UCE49" s="76"/>
      <c r="UCF49" s="76"/>
      <c r="UCG49" s="76"/>
      <c r="UCH49" s="76"/>
      <c r="UCI49" s="76"/>
      <c r="UCJ49" s="76"/>
      <c r="UCK49" s="76"/>
      <c r="UCL49" s="76"/>
      <c r="UCM49" s="76"/>
      <c r="UCN49" s="76"/>
      <c r="UCO49" s="76"/>
      <c r="UCP49" s="76"/>
      <c r="UCQ49" s="76"/>
      <c r="UCR49" s="76"/>
      <c r="UCS49" s="76"/>
      <c r="UCT49" s="76"/>
      <c r="UCU49" s="76"/>
      <c r="UCV49" s="76"/>
      <c r="UCW49" s="76"/>
      <c r="UCX49" s="76"/>
      <c r="UCY49" s="76"/>
      <c r="UCZ49" s="76"/>
      <c r="UDA49" s="76"/>
      <c r="UDB49" s="76"/>
      <c r="UDC49" s="76"/>
      <c r="UDD49" s="76"/>
      <c r="UDE49" s="76"/>
      <c r="UDF49" s="76"/>
      <c r="UDG49" s="76"/>
      <c r="UDH49" s="76"/>
      <c r="UDI49" s="76"/>
      <c r="UDJ49" s="76"/>
      <c r="UDK49" s="76"/>
      <c r="UDL49" s="76"/>
      <c r="UDM49" s="76"/>
      <c r="UDN49" s="76"/>
      <c r="UDO49" s="76"/>
      <c r="UDP49" s="76"/>
      <c r="UDQ49" s="76"/>
      <c r="UDR49" s="76"/>
      <c r="UDS49" s="76"/>
      <c r="UDT49" s="76"/>
      <c r="UDU49" s="76"/>
      <c r="UDV49" s="76"/>
      <c r="UDW49" s="76"/>
      <c r="UDX49" s="76"/>
      <c r="UDY49" s="76"/>
      <c r="UDZ49" s="76"/>
      <c r="UEA49" s="76"/>
      <c r="UEB49" s="76"/>
      <c r="UEC49" s="76"/>
      <c r="UED49" s="76"/>
      <c r="UEE49" s="76"/>
      <c r="UEF49" s="76"/>
      <c r="UEG49" s="76"/>
      <c r="UEH49" s="76"/>
      <c r="UEI49" s="76"/>
      <c r="UEJ49" s="76"/>
      <c r="UEK49" s="76"/>
      <c r="UEL49" s="76"/>
      <c r="UEM49" s="76"/>
      <c r="UEN49" s="76"/>
      <c r="UEO49" s="76"/>
      <c r="UEP49" s="76"/>
      <c r="UEQ49" s="76"/>
      <c r="UER49" s="76"/>
      <c r="UES49" s="76"/>
      <c r="UET49" s="76"/>
      <c r="UEU49" s="76"/>
      <c r="UEV49" s="76"/>
      <c r="UEW49" s="76"/>
      <c r="UEX49" s="76"/>
      <c r="UEY49" s="76"/>
      <c r="UEZ49" s="76"/>
      <c r="UFA49" s="76"/>
      <c r="UFB49" s="76"/>
      <c r="UFC49" s="76"/>
      <c r="UFD49" s="76"/>
      <c r="UFE49" s="76"/>
      <c r="UFF49" s="76"/>
      <c r="UFG49" s="76"/>
      <c r="UFH49" s="76"/>
      <c r="UFI49" s="76"/>
      <c r="UFJ49" s="76"/>
      <c r="UFK49" s="76"/>
      <c r="UFL49" s="76"/>
      <c r="UFM49" s="76"/>
      <c r="UFN49" s="76"/>
      <c r="UFO49" s="76"/>
      <c r="UFP49" s="76"/>
      <c r="UFQ49" s="76"/>
      <c r="UFR49" s="76"/>
      <c r="UFS49" s="76"/>
      <c r="UFT49" s="76"/>
      <c r="UFU49" s="76"/>
      <c r="UFV49" s="76"/>
      <c r="UFW49" s="76"/>
      <c r="UFX49" s="76"/>
      <c r="UFY49" s="76"/>
      <c r="UFZ49" s="76"/>
      <c r="UGA49" s="76"/>
      <c r="UGB49" s="76"/>
      <c r="UGC49" s="76"/>
      <c r="UGD49" s="76"/>
      <c r="UGE49" s="76"/>
      <c r="UGF49" s="76"/>
      <c r="UGG49" s="76"/>
      <c r="UGH49" s="76"/>
      <c r="UGI49" s="76"/>
      <c r="UGJ49" s="76"/>
      <c r="UGK49" s="76"/>
      <c r="UGL49" s="76"/>
      <c r="UGM49" s="76"/>
      <c r="UGN49" s="76"/>
      <c r="UGO49" s="76"/>
      <c r="UGP49" s="76"/>
      <c r="UGQ49" s="76"/>
      <c r="UGR49" s="76"/>
      <c r="UGS49" s="76"/>
      <c r="UGT49" s="76"/>
      <c r="UGU49" s="76"/>
      <c r="UGV49" s="76"/>
      <c r="UGW49" s="76"/>
      <c r="UGX49" s="76"/>
      <c r="UGY49" s="76"/>
      <c r="UGZ49" s="76"/>
      <c r="UHA49" s="76"/>
      <c r="UHB49" s="76"/>
      <c r="UHC49" s="76"/>
      <c r="UHD49" s="76"/>
      <c r="UHE49" s="76"/>
      <c r="UHF49" s="76"/>
      <c r="UHG49" s="76"/>
      <c r="UHH49" s="76"/>
      <c r="UHI49" s="76"/>
      <c r="UHJ49" s="76"/>
      <c r="UHK49" s="76"/>
      <c r="UHL49" s="76"/>
      <c r="UHM49" s="76"/>
      <c r="UHN49" s="76"/>
      <c r="UHO49" s="76"/>
      <c r="UHP49" s="76"/>
      <c r="UHQ49" s="76"/>
      <c r="UHR49" s="76"/>
      <c r="UHS49" s="76"/>
      <c r="UHT49" s="76"/>
      <c r="UHU49" s="76"/>
      <c r="UHV49" s="76"/>
      <c r="UHW49" s="76"/>
      <c r="UHX49" s="76"/>
      <c r="UHY49" s="76"/>
      <c r="UHZ49" s="76"/>
      <c r="UIA49" s="76"/>
      <c r="UIB49" s="76"/>
      <c r="UIC49" s="76"/>
      <c r="UID49" s="76"/>
      <c r="UIE49" s="76"/>
      <c r="UIF49" s="76"/>
      <c r="UIG49" s="76"/>
      <c r="UIH49" s="76"/>
      <c r="UII49" s="76"/>
      <c r="UIJ49" s="76"/>
      <c r="UIK49" s="76"/>
      <c r="UIL49" s="76"/>
      <c r="UIM49" s="76"/>
      <c r="UIN49" s="76"/>
      <c r="UIO49" s="76"/>
      <c r="UIP49" s="76"/>
      <c r="UIQ49" s="76"/>
      <c r="UIR49" s="76"/>
      <c r="UIS49" s="76"/>
      <c r="UIT49" s="76"/>
      <c r="UIU49" s="76"/>
      <c r="UIV49" s="76"/>
      <c r="UIW49" s="76"/>
      <c r="UIX49" s="76"/>
      <c r="UIY49" s="76"/>
      <c r="UIZ49" s="76"/>
      <c r="UJA49" s="76"/>
      <c r="UJB49" s="76"/>
      <c r="UJC49" s="76"/>
      <c r="UJD49" s="76"/>
      <c r="UJE49" s="76"/>
      <c r="UJF49" s="76"/>
      <c r="UJG49" s="76"/>
      <c r="UJH49" s="76"/>
      <c r="UJI49" s="76"/>
      <c r="UJJ49" s="76"/>
      <c r="UJK49" s="76"/>
      <c r="UJL49" s="76"/>
      <c r="UJM49" s="76"/>
      <c r="UJN49" s="76"/>
      <c r="UJO49" s="76"/>
      <c r="UJP49" s="76"/>
      <c r="UJQ49" s="76"/>
      <c r="UJR49" s="76"/>
      <c r="UJS49" s="76"/>
      <c r="UJT49" s="76"/>
      <c r="UJU49" s="76"/>
      <c r="UJV49" s="76"/>
      <c r="UJW49" s="76"/>
      <c r="UJX49" s="76"/>
      <c r="UJY49" s="76"/>
      <c r="UJZ49" s="76"/>
      <c r="UKA49" s="76"/>
      <c r="UKB49" s="76"/>
      <c r="UKC49" s="76"/>
      <c r="UKD49" s="76"/>
      <c r="UKE49" s="76"/>
      <c r="UKF49" s="76"/>
      <c r="UKG49" s="76"/>
      <c r="UKH49" s="76"/>
      <c r="UKI49" s="76"/>
      <c r="UKJ49" s="76"/>
      <c r="UKK49" s="76"/>
      <c r="UKL49" s="76"/>
      <c r="UKM49" s="76"/>
      <c r="UKN49" s="76"/>
      <c r="UKO49" s="76"/>
      <c r="UKP49" s="76"/>
      <c r="UKQ49" s="76"/>
      <c r="UKR49" s="76"/>
      <c r="UKS49" s="76"/>
      <c r="UKT49" s="76"/>
      <c r="UKU49" s="76"/>
      <c r="UKV49" s="76"/>
      <c r="UKW49" s="76"/>
      <c r="UKX49" s="76"/>
      <c r="UKY49" s="76"/>
      <c r="UKZ49" s="76"/>
      <c r="ULA49" s="76"/>
      <c r="ULB49" s="76"/>
      <c r="ULC49" s="76"/>
      <c r="ULD49" s="76"/>
      <c r="ULE49" s="76"/>
      <c r="ULF49" s="76"/>
      <c r="ULG49" s="76"/>
      <c r="ULH49" s="76"/>
      <c r="ULI49" s="76"/>
      <c r="ULJ49" s="76"/>
      <c r="ULK49" s="76"/>
      <c r="ULL49" s="76"/>
      <c r="ULM49" s="76"/>
      <c r="ULN49" s="76"/>
      <c r="ULO49" s="76"/>
      <c r="ULP49" s="76"/>
      <c r="ULQ49" s="76"/>
      <c r="ULR49" s="76"/>
      <c r="ULS49" s="76"/>
      <c r="ULT49" s="76"/>
      <c r="ULU49" s="76"/>
      <c r="ULV49" s="76"/>
      <c r="ULW49" s="76"/>
      <c r="ULX49" s="76"/>
      <c r="ULY49" s="76"/>
      <c r="ULZ49" s="76"/>
      <c r="UMA49" s="76"/>
      <c r="UMB49" s="76"/>
      <c r="UMC49" s="76"/>
      <c r="UMD49" s="76"/>
      <c r="UME49" s="76"/>
      <c r="UMF49" s="76"/>
      <c r="UMG49" s="76"/>
      <c r="UMH49" s="76"/>
      <c r="UMI49" s="76"/>
      <c r="UMJ49" s="76"/>
      <c r="UMK49" s="76"/>
      <c r="UML49" s="76"/>
      <c r="UMM49" s="76"/>
      <c r="UMN49" s="76"/>
      <c r="UMO49" s="76"/>
      <c r="UMP49" s="76"/>
      <c r="UMQ49" s="76"/>
      <c r="UMR49" s="76"/>
      <c r="UMS49" s="76"/>
      <c r="UMT49" s="76"/>
      <c r="UMU49" s="76"/>
      <c r="UMV49" s="76"/>
      <c r="UMW49" s="76"/>
      <c r="UMX49" s="76"/>
      <c r="UMY49" s="76"/>
      <c r="UMZ49" s="76"/>
      <c r="UNA49" s="76"/>
      <c r="UNB49" s="76"/>
      <c r="UNC49" s="76"/>
      <c r="UND49" s="76"/>
      <c r="UNE49" s="76"/>
      <c r="UNF49" s="76"/>
      <c r="UNG49" s="76"/>
      <c r="UNH49" s="76"/>
      <c r="UNI49" s="76"/>
      <c r="UNJ49" s="76"/>
      <c r="UNK49" s="76"/>
      <c r="UNL49" s="76"/>
      <c r="UNM49" s="76"/>
      <c r="UNN49" s="76"/>
      <c r="UNO49" s="76"/>
      <c r="UNP49" s="76"/>
      <c r="UNQ49" s="76"/>
      <c r="UNR49" s="76"/>
      <c r="UNS49" s="76"/>
      <c r="UNT49" s="76"/>
      <c r="UNU49" s="76"/>
      <c r="UNV49" s="76"/>
      <c r="UNW49" s="76"/>
      <c r="UNX49" s="76"/>
      <c r="UNY49" s="76"/>
      <c r="UNZ49" s="76"/>
      <c r="UOA49" s="76"/>
      <c r="UOB49" s="76"/>
      <c r="UOC49" s="76"/>
      <c r="UOD49" s="76"/>
      <c r="UOE49" s="76"/>
      <c r="UOF49" s="76"/>
      <c r="UOG49" s="76"/>
      <c r="UOH49" s="76"/>
      <c r="UOI49" s="76"/>
      <c r="UOJ49" s="76"/>
      <c r="UOK49" s="76"/>
      <c r="UOL49" s="76"/>
      <c r="UOM49" s="76"/>
      <c r="UON49" s="76"/>
      <c r="UOO49" s="76"/>
      <c r="UOP49" s="76"/>
      <c r="UOQ49" s="76"/>
      <c r="UOR49" s="76"/>
      <c r="UOS49" s="76"/>
      <c r="UOT49" s="76"/>
      <c r="UOU49" s="76"/>
      <c r="UOV49" s="76"/>
      <c r="UOW49" s="76"/>
      <c r="UOX49" s="76"/>
      <c r="UOY49" s="76"/>
      <c r="UOZ49" s="76"/>
      <c r="UPA49" s="76"/>
      <c r="UPB49" s="76"/>
      <c r="UPC49" s="76"/>
      <c r="UPD49" s="76"/>
      <c r="UPE49" s="76"/>
      <c r="UPF49" s="76"/>
      <c r="UPG49" s="76"/>
      <c r="UPH49" s="76"/>
      <c r="UPI49" s="76"/>
      <c r="UPJ49" s="76"/>
      <c r="UPK49" s="76"/>
      <c r="UPL49" s="76"/>
      <c r="UPM49" s="76"/>
      <c r="UPN49" s="76"/>
      <c r="UPO49" s="76"/>
      <c r="UPP49" s="76"/>
      <c r="UPQ49" s="76"/>
      <c r="UPR49" s="76"/>
      <c r="UPS49" s="76"/>
      <c r="UPT49" s="76"/>
      <c r="UPU49" s="76"/>
      <c r="UPV49" s="76"/>
      <c r="UPW49" s="76"/>
      <c r="UPX49" s="76"/>
      <c r="UPY49" s="76"/>
      <c r="UPZ49" s="76"/>
      <c r="UQA49" s="76"/>
      <c r="UQB49" s="76"/>
      <c r="UQC49" s="76"/>
      <c r="UQD49" s="76"/>
      <c r="UQE49" s="76"/>
      <c r="UQF49" s="76"/>
      <c r="UQG49" s="76"/>
      <c r="UQH49" s="76"/>
      <c r="UQI49" s="76"/>
      <c r="UQJ49" s="76"/>
      <c r="UQK49" s="76"/>
      <c r="UQL49" s="76"/>
      <c r="UQM49" s="76"/>
      <c r="UQN49" s="76"/>
      <c r="UQO49" s="76"/>
      <c r="UQP49" s="76"/>
      <c r="UQQ49" s="76"/>
      <c r="UQR49" s="76"/>
      <c r="UQS49" s="76"/>
      <c r="UQT49" s="76"/>
      <c r="UQU49" s="76"/>
      <c r="UQV49" s="76"/>
      <c r="UQW49" s="76"/>
      <c r="UQX49" s="76"/>
      <c r="UQY49" s="76"/>
      <c r="UQZ49" s="76"/>
      <c r="URA49" s="76"/>
      <c r="URB49" s="76"/>
      <c r="URC49" s="76"/>
      <c r="URD49" s="76"/>
      <c r="URE49" s="76"/>
      <c r="URF49" s="76"/>
      <c r="URG49" s="76"/>
      <c r="URH49" s="76"/>
      <c r="URI49" s="76"/>
      <c r="URJ49" s="76"/>
      <c r="URK49" s="76"/>
      <c r="URL49" s="76"/>
      <c r="URM49" s="76"/>
      <c r="URN49" s="76"/>
      <c r="URO49" s="76"/>
      <c r="URP49" s="76"/>
      <c r="URQ49" s="76"/>
      <c r="URR49" s="76"/>
      <c r="URS49" s="76"/>
      <c r="URT49" s="76"/>
      <c r="URU49" s="76"/>
      <c r="URV49" s="76"/>
      <c r="URW49" s="76"/>
      <c r="URX49" s="76"/>
      <c r="URY49" s="76"/>
      <c r="URZ49" s="76"/>
      <c r="USA49" s="76"/>
      <c r="USB49" s="76"/>
      <c r="USC49" s="76"/>
      <c r="USD49" s="76"/>
      <c r="USE49" s="76"/>
      <c r="USF49" s="76"/>
      <c r="USG49" s="76"/>
      <c r="USH49" s="76"/>
      <c r="USI49" s="76"/>
      <c r="USJ49" s="76"/>
      <c r="USK49" s="76"/>
      <c r="USL49" s="76"/>
      <c r="USM49" s="76"/>
      <c r="USN49" s="76"/>
      <c r="USO49" s="76"/>
      <c r="USP49" s="76"/>
      <c r="USQ49" s="76"/>
      <c r="USR49" s="76"/>
      <c r="USS49" s="76"/>
      <c r="UST49" s="76"/>
      <c r="USU49" s="76"/>
      <c r="USV49" s="76"/>
      <c r="USW49" s="76"/>
      <c r="USX49" s="76"/>
      <c r="USY49" s="76"/>
      <c r="USZ49" s="76"/>
      <c r="UTA49" s="76"/>
      <c r="UTB49" s="76"/>
      <c r="UTC49" s="76"/>
      <c r="UTD49" s="76"/>
      <c r="UTE49" s="76"/>
      <c r="UTF49" s="76"/>
      <c r="UTG49" s="76"/>
      <c r="UTH49" s="76"/>
      <c r="UTI49" s="76"/>
      <c r="UTJ49" s="76"/>
      <c r="UTK49" s="76"/>
      <c r="UTL49" s="76"/>
      <c r="UTM49" s="76"/>
      <c r="UTN49" s="76"/>
      <c r="UTO49" s="76"/>
      <c r="UTP49" s="76"/>
      <c r="UTQ49" s="76"/>
      <c r="UTR49" s="76"/>
      <c r="UTS49" s="76"/>
      <c r="UTT49" s="76"/>
      <c r="UTU49" s="76"/>
      <c r="UTV49" s="76"/>
      <c r="UTW49" s="76"/>
      <c r="UTX49" s="76"/>
      <c r="UTY49" s="76"/>
      <c r="UTZ49" s="76"/>
      <c r="UUA49" s="76"/>
      <c r="UUB49" s="76"/>
      <c r="UUC49" s="76"/>
      <c r="UUD49" s="76"/>
      <c r="UUE49" s="76"/>
      <c r="UUF49" s="76"/>
      <c r="UUG49" s="76"/>
      <c r="UUH49" s="76"/>
      <c r="UUI49" s="76"/>
      <c r="UUJ49" s="76"/>
      <c r="UUK49" s="76"/>
      <c r="UUL49" s="76"/>
      <c r="UUM49" s="76"/>
      <c r="UUN49" s="76"/>
      <c r="UUO49" s="76"/>
      <c r="UUP49" s="76"/>
      <c r="UUQ49" s="76"/>
      <c r="UUR49" s="76"/>
      <c r="UUS49" s="76"/>
      <c r="UUT49" s="76"/>
      <c r="UUU49" s="76"/>
      <c r="UUV49" s="76"/>
      <c r="UUW49" s="76"/>
      <c r="UUX49" s="76"/>
      <c r="UUY49" s="76"/>
      <c r="UUZ49" s="76"/>
      <c r="UVA49" s="76"/>
      <c r="UVB49" s="76"/>
      <c r="UVC49" s="76"/>
      <c r="UVD49" s="76"/>
      <c r="UVE49" s="76"/>
      <c r="UVF49" s="76"/>
      <c r="UVG49" s="76"/>
      <c r="UVH49" s="76"/>
      <c r="UVI49" s="76"/>
      <c r="UVJ49" s="76"/>
      <c r="UVK49" s="76"/>
      <c r="UVL49" s="76"/>
      <c r="UVM49" s="76"/>
      <c r="UVN49" s="76"/>
      <c r="UVO49" s="76"/>
      <c r="UVP49" s="76"/>
      <c r="UVQ49" s="76"/>
      <c r="UVR49" s="76"/>
      <c r="UVS49" s="76"/>
      <c r="UVT49" s="76"/>
      <c r="UVU49" s="76"/>
      <c r="UVV49" s="76"/>
      <c r="UVW49" s="76"/>
      <c r="UVX49" s="76"/>
      <c r="UVY49" s="76"/>
      <c r="UVZ49" s="76"/>
      <c r="UWA49" s="76"/>
      <c r="UWB49" s="76"/>
      <c r="UWC49" s="76"/>
      <c r="UWD49" s="76"/>
      <c r="UWE49" s="76"/>
      <c r="UWF49" s="76"/>
      <c r="UWG49" s="76"/>
      <c r="UWH49" s="76"/>
      <c r="UWI49" s="76"/>
      <c r="UWJ49" s="76"/>
      <c r="UWK49" s="76"/>
      <c r="UWL49" s="76"/>
      <c r="UWM49" s="76"/>
      <c r="UWN49" s="76"/>
      <c r="UWO49" s="76"/>
      <c r="UWP49" s="76"/>
      <c r="UWQ49" s="76"/>
      <c r="UWR49" s="76"/>
      <c r="UWS49" s="76"/>
      <c r="UWT49" s="76"/>
      <c r="UWU49" s="76"/>
      <c r="UWV49" s="76"/>
      <c r="UWW49" s="76"/>
      <c r="UWX49" s="76"/>
      <c r="UWY49" s="76"/>
      <c r="UWZ49" s="76"/>
      <c r="UXA49" s="76"/>
      <c r="UXB49" s="76"/>
      <c r="UXC49" s="76"/>
      <c r="UXD49" s="76"/>
      <c r="UXE49" s="76"/>
      <c r="UXF49" s="76"/>
      <c r="UXG49" s="76"/>
      <c r="UXH49" s="76"/>
      <c r="UXI49" s="76"/>
      <c r="UXJ49" s="76"/>
      <c r="UXK49" s="76"/>
      <c r="UXL49" s="76"/>
      <c r="UXM49" s="76"/>
      <c r="UXN49" s="76"/>
      <c r="UXO49" s="76"/>
      <c r="UXP49" s="76"/>
      <c r="UXQ49" s="76"/>
      <c r="UXR49" s="76"/>
      <c r="UXS49" s="76"/>
      <c r="UXT49" s="76"/>
      <c r="UXU49" s="76"/>
      <c r="UXV49" s="76"/>
      <c r="UXW49" s="76"/>
      <c r="UXX49" s="76"/>
      <c r="UXY49" s="76"/>
      <c r="UXZ49" s="76"/>
      <c r="UYA49" s="76"/>
      <c r="UYB49" s="76"/>
      <c r="UYC49" s="76"/>
      <c r="UYD49" s="76"/>
      <c r="UYE49" s="76"/>
      <c r="UYF49" s="76"/>
      <c r="UYG49" s="76"/>
      <c r="UYH49" s="76"/>
      <c r="UYI49" s="76"/>
      <c r="UYJ49" s="76"/>
      <c r="UYK49" s="76"/>
      <c r="UYL49" s="76"/>
      <c r="UYM49" s="76"/>
      <c r="UYN49" s="76"/>
      <c r="UYO49" s="76"/>
      <c r="UYP49" s="76"/>
      <c r="UYQ49" s="76"/>
      <c r="UYR49" s="76"/>
      <c r="UYS49" s="76"/>
      <c r="UYT49" s="76"/>
      <c r="UYU49" s="76"/>
      <c r="UYV49" s="76"/>
      <c r="UYW49" s="76"/>
      <c r="UYX49" s="76"/>
      <c r="UYY49" s="76"/>
      <c r="UYZ49" s="76"/>
      <c r="UZA49" s="76"/>
      <c r="UZB49" s="76"/>
      <c r="UZC49" s="76"/>
      <c r="UZD49" s="76"/>
      <c r="UZE49" s="76"/>
      <c r="UZF49" s="76"/>
      <c r="UZG49" s="76"/>
      <c r="UZH49" s="76"/>
      <c r="UZI49" s="76"/>
      <c r="UZJ49" s="76"/>
      <c r="UZK49" s="76"/>
      <c r="UZL49" s="76"/>
      <c r="UZM49" s="76"/>
      <c r="UZN49" s="76"/>
      <c r="UZO49" s="76"/>
      <c r="UZP49" s="76"/>
      <c r="UZQ49" s="76"/>
      <c r="UZR49" s="76"/>
      <c r="UZS49" s="76"/>
      <c r="UZT49" s="76"/>
      <c r="UZU49" s="76"/>
      <c r="UZV49" s="76"/>
      <c r="UZW49" s="76"/>
      <c r="UZX49" s="76"/>
      <c r="UZY49" s="76"/>
      <c r="UZZ49" s="76"/>
      <c r="VAA49" s="76"/>
      <c r="VAB49" s="76"/>
      <c r="VAC49" s="76"/>
      <c r="VAD49" s="76"/>
      <c r="VAE49" s="76"/>
      <c r="VAF49" s="76"/>
      <c r="VAG49" s="76"/>
      <c r="VAH49" s="76"/>
      <c r="VAI49" s="76"/>
      <c r="VAJ49" s="76"/>
      <c r="VAK49" s="76"/>
      <c r="VAL49" s="76"/>
      <c r="VAM49" s="76"/>
      <c r="VAN49" s="76"/>
      <c r="VAO49" s="76"/>
      <c r="VAP49" s="76"/>
      <c r="VAQ49" s="76"/>
      <c r="VAR49" s="76"/>
      <c r="VAS49" s="76"/>
      <c r="VAT49" s="76"/>
      <c r="VAU49" s="76"/>
      <c r="VAV49" s="76"/>
      <c r="VAW49" s="76"/>
      <c r="VAX49" s="76"/>
      <c r="VAY49" s="76"/>
      <c r="VAZ49" s="76"/>
      <c r="VBA49" s="76"/>
      <c r="VBB49" s="76"/>
      <c r="VBC49" s="76"/>
      <c r="VBD49" s="76"/>
      <c r="VBE49" s="76"/>
      <c r="VBF49" s="76"/>
      <c r="VBG49" s="76"/>
      <c r="VBH49" s="76"/>
      <c r="VBI49" s="76"/>
      <c r="VBJ49" s="76"/>
      <c r="VBK49" s="76"/>
      <c r="VBL49" s="76"/>
      <c r="VBM49" s="76"/>
      <c r="VBN49" s="76"/>
      <c r="VBO49" s="76"/>
      <c r="VBP49" s="76"/>
      <c r="VBQ49" s="76"/>
      <c r="VBR49" s="76"/>
      <c r="VBS49" s="76"/>
      <c r="VBT49" s="76"/>
      <c r="VBU49" s="76"/>
      <c r="VBV49" s="76"/>
      <c r="VBW49" s="76"/>
      <c r="VBX49" s="76"/>
      <c r="VBY49" s="76"/>
      <c r="VBZ49" s="76"/>
      <c r="VCA49" s="76"/>
      <c r="VCB49" s="76"/>
      <c r="VCC49" s="76"/>
      <c r="VCD49" s="76"/>
      <c r="VCE49" s="76"/>
      <c r="VCF49" s="76"/>
      <c r="VCG49" s="76"/>
      <c r="VCH49" s="76"/>
      <c r="VCI49" s="76"/>
      <c r="VCJ49" s="76"/>
      <c r="VCK49" s="76"/>
      <c r="VCL49" s="76"/>
      <c r="VCM49" s="76"/>
      <c r="VCN49" s="76"/>
      <c r="VCO49" s="76"/>
      <c r="VCP49" s="76"/>
      <c r="VCQ49" s="76"/>
      <c r="VCR49" s="76"/>
      <c r="VCS49" s="76"/>
      <c r="VCT49" s="76"/>
      <c r="VCU49" s="76"/>
      <c r="VCV49" s="76"/>
      <c r="VCW49" s="76"/>
      <c r="VCX49" s="76"/>
      <c r="VCY49" s="76"/>
      <c r="VCZ49" s="76"/>
      <c r="VDA49" s="76"/>
      <c r="VDB49" s="76"/>
      <c r="VDC49" s="76"/>
      <c r="VDD49" s="76"/>
      <c r="VDE49" s="76"/>
      <c r="VDF49" s="76"/>
      <c r="VDG49" s="76"/>
      <c r="VDH49" s="76"/>
      <c r="VDI49" s="76"/>
      <c r="VDJ49" s="76"/>
      <c r="VDK49" s="76"/>
      <c r="VDL49" s="76"/>
      <c r="VDM49" s="76"/>
      <c r="VDN49" s="76"/>
      <c r="VDO49" s="76"/>
      <c r="VDP49" s="76"/>
      <c r="VDQ49" s="76"/>
      <c r="VDR49" s="76"/>
      <c r="VDS49" s="76"/>
      <c r="VDT49" s="76"/>
      <c r="VDU49" s="76"/>
      <c r="VDV49" s="76"/>
      <c r="VDW49" s="76"/>
      <c r="VDX49" s="76"/>
      <c r="VDY49" s="76"/>
      <c r="VDZ49" s="76"/>
      <c r="VEA49" s="76"/>
      <c r="VEB49" s="76"/>
      <c r="VEC49" s="76"/>
      <c r="VED49" s="76"/>
      <c r="VEE49" s="76"/>
      <c r="VEF49" s="76"/>
      <c r="VEG49" s="76"/>
      <c r="VEH49" s="76"/>
      <c r="VEI49" s="76"/>
      <c r="VEJ49" s="76"/>
      <c r="VEK49" s="76"/>
      <c r="VEL49" s="76"/>
      <c r="VEM49" s="76"/>
      <c r="VEN49" s="76"/>
      <c r="VEO49" s="76"/>
      <c r="VEP49" s="76"/>
      <c r="VEQ49" s="76"/>
      <c r="VER49" s="76"/>
      <c r="VES49" s="76"/>
      <c r="VET49" s="76"/>
      <c r="VEU49" s="76"/>
      <c r="VEV49" s="76"/>
      <c r="VEW49" s="76"/>
      <c r="VEX49" s="76"/>
      <c r="VEY49" s="76"/>
      <c r="VEZ49" s="76"/>
      <c r="VFA49" s="76"/>
      <c r="VFB49" s="76"/>
      <c r="VFC49" s="76"/>
      <c r="VFD49" s="76"/>
      <c r="VFE49" s="76"/>
      <c r="VFF49" s="76"/>
      <c r="VFG49" s="76"/>
      <c r="VFH49" s="76"/>
      <c r="VFI49" s="76"/>
      <c r="VFJ49" s="76"/>
      <c r="VFK49" s="76"/>
      <c r="VFL49" s="76"/>
      <c r="VFM49" s="76"/>
      <c r="VFN49" s="76"/>
      <c r="VFO49" s="76"/>
      <c r="VFP49" s="76"/>
      <c r="VFQ49" s="76"/>
      <c r="VFR49" s="76"/>
      <c r="VFS49" s="76"/>
      <c r="VFT49" s="76"/>
      <c r="VFU49" s="76"/>
      <c r="VFV49" s="76"/>
      <c r="VFW49" s="76"/>
      <c r="VFX49" s="76"/>
      <c r="VFY49" s="76"/>
      <c r="VFZ49" s="76"/>
      <c r="VGA49" s="76"/>
      <c r="VGB49" s="76"/>
      <c r="VGC49" s="76"/>
      <c r="VGD49" s="76"/>
      <c r="VGE49" s="76"/>
      <c r="VGF49" s="76"/>
      <c r="VGG49" s="76"/>
      <c r="VGH49" s="76"/>
      <c r="VGI49" s="76"/>
      <c r="VGJ49" s="76"/>
      <c r="VGK49" s="76"/>
      <c r="VGL49" s="76"/>
      <c r="VGM49" s="76"/>
      <c r="VGN49" s="76"/>
      <c r="VGO49" s="76"/>
      <c r="VGP49" s="76"/>
      <c r="VGQ49" s="76"/>
      <c r="VGR49" s="76"/>
      <c r="VGS49" s="76"/>
      <c r="VGT49" s="76"/>
      <c r="VGU49" s="76"/>
      <c r="VGV49" s="76"/>
      <c r="VGW49" s="76"/>
      <c r="VGX49" s="76"/>
      <c r="VGY49" s="76"/>
      <c r="VGZ49" s="76"/>
      <c r="VHA49" s="76"/>
      <c r="VHB49" s="76"/>
      <c r="VHC49" s="76"/>
      <c r="VHD49" s="76"/>
      <c r="VHE49" s="76"/>
      <c r="VHF49" s="76"/>
      <c r="VHG49" s="76"/>
      <c r="VHH49" s="76"/>
      <c r="VHI49" s="76"/>
      <c r="VHJ49" s="76"/>
      <c r="VHK49" s="76"/>
      <c r="VHL49" s="76"/>
      <c r="VHM49" s="76"/>
      <c r="VHN49" s="76"/>
      <c r="VHO49" s="76"/>
      <c r="VHP49" s="76"/>
      <c r="VHQ49" s="76"/>
      <c r="VHR49" s="76"/>
      <c r="VHS49" s="76"/>
      <c r="VHT49" s="76"/>
      <c r="VHU49" s="76"/>
      <c r="VHV49" s="76"/>
      <c r="VHW49" s="76"/>
      <c r="VHX49" s="76"/>
      <c r="VHY49" s="76"/>
      <c r="VHZ49" s="76"/>
      <c r="VIA49" s="76"/>
      <c r="VIB49" s="76"/>
      <c r="VIC49" s="76"/>
      <c r="VID49" s="76"/>
      <c r="VIE49" s="76"/>
      <c r="VIF49" s="76"/>
      <c r="VIG49" s="76"/>
      <c r="VIH49" s="76"/>
      <c r="VII49" s="76"/>
      <c r="VIJ49" s="76"/>
      <c r="VIK49" s="76"/>
      <c r="VIL49" s="76"/>
      <c r="VIM49" s="76"/>
      <c r="VIN49" s="76"/>
      <c r="VIO49" s="76"/>
      <c r="VIP49" s="76"/>
      <c r="VIQ49" s="76"/>
      <c r="VIR49" s="76"/>
      <c r="VIS49" s="76"/>
      <c r="VIT49" s="76"/>
      <c r="VIU49" s="76"/>
      <c r="VIV49" s="76"/>
      <c r="VIW49" s="76"/>
      <c r="VIX49" s="76"/>
      <c r="VIY49" s="76"/>
      <c r="VIZ49" s="76"/>
      <c r="VJA49" s="76"/>
      <c r="VJB49" s="76"/>
      <c r="VJC49" s="76"/>
      <c r="VJD49" s="76"/>
      <c r="VJE49" s="76"/>
      <c r="VJF49" s="76"/>
      <c r="VJG49" s="76"/>
      <c r="VJH49" s="76"/>
      <c r="VJI49" s="76"/>
      <c r="VJJ49" s="76"/>
      <c r="VJK49" s="76"/>
      <c r="VJL49" s="76"/>
      <c r="VJM49" s="76"/>
      <c r="VJN49" s="76"/>
      <c r="VJO49" s="76"/>
      <c r="VJP49" s="76"/>
      <c r="VJQ49" s="76"/>
      <c r="VJR49" s="76"/>
      <c r="VJS49" s="76"/>
      <c r="VJT49" s="76"/>
      <c r="VJU49" s="76"/>
      <c r="VJV49" s="76"/>
      <c r="VJW49" s="76"/>
      <c r="VJX49" s="76"/>
      <c r="VJY49" s="76"/>
      <c r="VJZ49" s="76"/>
      <c r="VKA49" s="76"/>
      <c r="VKB49" s="76"/>
      <c r="VKC49" s="76"/>
      <c r="VKD49" s="76"/>
      <c r="VKE49" s="76"/>
      <c r="VKF49" s="76"/>
      <c r="VKG49" s="76"/>
      <c r="VKH49" s="76"/>
      <c r="VKI49" s="76"/>
      <c r="VKJ49" s="76"/>
      <c r="VKK49" s="76"/>
      <c r="VKL49" s="76"/>
      <c r="VKM49" s="76"/>
      <c r="VKN49" s="76"/>
      <c r="VKO49" s="76"/>
      <c r="VKP49" s="76"/>
      <c r="VKQ49" s="76"/>
      <c r="VKR49" s="76"/>
      <c r="VKS49" s="76"/>
      <c r="VKT49" s="76"/>
      <c r="VKU49" s="76"/>
      <c r="VKV49" s="76"/>
      <c r="VKW49" s="76"/>
      <c r="VKX49" s="76"/>
      <c r="VKY49" s="76"/>
      <c r="VKZ49" s="76"/>
      <c r="VLA49" s="76"/>
      <c r="VLB49" s="76"/>
      <c r="VLC49" s="76"/>
      <c r="VLD49" s="76"/>
      <c r="VLE49" s="76"/>
      <c r="VLF49" s="76"/>
      <c r="VLG49" s="76"/>
      <c r="VLH49" s="76"/>
      <c r="VLI49" s="76"/>
      <c r="VLJ49" s="76"/>
      <c r="VLK49" s="76"/>
      <c r="VLL49" s="76"/>
      <c r="VLM49" s="76"/>
      <c r="VLN49" s="76"/>
      <c r="VLO49" s="76"/>
      <c r="VLP49" s="76"/>
      <c r="VLQ49" s="76"/>
      <c r="VLR49" s="76"/>
      <c r="VLS49" s="76"/>
      <c r="VLT49" s="76"/>
      <c r="VLU49" s="76"/>
      <c r="VLV49" s="76"/>
      <c r="VLW49" s="76"/>
      <c r="VLX49" s="76"/>
      <c r="VLY49" s="76"/>
      <c r="VLZ49" s="76"/>
      <c r="VMA49" s="76"/>
      <c r="VMB49" s="76"/>
      <c r="VMC49" s="76"/>
      <c r="VMD49" s="76"/>
      <c r="VME49" s="76"/>
      <c r="VMF49" s="76"/>
      <c r="VMG49" s="76"/>
      <c r="VMH49" s="76"/>
      <c r="VMI49" s="76"/>
      <c r="VMJ49" s="76"/>
      <c r="VMK49" s="76"/>
      <c r="VML49" s="76"/>
      <c r="VMM49" s="76"/>
      <c r="VMN49" s="76"/>
      <c r="VMO49" s="76"/>
      <c r="VMP49" s="76"/>
      <c r="VMQ49" s="76"/>
      <c r="VMR49" s="76"/>
      <c r="VMS49" s="76"/>
      <c r="VMT49" s="76"/>
      <c r="VMU49" s="76"/>
      <c r="VMV49" s="76"/>
      <c r="VMW49" s="76"/>
      <c r="VMX49" s="76"/>
      <c r="VMY49" s="76"/>
      <c r="VMZ49" s="76"/>
      <c r="VNA49" s="76"/>
      <c r="VNB49" s="76"/>
      <c r="VNC49" s="76"/>
      <c r="VND49" s="76"/>
      <c r="VNE49" s="76"/>
      <c r="VNF49" s="76"/>
      <c r="VNG49" s="76"/>
      <c r="VNH49" s="76"/>
      <c r="VNI49" s="76"/>
      <c r="VNJ49" s="76"/>
      <c r="VNK49" s="76"/>
      <c r="VNL49" s="76"/>
      <c r="VNM49" s="76"/>
      <c r="VNN49" s="76"/>
      <c r="VNO49" s="76"/>
      <c r="VNP49" s="76"/>
      <c r="VNQ49" s="76"/>
      <c r="VNR49" s="76"/>
      <c r="VNS49" s="76"/>
      <c r="VNT49" s="76"/>
      <c r="VNU49" s="76"/>
      <c r="VNV49" s="76"/>
      <c r="VNW49" s="76"/>
      <c r="VNX49" s="76"/>
      <c r="VNY49" s="76"/>
      <c r="VNZ49" s="76"/>
      <c r="VOA49" s="76"/>
      <c r="VOB49" s="76"/>
      <c r="VOC49" s="76"/>
      <c r="VOD49" s="76"/>
      <c r="VOE49" s="76"/>
      <c r="VOF49" s="76"/>
      <c r="VOG49" s="76"/>
      <c r="VOH49" s="76"/>
      <c r="VOI49" s="76"/>
      <c r="VOJ49" s="76"/>
      <c r="VOK49" s="76"/>
      <c r="VOL49" s="76"/>
      <c r="VOM49" s="76"/>
      <c r="VON49" s="76"/>
      <c r="VOO49" s="76"/>
      <c r="VOP49" s="76"/>
      <c r="VOQ49" s="76"/>
      <c r="VOR49" s="76"/>
      <c r="VOS49" s="76"/>
      <c r="VOT49" s="76"/>
      <c r="VOU49" s="76"/>
      <c r="VOV49" s="76"/>
      <c r="VOW49" s="76"/>
      <c r="VOX49" s="76"/>
      <c r="VOY49" s="76"/>
      <c r="VOZ49" s="76"/>
      <c r="VPA49" s="76"/>
      <c r="VPB49" s="76"/>
      <c r="VPC49" s="76"/>
      <c r="VPD49" s="76"/>
      <c r="VPE49" s="76"/>
      <c r="VPF49" s="76"/>
      <c r="VPG49" s="76"/>
      <c r="VPH49" s="76"/>
      <c r="VPI49" s="76"/>
      <c r="VPJ49" s="76"/>
      <c r="VPK49" s="76"/>
      <c r="VPL49" s="76"/>
      <c r="VPM49" s="76"/>
      <c r="VPN49" s="76"/>
      <c r="VPO49" s="76"/>
      <c r="VPP49" s="76"/>
      <c r="VPQ49" s="76"/>
      <c r="VPR49" s="76"/>
      <c r="VPS49" s="76"/>
      <c r="VPT49" s="76"/>
      <c r="VPU49" s="76"/>
      <c r="VPV49" s="76"/>
      <c r="VPW49" s="76"/>
      <c r="VPX49" s="76"/>
      <c r="VPY49" s="76"/>
      <c r="VPZ49" s="76"/>
      <c r="VQA49" s="76"/>
      <c r="VQB49" s="76"/>
      <c r="VQC49" s="76"/>
      <c r="VQD49" s="76"/>
      <c r="VQE49" s="76"/>
      <c r="VQF49" s="76"/>
      <c r="VQG49" s="76"/>
      <c r="VQH49" s="76"/>
      <c r="VQI49" s="76"/>
      <c r="VQJ49" s="76"/>
      <c r="VQK49" s="76"/>
      <c r="VQL49" s="76"/>
      <c r="VQM49" s="76"/>
      <c r="VQN49" s="76"/>
      <c r="VQO49" s="76"/>
      <c r="VQP49" s="76"/>
      <c r="VQQ49" s="76"/>
      <c r="VQR49" s="76"/>
      <c r="VQS49" s="76"/>
      <c r="VQT49" s="76"/>
      <c r="VQU49" s="76"/>
      <c r="VQV49" s="76"/>
      <c r="VQW49" s="76"/>
      <c r="VQX49" s="76"/>
      <c r="VQY49" s="76"/>
      <c r="VQZ49" s="76"/>
      <c r="VRA49" s="76"/>
      <c r="VRB49" s="76"/>
      <c r="VRC49" s="76"/>
      <c r="VRD49" s="76"/>
      <c r="VRE49" s="76"/>
      <c r="VRF49" s="76"/>
      <c r="VRG49" s="76"/>
      <c r="VRH49" s="76"/>
      <c r="VRI49" s="76"/>
      <c r="VRJ49" s="76"/>
      <c r="VRK49" s="76"/>
      <c r="VRL49" s="76"/>
      <c r="VRM49" s="76"/>
      <c r="VRN49" s="76"/>
      <c r="VRO49" s="76"/>
      <c r="VRP49" s="76"/>
      <c r="VRQ49" s="76"/>
      <c r="VRR49" s="76"/>
      <c r="VRS49" s="76"/>
      <c r="VRT49" s="76"/>
      <c r="VRU49" s="76"/>
      <c r="VRV49" s="76"/>
      <c r="VRW49" s="76"/>
      <c r="VRX49" s="76"/>
      <c r="VRY49" s="76"/>
      <c r="VRZ49" s="76"/>
      <c r="VSA49" s="76"/>
      <c r="VSB49" s="76"/>
      <c r="VSC49" s="76"/>
      <c r="VSD49" s="76"/>
      <c r="VSE49" s="76"/>
      <c r="VSF49" s="76"/>
      <c r="VSG49" s="76"/>
      <c r="VSH49" s="76"/>
      <c r="VSI49" s="76"/>
      <c r="VSJ49" s="76"/>
      <c r="VSK49" s="76"/>
      <c r="VSL49" s="76"/>
      <c r="VSM49" s="76"/>
      <c r="VSN49" s="76"/>
      <c r="VSO49" s="76"/>
      <c r="VSP49" s="76"/>
      <c r="VSQ49" s="76"/>
      <c r="VSR49" s="76"/>
      <c r="VSS49" s="76"/>
      <c r="VST49" s="76"/>
      <c r="VSU49" s="76"/>
      <c r="VSV49" s="76"/>
      <c r="VSW49" s="76"/>
      <c r="VSX49" s="76"/>
      <c r="VSY49" s="76"/>
      <c r="VSZ49" s="76"/>
      <c r="VTA49" s="76"/>
      <c r="VTB49" s="76"/>
      <c r="VTC49" s="76"/>
      <c r="VTD49" s="76"/>
      <c r="VTE49" s="76"/>
      <c r="VTF49" s="76"/>
      <c r="VTG49" s="76"/>
      <c r="VTH49" s="76"/>
      <c r="VTI49" s="76"/>
      <c r="VTJ49" s="76"/>
      <c r="VTK49" s="76"/>
      <c r="VTL49" s="76"/>
      <c r="VTM49" s="76"/>
      <c r="VTN49" s="76"/>
      <c r="VTO49" s="76"/>
      <c r="VTP49" s="76"/>
      <c r="VTQ49" s="76"/>
      <c r="VTR49" s="76"/>
      <c r="VTS49" s="76"/>
      <c r="VTT49" s="76"/>
      <c r="VTU49" s="76"/>
      <c r="VTV49" s="76"/>
      <c r="VTW49" s="76"/>
      <c r="VTX49" s="76"/>
      <c r="VTY49" s="76"/>
      <c r="VTZ49" s="76"/>
      <c r="VUA49" s="76"/>
      <c r="VUB49" s="76"/>
      <c r="VUC49" s="76"/>
      <c r="VUD49" s="76"/>
      <c r="VUE49" s="76"/>
      <c r="VUF49" s="76"/>
      <c r="VUG49" s="76"/>
      <c r="VUH49" s="76"/>
      <c r="VUI49" s="76"/>
      <c r="VUJ49" s="76"/>
      <c r="VUK49" s="76"/>
      <c r="VUL49" s="76"/>
      <c r="VUM49" s="76"/>
      <c r="VUN49" s="76"/>
      <c r="VUO49" s="76"/>
      <c r="VUP49" s="76"/>
      <c r="VUQ49" s="76"/>
      <c r="VUR49" s="76"/>
      <c r="VUS49" s="76"/>
      <c r="VUT49" s="76"/>
      <c r="VUU49" s="76"/>
      <c r="VUV49" s="76"/>
      <c r="VUW49" s="76"/>
      <c r="VUX49" s="76"/>
      <c r="VUY49" s="76"/>
      <c r="VUZ49" s="76"/>
      <c r="VVA49" s="76"/>
      <c r="VVB49" s="76"/>
      <c r="VVC49" s="76"/>
      <c r="VVD49" s="76"/>
      <c r="VVE49" s="76"/>
      <c r="VVF49" s="76"/>
      <c r="VVG49" s="76"/>
      <c r="VVH49" s="76"/>
      <c r="VVI49" s="76"/>
      <c r="VVJ49" s="76"/>
      <c r="VVK49" s="76"/>
      <c r="VVL49" s="76"/>
      <c r="VVM49" s="76"/>
      <c r="VVN49" s="76"/>
      <c r="VVO49" s="76"/>
      <c r="VVP49" s="76"/>
      <c r="VVQ49" s="76"/>
      <c r="VVR49" s="76"/>
      <c r="VVS49" s="76"/>
      <c r="VVT49" s="76"/>
      <c r="VVU49" s="76"/>
      <c r="VVV49" s="76"/>
      <c r="VVW49" s="76"/>
      <c r="VVX49" s="76"/>
      <c r="VVY49" s="76"/>
      <c r="VVZ49" s="76"/>
      <c r="VWA49" s="76"/>
      <c r="VWB49" s="76"/>
      <c r="VWC49" s="76"/>
      <c r="VWD49" s="76"/>
      <c r="VWE49" s="76"/>
      <c r="VWF49" s="76"/>
      <c r="VWG49" s="76"/>
      <c r="VWH49" s="76"/>
      <c r="VWI49" s="76"/>
      <c r="VWJ49" s="76"/>
      <c r="VWK49" s="76"/>
      <c r="VWL49" s="76"/>
      <c r="VWM49" s="76"/>
      <c r="VWN49" s="76"/>
      <c r="VWO49" s="76"/>
      <c r="VWP49" s="76"/>
      <c r="VWQ49" s="76"/>
      <c r="VWR49" s="76"/>
      <c r="VWS49" s="76"/>
      <c r="VWT49" s="76"/>
      <c r="VWU49" s="76"/>
      <c r="VWV49" s="76"/>
      <c r="VWW49" s="76"/>
      <c r="VWX49" s="76"/>
      <c r="VWY49" s="76"/>
      <c r="VWZ49" s="76"/>
      <c r="VXA49" s="76"/>
      <c r="VXB49" s="76"/>
      <c r="VXC49" s="76"/>
      <c r="VXD49" s="76"/>
      <c r="VXE49" s="76"/>
      <c r="VXF49" s="76"/>
      <c r="VXG49" s="76"/>
      <c r="VXH49" s="76"/>
      <c r="VXI49" s="76"/>
      <c r="VXJ49" s="76"/>
      <c r="VXK49" s="76"/>
      <c r="VXL49" s="76"/>
      <c r="VXM49" s="76"/>
      <c r="VXN49" s="76"/>
      <c r="VXO49" s="76"/>
      <c r="VXP49" s="76"/>
      <c r="VXQ49" s="76"/>
      <c r="VXR49" s="76"/>
      <c r="VXS49" s="76"/>
      <c r="VXT49" s="76"/>
      <c r="VXU49" s="76"/>
      <c r="VXV49" s="76"/>
      <c r="VXW49" s="76"/>
      <c r="VXX49" s="76"/>
      <c r="VXY49" s="76"/>
      <c r="VXZ49" s="76"/>
      <c r="VYA49" s="76"/>
      <c r="VYB49" s="76"/>
      <c r="VYC49" s="76"/>
      <c r="VYD49" s="76"/>
      <c r="VYE49" s="76"/>
      <c r="VYF49" s="76"/>
      <c r="VYG49" s="76"/>
      <c r="VYH49" s="76"/>
      <c r="VYI49" s="76"/>
      <c r="VYJ49" s="76"/>
      <c r="VYK49" s="76"/>
      <c r="VYL49" s="76"/>
      <c r="VYM49" s="76"/>
      <c r="VYN49" s="76"/>
      <c r="VYO49" s="76"/>
      <c r="VYP49" s="76"/>
      <c r="VYQ49" s="76"/>
      <c r="VYR49" s="76"/>
      <c r="VYS49" s="76"/>
      <c r="VYT49" s="76"/>
      <c r="VYU49" s="76"/>
      <c r="VYV49" s="76"/>
      <c r="VYW49" s="76"/>
      <c r="VYX49" s="76"/>
      <c r="VYY49" s="76"/>
      <c r="VYZ49" s="76"/>
      <c r="VZA49" s="76"/>
      <c r="VZB49" s="76"/>
      <c r="VZC49" s="76"/>
      <c r="VZD49" s="76"/>
      <c r="VZE49" s="76"/>
      <c r="VZF49" s="76"/>
      <c r="VZG49" s="76"/>
      <c r="VZH49" s="76"/>
      <c r="VZI49" s="76"/>
      <c r="VZJ49" s="76"/>
      <c r="VZK49" s="76"/>
      <c r="VZL49" s="76"/>
      <c r="VZM49" s="76"/>
      <c r="VZN49" s="76"/>
      <c r="VZO49" s="76"/>
      <c r="VZP49" s="76"/>
      <c r="VZQ49" s="76"/>
      <c r="VZR49" s="76"/>
      <c r="VZS49" s="76"/>
      <c r="VZT49" s="76"/>
      <c r="VZU49" s="76"/>
      <c r="VZV49" s="76"/>
      <c r="VZW49" s="76"/>
      <c r="VZX49" s="76"/>
      <c r="VZY49" s="76"/>
      <c r="VZZ49" s="76"/>
      <c r="WAA49" s="76"/>
      <c r="WAB49" s="76"/>
      <c r="WAC49" s="76"/>
      <c r="WAD49" s="76"/>
      <c r="WAE49" s="76"/>
      <c r="WAF49" s="76"/>
      <c r="WAG49" s="76"/>
      <c r="WAH49" s="76"/>
      <c r="WAI49" s="76"/>
      <c r="WAJ49" s="76"/>
      <c r="WAK49" s="76"/>
      <c r="WAL49" s="76"/>
      <c r="WAM49" s="76"/>
      <c r="WAN49" s="76"/>
      <c r="WAO49" s="76"/>
      <c r="WAP49" s="76"/>
      <c r="WAQ49" s="76"/>
      <c r="WAR49" s="76"/>
      <c r="WAS49" s="76"/>
      <c r="WAT49" s="76"/>
      <c r="WAU49" s="76"/>
      <c r="WAV49" s="76"/>
      <c r="WAW49" s="76"/>
      <c r="WAX49" s="76"/>
      <c r="WAY49" s="76"/>
      <c r="WAZ49" s="76"/>
      <c r="WBA49" s="76"/>
      <c r="WBB49" s="76"/>
      <c r="WBC49" s="76"/>
      <c r="WBD49" s="76"/>
      <c r="WBE49" s="76"/>
      <c r="WBF49" s="76"/>
      <c r="WBG49" s="76"/>
      <c r="WBH49" s="76"/>
      <c r="WBI49" s="76"/>
      <c r="WBJ49" s="76"/>
      <c r="WBK49" s="76"/>
      <c r="WBL49" s="76"/>
      <c r="WBM49" s="76"/>
      <c r="WBN49" s="76"/>
      <c r="WBO49" s="76"/>
      <c r="WBP49" s="76"/>
      <c r="WBQ49" s="76"/>
      <c r="WBR49" s="76"/>
      <c r="WBS49" s="76"/>
      <c r="WBT49" s="76"/>
      <c r="WBU49" s="76"/>
      <c r="WBV49" s="76"/>
      <c r="WBW49" s="76"/>
      <c r="WBX49" s="76"/>
      <c r="WBY49" s="76"/>
      <c r="WBZ49" s="76"/>
      <c r="WCA49" s="76"/>
      <c r="WCB49" s="76"/>
      <c r="WCC49" s="76"/>
      <c r="WCD49" s="76"/>
      <c r="WCE49" s="76"/>
      <c r="WCF49" s="76"/>
      <c r="WCG49" s="76"/>
      <c r="WCH49" s="76"/>
      <c r="WCI49" s="76"/>
      <c r="WCJ49" s="76"/>
      <c r="WCK49" s="76"/>
      <c r="WCL49" s="76"/>
      <c r="WCM49" s="76"/>
      <c r="WCN49" s="76"/>
      <c r="WCO49" s="76"/>
      <c r="WCP49" s="76"/>
      <c r="WCQ49" s="76"/>
      <c r="WCR49" s="76"/>
      <c r="WCS49" s="76"/>
      <c r="WCT49" s="76"/>
      <c r="WCU49" s="76"/>
      <c r="WCV49" s="76"/>
      <c r="WCW49" s="76"/>
      <c r="WCX49" s="76"/>
      <c r="WCY49" s="76"/>
      <c r="WCZ49" s="76"/>
      <c r="WDA49" s="76"/>
      <c r="WDB49" s="76"/>
      <c r="WDC49" s="76"/>
      <c r="WDD49" s="76"/>
      <c r="WDE49" s="76"/>
      <c r="WDF49" s="76"/>
      <c r="WDG49" s="76"/>
      <c r="WDH49" s="76"/>
      <c r="WDI49" s="76"/>
      <c r="WDJ49" s="76"/>
      <c r="WDK49" s="76"/>
      <c r="WDL49" s="76"/>
      <c r="WDM49" s="76"/>
      <c r="WDN49" s="76"/>
      <c r="WDO49" s="76"/>
      <c r="WDP49" s="76"/>
      <c r="WDQ49" s="76"/>
      <c r="WDR49" s="76"/>
      <c r="WDS49" s="76"/>
      <c r="WDT49" s="76"/>
      <c r="WDU49" s="76"/>
      <c r="WDV49" s="76"/>
      <c r="WDW49" s="76"/>
      <c r="WDX49" s="76"/>
      <c r="WDY49" s="76"/>
      <c r="WDZ49" s="76"/>
      <c r="WEA49" s="76"/>
      <c r="WEB49" s="76"/>
      <c r="WEC49" s="76"/>
      <c r="WED49" s="76"/>
      <c r="WEE49" s="76"/>
      <c r="WEF49" s="76"/>
      <c r="WEG49" s="76"/>
      <c r="WEH49" s="76"/>
      <c r="WEI49" s="76"/>
      <c r="WEJ49" s="76"/>
      <c r="WEK49" s="76"/>
      <c r="WEL49" s="76"/>
      <c r="WEM49" s="76"/>
      <c r="WEN49" s="76"/>
      <c r="WEO49" s="76"/>
      <c r="WEP49" s="76"/>
      <c r="WEQ49" s="76"/>
      <c r="WER49" s="76"/>
      <c r="WES49" s="76"/>
      <c r="WET49" s="76"/>
      <c r="WEU49" s="76"/>
      <c r="WEV49" s="76"/>
      <c r="WEW49" s="76"/>
      <c r="WEX49" s="76"/>
      <c r="WEY49" s="76"/>
      <c r="WEZ49" s="76"/>
      <c r="WFA49" s="76"/>
      <c r="WFB49" s="76"/>
      <c r="WFC49" s="76"/>
      <c r="WFD49" s="76"/>
      <c r="WFE49" s="76"/>
      <c r="WFF49" s="76"/>
      <c r="WFG49" s="76"/>
      <c r="WFH49" s="76"/>
      <c r="WFI49" s="76"/>
      <c r="WFJ49" s="76"/>
      <c r="WFK49" s="76"/>
      <c r="WFL49" s="76"/>
      <c r="WFM49" s="76"/>
      <c r="WFN49" s="76"/>
      <c r="WFO49" s="76"/>
      <c r="WFP49" s="76"/>
      <c r="WFQ49" s="76"/>
      <c r="WFR49" s="76"/>
      <c r="WFS49" s="76"/>
      <c r="WFT49" s="76"/>
      <c r="WFU49" s="76"/>
      <c r="WFV49" s="76"/>
      <c r="WFW49" s="76"/>
      <c r="WFX49" s="76"/>
      <c r="WFY49" s="76"/>
      <c r="WFZ49" s="76"/>
      <c r="WGA49" s="76"/>
      <c r="WGB49" s="76"/>
      <c r="WGC49" s="76"/>
      <c r="WGD49" s="76"/>
      <c r="WGE49" s="76"/>
      <c r="WGF49" s="76"/>
      <c r="WGG49" s="76"/>
      <c r="WGH49" s="76"/>
      <c r="WGI49" s="76"/>
      <c r="WGJ49" s="76"/>
      <c r="WGK49" s="76"/>
      <c r="WGL49" s="76"/>
      <c r="WGM49" s="76"/>
      <c r="WGN49" s="76"/>
      <c r="WGO49" s="76"/>
      <c r="WGP49" s="76"/>
      <c r="WGQ49" s="76"/>
      <c r="WGR49" s="76"/>
      <c r="WGS49" s="76"/>
      <c r="WGT49" s="76"/>
      <c r="WGU49" s="76"/>
      <c r="WGV49" s="76"/>
      <c r="WGW49" s="76"/>
      <c r="WGX49" s="76"/>
      <c r="WGY49" s="76"/>
      <c r="WGZ49" s="76"/>
      <c r="WHA49" s="76"/>
      <c r="WHB49" s="76"/>
      <c r="WHC49" s="76"/>
      <c r="WHD49" s="76"/>
      <c r="WHE49" s="76"/>
      <c r="WHF49" s="76"/>
      <c r="WHG49" s="76"/>
      <c r="WHH49" s="76"/>
      <c r="WHI49" s="76"/>
      <c r="WHJ49" s="76"/>
      <c r="WHK49" s="76"/>
      <c r="WHL49" s="76"/>
      <c r="WHM49" s="76"/>
      <c r="WHN49" s="76"/>
      <c r="WHO49" s="76"/>
      <c r="WHP49" s="76"/>
      <c r="WHQ49" s="76"/>
      <c r="WHR49" s="76"/>
      <c r="WHS49" s="76"/>
      <c r="WHT49" s="76"/>
      <c r="WHU49" s="76"/>
      <c r="WHV49" s="76"/>
      <c r="WHW49" s="76"/>
      <c r="WHX49" s="76"/>
      <c r="WHY49" s="76"/>
      <c r="WHZ49" s="76"/>
      <c r="WIA49" s="76"/>
      <c r="WIB49" s="76"/>
      <c r="WIC49" s="76"/>
      <c r="WID49" s="76"/>
      <c r="WIE49" s="76"/>
      <c r="WIF49" s="76"/>
      <c r="WIG49" s="76"/>
      <c r="WIH49" s="76"/>
      <c r="WII49" s="76"/>
      <c r="WIJ49" s="76"/>
      <c r="WIK49" s="76"/>
      <c r="WIL49" s="76"/>
      <c r="WIM49" s="76"/>
      <c r="WIN49" s="76"/>
      <c r="WIO49" s="76"/>
      <c r="WIP49" s="76"/>
      <c r="WIQ49" s="76"/>
      <c r="WIR49" s="76"/>
      <c r="WIS49" s="76"/>
      <c r="WIT49" s="76"/>
      <c r="WIU49" s="76"/>
      <c r="WIV49" s="76"/>
      <c r="WIW49" s="76"/>
      <c r="WIX49" s="76"/>
      <c r="WIY49" s="76"/>
      <c r="WIZ49" s="76"/>
      <c r="WJA49" s="76"/>
      <c r="WJB49" s="76"/>
      <c r="WJC49" s="76"/>
      <c r="WJD49" s="76"/>
      <c r="WJE49" s="76"/>
      <c r="WJF49" s="76"/>
      <c r="WJG49" s="76"/>
      <c r="WJH49" s="76"/>
      <c r="WJI49" s="76"/>
      <c r="WJJ49" s="76"/>
      <c r="WJK49" s="76"/>
      <c r="WJL49" s="76"/>
      <c r="WJM49" s="76"/>
      <c r="WJN49" s="76"/>
      <c r="WJO49" s="76"/>
      <c r="WJP49" s="76"/>
      <c r="WJQ49" s="76"/>
      <c r="WJR49" s="76"/>
      <c r="WJS49" s="76"/>
      <c r="WJT49" s="76"/>
      <c r="WJU49" s="76"/>
      <c r="WJV49" s="76"/>
      <c r="WJW49" s="76"/>
      <c r="WJX49" s="76"/>
      <c r="WJY49" s="76"/>
      <c r="WJZ49" s="76"/>
      <c r="WKA49" s="76"/>
      <c r="WKB49" s="76"/>
      <c r="WKC49" s="76"/>
      <c r="WKD49" s="76"/>
      <c r="WKE49" s="76"/>
      <c r="WKF49" s="76"/>
      <c r="WKG49" s="76"/>
      <c r="WKH49" s="76"/>
      <c r="WKI49" s="76"/>
      <c r="WKJ49" s="76"/>
      <c r="WKK49" s="76"/>
      <c r="WKL49" s="76"/>
      <c r="WKM49" s="76"/>
      <c r="WKN49" s="76"/>
      <c r="WKO49" s="76"/>
      <c r="WKP49" s="76"/>
      <c r="WKQ49" s="76"/>
      <c r="WKR49" s="76"/>
      <c r="WKS49" s="76"/>
      <c r="WKT49" s="76"/>
      <c r="WKU49" s="76"/>
      <c r="WKV49" s="76"/>
      <c r="WKW49" s="76"/>
      <c r="WKX49" s="76"/>
      <c r="WKY49" s="76"/>
      <c r="WKZ49" s="76"/>
      <c r="WLA49" s="76"/>
      <c r="WLB49" s="76"/>
      <c r="WLC49" s="76"/>
      <c r="WLD49" s="76"/>
      <c r="WLE49" s="76"/>
      <c r="WLF49" s="76"/>
      <c r="WLG49" s="76"/>
      <c r="WLH49" s="76"/>
      <c r="WLI49" s="76"/>
      <c r="WLJ49" s="76"/>
      <c r="WLK49" s="76"/>
      <c r="WLL49" s="76"/>
      <c r="WLM49" s="76"/>
      <c r="WLN49" s="76"/>
      <c r="WLO49" s="76"/>
      <c r="WLP49" s="76"/>
      <c r="WLQ49" s="76"/>
      <c r="WLR49" s="76"/>
      <c r="WLS49" s="76"/>
      <c r="WLT49" s="76"/>
      <c r="WLU49" s="76"/>
      <c r="WLV49" s="76"/>
      <c r="WLW49" s="76"/>
      <c r="WLX49" s="76"/>
      <c r="WLY49" s="76"/>
      <c r="WLZ49" s="76"/>
      <c r="WMA49" s="76"/>
      <c r="WMB49" s="76"/>
      <c r="WMC49" s="76"/>
      <c r="WMD49" s="76"/>
      <c r="WME49" s="76"/>
      <c r="WMF49" s="76"/>
      <c r="WMG49" s="76"/>
      <c r="WMH49" s="76"/>
      <c r="WMI49" s="76"/>
      <c r="WMJ49" s="76"/>
      <c r="WMK49" s="76"/>
      <c r="WML49" s="76"/>
      <c r="WMM49" s="76"/>
      <c r="WMN49" s="76"/>
      <c r="WMO49" s="76"/>
      <c r="WMP49" s="76"/>
      <c r="WMQ49" s="76"/>
      <c r="WMR49" s="76"/>
      <c r="WMS49" s="76"/>
      <c r="WMT49" s="76"/>
      <c r="WMU49" s="76"/>
      <c r="WMV49" s="76"/>
      <c r="WMW49" s="76"/>
      <c r="WMX49" s="76"/>
      <c r="WMY49" s="76"/>
      <c r="WMZ49" s="76"/>
      <c r="WNA49" s="76"/>
      <c r="WNB49" s="76"/>
      <c r="WNC49" s="76"/>
      <c r="WND49" s="76"/>
      <c r="WNE49" s="76"/>
      <c r="WNF49" s="76"/>
      <c r="WNG49" s="76"/>
      <c r="WNH49" s="76"/>
      <c r="WNI49" s="76"/>
      <c r="WNJ49" s="76"/>
      <c r="WNK49" s="76"/>
      <c r="WNL49" s="76"/>
      <c r="WNM49" s="76"/>
      <c r="WNN49" s="76"/>
      <c r="WNO49" s="76"/>
      <c r="WNP49" s="76"/>
      <c r="WNQ49" s="76"/>
      <c r="WNR49" s="76"/>
      <c r="WNS49" s="76"/>
      <c r="WNT49" s="76"/>
      <c r="WNU49" s="76"/>
      <c r="WNV49" s="76"/>
      <c r="WNW49" s="76"/>
      <c r="WNX49" s="76"/>
      <c r="WNY49" s="76"/>
      <c r="WNZ49" s="76"/>
      <c r="WOA49" s="76"/>
      <c r="WOB49" s="76"/>
      <c r="WOC49" s="76"/>
      <c r="WOD49" s="76"/>
      <c r="WOE49" s="76"/>
      <c r="WOF49" s="76"/>
      <c r="WOG49" s="76"/>
      <c r="WOH49" s="76"/>
      <c r="WOI49" s="76"/>
      <c r="WOJ49" s="76"/>
      <c r="WOK49" s="76"/>
      <c r="WOL49" s="76"/>
      <c r="WOM49" s="76"/>
      <c r="WON49" s="76"/>
      <c r="WOO49" s="76"/>
      <c r="WOP49" s="76"/>
      <c r="WOQ49" s="76"/>
      <c r="WOR49" s="76"/>
      <c r="WOS49" s="76"/>
      <c r="WOT49" s="76"/>
      <c r="WOU49" s="76"/>
      <c r="WOV49" s="76"/>
      <c r="WOW49" s="76"/>
      <c r="WOX49" s="76"/>
      <c r="WOY49" s="76"/>
      <c r="WOZ49" s="76"/>
      <c r="WPA49" s="76"/>
      <c r="WPB49" s="76"/>
      <c r="WPC49" s="76"/>
      <c r="WPD49" s="76"/>
      <c r="WPE49" s="76"/>
      <c r="WPF49" s="76"/>
      <c r="WPG49" s="76"/>
      <c r="WPH49" s="76"/>
      <c r="WPI49" s="76"/>
      <c r="WPJ49" s="76"/>
      <c r="WPK49" s="76"/>
      <c r="WPL49" s="76"/>
      <c r="WPM49" s="76"/>
      <c r="WPN49" s="76"/>
      <c r="WPO49" s="76"/>
      <c r="WPP49" s="76"/>
      <c r="WPQ49" s="76"/>
      <c r="WPR49" s="76"/>
      <c r="WPS49" s="76"/>
      <c r="WPT49" s="76"/>
      <c r="WPU49" s="76"/>
      <c r="WPV49" s="76"/>
      <c r="WPW49" s="76"/>
      <c r="WPX49" s="76"/>
      <c r="WPY49" s="76"/>
      <c r="WPZ49" s="76"/>
      <c r="WQA49" s="76"/>
      <c r="WQB49" s="76"/>
      <c r="WQC49" s="76"/>
      <c r="WQD49" s="76"/>
      <c r="WQE49" s="76"/>
      <c r="WQF49" s="76"/>
      <c r="WQG49" s="76"/>
      <c r="WQH49" s="76"/>
      <c r="WQI49" s="76"/>
      <c r="WQJ49" s="76"/>
      <c r="WQK49" s="76"/>
      <c r="WQL49" s="76"/>
      <c r="WQM49" s="76"/>
      <c r="WQN49" s="76"/>
      <c r="WQO49" s="76"/>
      <c r="WQP49" s="76"/>
      <c r="WQQ49" s="76"/>
      <c r="WQR49" s="76"/>
      <c r="WQS49" s="76"/>
      <c r="WQT49" s="76"/>
      <c r="WQU49" s="76"/>
      <c r="WQV49" s="76"/>
      <c r="WQW49" s="76"/>
      <c r="WQX49" s="76"/>
      <c r="WQY49" s="76"/>
      <c r="WQZ49" s="76"/>
      <c r="WRA49" s="76"/>
      <c r="WRB49" s="76"/>
      <c r="WRC49" s="76"/>
      <c r="WRD49" s="76"/>
      <c r="WRE49" s="76"/>
      <c r="WRF49" s="76"/>
      <c r="WRG49" s="76"/>
      <c r="WRH49" s="76"/>
      <c r="WRI49" s="76"/>
      <c r="WRJ49" s="76"/>
      <c r="WRK49" s="76"/>
      <c r="WRL49" s="76"/>
      <c r="WRM49" s="76"/>
      <c r="WRN49" s="76"/>
      <c r="WRO49" s="76"/>
      <c r="WRP49" s="76"/>
      <c r="WRQ49" s="76"/>
      <c r="WRR49" s="76"/>
      <c r="WRS49" s="76"/>
      <c r="WRT49" s="76"/>
      <c r="WRU49" s="76"/>
      <c r="WRV49" s="76"/>
      <c r="WRW49" s="76"/>
      <c r="WRX49" s="76"/>
      <c r="WRY49" s="76"/>
      <c r="WRZ49" s="76"/>
      <c r="WSA49" s="76"/>
      <c r="WSB49" s="76"/>
      <c r="WSC49" s="76"/>
      <c r="WSD49" s="76"/>
      <c r="WSE49" s="76"/>
      <c r="WSF49" s="76"/>
      <c r="WSG49" s="76"/>
      <c r="WSH49" s="76"/>
      <c r="WSI49" s="76"/>
      <c r="WSJ49" s="76"/>
      <c r="WSK49" s="76"/>
      <c r="WSL49" s="76"/>
      <c r="WSM49" s="76"/>
      <c r="WSN49" s="76"/>
      <c r="WSO49" s="76"/>
      <c r="WSP49" s="76"/>
      <c r="WSQ49" s="76"/>
      <c r="WSR49" s="76"/>
      <c r="WSS49" s="76"/>
      <c r="WST49" s="76"/>
      <c r="WSU49" s="76"/>
      <c r="WSV49" s="76"/>
      <c r="WSW49" s="76"/>
      <c r="WSX49" s="76"/>
      <c r="WSY49" s="76"/>
      <c r="WSZ49" s="76"/>
      <c r="WTA49" s="76"/>
      <c r="WTB49" s="76"/>
      <c r="WTC49" s="76"/>
      <c r="WTD49" s="76"/>
      <c r="WTE49" s="76"/>
      <c r="WTF49" s="76"/>
      <c r="WTG49" s="76"/>
      <c r="WTH49" s="76"/>
      <c r="WTI49" s="76"/>
      <c r="WTJ49" s="76"/>
      <c r="WTK49" s="76"/>
      <c r="WTL49" s="76"/>
      <c r="WTM49" s="76"/>
      <c r="WTN49" s="76"/>
      <c r="WTO49" s="76"/>
      <c r="WTP49" s="76"/>
      <c r="WTQ49" s="76"/>
      <c r="WTR49" s="76"/>
      <c r="WTS49" s="76"/>
      <c r="WTT49" s="76"/>
      <c r="WTU49" s="76"/>
      <c r="WTV49" s="76"/>
      <c r="WTW49" s="76"/>
      <c r="WTX49" s="76"/>
      <c r="WTY49" s="76"/>
      <c r="WTZ49" s="76"/>
      <c r="WUA49" s="76"/>
      <c r="WUB49" s="76"/>
      <c r="WUC49" s="76"/>
      <c r="WUD49" s="76"/>
      <c r="WUE49" s="76"/>
      <c r="WUF49" s="76"/>
      <c r="WUG49" s="76"/>
      <c r="WUH49" s="76"/>
      <c r="WUI49" s="76"/>
      <c r="WUJ49" s="76"/>
      <c r="WUK49" s="76"/>
      <c r="WUL49" s="76"/>
      <c r="WUM49" s="76"/>
      <c r="WUN49" s="76"/>
      <c r="WUO49" s="76"/>
      <c r="WUP49" s="76"/>
      <c r="WUQ49" s="76"/>
      <c r="WUR49" s="76"/>
      <c r="WUS49" s="76"/>
      <c r="WUT49" s="76"/>
      <c r="WUU49" s="76"/>
      <c r="WUV49" s="76"/>
      <c r="WUW49" s="76"/>
      <c r="WUX49" s="76"/>
      <c r="WUY49" s="76"/>
      <c r="WUZ49" s="76"/>
      <c r="WVA49" s="76"/>
      <c r="WVB49" s="76"/>
      <c r="WVC49" s="76"/>
      <c r="WVD49" s="76"/>
      <c r="WVE49" s="76"/>
      <c r="WVF49" s="76"/>
      <c r="WVG49" s="76"/>
      <c r="WVH49" s="76"/>
      <c r="WVI49" s="76"/>
      <c r="WVJ49" s="76"/>
      <c r="WVK49" s="76"/>
      <c r="WVL49" s="76"/>
      <c r="WVM49" s="76"/>
      <c r="WVN49" s="76"/>
      <c r="WVO49" s="76"/>
      <c r="WVP49" s="76"/>
      <c r="WVQ49" s="76"/>
      <c r="WVR49" s="76"/>
      <c r="WVS49" s="76"/>
      <c r="WVT49" s="76"/>
      <c r="WVU49" s="76"/>
      <c r="WVV49" s="76"/>
      <c r="WVW49" s="76"/>
      <c r="WVX49" s="76"/>
      <c r="WVY49" s="76"/>
      <c r="WVZ49" s="76"/>
      <c r="WWA49" s="76"/>
      <c r="WWB49" s="76"/>
      <c r="WWC49" s="76"/>
      <c r="WWD49" s="76"/>
      <c r="WWE49" s="76"/>
      <c r="WWF49" s="76"/>
      <c r="WWG49" s="76"/>
      <c r="WWH49" s="76"/>
      <c r="WWI49" s="76"/>
      <c r="WWJ49" s="76"/>
      <c r="WWK49" s="76"/>
      <c r="WWL49" s="76"/>
      <c r="WWM49" s="76"/>
      <c r="WWN49" s="76"/>
      <c r="WWO49" s="76"/>
      <c r="WWP49" s="76"/>
      <c r="WWQ49" s="76"/>
      <c r="WWR49" s="76"/>
      <c r="WWS49" s="76"/>
      <c r="WWT49" s="76"/>
      <c r="WWU49" s="76"/>
      <c r="WWV49" s="76"/>
      <c r="WWW49" s="76"/>
      <c r="WWX49" s="76"/>
      <c r="WWY49" s="76"/>
      <c r="WWZ49" s="76"/>
      <c r="WXA49" s="76"/>
    </row>
    <row r="50" spans="1:16173" s="77" customFormat="1" ht="34" customHeight="1" x14ac:dyDescent="0.55000000000000004">
      <c r="A50" s="76"/>
      <c r="B50" s="76"/>
      <c r="C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  <c r="CS50" s="76"/>
      <c r="CT50" s="76"/>
      <c r="CU50" s="76"/>
      <c r="CV50" s="76"/>
      <c r="CW50" s="76"/>
      <c r="CX50" s="76"/>
      <c r="CY50" s="76"/>
      <c r="CZ50" s="76"/>
      <c r="DA50" s="76"/>
      <c r="DB50" s="76"/>
      <c r="DC50" s="76"/>
      <c r="DD50" s="76"/>
      <c r="DE50" s="76"/>
      <c r="DF50" s="76"/>
      <c r="DG50" s="76"/>
      <c r="DH50" s="76"/>
      <c r="DI50" s="76"/>
      <c r="DJ50" s="76"/>
      <c r="DK50" s="76"/>
      <c r="DL50" s="76"/>
      <c r="DM50" s="76"/>
      <c r="DN50" s="76"/>
      <c r="DO50" s="76"/>
      <c r="DP50" s="76"/>
      <c r="DQ50" s="76"/>
      <c r="DR50" s="76"/>
      <c r="DS50" s="76"/>
      <c r="DT50" s="76"/>
      <c r="DU50" s="76"/>
      <c r="DV50" s="76"/>
      <c r="DW50" s="76"/>
      <c r="DX50" s="76"/>
      <c r="DY50" s="76"/>
      <c r="DZ50" s="76"/>
      <c r="EA50" s="76"/>
      <c r="EB50" s="76"/>
      <c r="EC50" s="76"/>
      <c r="ED50" s="76"/>
      <c r="EE50" s="76"/>
      <c r="EF50" s="76"/>
      <c r="EG50" s="76"/>
      <c r="EH50" s="76"/>
      <c r="EI50" s="76"/>
      <c r="EJ50" s="76"/>
      <c r="EK50" s="76"/>
      <c r="EL50" s="76"/>
      <c r="EM50" s="76"/>
      <c r="EN50" s="76"/>
      <c r="EO50" s="76"/>
      <c r="EP50" s="76"/>
      <c r="EQ50" s="76"/>
      <c r="ER50" s="76"/>
      <c r="ES50" s="76"/>
      <c r="ET50" s="76"/>
      <c r="EU50" s="76"/>
      <c r="EV50" s="76"/>
      <c r="EW50" s="76"/>
      <c r="EX50" s="76"/>
      <c r="EY50" s="76"/>
      <c r="EZ50" s="76"/>
      <c r="FA50" s="76"/>
      <c r="FB50" s="76"/>
      <c r="FC50" s="76"/>
      <c r="FD50" s="76"/>
      <c r="FE50" s="76"/>
      <c r="FF50" s="76"/>
      <c r="FG50" s="76"/>
      <c r="FH50" s="76"/>
      <c r="FI50" s="76"/>
      <c r="FJ50" s="76"/>
      <c r="FK50" s="76"/>
      <c r="FL50" s="76"/>
      <c r="FM50" s="76"/>
      <c r="FN50" s="76"/>
      <c r="FO50" s="76"/>
      <c r="FP50" s="76"/>
      <c r="FQ50" s="76"/>
      <c r="FR50" s="76"/>
      <c r="FS50" s="76"/>
      <c r="FT50" s="76"/>
      <c r="FU50" s="76"/>
      <c r="FV50" s="76"/>
      <c r="FW50" s="76"/>
      <c r="FX50" s="76"/>
      <c r="FY50" s="76"/>
      <c r="FZ50" s="76"/>
      <c r="GA50" s="76"/>
      <c r="GB50" s="76"/>
      <c r="GC50" s="76"/>
      <c r="GD50" s="76"/>
      <c r="GE50" s="76"/>
      <c r="GF50" s="76"/>
      <c r="GG50" s="76"/>
      <c r="GH50" s="76"/>
      <c r="GI50" s="76"/>
      <c r="GJ50" s="76"/>
      <c r="GK50" s="76"/>
      <c r="GL50" s="76"/>
      <c r="GM50" s="76"/>
      <c r="GN50" s="76"/>
      <c r="GO50" s="76"/>
      <c r="GP50" s="76"/>
      <c r="GQ50" s="76"/>
      <c r="GR50" s="76"/>
      <c r="GS50" s="76"/>
      <c r="GT50" s="76"/>
      <c r="GU50" s="76"/>
      <c r="GV50" s="76"/>
      <c r="GW50" s="76"/>
      <c r="GX50" s="76"/>
      <c r="GY50" s="76"/>
      <c r="GZ50" s="76"/>
      <c r="HA50" s="76"/>
      <c r="HB50" s="76"/>
      <c r="HC50" s="76"/>
      <c r="HD50" s="76"/>
      <c r="HE50" s="76"/>
      <c r="HF50" s="76"/>
      <c r="HG50" s="76"/>
      <c r="HH50" s="76"/>
      <c r="HI50" s="76"/>
      <c r="HJ50" s="76"/>
      <c r="HK50" s="76"/>
      <c r="HL50" s="76"/>
      <c r="HM50" s="76"/>
      <c r="HN50" s="76"/>
      <c r="HO50" s="76"/>
      <c r="HP50" s="76"/>
      <c r="HQ50" s="76"/>
      <c r="HR50" s="76"/>
      <c r="HS50" s="76"/>
      <c r="HT50" s="76"/>
      <c r="HU50" s="76"/>
      <c r="HV50" s="76"/>
      <c r="HW50" s="76"/>
      <c r="HX50" s="76"/>
      <c r="HY50" s="76"/>
      <c r="HZ50" s="76"/>
      <c r="IA50" s="76"/>
      <c r="IB50" s="76"/>
      <c r="IC50" s="76"/>
      <c r="ID50" s="76"/>
      <c r="IE50" s="76"/>
      <c r="IF50" s="76"/>
      <c r="IG50" s="76"/>
      <c r="IH50" s="76"/>
      <c r="II50" s="76"/>
      <c r="IJ50" s="76"/>
      <c r="IK50" s="76"/>
      <c r="IL50" s="76"/>
      <c r="IM50" s="76"/>
      <c r="IN50" s="76"/>
      <c r="IO50" s="76"/>
      <c r="IP50" s="76"/>
      <c r="IQ50" s="76"/>
      <c r="IR50" s="76"/>
      <c r="IS50" s="76"/>
      <c r="IT50" s="76"/>
      <c r="IU50" s="76"/>
      <c r="IV50" s="76"/>
      <c r="IW50" s="76"/>
      <c r="IX50" s="76"/>
      <c r="IY50" s="76"/>
      <c r="IZ50" s="76"/>
      <c r="JA50" s="76"/>
      <c r="JB50" s="76"/>
      <c r="JC50" s="76"/>
      <c r="JD50" s="76"/>
      <c r="JE50" s="76"/>
      <c r="JF50" s="76"/>
      <c r="JG50" s="76"/>
      <c r="JH50" s="76"/>
      <c r="JI50" s="76"/>
      <c r="JJ50" s="76"/>
      <c r="JK50" s="76"/>
      <c r="JL50" s="76"/>
      <c r="JM50" s="76"/>
      <c r="JN50" s="76"/>
      <c r="JO50" s="76"/>
      <c r="JP50" s="76"/>
      <c r="JQ50" s="76"/>
      <c r="JR50" s="76"/>
      <c r="JS50" s="76"/>
      <c r="JT50" s="76"/>
      <c r="JU50" s="76"/>
      <c r="JV50" s="76"/>
      <c r="JW50" s="76"/>
      <c r="JX50" s="76"/>
      <c r="JY50" s="76"/>
      <c r="JZ50" s="76"/>
      <c r="KA50" s="76"/>
      <c r="KB50" s="76"/>
      <c r="KC50" s="76"/>
      <c r="KD50" s="76"/>
      <c r="KE50" s="76"/>
      <c r="KF50" s="76"/>
      <c r="KG50" s="76"/>
      <c r="KH50" s="76"/>
      <c r="KI50" s="76"/>
      <c r="KJ50" s="76"/>
      <c r="KK50" s="76"/>
      <c r="KL50" s="76"/>
      <c r="KM50" s="76"/>
      <c r="KN50" s="76"/>
      <c r="KO50" s="76"/>
      <c r="KP50" s="76"/>
      <c r="KQ50" s="76"/>
      <c r="KR50" s="76"/>
      <c r="KS50" s="76"/>
      <c r="KT50" s="76"/>
      <c r="KU50" s="76"/>
      <c r="KV50" s="76"/>
      <c r="KW50" s="76"/>
      <c r="KX50" s="76"/>
      <c r="KY50" s="76"/>
      <c r="KZ50" s="76"/>
      <c r="LA50" s="76"/>
      <c r="LB50" s="76"/>
      <c r="LC50" s="76"/>
      <c r="LD50" s="76"/>
      <c r="LE50" s="76"/>
      <c r="LF50" s="76"/>
      <c r="LG50" s="76"/>
      <c r="LH50" s="76"/>
      <c r="LI50" s="76"/>
      <c r="LJ50" s="76"/>
      <c r="LK50" s="76"/>
      <c r="LL50" s="76"/>
      <c r="LM50" s="76"/>
      <c r="LN50" s="76"/>
      <c r="LO50" s="76"/>
      <c r="LP50" s="76"/>
      <c r="LQ50" s="76"/>
      <c r="LR50" s="76"/>
      <c r="LS50" s="76"/>
      <c r="LT50" s="76"/>
      <c r="LU50" s="76"/>
      <c r="LV50" s="76"/>
      <c r="LW50" s="76"/>
      <c r="LX50" s="76"/>
      <c r="LY50" s="76"/>
      <c r="LZ50" s="76"/>
      <c r="MA50" s="76"/>
      <c r="MB50" s="76"/>
      <c r="MC50" s="76"/>
      <c r="MD50" s="76"/>
      <c r="ME50" s="76"/>
      <c r="MF50" s="76"/>
      <c r="MG50" s="76"/>
      <c r="MH50" s="76"/>
      <c r="MI50" s="76"/>
      <c r="MJ50" s="76"/>
      <c r="MK50" s="76"/>
      <c r="ML50" s="76"/>
      <c r="MM50" s="76"/>
      <c r="MN50" s="76"/>
      <c r="MO50" s="76"/>
      <c r="MP50" s="76"/>
      <c r="MQ50" s="76"/>
      <c r="MR50" s="76"/>
      <c r="MS50" s="76"/>
      <c r="MT50" s="76"/>
      <c r="MU50" s="76"/>
      <c r="MV50" s="76"/>
      <c r="MW50" s="76"/>
      <c r="MX50" s="76"/>
      <c r="MY50" s="76"/>
      <c r="MZ50" s="76"/>
      <c r="NA50" s="76"/>
      <c r="NB50" s="76"/>
      <c r="NC50" s="76"/>
      <c r="ND50" s="76"/>
      <c r="NE50" s="76"/>
      <c r="NF50" s="76"/>
      <c r="NG50" s="76"/>
      <c r="NH50" s="76"/>
      <c r="NI50" s="76"/>
      <c r="NJ50" s="76"/>
      <c r="NK50" s="76"/>
      <c r="NL50" s="76"/>
      <c r="NM50" s="76"/>
      <c r="NN50" s="76"/>
      <c r="NO50" s="76"/>
      <c r="NP50" s="76"/>
      <c r="NQ50" s="76"/>
      <c r="NR50" s="76"/>
      <c r="NS50" s="76"/>
      <c r="NT50" s="76"/>
      <c r="NU50" s="76"/>
      <c r="NV50" s="76"/>
      <c r="NW50" s="76"/>
      <c r="NX50" s="76"/>
      <c r="NY50" s="76"/>
      <c r="NZ50" s="76"/>
      <c r="OA50" s="76"/>
      <c r="OB50" s="76"/>
      <c r="OC50" s="76"/>
      <c r="OD50" s="76"/>
      <c r="OE50" s="76"/>
      <c r="OF50" s="76"/>
      <c r="OG50" s="76"/>
      <c r="OH50" s="76"/>
      <c r="OI50" s="76"/>
      <c r="OJ50" s="76"/>
      <c r="OK50" s="76"/>
      <c r="OL50" s="76"/>
      <c r="OM50" s="76"/>
      <c r="ON50" s="76"/>
      <c r="OO50" s="76"/>
      <c r="OP50" s="76"/>
      <c r="OQ50" s="76"/>
      <c r="OR50" s="76"/>
      <c r="OS50" s="76"/>
      <c r="OT50" s="76"/>
      <c r="OU50" s="76"/>
      <c r="OV50" s="76"/>
      <c r="OW50" s="76"/>
      <c r="OX50" s="76"/>
      <c r="OY50" s="76"/>
      <c r="OZ50" s="76"/>
      <c r="PA50" s="76"/>
      <c r="PB50" s="76"/>
      <c r="PC50" s="76"/>
      <c r="PD50" s="76"/>
      <c r="PE50" s="76"/>
      <c r="PF50" s="76"/>
      <c r="PG50" s="76"/>
      <c r="PH50" s="76"/>
      <c r="PI50" s="76"/>
      <c r="PJ50" s="76"/>
      <c r="PK50" s="76"/>
      <c r="PL50" s="76"/>
      <c r="PM50" s="76"/>
      <c r="PN50" s="76"/>
      <c r="PO50" s="76"/>
      <c r="PP50" s="76"/>
      <c r="PQ50" s="76"/>
      <c r="PR50" s="76"/>
      <c r="PS50" s="76"/>
      <c r="PT50" s="76"/>
      <c r="PU50" s="76"/>
      <c r="PV50" s="76"/>
      <c r="PW50" s="76"/>
      <c r="PX50" s="76"/>
      <c r="PY50" s="76"/>
      <c r="PZ50" s="76"/>
      <c r="QA50" s="76"/>
      <c r="QB50" s="76"/>
      <c r="QC50" s="76"/>
      <c r="QD50" s="76"/>
      <c r="QE50" s="76"/>
      <c r="QF50" s="76"/>
      <c r="QG50" s="76"/>
      <c r="QH50" s="76"/>
      <c r="QI50" s="76"/>
      <c r="QJ50" s="76"/>
      <c r="QK50" s="76"/>
      <c r="QL50" s="76"/>
      <c r="QM50" s="76"/>
      <c r="QN50" s="76"/>
      <c r="QO50" s="76"/>
      <c r="QP50" s="76"/>
      <c r="QQ50" s="76"/>
      <c r="QR50" s="76"/>
      <c r="QS50" s="76"/>
      <c r="QT50" s="76"/>
      <c r="QU50" s="76"/>
      <c r="QV50" s="76"/>
      <c r="QW50" s="76"/>
      <c r="QX50" s="76"/>
      <c r="QY50" s="76"/>
      <c r="QZ50" s="76"/>
      <c r="RA50" s="76"/>
      <c r="RB50" s="76"/>
      <c r="RC50" s="76"/>
      <c r="RD50" s="76"/>
      <c r="RE50" s="76"/>
      <c r="RF50" s="76"/>
      <c r="RG50" s="76"/>
      <c r="RH50" s="76"/>
      <c r="RI50" s="76"/>
      <c r="RJ50" s="76"/>
      <c r="RK50" s="76"/>
      <c r="RL50" s="76"/>
      <c r="RM50" s="76"/>
      <c r="RN50" s="76"/>
      <c r="RO50" s="76"/>
      <c r="RP50" s="76"/>
      <c r="RQ50" s="76"/>
      <c r="RR50" s="76"/>
      <c r="RS50" s="76"/>
      <c r="RT50" s="76"/>
      <c r="RU50" s="76"/>
      <c r="RV50" s="76"/>
      <c r="RW50" s="76"/>
      <c r="RX50" s="76"/>
      <c r="RY50" s="76"/>
      <c r="RZ50" s="76"/>
      <c r="SA50" s="76"/>
      <c r="SB50" s="76"/>
      <c r="SC50" s="76"/>
      <c r="SD50" s="76"/>
      <c r="SE50" s="76"/>
      <c r="SF50" s="76"/>
      <c r="SG50" s="76"/>
      <c r="SH50" s="76"/>
      <c r="SI50" s="76"/>
      <c r="SJ50" s="76"/>
      <c r="SK50" s="76"/>
      <c r="SL50" s="76"/>
      <c r="SM50" s="76"/>
      <c r="SN50" s="76"/>
      <c r="SO50" s="76"/>
      <c r="SP50" s="76"/>
      <c r="SQ50" s="76"/>
      <c r="SR50" s="76"/>
      <c r="SS50" s="76"/>
      <c r="ST50" s="76"/>
      <c r="SU50" s="76"/>
      <c r="SV50" s="76"/>
      <c r="SW50" s="76"/>
      <c r="SX50" s="76"/>
      <c r="SY50" s="76"/>
      <c r="SZ50" s="76"/>
      <c r="TA50" s="76"/>
      <c r="TB50" s="76"/>
      <c r="TC50" s="76"/>
      <c r="TD50" s="76"/>
      <c r="TE50" s="76"/>
      <c r="TF50" s="76"/>
      <c r="TG50" s="76"/>
      <c r="TH50" s="76"/>
      <c r="TI50" s="76"/>
      <c r="TJ50" s="76"/>
      <c r="TK50" s="76"/>
      <c r="TL50" s="76"/>
      <c r="TM50" s="76"/>
      <c r="TN50" s="76"/>
      <c r="TO50" s="76"/>
      <c r="TP50" s="76"/>
      <c r="TQ50" s="76"/>
      <c r="TR50" s="76"/>
      <c r="TS50" s="76"/>
      <c r="TT50" s="76"/>
      <c r="TU50" s="76"/>
      <c r="TV50" s="76"/>
      <c r="TW50" s="76"/>
      <c r="TX50" s="76"/>
      <c r="TY50" s="76"/>
      <c r="TZ50" s="76"/>
      <c r="UA50" s="76"/>
      <c r="UB50" s="76"/>
      <c r="UC50" s="76"/>
      <c r="UD50" s="76"/>
      <c r="UE50" s="76"/>
      <c r="UF50" s="76"/>
      <c r="UG50" s="76"/>
      <c r="UH50" s="76"/>
      <c r="UI50" s="76"/>
      <c r="UJ50" s="76"/>
      <c r="UK50" s="76"/>
      <c r="UL50" s="76"/>
      <c r="UM50" s="76"/>
      <c r="UN50" s="76"/>
      <c r="UO50" s="76"/>
      <c r="UP50" s="76"/>
      <c r="UQ50" s="76"/>
      <c r="UR50" s="76"/>
      <c r="US50" s="76"/>
      <c r="UT50" s="76"/>
      <c r="UU50" s="76"/>
      <c r="UV50" s="76"/>
      <c r="UW50" s="76"/>
      <c r="UX50" s="76"/>
      <c r="UY50" s="76"/>
      <c r="UZ50" s="76"/>
      <c r="VA50" s="76"/>
      <c r="VB50" s="76"/>
      <c r="VC50" s="76"/>
      <c r="VD50" s="76"/>
      <c r="VE50" s="76"/>
      <c r="VF50" s="76"/>
      <c r="VG50" s="76"/>
      <c r="VH50" s="76"/>
      <c r="VI50" s="76"/>
      <c r="VJ50" s="76"/>
      <c r="VK50" s="76"/>
      <c r="VL50" s="76"/>
      <c r="VM50" s="76"/>
      <c r="VN50" s="76"/>
      <c r="VO50" s="76"/>
      <c r="VP50" s="76"/>
      <c r="VQ50" s="76"/>
      <c r="VR50" s="76"/>
      <c r="VS50" s="76"/>
      <c r="VT50" s="76"/>
      <c r="VU50" s="76"/>
      <c r="VV50" s="76"/>
      <c r="VW50" s="76"/>
      <c r="VX50" s="76"/>
      <c r="VY50" s="76"/>
      <c r="VZ50" s="76"/>
      <c r="WA50" s="76"/>
      <c r="WB50" s="76"/>
      <c r="WC50" s="76"/>
      <c r="WD50" s="76"/>
      <c r="WE50" s="76"/>
      <c r="WF50" s="76"/>
      <c r="WG50" s="76"/>
      <c r="WH50" s="76"/>
      <c r="WI50" s="76"/>
      <c r="WJ50" s="76"/>
      <c r="WK50" s="76"/>
      <c r="WL50" s="76"/>
      <c r="WM50" s="76"/>
      <c r="WN50" s="76"/>
      <c r="WO50" s="76"/>
      <c r="WP50" s="76"/>
      <c r="WQ50" s="76"/>
      <c r="WR50" s="76"/>
      <c r="WS50" s="76"/>
      <c r="WT50" s="76"/>
      <c r="WU50" s="76"/>
      <c r="WV50" s="76"/>
      <c r="WW50" s="76"/>
      <c r="WX50" s="76"/>
      <c r="WY50" s="76"/>
      <c r="WZ50" s="76"/>
      <c r="XA50" s="76"/>
      <c r="XB50" s="76"/>
      <c r="XC50" s="76"/>
      <c r="XD50" s="76"/>
      <c r="XE50" s="76"/>
      <c r="XF50" s="76"/>
      <c r="XG50" s="76"/>
      <c r="XH50" s="76"/>
      <c r="XI50" s="76"/>
      <c r="XJ50" s="76"/>
      <c r="XK50" s="76"/>
      <c r="XL50" s="76"/>
      <c r="XM50" s="76"/>
      <c r="XN50" s="76"/>
      <c r="XO50" s="76"/>
      <c r="XP50" s="76"/>
      <c r="XQ50" s="76"/>
      <c r="XR50" s="76"/>
      <c r="XS50" s="76"/>
      <c r="XT50" s="76"/>
      <c r="XU50" s="76"/>
      <c r="XV50" s="76"/>
      <c r="XW50" s="76"/>
      <c r="XX50" s="76"/>
      <c r="XY50" s="76"/>
      <c r="XZ50" s="76"/>
      <c r="YA50" s="76"/>
      <c r="YB50" s="76"/>
      <c r="YC50" s="76"/>
      <c r="YD50" s="76"/>
      <c r="YE50" s="76"/>
      <c r="YF50" s="76"/>
      <c r="YG50" s="76"/>
      <c r="YH50" s="76"/>
      <c r="YI50" s="76"/>
      <c r="YJ50" s="76"/>
      <c r="YK50" s="76"/>
      <c r="YL50" s="76"/>
      <c r="YM50" s="76"/>
      <c r="YN50" s="76"/>
      <c r="YO50" s="76"/>
      <c r="YP50" s="76"/>
      <c r="YQ50" s="76"/>
      <c r="YR50" s="76"/>
      <c r="YS50" s="76"/>
      <c r="YT50" s="76"/>
      <c r="YU50" s="76"/>
      <c r="YV50" s="76"/>
      <c r="YW50" s="76"/>
      <c r="YX50" s="76"/>
      <c r="YY50" s="76"/>
      <c r="YZ50" s="76"/>
      <c r="ZA50" s="76"/>
      <c r="ZB50" s="76"/>
      <c r="ZC50" s="76"/>
      <c r="ZD50" s="76"/>
      <c r="ZE50" s="76"/>
      <c r="ZF50" s="76"/>
      <c r="ZG50" s="76"/>
      <c r="ZH50" s="76"/>
      <c r="ZI50" s="76"/>
      <c r="ZJ50" s="76"/>
      <c r="ZK50" s="76"/>
      <c r="ZL50" s="76"/>
      <c r="ZM50" s="76"/>
      <c r="ZN50" s="76"/>
      <c r="ZO50" s="76"/>
      <c r="ZP50" s="76"/>
      <c r="ZQ50" s="76"/>
      <c r="ZR50" s="76"/>
      <c r="ZS50" s="76"/>
      <c r="ZT50" s="76"/>
      <c r="ZU50" s="76"/>
      <c r="ZV50" s="76"/>
      <c r="ZW50" s="76"/>
      <c r="ZX50" s="76"/>
      <c r="ZY50" s="76"/>
      <c r="ZZ50" s="76"/>
      <c r="AAA50" s="76"/>
      <c r="AAB50" s="76"/>
      <c r="AAC50" s="76"/>
      <c r="AAD50" s="76"/>
      <c r="AAE50" s="76"/>
      <c r="AAF50" s="76"/>
      <c r="AAG50" s="76"/>
      <c r="AAH50" s="76"/>
      <c r="AAI50" s="76"/>
      <c r="AAJ50" s="76"/>
      <c r="AAK50" s="76"/>
      <c r="AAL50" s="76"/>
      <c r="AAM50" s="76"/>
      <c r="AAN50" s="76"/>
      <c r="AAO50" s="76"/>
      <c r="AAP50" s="76"/>
      <c r="AAQ50" s="76"/>
      <c r="AAR50" s="76"/>
      <c r="AAS50" s="76"/>
      <c r="AAT50" s="76"/>
      <c r="AAU50" s="76"/>
      <c r="AAV50" s="76"/>
      <c r="AAW50" s="76"/>
      <c r="AAX50" s="76"/>
      <c r="AAY50" s="76"/>
      <c r="AAZ50" s="76"/>
      <c r="ABA50" s="76"/>
      <c r="ABB50" s="76"/>
      <c r="ABC50" s="76"/>
      <c r="ABD50" s="76"/>
      <c r="ABE50" s="76"/>
      <c r="ABF50" s="76"/>
      <c r="ABG50" s="76"/>
      <c r="ABH50" s="76"/>
      <c r="ABI50" s="76"/>
      <c r="ABJ50" s="76"/>
      <c r="ABK50" s="76"/>
      <c r="ABL50" s="76"/>
      <c r="ABM50" s="76"/>
      <c r="ABN50" s="76"/>
      <c r="ABO50" s="76"/>
      <c r="ABP50" s="76"/>
      <c r="ABQ50" s="76"/>
      <c r="ABR50" s="76"/>
      <c r="ABS50" s="76"/>
      <c r="ABT50" s="76"/>
      <c r="ABU50" s="76"/>
      <c r="ABV50" s="76"/>
      <c r="ABW50" s="76"/>
      <c r="ABX50" s="76"/>
      <c r="ABY50" s="76"/>
      <c r="ABZ50" s="76"/>
      <c r="ACA50" s="76"/>
      <c r="ACB50" s="76"/>
      <c r="ACC50" s="76"/>
      <c r="ACD50" s="76"/>
      <c r="ACE50" s="76"/>
      <c r="ACF50" s="76"/>
      <c r="ACG50" s="76"/>
      <c r="ACH50" s="76"/>
      <c r="ACI50" s="76"/>
      <c r="ACJ50" s="76"/>
      <c r="ACK50" s="76"/>
      <c r="ACL50" s="76"/>
      <c r="ACM50" s="76"/>
      <c r="ACN50" s="76"/>
      <c r="ACO50" s="76"/>
      <c r="ACP50" s="76"/>
      <c r="ACQ50" s="76"/>
      <c r="ACR50" s="76"/>
      <c r="ACS50" s="76"/>
      <c r="ACT50" s="76"/>
      <c r="ACU50" s="76"/>
      <c r="ACV50" s="76"/>
      <c r="ACW50" s="76"/>
      <c r="ACX50" s="76"/>
      <c r="ACY50" s="76"/>
      <c r="ACZ50" s="76"/>
      <c r="ADA50" s="76"/>
      <c r="ADB50" s="76"/>
      <c r="ADC50" s="76"/>
      <c r="ADD50" s="76"/>
      <c r="ADE50" s="76"/>
      <c r="ADF50" s="76"/>
      <c r="ADG50" s="76"/>
      <c r="ADH50" s="76"/>
      <c r="ADI50" s="76"/>
      <c r="ADJ50" s="76"/>
      <c r="ADK50" s="76"/>
      <c r="ADL50" s="76"/>
      <c r="ADM50" s="76"/>
      <c r="ADN50" s="76"/>
      <c r="ADO50" s="76"/>
      <c r="ADP50" s="76"/>
      <c r="ADQ50" s="76"/>
      <c r="ADR50" s="76"/>
      <c r="ADS50" s="76"/>
      <c r="ADT50" s="76"/>
      <c r="ADU50" s="76"/>
      <c r="ADV50" s="76"/>
      <c r="ADW50" s="76"/>
      <c r="ADX50" s="76"/>
      <c r="ADY50" s="76"/>
      <c r="ADZ50" s="76"/>
      <c r="AEA50" s="76"/>
      <c r="AEB50" s="76"/>
      <c r="AEC50" s="76"/>
      <c r="AED50" s="76"/>
      <c r="AEE50" s="76"/>
      <c r="AEF50" s="76"/>
      <c r="AEG50" s="76"/>
      <c r="AEH50" s="76"/>
      <c r="AEI50" s="76"/>
      <c r="AEJ50" s="76"/>
      <c r="AEK50" s="76"/>
      <c r="AEL50" s="76"/>
      <c r="AEM50" s="76"/>
      <c r="AEN50" s="76"/>
      <c r="AEO50" s="76"/>
      <c r="AEP50" s="76"/>
      <c r="AEQ50" s="76"/>
      <c r="AER50" s="76"/>
      <c r="AES50" s="76"/>
      <c r="AET50" s="76"/>
      <c r="AEU50" s="76"/>
      <c r="AEV50" s="76"/>
      <c r="AEW50" s="76"/>
      <c r="AEX50" s="76"/>
      <c r="AEY50" s="76"/>
      <c r="AEZ50" s="76"/>
      <c r="AFA50" s="76"/>
      <c r="AFB50" s="76"/>
      <c r="AFC50" s="76"/>
      <c r="AFD50" s="76"/>
      <c r="AFE50" s="76"/>
      <c r="AFF50" s="76"/>
      <c r="AFG50" s="76"/>
      <c r="AFH50" s="76"/>
      <c r="AFI50" s="76"/>
      <c r="AFJ50" s="76"/>
      <c r="AFK50" s="76"/>
      <c r="AFL50" s="76"/>
      <c r="AFM50" s="76"/>
      <c r="AFN50" s="76"/>
      <c r="AFO50" s="76"/>
      <c r="AFP50" s="76"/>
      <c r="AFQ50" s="76"/>
      <c r="AFR50" s="76"/>
      <c r="AFS50" s="76"/>
      <c r="AFT50" s="76"/>
      <c r="AFU50" s="76"/>
      <c r="AFV50" s="76"/>
      <c r="AFW50" s="76"/>
      <c r="AFX50" s="76"/>
      <c r="AFY50" s="76"/>
      <c r="AFZ50" s="76"/>
      <c r="AGA50" s="76"/>
      <c r="AGB50" s="76"/>
      <c r="AGC50" s="76"/>
      <c r="AGD50" s="76"/>
      <c r="AGE50" s="76"/>
      <c r="AGF50" s="76"/>
      <c r="AGG50" s="76"/>
      <c r="AGH50" s="76"/>
      <c r="AGI50" s="76"/>
      <c r="AGJ50" s="76"/>
      <c r="AGK50" s="76"/>
      <c r="AGL50" s="76"/>
      <c r="AGM50" s="76"/>
      <c r="AGN50" s="76"/>
      <c r="AGO50" s="76"/>
      <c r="AGP50" s="76"/>
      <c r="AGQ50" s="76"/>
      <c r="AGR50" s="76"/>
      <c r="AGS50" s="76"/>
      <c r="AGT50" s="76"/>
      <c r="AGU50" s="76"/>
      <c r="AGV50" s="76"/>
      <c r="AGW50" s="76"/>
      <c r="AGX50" s="76"/>
      <c r="AGY50" s="76"/>
      <c r="AGZ50" s="76"/>
      <c r="AHA50" s="76"/>
      <c r="AHB50" s="76"/>
      <c r="AHC50" s="76"/>
      <c r="AHD50" s="76"/>
      <c r="AHE50" s="76"/>
      <c r="AHF50" s="76"/>
      <c r="AHG50" s="76"/>
      <c r="AHH50" s="76"/>
      <c r="AHI50" s="76"/>
      <c r="AHJ50" s="76"/>
      <c r="AHK50" s="76"/>
      <c r="AHL50" s="76"/>
      <c r="AHM50" s="76"/>
      <c r="AHN50" s="76"/>
      <c r="AHO50" s="76"/>
      <c r="AHP50" s="76"/>
      <c r="AHQ50" s="76"/>
      <c r="AHR50" s="76"/>
      <c r="AHS50" s="76"/>
      <c r="AHT50" s="76"/>
      <c r="AHU50" s="76"/>
      <c r="AHV50" s="76"/>
      <c r="AHW50" s="76"/>
      <c r="AHX50" s="76"/>
      <c r="AHY50" s="76"/>
      <c r="AHZ50" s="76"/>
      <c r="AIA50" s="76"/>
      <c r="AIB50" s="76"/>
      <c r="AIC50" s="76"/>
      <c r="AID50" s="76"/>
      <c r="AIE50" s="76"/>
      <c r="AIF50" s="76"/>
      <c r="AIG50" s="76"/>
      <c r="AIH50" s="76"/>
      <c r="AII50" s="76"/>
      <c r="AIJ50" s="76"/>
      <c r="AIK50" s="76"/>
      <c r="AIL50" s="76"/>
      <c r="AIM50" s="76"/>
      <c r="AIN50" s="76"/>
      <c r="AIO50" s="76"/>
      <c r="AIP50" s="76"/>
      <c r="AIQ50" s="76"/>
      <c r="AIR50" s="76"/>
      <c r="AIS50" s="76"/>
      <c r="AIT50" s="76"/>
      <c r="AIU50" s="76"/>
      <c r="AIV50" s="76"/>
      <c r="AIW50" s="76"/>
      <c r="AIX50" s="76"/>
      <c r="AIY50" s="76"/>
      <c r="AIZ50" s="76"/>
      <c r="AJA50" s="76"/>
      <c r="AJB50" s="76"/>
      <c r="AJC50" s="76"/>
      <c r="AJD50" s="76"/>
      <c r="AJE50" s="76"/>
      <c r="AJF50" s="76"/>
      <c r="AJG50" s="76"/>
      <c r="AJH50" s="76"/>
      <c r="AJI50" s="76"/>
      <c r="AJJ50" s="76"/>
      <c r="AJK50" s="76"/>
      <c r="AJL50" s="76"/>
      <c r="AJM50" s="76"/>
      <c r="AJN50" s="76"/>
      <c r="AJO50" s="76"/>
      <c r="AJP50" s="76"/>
      <c r="AJQ50" s="76"/>
      <c r="AJR50" s="76"/>
      <c r="AJS50" s="76"/>
      <c r="AJT50" s="76"/>
      <c r="AJU50" s="76"/>
      <c r="AJV50" s="76"/>
      <c r="AJW50" s="76"/>
      <c r="AJX50" s="76"/>
      <c r="AJY50" s="76"/>
      <c r="AJZ50" s="76"/>
      <c r="AKA50" s="76"/>
      <c r="AKB50" s="76"/>
      <c r="AKC50" s="76"/>
      <c r="AKD50" s="76"/>
      <c r="AKE50" s="76"/>
      <c r="AKF50" s="76"/>
      <c r="AKG50" s="76"/>
      <c r="AKH50" s="76"/>
      <c r="AKI50" s="76"/>
      <c r="AKJ50" s="76"/>
      <c r="AKK50" s="76"/>
      <c r="AKL50" s="76"/>
      <c r="AKM50" s="76"/>
      <c r="AKN50" s="76"/>
      <c r="AKO50" s="76"/>
      <c r="AKP50" s="76"/>
      <c r="AKQ50" s="76"/>
      <c r="AKR50" s="76"/>
      <c r="AKS50" s="76"/>
      <c r="AKT50" s="76"/>
      <c r="AKU50" s="76"/>
      <c r="AKV50" s="76"/>
      <c r="AKW50" s="76"/>
      <c r="AKX50" s="76"/>
      <c r="AKY50" s="76"/>
      <c r="AKZ50" s="76"/>
      <c r="ALA50" s="76"/>
      <c r="ALB50" s="76"/>
      <c r="ALC50" s="76"/>
      <c r="ALD50" s="76"/>
      <c r="ALE50" s="76"/>
      <c r="ALF50" s="76"/>
      <c r="ALG50" s="76"/>
      <c r="ALH50" s="76"/>
      <c r="ALI50" s="76"/>
      <c r="ALJ50" s="76"/>
      <c r="ALK50" s="76"/>
      <c r="ALL50" s="76"/>
      <c r="ALM50" s="76"/>
      <c r="ALN50" s="76"/>
      <c r="ALO50" s="76"/>
      <c r="ALP50" s="76"/>
      <c r="ALQ50" s="76"/>
      <c r="ALR50" s="76"/>
      <c r="ALS50" s="76"/>
      <c r="ALT50" s="76"/>
      <c r="ALU50" s="76"/>
      <c r="ALV50" s="76"/>
      <c r="ALW50" s="76"/>
      <c r="ALX50" s="76"/>
      <c r="ALY50" s="76"/>
      <c r="ALZ50" s="76"/>
      <c r="AMA50" s="76"/>
      <c r="AMB50" s="76"/>
      <c r="AMC50" s="76"/>
      <c r="AMD50" s="76"/>
      <c r="AME50" s="76"/>
      <c r="AMF50" s="76"/>
      <c r="AMG50" s="76"/>
      <c r="AMH50" s="76"/>
      <c r="AMI50" s="76"/>
      <c r="AMJ50" s="76"/>
      <c r="AMK50" s="76"/>
      <c r="AML50" s="76"/>
      <c r="AMM50" s="76"/>
      <c r="AMN50" s="76"/>
      <c r="AMO50" s="76"/>
      <c r="AMP50" s="76"/>
      <c r="AMQ50" s="76"/>
      <c r="AMR50" s="76"/>
      <c r="AMS50" s="76"/>
      <c r="AMT50" s="76"/>
      <c r="AMU50" s="76"/>
      <c r="AMV50" s="76"/>
      <c r="AMW50" s="76"/>
      <c r="AMX50" s="76"/>
      <c r="AMY50" s="76"/>
      <c r="AMZ50" s="76"/>
      <c r="ANA50" s="76"/>
      <c r="ANB50" s="76"/>
      <c r="ANC50" s="76"/>
      <c r="AND50" s="76"/>
      <c r="ANE50" s="76"/>
      <c r="ANF50" s="76"/>
      <c r="ANG50" s="76"/>
      <c r="ANH50" s="76"/>
      <c r="ANI50" s="76"/>
      <c r="ANJ50" s="76"/>
      <c r="ANK50" s="76"/>
      <c r="ANL50" s="76"/>
      <c r="ANM50" s="76"/>
      <c r="ANN50" s="76"/>
      <c r="ANO50" s="76"/>
      <c r="ANP50" s="76"/>
      <c r="ANQ50" s="76"/>
      <c r="ANR50" s="76"/>
      <c r="ANS50" s="76"/>
      <c r="ANT50" s="76"/>
      <c r="ANU50" s="76"/>
      <c r="ANV50" s="76"/>
      <c r="ANW50" s="76"/>
      <c r="ANX50" s="76"/>
      <c r="ANY50" s="76"/>
      <c r="ANZ50" s="76"/>
      <c r="AOA50" s="76"/>
      <c r="AOB50" s="76"/>
      <c r="AOC50" s="76"/>
      <c r="AOD50" s="76"/>
      <c r="AOE50" s="76"/>
      <c r="AOF50" s="76"/>
      <c r="AOG50" s="76"/>
      <c r="AOH50" s="76"/>
      <c r="AOI50" s="76"/>
      <c r="AOJ50" s="76"/>
      <c r="AOK50" s="76"/>
      <c r="AOL50" s="76"/>
      <c r="AOM50" s="76"/>
      <c r="AON50" s="76"/>
      <c r="AOO50" s="76"/>
      <c r="AOP50" s="76"/>
      <c r="AOQ50" s="76"/>
      <c r="AOR50" s="76"/>
      <c r="AOS50" s="76"/>
      <c r="AOT50" s="76"/>
      <c r="AOU50" s="76"/>
      <c r="AOV50" s="76"/>
      <c r="AOW50" s="76"/>
      <c r="AOX50" s="76"/>
      <c r="AOY50" s="76"/>
      <c r="AOZ50" s="76"/>
      <c r="APA50" s="76"/>
      <c r="APB50" s="76"/>
      <c r="APC50" s="76"/>
      <c r="APD50" s="76"/>
      <c r="APE50" s="76"/>
      <c r="APF50" s="76"/>
      <c r="APG50" s="76"/>
      <c r="APH50" s="76"/>
      <c r="API50" s="76"/>
      <c r="APJ50" s="76"/>
      <c r="APK50" s="76"/>
      <c r="APL50" s="76"/>
      <c r="APM50" s="76"/>
      <c r="APN50" s="76"/>
      <c r="APO50" s="76"/>
      <c r="APP50" s="76"/>
      <c r="APQ50" s="76"/>
      <c r="APR50" s="76"/>
      <c r="APS50" s="76"/>
      <c r="APT50" s="76"/>
      <c r="APU50" s="76"/>
      <c r="APV50" s="76"/>
      <c r="APW50" s="76"/>
      <c r="APX50" s="76"/>
      <c r="APY50" s="76"/>
      <c r="APZ50" s="76"/>
      <c r="AQA50" s="76"/>
      <c r="AQB50" s="76"/>
      <c r="AQC50" s="76"/>
      <c r="AQD50" s="76"/>
      <c r="AQE50" s="76"/>
      <c r="AQF50" s="76"/>
      <c r="AQG50" s="76"/>
      <c r="AQH50" s="76"/>
      <c r="AQI50" s="76"/>
      <c r="AQJ50" s="76"/>
      <c r="AQK50" s="76"/>
      <c r="AQL50" s="76"/>
      <c r="AQM50" s="76"/>
      <c r="AQN50" s="76"/>
      <c r="AQO50" s="76"/>
      <c r="AQP50" s="76"/>
      <c r="AQQ50" s="76"/>
      <c r="AQR50" s="76"/>
      <c r="AQS50" s="76"/>
      <c r="AQT50" s="76"/>
      <c r="AQU50" s="76"/>
      <c r="AQV50" s="76"/>
      <c r="AQW50" s="76"/>
      <c r="AQX50" s="76"/>
      <c r="AQY50" s="76"/>
      <c r="AQZ50" s="76"/>
      <c r="ARA50" s="76"/>
      <c r="ARB50" s="76"/>
      <c r="ARC50" s="76"/>
      <c r="ARD50" s="76"/>
      <c r="ARE50" s="76"/>
      <c r="ARF50" s="76"/>
      <c r="ARG50" s="76"/>
      <c r="ARH50" s="76"/>
      <c r="ARI50" s="76"/>
      <c r="ARJ50" s="76"/>
      <c r="ARK50" s="76"/>
      <c r="ARL50" s="76"/>
      <c r="ARM50" s="76"/>
      <c r="ARN50" s="76"/>
      <c r="ARO50" s="76"/>
      <c r="ARP50" s="76"/>
      <c r="ARQ50" s="76"/>
      <c r="ARR50" s="76"/>
      <c r="ARS50" s="76"/>
      <c r="ART50" s="76"/>
      <c r="ARU50" s="76"/>
      <c r="ARV50" s="76"/>
      <c r="ARW50" s="76"/>
      <c r="ARX50" s="76"/>
      <c r="ARY50" s="76"/>
      <c r="ARZ50" s="76"/>
      <c r="ASA50" s="76"/>
      <c r="ASB50" s="76"/>
      <c r="ASC50" s="76"/>
      <c r="ASD50" s="76"/>
      <c r="ASE50" s="76"/>
      <c r="ASF50" s="76"/>
      <c r="ASG50" s="76"/>
      <c r="ASH50" s="76"/>
      <c r="ASI50" s="76"/>
      <c r="ASJ50" s="76"/>
      <c r="ASK50" s="76"/>
      <c r="ASL50" s="76"/>
      <c r="ASM50" s="76"/>
      <c r="ASN50" s="76"/>
      <c r="ASO50" s="76"/>
      <c r="ASP50" s="76"/>
      <c r="ASQ50" s="76"/>
      <c r="ASR50" s="76"/>
      <c r="ASS50" s="76"/>
      <c r="AST50" s="76"/>
      <c r="ASU50" s="76"/>
      <c r="ASV50" s="76"/>
      <c r="ASW50" s="76"/>
      <c r="ASX50" s="76"/>
      <c r="ASY50" s="76"/>
      <c r="ASZ50" s="76"/>
      <c r="ATA50" s="76"/>
      <c r="ATB50" s="76"/>
      <c r="ATC50" s="76"/>
      <c r="ATD50" s="76"/>
      <c r="ATE50" s="76"/>
      <c r="ATF50" s="76"/>
      <c r="ATG50" s="76"/>
      <c r="ATH50" s="76"/>
      <c r="ATI50" s="76"/>
      <c r="ATJ50" s="76"/>
      <c r="ATK50" s="76"/>
      <c r="ATL50" s="76"/>
      <c r="ATM50" s="76"/>
      <c r="ATN50" s="76"/>
      <c r="ATO50" s="76"/>
      <c r="ATP50" s="76"/>
      <c r="ATQ50" s="76"/>
      <c r="ATR50" s="76"/>
      <c r="ATS50" s="76"/>
      <c r="ATT50" s="76"/>
      <c r="ATU50" s="76"/>
      <c r="ATV50" s="76"/>
      <c r="ATW50" s="76"/>
      <c r="ATX50" s="76"/>
      <c r="ATY50" s="76"/>
      <c r="ATZ50" s="76"/>
      <c r="AUA50" s="76"/>
      <c r="AUB50" s="76"/>
      <c r="AUC50" s="76"/>
      <c r="AUD50" s="76"/>
      <c r="AUE50" s="76"/>
      <c r="AUF50" s="76"/>
      <c r="AUG50" s="76"/>
      <c r="AUH50" s="76"/>
      <c r="AUI50" s="76"/>
      <c r="AUJ50" s="76"/>
      <c r="AUK50" s="76"/>
      <c r="AUL50" s="76"/>
      <c r="AUM50" s="76"/>
      <c r="AUN50" s="76"/>
      <c r="AUO50" s="76"/>
      <c r="AUP50" s="76"/>
      <c r="AUQ50" s="76"/>
      <c r="AUR50" s="76"/>
      <c r="AUS50" s="76"/>
      <c r="AUT50" s="76"/>
      <c r="AUU50" s="76"/>
      <c r="AUV50" s="76"/>
      <c r="AUW50" s="76"/>
      <c r="AUX50" s="76"/>
      <c r="AUY50" s="76"/>
      <c r="AUZ50" s="76"/>
      <c r="AVA50" s="76"/>
      <c r="AVB50" s="76"/>
      <c r="AVC50" s="76"/>
      <c r="AVD50" s="76"/>
      <c r="AVE50" s="76"/>
      <c r="AVF50" s="76"/>
      <c r="AVG50" s="76"/>
      <c r="AVH50" s="76"/>
      <c r="AVI50" s="76"/>
      <c r="AVJ50" s="76"/>
      <c r="AVK50" s="76"/>
      <c r="AVL50" s="76"/>
      <c r="AVM50" s="76"/>
      <c r="AVN50" s="76"/>
      <c r="AVO50" s="76"/>
      <c r="AVP50" s="76"/>
      <c r="AVQ50" s="76"/>
      <c r="AVR50" s="76"/>
      <c r="AVS50" s="76"/>
      <c r="AVT50" s="76"/>
      <c r="AVU50" s="76"/>
      <c r="AVV50" s="76"/>
      <c r="AVW50" s="76"/>
      <c r="AVX50" s="76"/>
      <c r="AVY50" s="76"/>
      <c r="AVZ50" s="76"/>
      <c r="AWA50" s="76"/>
      <c r="AWB50" s="76"/>
      <c r="AWC50" s="76"/>
      <c r="AWD50" s="76"/>
      <c r="AWE50" s="76"/>
      <c r="AWF50" s="76"/>
      <c r="AWG50" s="76"/>
      <c r="AWH50" s="76"/>
      <c r="AWI50" s="76"/>
      <c r="AWJ50" s="76"/>
      <c r="AWK50" s="76"/>
      <c r="AWL50" s="76"/>
      <c r="AWM50" s="76"/>
      <c r="AWN50" s="76"/>
      <c r="AWO50" s="76"/>
      <c r="AWP50" s="76"/>
      <c r="AWQ50" s="76"/>
      <c r="AWR50" s="76"/>
      <c r="AWS50" s="76"/>
      <c r="AWT50" s="76"/>
      <c r="AWU50" s="76"/>
      <c r="AWV50" s="76"/>
      <c r="AWW50" s="76"/>
      <c r="AWX50" s="76"/>
      <c r="AWY50" s="76"/>
      <c r="AWZ50" s="76"/>
      <c r="AXA50" s="76"/>
      <c r="AXB50" s="76"/>
      <c r="AXC50" s="76"/>
      <c r="AXD50" s="76"/>
      <c r="AXE50" s="76"/>
      <c r="AXF50" s="76"/>
      <c r="AXG50" s="76"/>
      <c r="AXH50" s="76"/>
      <c r="AXI50" s="76"/>
      <c r="AXJ50" s="76"/>
      <c r="AXK50" s="76"/>
      <c r="AXL50" s="76"/>
      <c r="AXM50" s="76"/>
      <c r="AXN50" s="76"/>
      <c r="AXO50" s="76"/>
      <c r="AXP50" s="76"/>
      <c r="AXQ50" s="76"/>
      <c r="AXR50" s="76"/>
      <c r="AXS50" s="76"/>
      <c r="AXT50" s="76"/>
      <c r="AXU50" s="76"/>
      <c r="AXV50" s="76"/>
      <c r="AXW50" s="76"/>
      <c r="AXX50" s="76"/>
      <c r="AXY50" s="76"/>
      <c r="AXZ50" s="76"/>
      <c r="AYA50" s="76"/>
      <c r="AYB50" s="76"/>
      <c r="AYC50" s="76"/>
      <c r="AYD50" s="76"/>
      <c r="AYE50" s="76"/>
      <c r="AYF50" s="76"/>
      <c r="AYG50" s="76"/>
      <c r="AYH50" s="76"/>
      <c r="AYI50" s="76"/>
      <c r="AYJ50" s="76"/>
      <c r="AYK50" s="76"/>
      <c r="AYL50" s="76"/>
      <c r="AYM50" s="76"/>
      <c r="AYN50" s="76"/>
      <c r="AYO50" s="76"/>
      <c r="AYP50" s="76"/>
      <c r="AYQ50" s="76"/>
      <c r="AYR50" s="76"/>
      <c r="AYS50" s="76"/>
      <c r="AYT50" s="76"/>
      <c r="AYU50" s="76"/>
      <c r="AYV50" s="76"/>
      <c r="AYW50" s="76"/>
      <c r="AYX50" s="76"/>
      <c r="AYY50" s="76"/>
      <c r="AYZ50" s="76"/>
      <c r="AZA50" s="76"/>
      <c r="AZB50" s="76"/>
      <c r="AZC50" s="76"/>
      <c r="AZD50" s="76"/>
      <c r="AZE50" s="76"/>
      <c r="AZF50" s="76"/>
      <c r="AZG50" s="76"/>
      <c r="AZH50" s="76"/>
      <c r="AZI50" s="76"/>
      <c r="AZJ50" s="76"/>
      <c r="AZK50" s="76"/>
      <c r="AZL50" s="76"/>
      <c r="AZM50" s="76"/>
      <c r="AZN50" s="76"/>
      <c r="AZO50" s="76"/>
      <c r="AZP50" s="76"/>
      <c r="AZQ50" s="76"/>
      <c r="AZR50" s="76"/>
      <c r="AZS50" s="76"/>
      <c r="AZT50" s="76"/>
      <c r="AZU50" s="76"/>
      <c r="AZV50" s="76"/>
      <c r="AZW50" s="76"/>
      <c r="AZX50" s="76"/>
      <c r="AZY50" s="76"/>
      <c r="AZZ50" s="76"/>
      <c r="BAA50" s="76"/>
      <c r="BAB50" s="76"/>
      <c r="BAC50" s="76"/>
      <c r="BAD50" s="76"/>
      <c r="BAE50" s="76"/>
      <c r="BAF50" s="76"/>
      <c r="BAG50" s="76"/>
      <c r="BAH50" s="76"/>
      <c r="BAI50" s="76"/>
      <c r="BAJ50" s="76"/>
      <c r="BAK50" s="76"/>
      <c r="BAL50" s="76"/>
      <c r="BAM50" s="76"/>
      <c r="BAN50" s="76"/>
      <c r="BAO50" s="76"/>
      <c r="BAP50" s="76"/>
      <c r="BAQ50" s="76"/>
      <c r="BAR50" s="76"/>
      <c r="BAS50" s="76"/>
      <c r="BAT50" s="76"/>
      <c r="BAU50" s="76"/>
      <c r="BAV50" s="76"/>
      <c r="BAW50" s="76"/>
      <c r="BAX50" s="76"/>
      <c r="BAY50" s="76"/>
      <c r="BAZ50" s="76"/>
      <c r="BBA50" s="76"/>
      <c r="BBB50" s="76"/>
      <c r="BBC50" s="76"/>
      <c r="BBD50" s="76"/>
      <c r="BBE50" s="76"/>
      <c r="BBF50" s="76"/>
      <c r="BBG50" s="76"/>
      <c r="BBH50" s="76"/>
      <c r="BBI50" s="76"/>
      <c r="BBJ50" s="76"/>
      <c r="BBK50" s="76"/>
      <c r="BBL50" s="76"/>
      <c r="BBM50" s="76"/>
      <c r="BBN50" s="76"/>
      <c r="BBO50" s="76"/>
      <c r="BBP50" s="76"/>
      <c r="BBQ50" s="76"/>
      <c r="BBR50" s="76"/>
      <c r="BBS50" s="76"/>
      <c r="BBT50" s="76"/>
      <c r="BBU50" s="76"/>
      <c r="BBV50" s="76"/>
      <c r="BBW50" s="76"/>
      <c r="BBX50" s="76"/>
      <c r="BBY50" s="76"/>
      <c r="BBZ50" s="76"/>
      <c r="BCA50" s="76"/>
      <c r="BCB50" s="76"/>
      <c r="BCC50" s="76"/>
      <c r="BCD50" s="76"/>
      <c r="BCE50" s="76"/>
      <c r="BCF50" s="76"/>
      <c r="BCG50" s="76"/>
      <c r="BCH50" s="76"/>
      <c r="BCI50" s="76"/>
      <c r="BCJ50" s="76"/>
      <c r="BCK50" s="76"/>
      <c r="BCL50" s="76"/>
      <c r="BCM50" s="76"/>
      <c r="BCN50" s="76"/>
      <c r="BCO50" s="76"/>
      <c r="BCP50" s="76"/>
      <c r="BCQ50" s="76"/>
      <c r="BCR50" s="76"/>
      <c r="BCS50" s="76"/>
      <c r="BCT50" s="76"/>
      <c r="BCU50" s="76"/>
      <c r="BCV50" s="76"/>
      <c r="BCW50" s="76"/>
      <c r="BCX50" s="76"/>
      <c r="BCY50" s="76"/>
      <c r="BCZ50" s="76"/>
      <c r="BDA50" s="76"/>
      <c r="BDB50" s="76"/>
      <c r="BDC50" s="76"/>
      <c r="BDD50" s="76"/>
      <c r="BDE50" s="76"/>
      <c r="BDF50" s="76"/>
      <c r="BDG50" s="76"/>
      <c r="BDH50" s="76"/>
      <c r="BDI50" s="76"/>
      <c r="BDJ50" s="76"/>
      <c r="BDK50" s="76"/>
      <c r="BDL50" s="76"/>
      <c r="BDM50" s="76"/>
      <c r="BDN50" s="76"/>
      <c r="BDO50" s="76"/>
      <c r="BDP50" s="76"/>
      <c r="BDQ50" s="76"/>
      <c r="BDR50" s="76"/>
      <c r="BDS50" s="76"/>
      <c r="BDT50" s="76"/>
      <c r="BDU50" s="76"/>
      <c r="BDV50" s="76"/>
      <c r="BDW50" s="76"/>
      <c r="BDX50" s="76"/>
      <c r="BDY50" s="76"/>
      <c r="BDZ50" s="76"/>
      <c r="BEA50" s="76"/>
      <c r="BEB50" s="76"/>
      <c r="BEC50" s="76"/>
      <c r="BED50" s="76"/>
      <c r="BEE50" s="76"/>
      <c r="BEF50" s="76"/>
      <c r="BEG50" s="76"/>
      <c r="BEH50" s="76"/>
      <c r="BEI50" s="76"/>
      <c r="BEJ50" s="76"/>
      <c r="BEK50" s="76"/>
      <c r="BEL50" s="76"/>
      <c r="BEM50" s="76"/>
      <c r="BEN50" s="76"/>
      <c r="BEO50" s="76"/>
      <c r="BEP50" s="76"/>
      <c r="BEQ50" s="76"/>
      <c r="BER50" s="76"/>
      <c r="BES50" s="76"/>
      <c r="BET50" s="76"/>
      <c r="BEU50" s="76"/>
      <c r="BEV50" s="76"/>
      <c r="BEW50" s="76"/>
      <c r="BEX50" s="76"/>
      <c r="BEY50" s="76"/>
      <c r="BEZ50" s="76"/>
      <c r="BFA50" s="76"/>
      <c r="BFB50" s="76"/>
      <c r="BFC50" s="76"/>
      <c r="BFD50" s="76"/>
      <c r="BFE50" s="76"/>
      <c r="BFF50" s="76"/>
      <c r="BFG50" s="76"/>
      <c r="BFH50" s="76"/>
      <c r="BFI50" s="76"/>
      <c r="BFJ50" s="76"/>
      <c r="BFK50" s="76"/>
      <c r="BFL50" s="76"/>
      <c r="BFM50" s="76"/>
      <c r="BFN50" s="76"/>
      <c r="BFO50" s="76"/>
      <c r="BFP50" s="76"/>
      <c r="BFQ50" s="76"/>
      <c r="BFR50" s="76"/>
      <c r="BFS50" s="76"/>
      <c r="BFT50" s="76"/>
      <c r="BFU50" s="76"/>
      <c r="BFV50" s="76"/>
      <c r="BFW50" s="76"/>
      <c r="BFX50" s="76"/>
      <c r="BFY50" s="76"/>
      <c r="BFZ50" s="76"/>
      <c r="BGA50" s="76"/>
      <c r="BGB50" s="76"/>
      <c r="BGC50" s="76"/>
      <c r="BGD50" s="76"/>
      <c r="BGE50" s="76"/>
      <c r="BGF50" s="76"/>
      <c r="BGG50" s="76"/>
      <c r="BGH50" s="76"/>
      <c r="BGI50" s="76"/>
      <c r="BGJ50" s="76"/>
      <c r="BGK50" s="76"/>
      <c r="BGL50" s="76"/>
      <c r="BGM50" s="76"/>
      <c r="BGN50" s="76"/>
      <c r="BGO50" s="76"/>
      <c r="BGP50" s="76"/>
      <c r="BGQ50" s="76"/>
      <c r="BGR50" s="76"/>
      <c r="BGS50" s="76"/>
      <c r="BGT50" s="76"/>
      <c r="BGU50" s="76"/>
      <c r="BGV50" s="76"/>
      <c r="BGW50" s="76"/>
      <c r="BGX50" s="76"/>
      <c r="BGY50" s="76"/>
      <c r="BGZ50" s="76"/>
      <c r="BHA50" s="76"/>
      <c r="BHB50" s="76"/>
      <c r="BHC50" s="76"/>
      <c r="BHD50" s="76"/>
      <c r="BHE50" s="76"/>
      <c r="BHF50" s="76"/>
      <c r="BHG50" s="76"/>
      <c r="BHH50" s="76"/>
      <c r="BHI50" s="76"/>
      <c r="BHJ50" s="76"/>
      <c r="BHK50" s="76"/>
      <c r="BHL50" s="76"/>
      <c r="BHM50" s="76"/>
      <c r="BHN50" s="76"/>
      <c r="BHO50" s="76"/>
      <c r="BHP50" s="76"/>
      <c r="BHQ50" s="76"/>
      <c r="BHR50" s="76"/>
      <c r="BHS50" s="76"/>
      <c r="BHT50" s="76"/>
      <c r="BHU50" s="76"/>
      <c r="BHV50" s="76"/>
      <c r="BHW50" s="76"/>
      <c r="BHX50" s="76"/>
      <c r="BHY50" s="76"/>
      <c r="BHZ50" s="76"/>
      <c r="BIA50" s="76"/>
      <c r="BIB50" s="76"/>
      <c r="BIC50" s="76"/>
      <c r="BID50" s="76"/>
      <c r="BIE50" s="76"/>
      <c r="BIF50" s="76"/>
      <c r="BIG50" s="76"/>
      <c r="BIH50" s="76"/>
      <c r="BII50" s="76"/>
      <c r="BIJ50" s="76"/>
      <c r="BIK50" s="76"/>
      <c r="BIL50" s="76"/>
      <c r="BIM50" s="76"/>
      <c r="BIN50" s="76"/>
      <c r="BIO50" s="76"/>
      <c r="BIP50" s="76"/>
      <c r="BIQ50" s="76"/>
      <c r="BIR50" s="76"/>
      <c r="BIS50" s="76"/>
      <c r="BIT50" s="76"/>
      <c r="BIU50" s="76"/>
      <c r="BIV50" s="76"/>
      <c r="BIW50" s="76"/>
      <c r="BIX50" s="76"/>
      <c r="BIY50" s="76"/>
      <c r="BIZ50" s="76"/>
      <c r="BJA50" s="76"/>
      <c r="BJB50" s="76"/>
      <c r="BJC50" s="76"/>
      <c r="BJD50" s="76"/>
      <c r="BJE50" s="76"/>
      <c r="BJF50" s="76"/>
      <c r="BJG50" s="76"/>
      <c r="BJH50" s="76"/>
      <c r="BJI50" s="76"/>
      <c r="BJJ50" s="76"/>
      <c r="BJK50" s="76"/>
      <c r="BJL50" s="76"/>
      <c r="BJM50" s="76"/>
      <c r="BJN50" s="76"/>
      <c r="BJO50" s="76"/>
      <c r="BJP50" s="76"/>
      <c r="BJQ50" s="76"/>
      <c r="BJR50" s="76"/>
      <c r="BJS50" s="76"/>
      <c r="BJT50" s="76"/>
      <c r="BJU50" s="76"/>
      <c r="BJV50" s="76"/>
      <c r="BJW50" s="76"/>
      <c r="BJX50" s="76"/>
      <c r="BJY50" s="76"/>
      <c r="BJZ50" s="76"/>
      <c r="BKA50" s="76"/>
      <c r="BKB50" s="76"/>
      <c r="BKC50" s="76"/>
      <c r="BKD50" s="76"/>
      <c r="BKE50" s="76"/>
      <c r="BKF50" s="76"/>
      <c r="BKG50" s="76"/>
      <c r="BKH50" s="76"/>
      <c r="BKI50" s="76"/>
      <c r="BKJ50" s="76"/>
      <c r="BKK50" s="76"/>
      <c r="BKL50" s="76"/>
      <c r="BKM50" s="76"/>
      <c r="BKN50" s="76"/>
      <c r="BKO50" s="76"/>
      <c r="BKP50" s="76"/>
      <c r="BKQ50" s="76"/>
      <c r="BKR50" s="76"/>
      <c r="BKS50" s="76"/>
      <c r="BKT50" s="76"/>
      <c r="BKU50" s="76"/>
      <c r="BKV50" s="76"/>
      <c r="BKW50" s="76"/>
      <c r="BKX50" s="76"/>
      <c r="BKY50" s="76"/>
      <c r="BKZ50" s="76"/>
      <c r="BLA50" s="76"/>
      <c r="BLB50" s="76"/>
      <c r="BLC50" s="76"/>
      <c r="BLD50" s="76"/>
      <c r="BLE50" s="76"/>
      <c r="BLF50" s="76"/>
      <c r="BLG50" s="76"/>
      <c r="BLH50" s="76"/>
      <c r="BLI50" s="76"/>
      <c r="BLJ50" s="76"/>
      <c r="BLK50" s="76"/>
      <c r="BLL50" s="76"/>
      <c r="BLM50" s="76"/>
      <c r="BLN50" s="76"/>
      <c r="BLO50" s="76"/>
      <c r="BLP50" s="76"/>
      <c r="BLQ50" s="76"/>
      <c r="BLR50" s="76"/>
      <c r="BLS50" s="76"/>
      <c r="BLT50" s="76"/>
      <c r="BLU50" s="76"/>
      <c r="BLV50" s="76"/>
      <c r="BLW50" s="76"/>
      <c r="BLX50" s="76"/>
      <c r="BLY50" s="76"/>
      <c r="BLZ50" s="76"/>
      <c r="BMA50" s="76"/>
      <c r="BMB50" s="76"/>
      <c r="BMC50" s="76"/>
      <c r="BMD50" s="76"/>
      <c r="BME50" s="76"/>
      <c r="BMF50" s="76"/>
      <c r="BMG50" s="76"/>
      <c r="BMH50" s="76"/>
      <c r="BMI50" s="76"/>
      <c r="BMJ50" s="76"/>
      <c r="BMK50" s="76"/>
      <c r="BML50" s="76"/>
      <c r="BMM50" s="76"/>
      <c r="BMN50" s="76"/>
      <c r="BMO50" s="76"/>
      <c r="BMP50" s="76"/>
      <c r="BMQ50" s="76"/>
      <c r="BMR50" s="76"/>
      <c r="BMS50" s="76"/>
      <c r="BMT50" s="76"/>
      <c r="BMU50" s="76"/>
      <c r="BMV50" s="76"/>
      <c r="BMW50" s="76"/>
      <c r="BMX50" s="76"/>
      <c r="BMY50" s="76"/>
      <c r="BMZ50" s="76"/>
      <c r="BNA50" s="76"/>
      <c r="BNB50" s="76"/>
      <c r="BNC50" s="76"/>
      <c r="BND50" s="76"/>
      <c r="BNE50" s="76"/>
      <c r="BNF50" s="76"/>
      <c r="BNG50" s="76"/>
      <c r="BNH50" s="76"/>
      <c r="BNI50" s="76"/>
      <c r="BNJ50" s="76"/>
      <c r="BNK50" s="76"/>
      <c r="BNL50" s="76"/>
      <c r="BNM50" s="76"/>
      <c r="BNN50" s="76"/>
      <c r="BNO50" s="76"/>
      <c r="BNP50" s="76"/>
      <c r="BNQ50" s="76"/>
      <c r="BNR50" s="76"/>
      <c r="BNS50" s="76"/>
      <c r="BNT50" s="76"/>
      <c r="BNU50" s="76"/>
      <c r="BNV50" s="76"/>
      <c r="BNW50" s="76"/>
      <c r="BNX50" s="76"/>
      <c r="BNY50" s="76"/>
      <c r="BNZ50" s="76"/>
      <c r="BOA50" s="76"/>
      <c r="BOB50" s="76"/>
      <c r="BOC50" s="76"/>
      <c r="BOD50" s="76"/>
      <c r="BOE50" s="76"/>
      <c r="BOF50" s="76"/>
      <c r="BOG50" s="76"/>
      <c r="BOH50" s="76"/>
      <c r="BOI50" s="76"/>
      <c r="BOJ50" s="76"/>
      <c r="BOK50" s="76"/>
      <c r="BOL50" s="76"/>
      <c r="BOM50" s="76"/>
      <c r="BON50" s="76"/>
      <c r="BOO50" s="76"/>
      <c r="BOP50" s="76"/>
      <c r="BOQ50" s="76"/>
      <c r="BOR50" s="76"/>
      <c r="BOS50" s="76"/>
      <c r="BOT50" s="76"/>
      <c r="BOU50" s="76"/>
      <c r="BOV50" s="76"/>
      <c r="BOW50" s="76"/>
      <c r="BOX50" s="76"/>
      <c r="BOY50" s="76"/>
      <c r="BOZ50" s="76"/>
      <c r="BPA50" s="76"/>
      <c r="BPB50" s="76"/>
      <c r="BPC50" s="76"/>
      <c r="BPD50" s="76"/>
      <c r="BPE50" s="76"/>
      <c r="BPF50" s="76"/>
      <c r="BPG50" s="76"/>
      <c r="BPH50" s="76"/>
      <c r="BPI50" s="76"/>
      <c r="BPJ50" s="76"/>
      <c r="BPK50" s="76"/>
      <c r="BPL50" s="76"/>
      <c r="BPM50" s="76"/>
      <c r="BPN50" s="76"/>
      <c r="BPO50" s="76"/>
      <c r="BPP50" s="76"/>
      <c r="BPQ50" s="76"/>
      <c r="BPR50" s="76"/>
      <c r="BPS50" s="76"/>
      <c r="BPT50" s="76"/>
      <c r="BPU50" s="76"/>
      <c r="BPV50" s="76"/>
      <c r="BPW50" s="76"/>
      <c r="BPX50" s="76"/>
      <c r="BPY50" s="76"/>
      <c r="BPZ50" s="76"/>
      <c r="BQA50" s="76"/>
      <c r="BQB50" s="76"/>
      <c r="BQC50" s="76"/>
      <c r="BQD50" s="76"/>
      <c r="BQE50" s="76"/>
      <c r="BQF50" s="76"/>
      <c r="BQG50" s="76"/>
      <c r="BQH50" s="76"/>
      <c r="BQI50" s="76"/>
      <c r="BQJ50" s="76"/>
      <c r="BQK50" s="76"/>
      <c r="BQL50" s="76"/>
      <c r="BQM50" s="76"/>
      <c r="BQN50" s="76"/>
      <c r="BQO50" s="76"/>
      <c r="BQP50" s="76"/>
      <c r="BQQ50" s="76"/>
      <c r="BQR50" s="76"/>
      <c r="BQS50" s="76"/>
      <c r="BQT50" s="76"/>
      <c r="BQU50" s="76"/>
      <c r="BQV50" s="76"/>
      <c r="BQW50" s="76"/>
      <c r="BQX50" s="76"/>
      <c r="BQY50" s="76"/>
      <c r="BQZ50" s="76"/>
      <c r="BRA50" s="76"/>
      <c r="BRB50" s="76"/>
      <c r="BRC50" s="76"/>
      <c r="BRD50" s="76"/>
      <c r="BRE50" s="76"/>
      <c r="BRF50" s="76"/>
      <c r="BRG50" s="76"/>
      <c r="BRH50" s="76"/>
      <c r="BRI50" s="76"/>
      <c r="BRJ50" s="76"/>
      <c r="BRK50" s="76"/>
      <c r="BRL50" s="76"/>
      <c r="BRM50" s="76"/>
      <c r="BRN50" s="76"/>
      <c r="BRO50" s="76"/>
      <c r="BRP50" s="76"/>
      <c r="BRQ50" s="76"/>
      <c r="BRR50" s="76"/>
      <c r="BRS50" s="76"/>
      <c r="BRT50" s="76"/>
      <c r="BRU50" s="76"/>
      <c r="BRV50" s="76"/>
      <c r="BRW50" s="76"/>
      <c r="BRX50" s="76"/>
      <c r="BRY50" s="76"/>
      <c r="BRZ50" s="76"/>
      <c r="BSA50" s="76"/>
      <c r="BSB50" s="76"/>
      <c r="BSC50" s="76"/>
      <c r="BSD50" s="76"/>
      <c r="BSE50" s="76"/>
      <c r="BSF50" s="76"/>
      <c r="BSG50" s="76"/>
      <c r="BSH50" s="76"/>
      <c r="BSI50" s="76"/>
      <c r="BSJ50" s="76"/>
      <c r="BSK50" s="76"/>
      <c r="BSL50" s="76"/>
      <c r="BSM50" s="76"/>
      <c r="BSN50" s="76"/>
      <c r="BSO50" s="76"/>
      <c r="BSP50" s="76"/>
      <c r="BSQ50" s="76"/>
      <c r="BSR50" s="76"/>
      <c r="BSS50" s="76"/>
      <c r="BST50" s="76"/>
      <c r="BSU50" s="76"/>
      <c r="BSV50" s="76"/>
      <c r="BSW50" s="76"/>
      <c r="BSX50" s="76"/>
      <c r="BSY50" s="76"/>
      <c r="BSZ50" s="76"/>
      <c r="BTA50" s="76"/>
      <c r="BTB50" s="76"/>
      <c r="BTC50" s="76"/>
      <c r="BTD50" s="76"/>
      <c r="BTE50" s="76"/>
      <c r="BTF50" s="76"/>
      <c r="BTG50" s="76"/>
      <c r="BTH50" s="76"/>
      <c r="BTI50" s="76"/>
      <c r="BTJ50" s="76"/>
      <c r="BTK50" s="76"/>
      <c r="BTL50" s="76"/>
      <c r="BTM50" s="76"/>
      <c r="BTN50" s="76"/>
      <c r="BTO50" s="76"/>
      <c r="BTP50" s="76"/>
      <c r="BTQ50" s="76"/>
      <c r="BTR50" s="76"/>
      <c r="BTS50" s="76"/>
      <c r="BTT50" s="76"/>
      <c r="BTU50" s="76"/>
      <c r="BTV50" s="76"/>
      <c r="BTW50" s="76"/>
      <c r="BTX50" s="76"/>
      <c r="BTY50" s="76"/>
      <c r="BTZ50" s="76"/>
      <c r="BUA50" s="76"/>
      <c r="BUB50" s="76"/>
      <c r="BUC50" s="76"/>
      <c r="BUD50" s="76"/>
      <c r="BUE50" s="76"/>
      <c r="BUF50" s="76"/>
      <c r="BUG50" s="76"/>
      <c r="BUH50" s="76"/>
      <c r="BUI50" s="76"/>
      <c r="BUJ50" s="76"/>
      <c r="BUK50" s="76"/>
      <c r="BUL50" s="76"/>
      <c r="BUM50" s="76"/>
      <c r="BUN50" s="76"/>
      <c r="BUO50" s="76"/>
      <c r="BUP50" s="76"/>
      <c r="BUQ50" s="76"/>
      <c r="BUR50" s="76"/>
      <c r="BUS50" s="76"/>
      <c r="BUT50" s="76"/>
      <c r="BUU50" s="76"/>
      <c r="BUV50" s="76"/>
      <c r="BUW50" s="76"/>
      <c r="BUX50" s="76"/>
      <c r="BUY50" s="76"/>
      <c r="BUZ50" s="76"/>
      <c r="BVA50" s="76"/>
      <c r="BVB50" s="76"/>
      <c r="BVC50" s="76"/>
      <c r="BVD50" s="76"/>
      <c r="BVE50" s="76"/>
      <c r="BVF50" s="76"/>
      <c r="BVG50" s="76"/>
      <c r="BVH50" s="76"/>
      <c r="BVI50" s="76"/>
      <c r="BVJ50" s="76"/>
      <c r="BVK50" s="76"/>
      <c r="BVL50" s="76"/>
      <c r="BVM50" s="76"/>
      <c r="BVN50" s="76"/>
      <c r="BVO50" s="76"/>
      <c r="BVP50" s="76"/>
      <c r="BVQ50" s="76"/>
      <c r="BVR50" s="76"/>
      <c r="BVS50" s="76"/>
      <c r="BVT50" s="76"/>
      <c r="BVU50" s="76"/>
      <c r="BVV50" s="76"/>
      <c r="BVW50" s="76"/>
      <c r="BVX50" s="76"/>
      <c r="BVY50" s="76"/>
      <c r="BVZ50" s="76"/>
      <c r="BWA50" s="76"/>
      <c r="BWB50" s="76"/>
      <c r="BWC50" s="76"/>
      <c r="BWD50" s="76"/>
      <c r="BWE50" s="76"/>
      <c r="BWF50" s="76"/>
      <c r="BWG50" s="76"/>
      <c r="BWH50" s="76"/>
      <c r="BWI50" s="76"/>
      <c r="BWJ50" s="76"/>
      <c r="BWK50" s="76"/>
      <c r="BWL50" s="76"/>
      <c r="BWM50" s="76"/>
      <c r="BWN50" s="76"/>
      <c r="BWO50" s="76"/>
      <c r="BWP50" s="76"/>
      <c r="BWQ50" s="76"/>
      <c r="BWR50" s="76"/>
      <c r="BWS50" s="76"/>
      <c r="BWT50" s="76"/>
      <c r="BWU50" s="76"/>
      <c r="BWV50" s="76"/>
      <c r="BWW50" s="76"/>
      <c r="BWX50" s="76"/>
      <c r="BWY50" s="76"/>
      <c r="BWZ50" s="76"/>
      <c r="BXA50" s="76"/>
      <c r="BXB50" s="76"/>
      <c r="BXC50" s="76"/>
      <c r="BXD50" s="76"/>
      <c r="BXE50" s="76"/>
      <c r="BXF50" s="76"/>
      <c r="BXG50" s="76"/>
      <c r="BXH50" s="76"/>
      <c r="BXI50" s="76"/>
      <c r="BXJ50" s="76"/>
      <c r="BXK50" s="76"/>
      <c r="BXL50" s="76"/>
      <c r="BXM50" s="76"/>
      <c r="BXN50" s="76"/>
      <c r="BXO50" s="76"/>
      <c r="BXP50" s="76"/>
      <c r="BXQ50" s="76"/>
      <c r="BXR50" s="76"/>
      <c r="BXS50" s="76"/>
      <c r="BXT50" s="76"/>
      <c r="BXU50" s="76"/>
      <c r="BXV50" s="76"/>
      <c r="BXW50" s="76"/>
      <c r="BXX50" s="76"/>
      <c r="BXY50" s="76"/>
      <c r="BXZ50" s="76"/>
      <c r="BYA50" s="76"/>
      <c r="BYB50" s="76"/>
      <c r="BYC50" s="76"/>
      <c r="BYD50" s="76"/>
      <c r="BYE50" s="76"/>
      <c r="BYF50" s="76"/>
      <c r="BYG50" s="76"/>
      <c r="BYH50" s="76"/>
      <c r="BYI50" s="76"/>
      <c r="BYJ50" s="76"/>
      <c r="BYK50" s="76"/>
      <c r="BYL50" s="76"/>
      <c r="BYM50" s="76"/>
      <c r="BYN50" s="76"/>
      <c r="BYO50" s="76"/>
      <c r="BYP50" s="76"/>
      <c r="BYQ50" s="76"/>
      <c r="BYR50" s="76"/>
      <c r="BYS50" s="76"/>
      <c r="BYT50" s="76"/>
      <c r="BYU50" s="76"/>
      <c r="BYV50" s="76"/>
      <c r="BYW50" s="76"/>
      <c r="BYX50" s="76"/>
      <c r="BYY50" s="76"/>
      <c r="BYZ50" s="76"/>
      <c r="BZA50" s="76"/>
      <c r="BZB50" s="76"/>
      <c r="BZC50" s="76"/>
      <c r="BZD50" s="76"/>
      <c r="BZE50" s="76"/>
      <c r="BZF50" s="76"/>
      <c r="BZG50" s="76"/>
      <c r="BZH50" s="76"/>
      <c r="BZI50" s="76"/>
      <c r="BZJ50" s="76"/>
      <c r="BZK50" s="76"/>
      <c r="BZL50" s="76"/>
      <c r="BZM50" s="76"/>
      <c r="BZN50" s="76"/>
      <c r="BZO50" s="76"/>
      <c r="BZP50" s="76"/>
      <c r="BZQ50" s="76"/>
      <c r="BZR50" s="76"/>
      <c r="BZS50" s="76"/>
      <c r="BZT50" s="76"/>
      <c r="BZU50" s="76"/>
      <c r="BZV50" s="76"/>
      <c r="BZW50" s="76"/>
      <c r="BZX50" s="76"/>
      <c r="BZY50" s="76"/>
      <c r="BZZ50" s="76"/>
      <c r="CAA50" s="76"/>
      <c r="CAB50" s="76"/>
      <c r="CAC50" s="76"/>
      <c r="CAD50" s="76"/>
      <c r="CAE50" s="76"/>
      <c r="CAF50" s="76"/>
      <c r="CAG50" s="76"/>
      <c r="CAH50" s="76"/>
      <c r="CAI50" s="76"/>
      <c r="CAJ50" s="76"/>
      <c r="CAK50" s="76"/>
      <c r="CAL50" s="76"/>
      <c r="CAM50" s="76"/>
      <c r="CAN50" s="76"/>
      <c r="CAO50" s="76"/>
      <c r="CAP50" s="76"/>
      <c r="CAQ50" s="76"/>
      <c r="CAR50" s="76"/>
      <c r="CAS50" s="76"/>
      <c r="CAT50" s="76"/>
      <c r="CAU50" s="76"/>
      <c r="CAV50" s="76"/>
      <c r="CAW50" s="76"/>
      <c r="CAX50" s="76"/>
      <c r="CAY50" s="76"/>
      <c r="CAZ50" s="76"/>
      <c r="CBA50" s="76"/>
      <c r="CBB50" s="76"/>
      <c r="CBC50" s="76"/>
      <c r="CBD50" s="76"/>
      <c r="CBE50" s="76"/>
      <c r="CBF50" s="76"/>
      <c r="CBG50" s="76"/>
      <c r="CBH50" s="76"/>
      <c r="CBI50" s="76"/>
      <c r="CBJ50" s="76"/>
      <c r="CBK50" s="76"/>
      <c r="CBL50" s="76"/>
      <c r="CBM50" s="76"/>
      <c r="CBN50" s="76"/>
      <c r="CBO50" s="76"/>
      <c r="CBP50" s="76"/>
      <c r="CBQ50" s="76"/>
      <c r="CBR50" s="76"/>
      <c r="CBS50" s="76"/>
      <c r="CBT50" s="76"/>
      <c r="CBU50" s="76"/>
      <c r="CBV50" s="76"/>
      <c r="CBW50" s="76"/>
      <c r="CBX50" s="76"/>
      <c r="CBY50" s="76"/>
      <c r="CBZ50" s="76"/>
      <c r="CCA50" s="76"/>
      <c r="CCB50" s="76"/>
      <c r="CCC50" s="76"/>
      <c r="CCD50" s="76"/>
      <c r="CCE50" s="76"/>
      <c r="CCF50" s="76"/>
      <c r="CCG50" s="76"/>
      <c r="CCH50" s="76"/>
      <c r="CCI50" s="76"/>
      <c r="CCJ50" s="76"/>
      <c r="CCK50" s="76"/>
      <c r="CCL50" s="76"/>
      <c r="CCM50" s="76"/>
      <c r="CCN50" s="76"/>
      <c r="CCO50" s="76"/>
      <c r="CCP50" s="76"/>
      <c r="CCQ50" s="76"/>
      <c r="CCR50" s="76"/>
      <c r="CCS50" s="76"/>
      <c r="CCT50" s="76"/>
      <c r="CCU50" s="76"/>
      <c r="CCV50" s="76"/>
      <c r="CCW50" s="76"/>
      <c r="CCX50" s="76"/>
      <c r="CCY50" s="76"/>
      <c r="CCZ50" s="76"/>
      <c r="CDA50" s="76"/>
      <c r="CDB50" s="76"/>
      <c r="CDC50" s="76"/>
      <c r="CDD50" s="76"/>
      <c r="CDE50" s="76"/>
      <c r="CDF50" s="76"/>
      <c r="CDG50" s="76"/>
      <c r="CDH50" s="76"/>
      <c r="CDI50" s="76"/>
      <c r="CDJ50" s="76"/>
      <c r="CDK50" s="76"/>
      <c r="CDL50" s="76"/>
      <c r="CDM50" s="76"/>
      <c r="CDN50" s="76"/>
      <c r="CDO50" s="76"/>
      <c r="CDP50" s="76"/>
      <c r="CDQ50" s="76"/>
      <c r="CDR50" s="76"/>
      <c r="CDS50" s="76"/>
      <c r="CDT50" s="76"/>
      <c r="CDU50" s="76"/>
      <c r="CDV50" s="76"/>
      <c r="CDW50" s="76"/>
      <c r="CDX50" s="76"/>
      <c r="CDY50" s="76"/>
      <c r="CDZ50" s="76"/>
      <c r="CEA50" s="76"/>
      <c r="CEB50" s="76"/>
      <c r="CEC50" s="76"/>
      <c r="CED50" s="76"/>
      <c r="CEE50" s="76"/>
      <c r="CEF50" s="76"/>
      <c r="CEG50" s="76"/>
      <c r="CEH50" s="76"/>
      <c r="CEI50" s="76"/>
      <c r="CEJ50" s="76"/>
      <c r="CEK50" s="76"/>
      <c r="CEL50" s="76"/>
      <c r="CEM50" s="76"/>
      <c r="CEN50" s="76"/>
      <c r="CEO50" s="76"/>
      <c r="CEP50" s="76"/>
      <c r="CEQ50" s="76"/>
      <c r="CER50" s="76"/>
      <c r="CES50" s="76"/>
      <c r="CET50" s="76"/>
      <c r="CEU50" s="76"/>
      <c r="CEV50" s="76"/>
      <c r="CEW50" s="76"/>
      <c r="CEX50" s="76"/>
      <c r="CEY50" s="76"/>
      <c r="CEZ50" s="76"/>
      <c r="CFA50" s="76"/>
      <c r="CFB50" s="76"/>
      <c r="CFC50" s="76"/>
      <c r="CFD50" s="76"/>
      <c r="CFE50" s="76"/>
      <c r="CFF50" s="76"/>
      <c r="CFG50" s="76"/>
      <c r="CFH50" s="76"/>
      <c r="CFI50" s="76"/>
      <c r="CFJ50" s="76"/>
      <c r="CFK50" s="76"/>
      <c r="CFL50" s="76"/>
      <c r="CFM50" s="76"/>
      <c r="CFN50" s="76"/>
      <c r="CFO50" s="76"/>
      <c r="CFP50" s="76"/>
      <c r="CFQ50" s="76"/>
      <c r="CFR50" s="76"/>
      <c r="CFS50" s="76"/>
      <c r="CFT50" s="76"/>
      <c r="CFU50" s="76"/>
      <c r="CFV50" s="76"/>
      <c r="CFW50" s="76"/>
      <c r="CFX50" s="76"/>
      <c r="CFY50" s="76"/>
      <c r="CFZ50" s="76"/>
      <c r="CGA50" s="76"/>
      <c r="CGB50" s="76"/>
      <c r="CGC50" s="76"/>
      <c r="CGD50" s="76"/>
      <c r="CGE50" s="76"/>
      <c r="CGF50" s="76"/>
      <c r="CGG50" s="76"/>
      <c r="CGH50" s="76"/>
      <c r="CGI50" s="76"/>
      <c r="CGJ50" s="76"/>
      <c r="CGK50" s="76"/>
      <c r="CGL50" s="76"/>
      <c r="CGM50" s="76"/>
      <c r="CGN50" s="76"/>
      <c r="CGO50" s="76"/>
      <c r="CGP50" s="76"/>
      <c r="CGQ50" s="76"/>
      <c r="CGR50" s="76"/>
      <c r="CGS50" s="76"/>
      <c r="CGT50" s="76"/>
      <c r="CGU50" s="76"/>
      <c r="CGV50" s="76"/>
      <c r="CGW50" s="76"/>
      <c r="CGX50" s="76"/>
      <c r="CGY50" s="76"/>
      <c r="CGZ50" s="76"/>
      <c r="CHA50" s="76"/>
      <c r="CHB50" s="76"/>
      <c r="CHC50" s="76"/>
      <c r="CHD50" s="76"/>
      <c r="CHE50" s="76"/>
      <c r="CHF50" s="76"/>
      <c r="CHG50" s="76"/>
      <c r="CHH50" s="76"/>
      <c r="CHI50" s="76"/>
      <c r="CHJ50" s="76"/>
      <c r="CHK50" s="76"/>
      <c r="CHL50" s="76"/>
      <c r="CHM50" s="76"/>
      <c r="CHN50" s="76"/>
      <c r="CHO50" s="76"/>
      <c r="CHP50" s="76"/>
      <c r="CHQ50" s="76"/>
      <c r="CHR50" s="76"/>
      <c r="CHS50" s="76"/>
      <c r="CHT50" s="76"/>
      <c r="CHU50" s="76"/>
      <c r="CHV50" s="76"/>
      <c r="CHW50" s="76"/>
      <c r="CHX50" s="76"/>
      <c r="CHY50" s="76"/>
      <c r="CHZ50" s="76"/>
      <c r="CIA50" s="76"/>
      <c r="CIB50" s="76"/>
      <c r="CIC50" s="76"/>
      <c r="CID50" s="76"/>
      <c r="CIE50" s="76"/>
      <c r="CIF50" s="76"/>
      <c r="CIG50" s="76"/>
      <c r="CIH50" s="76"/>
      <c r="CII50" s="76"/>
      <c r="CIJ50" s="76"/>
      <c r="CIK50" s="76"/>
      <c r="CIL50" s="76"/>
      <c r="CIM50" s="76"/>
      <c r="CIN50" s="76"/>
      <c r="CIO50" s="76"/>
      <c r="CIP50" s="76"/>
      <c r="CIQ50" s="76"/>
      <c r="CIR50" s="76"/>
      <c r="CIS50" s="76"/>
      <c r="CIT50" s="76"/>
      <c r="CIU50" s="76"/>
      <c r="CIV50" s="76"/>
      <c r="CIW50" s="76"/>
      <c r="CIX50" s="76"/>
      <c r="CIY50" s="76"/>
      <c r="CIZ50" s="76"/>
      <c r="CJA50" s="76"/>
      <c r="CJB50" s="76"/>
      <c r="CJC50" s="76"/>
      <c r="CJD50" s="76"/>
      <c r="CJE50" s="76"/>
      <c r="CJF50" s="76"/>
      <c r="CJG50" s="76"/>
      <c r="CJH50" s="76"/>
      <c r="CJI50" s="76"/>
      <c r="CJJ50" s="76"/>
      <c r="CJK50" s="76"/>
      <c r="CJL50" s="76"/>
      <c r="CJM50" s="76"/>
      <c r="CJN50" s="76"/>
      <c r="CJO50" s="76"/>
      <c r="CJP50" s="76"/>
      <c r="CJQ50" s="76"/>
      <c r="CJR50" s="76"/>
      <c r="CJS50" s="76"/>
      <c r="CJT50" s="76"/>
      <c r="CJU50" s="76"/>
      <c r="CJV50" s="76"/>
      <c r="CJW50" s="76"/>
      <c r="CJX50" s="76"/>
      <c r="CJY50" s="76"/>
      <c r="CJZ50" s="76"/>
      <c r="CKA50" s="76"/>
      <c r="CKB50" s="76"/>
      <c r="CKC50" s="76"/>
      <c r="CKD50" s="76"/>
      <c r="CKE50" s="76"/>
      <c r="CKF50" s="76"/>
      <c r="CKG50" s="76"/>
      <c r="CKH50" s="76"/>
      <c r="CKI50" s="76"/>
      <c r="CKJ50" s="76"/>
      <c r="CKK50" s="76"/>
      <c r="CKL50" s="76"/>
      <c r="CKM50" s="76"/>
      <c r="CKN50" s="76"/>
      <c r="CKO50" s="76"/>
      <c r="CKP50" s="76"/>
      <c r="CKQ50" s="76"/>
      <c r="CKR50" s="76"/>
      <c r="CKS50" s="76"/>
      <c r="CKT50" s="76"/>
      <c r="CKU50" s="76"/>
      <c r="CKV50" s="76"/>
      <c r="CKW50" s="76"/>
      <c r="CKX50" s="76"/>
      <c r="CKY50" s="76"/>
      <c r="CKZ50" s="76"/>
      <c r="CLA50" s="76"/>
      <c r="CLB50" s="76"/>
      <c r="CLC50" s="76"/>
      <c r="CLD50" s="76"/>
      <c r="CLE50" s="76"/>
      <c r="CLF50" s="76"/>
      <c r="CLG50" s="76"/>
      <c r="CLH50" s="76"/>
      <c r="CLI50" s="76"/>
      <c r="CLJ50" s="76"/>
      <c r="CLK50" s="76"/>
      <c r="CLL50" s="76"/>
      <c r="CLM50" s="76"/>
      <c r="CLN50" s="76"/>
      <c r="CLO50" s="76"/>
      <c r="CLP50" s="76"/>
      <c r="CLQ50" s="76"/>
      <c r="CLR50" s="76"/>
      <c r="CLS50" s="76"/>
      <c r="CLT50" s="76"/>
      <c r="CLU50" s="76"/>
      <c r="CLV50" s="76"/>
      <c r="CLW50" s="76"/>
      <c r="CLX50" s="76"/>
      <c r="CLY50" s="76"/>
      <c r="CLZ50" s="76"/>
      <c r="CMA50" s="76"/>
      <c r="CMB50" s="76"/>
      <c r="CMC50" s="76"/>
      <c r="CMD50" s="76"/>
      <c r="CME50" s="76"/>
      <c r="CMF50" s="76"/>
      <c r="CMG50" s="76"/>
      <c r="CMH50" s="76"/>
      <c r="CMI50" s="76"/>
      <c r="CMJ50" s="76"/>
      <c r="CMK50" s="76"/>
      <c r="CML50" s="76"/>
      <c r="CMM50" s="76"/>
      <c r="CMN50" s="76"/>
      <c r="CMO50" s="76"/>
      <c r="CMP50" s="76"/>
      <c r="CMQ50" s="76"/>
      <c r="CMR50" s="76"/>
      <c r="CMS50" s="76"/>
      <c r="CMT50" s="76"/>
      <c r="CMU50" s="76"/>
      <c r="CMV50" s="76"/>
      <c r="CMW50" s="76"/>
      <c r="CMX50" s="76"/>
      <c r="CMY50" s="76"/>
      <c r="CMZ50" s="76"/>
      <c r="CNA50" s="76"/>
      <c r="CNB50" s="76"/>
      <c r="CNC50" s="76"/>
      <c r="CND50" s="76"/>
      <c r="CNE50" s="76"/>
      <c r="CNF50" s="76"/>
      <c r="CNG50" s="76"/>
      <c r="CNH50" s="76"/>
      <c r="CNI50" s="76"/>
      <c r="CNJ50" s="76"/>
      <c r="CNK50" s="76"/>
      <c r="CNL50" s="76"/>
      <c r="CNM50" s="76"/>
      <c r="CNN50" s="76"/>
      <c r="CNO50" s="76"/>
      <c r="CNP50" s="76"/>
      <c r="CNQ50" s="76"/>
      <c r="CNR50" s="76"/>
      <c r="CNS50" s="76"/>
      <c r="CNT50" s="76"/>
      <c r="CNU50" s="76"/>
      <c r="CNV50" s="76"/>
      <c r="CNW50" s="76"/>
      <c r="CNX50" s="76"/>
      <c r="CNY50" s="76"/>
      <c r="CNZ50" s="76"/>
      <c r="COA50" s="76"/>
      <c r="COB50" s="76"/>
      <c r="COC50" s="76"/>
      <c r="COD50" s="76"/>
      <c r="COE50" s="76"/>
      <c r="COF50" s="76"/>
      <c r="COG50" s="76"/>
      <c r="COH50" s="76"/>
      <c r="COI50" s="76"/>
      <c r="COJ50" s="76"/>
      <c r="COK50" s="76"/>
      <c r="COL50" s="76"/>
      <c r="COM50" s="76"/>
      <c r="CON50" s="76"/>
      <c r="COO50" s="76"/>
      <c r="COP50" s="76"/>
      <c r="COQ50" s="76"/>
      <c r="COR50" s="76"/>
      <c r="COS50" s="76"/>
      <c r="COT50" s="76"/>
      <c r="COU50" s="76"/>
      <c r="COV50" s="76"/>
      <c r="COW50" s="76"/>
      <c r="COX50" s="76"/>
      <c r="COY50" s="76"/>
      <c r="COZ50" s="76"/>
      <c r="CPA50" s="76"/>
      <c r="CPB50" s="76"/>
      <c r="CPC50" s="76"/>
      <c r="CPD50" s="76"/>
      <c r="CPE50" s="76"/>
      <c r="CPF50" s="76"/>
      <c r="CPG50" s="76"/>
      <c r="CPH50" s="76"/>
      <c r="CPI50" s="76"/>
      <c r="CPJ50" s="76"/>
      <c r="CPK50" s="76"/>
      <c r="CPL50" s="76"/>
      <c r="CPM50" s="76"/>
      <c r="CPN50" s="76"/>
      <c r="CPO50" s="76"/>
      <c r="CPP50" s="76"/>
      <c r="CPQ50" s="76"/>
      <c r="CPR50" s="76"/>
      <c r="CPS50" s="76"/>
      <c r="CPT50" s="76"/>
      <c r="CPU50" s="76"/>
      <c r="CPV50" s="76"/>
      <c r="CPW50" s="76"/>
      <c r="CPX50" s="76"/>
      <c r="CPY50" s="76"/>
      <c r="CPZ50" s="76"/>
      <c r="CQA50" s="76"/>
      <c r="CQB50" s="76"/>
      <c r="CQC50" s="76"/>
      <c r="CQD50" s="76"/>
      <c r="CQE50" s="76"/>
      <c r="CQF50" s="76"/>
      <c r="CQG50" s="76"/>
      <c r="CQH50" s="76"/>
      <c r="CQI50" s="76"/>
      <c r="CQJ50" s="76"/>
      <c r="CQK50" s="76"/>
      <c r="CQL50" s="76"/>
      <c r="CQM50" s="76"/>
      <c r="CQN50" s="76"/>
      <c r="CQO50" s="76"/>
      <c r="CQP50" s="76"/>
      <c r="CQQ50" s="76"/>
      <c r="CQR50" s="76"/>
      <c r="CQS50" s="76"/>
      <c r="CQT50" s="76"/>
      <c r="CQU50" s="76"/>
      <c r="CQV50" s="76"/>
      <c r="CQW50" s="76"/>
      <c r="CQX50" s="76"/>
      <c r="CQY50" s="76"/>
      <c r="CQZ50" s="76"/>
      <c r="CRA50" s="76"/>
      <c r="CRB50" s="76"/>
      <c r="CRC50" s="76"/>
      <c r="CRD50" s="76"/>
      <c r="CRE50" s="76"/>
      <c r="CRF50" s="76"/>
      <c r="CRG50" s="76"/>
      <c r="CRH50" s="76"/>
      <c r="CRI50" s="76"/>
      <c r="CRJ50" s="76"/>
      <c r="CRK50" s="76"/>
      <c r="CRL50" s="76"/>
      <c r="CRM50" s="76"/>
      <c r="CRN50" s="76"/>
      <c r="CRO50" s="76"/>
      <c r="CRP50" s="76"/>
      <c r="CRQ50" s="76"/>
      <c r="CRR50" s="76"/>
      <c r="CRS50" s="76"/>
      <c r="CRT50" s="76"/>
      <c r="CRU50" s="76"/>
      <c r="CRV50" s="76"/>
      <c r="CRW50" s="76"/>
      <c r="CRX50" s="76"/>
      <c r="CRY50" s="76"/>
      <c r="CRZ50" s="76"/>
      <c r="CSA50" s="76"/>
      <c r="CSB50" s="76"/>
      <c r="CSC50" s="76"/>
      <c r="CSD50" s="76"/>
      <c r="CSE50" s="76"/>
      <c r="CSF50" s="76"/>
      <c r="CSG50" s="76"/>
      <c r="CSH50" s="76"/>
      <c r="CSI50" s="76"/>
      <c r="CSJ50" s="76"/>
      <c r="CSK50" s="76"/>
      <c r="CSL50" s="76"/>
      <c r="CSM50" s="76"/>
      <c r="CSN50" s="76"/>
      <c r="CSO50" s="76"/>
      <c r="CSP50" s="76"/>
      <c r="CSQ50" s="76"/>
      <c r="CSR50" s="76"/>
      <c r="CSS50" s="76"/>
      <c r="CST50" s="76"/>
      <c r="CSU50" s="76"/>
      <c r="CSV50" s="76"/>
      <c r="CSW50" s="76"/>
      <c r="CSX50" s="76"/>
      <c r="CSY50" s="76"/>
      <c r="CSZ50" s="76"/>
      <c r="CTA50" s="76"/>
      <c r="CTB50" s="76"/>
      <c r="CTC50" s="76"/>
      <c r="CTD50" s="76"/>
      <c r="CTE50" s="76"/>
      <c r="CTF50" s="76"/>
      <c r="CTG50" s="76"/>
      <c r="CTH50" s="76"/>
      <c r="CTI50" s="76"/>
      <c r="CTJ50" s="76"/>
      <c r="CTK50" s="76"/>
      <c r="CTL50" s="76"/>
      <c r="CTM50" s="76"/>
      <c r="CTN50" s="76"/>
      <c r="CTO50" s="76"/>
      <c r="CTP50" s="76"/>
      <c r="CTQ50" s="76"/>
      <c r="CTR50" s="76"/>
      <c r="CTS50" s="76"/>
      <c r="CTT50" s="76"/>
      <c r="CTU50" s="76"/>
      <c r="CTV50" s="76"/>
      <c r="CTW50" s="76"/>
      <c r="CTX50" s="76"/>
      <c r="CTY50" s="76"/>
      <c r="CTZ50" s="76"/>
      <c r="CUA50" s="76"/>
      <c r="CUB50" s="76"/>
      <c r="CUC50" s="76"/>
      <c r="CUD50" s="76"/>
      <c r="CUE50" s="76"/>
      <c r="CUF50" s="76"/>
      <c r="CUG50" s="76"/>
      <c r="CUH50" s="76"/>
      <c r="CUI50" s="76"/>
      <c r="CUJ50" s="76"/>
      <c r="CUK50" s="76"/>
      <c r="CUL50" s="76"/>
      <c r="CUM50" s="76"/>
      <c r="CUN50" s="76"/>
      <c r="CUO50" s="76"/>
      <c r="CUP50" s="76"/>
      <c r="CUQ50" s="76"/>
      <c r="CUR50" s="76"/>
      <c r="CUS50" s="76"/>
      <c r="CUT50" s="76"/>
      <c r="CUU50" s="76"/>
      <c r="CUV50" s="76"/>
      <c r="CUW50" s="76"/>
      <c r="CUX50" s="76"/>
      <c r="CUY50" s="76"/>
      <c r="CUZ50" s="76"/>
      <c r="CVA50" s="76"/>
      <c r="CVB50" s="76"/>
      <c r="CVC50" s="76"/>
      <c r="CVD50" s="76"/>
      <c r="CVE50" s="76"/>
      <c r="CVF50" s="76"/>
      <c r="CVG50" s="76"/>
      <c r="CVH50" s="76"/>
      <c r="CVI50" s="76"/>
      <c r="CVJ50" s="76"/>
      <c r="CVK50" s="76"/>
      <c r="CVL50" s="76"/>
      <c r="CVM50" s="76"/>
      <c r="CVN50" s="76"/>
      <c r="CVO50" s="76"/>
      <c r="CVP50" s="76"/>
      <c r="CVQ50" s="76"/>
      <c r="CVR50" s="76"/>
      <c r="CVS50" s="76"/>
      <c r="CVT50" s="76"/>
      <c r="CVU50" s="76"/>
      <c r="CVV50" s="76"/>
      <c r="CVW50" s="76"/>
      <c r="CVX50" s="76"/>
      <c r="CVY50" s="76"/>
      <c r="CVZ50" s="76"/>
      <c r="CWA50" s="76"/>
      <c r="CWB50" s="76"/>
      <c r="CWC50" s="76"/>
      <c r="CWD50" s="76"/>
      <c r="CWE50" s="76"/>
      <c r="CWF50" s="76"/>
      <c r="CWG50" s="76"/>
      <c r="CWH50" s="76"/>
      <c r="CWI50" s="76"/>
      <c r="CWJ50" s="76"/>
      <c r="CWK50" s="76"/>
      <c r="CWL50" s="76"/>
      <c r="CWM50" s="76"/>
      <c r="CWN50" s="76"/>
      <c r="CWO50" s="76"/>
      <c r="CWP50" s="76"/>
      <c r="CWQ50" s="76"/>
      <c r="CWR50" s="76"/>
      <c r="CWS50" s="76"/>
      <c r="CWT50" s="76"/>
      <c r="CWU50" s="76"/>
      <c r="CWV50" s="76"/>
      <c r="CWW50" s="76"/>
      <c r="CWX50" s="76"/>
      <c r="CWY50" s="76"/>
      <c r="CWZ50" s="76"/>
      <c r="CXA50" s="76"/>
      <c r="CXB50" s="76"/>
      <c r="CXC50" s="76"/>
      <c r="CXD50" s="76"/>
      <c r="CXE50" s="76"/>
      <c r="CXF50" s="76"/>
      <c r="CXG50" s="76"/>
      <c r="CXH50" s="76"/>
      <c r="CXI50" s="76"/>
      <c r="CXJ50" s="76"/>
      <c r="CXK50" s="76"/>
      <c r="CXL50" s="76"/>
      <c r="CXM50" s="76"/>
      <c r="CXN50" s="76"/>
      <c r="CXO50" s="76"/>
      <c r="CXP50" s="76"/>
      <c r="CXQ50" s="76"/>
      <c r="CXR50" s="76"/>
      <c r="CXS50" s="76"/>
      <c r="CXT50" s="76"/>
      <c r="CXU50" s="76"/>
      <c r="CXV50" s="76"/>
      <c r="CXW50" s="76"/>
      <c r="CXX50" s="76"/>
      <c r="CXY50" s="76"/>
      <c r="CXZ50" s="76"/>
      <c r="CYA50" s="76"/>
      <c r="CYB50" s="76"/>
      <c r="CYC50" s="76"/>
      <c r="CYD50" s="76"/>
      <c r="CYE50" s="76"/>
      <c r="CYF50" s="76"/>
      <c r="CYG50" s="76"/>
      <c r="CYH50" s="76"/>
      <c r="CYI50" s="76"/>
      <c r="CYJ50" s="76"/>
      <c r="CYK50" s="76"/>
      <c r="CYL50" s="76"/>
      <c r="CYM50" s="76"/>
      <c r="CYN50" s="76"/>
      <c r="CYO50" s="76"/>
      <c r="CYP50" s="76"/>
      <c r="CYQ50" s="76"/>
      <c r="CYR50" s="76"/>
      <c r="CYS50" s="76"/>
      <c r="CYT50" s="76"/>
      <c r="CYU50" s="76"/>
      <c r="CYV50" s="76"/>
      <c r="CYW50" s="76"/>
      <c r="CYX50" s="76"/>
      <c r="CYY50" s="76"/>
      <c r="CYZ50" s="76"/>
      <c r="CZA50" s="76"/>
      <c r="CZB50" s="76"/>
      <c r="CZC50" s="76"/>
      <c r="CZD50" s="76"/>
      <c r="CZE50" s="76"/>
      <c r="CZF50" s="76"/>
      <c r="CZG50" s="76"/>
      <c r="CZH50" s="76"/>
      <c r="CZI50" s="76"/>
      <c r="CZJ50" s="76"/>
      <c r="CZK50" s="76"/>
      <c r="CZL50" s="76"/>
      <c r="CZM50" s="76"/>
      <c r="CZN50" s="76"/>
      <c r="CZO50" s="76"/>
      <c r="CZP50" s="76"/>
      <c r="CZQ50" s="76"/>
      <c r="CZR50" s="76"/>
      <c r="CZS50" s="76"/>
      <c r="CZT50" s="76"/>
      <c r="CZU50" s="76"/>
      <c r="CZV50" s="76"/>
      <c r="CZW50" s="76"/>
      <c r="CZX50" s="76"/>
      <c r="CZY50" s="76"/>
      <c r="CZZ50" s="76"/>
      <c r="DAA50" s="76"/>
      <c r="DAB50" s="76"/>
      <c r="DAC50" s="76"/>
      <c r="DAD50" s="76"/>
      <c r="DAE50" s="76"/>
      <c r="DAF50" s="76"/>
      <c r="DAG50" s="76"/>
      <c r="DAH50" s="76"/>
      <c r="DAI50" s="76"/>
      <c r="DAJ50" s="76"/>
      <c r="DAK50" s="76"/>
      <c r="DAL50" s="76"/>
      <c r="DAM50" s="76"/>
      <c r="DAN50" s="76"/>
      <c r="DAO50" s="76"/>
      <c r="DAP50" s="76"/>
      <c r="DAQ50" s="76"/>
      <c r="DAR50" s="76"/>
      <c r="DAS50" s="76"/>
      <c r="DAT50" s="76"/>
      <c r="DAU50" s="76"/>
      <c r="DAV50" s="76"/>
      <c r="DAW50" s="76"/>
      <c r="DAX50" s="76"/>
      <c r="DAY50" s="76"/>
      <c r="DAZ50" s="76"/>
      <c r="DBA50" s="76"/>
      <c r="DBB50" s="76"/>
      <c r="DBC50" s="76"/>
      <c r="DBD50" s="76"/>
      <c r="DBE50" s="76"/>
      <c r="DBF50" s="76"/>
      <c r="DBG50" s="76"/>
      <c r="DBH50" s="76"/>
      <c r="DBI50" s="76"/>
      <c r="DBJ50" s="76"/>
      <c r="DBK50" s="76"/>
      <c r="DBL50" s="76"/>
      <c r="DBM50" s="76"/>
      <c r="DBN50" s="76"/>
      <c r="DBO50" s="76"/>
      <c r="DBP50" s="76"/>
      <c r="DBQ50" s="76"/>
      <c r="DBR50" s="76"/>
      <c r="DBS50" s="76"/>
      <c r="DBT50" s="76"/>
      <c r="DBU50" s="76"/>
      <c r="DBV50" s="76"/>
      <c r="DBW50" s="76"/>
      <c r="DBX50" s="76"/>
      <c r="DBY50" s="76"/>
      <c r="DBZ50" s="76"/>
      <c r="DCA50" s="76"/>
      <c r="DCB50" s="76"/>
      <c r="DCC50" s="76"/>
      <c r="DCD50" s="76"/>
      <c r="DCE50" s="76"/>
      <c r="DCF50" s="76"/>
      <c r="DCG50" s="76"/>
      <c r="DCH50" s="76"/>
      <c r="DCI50" s="76"/>
      <c r="DCJ50" s="76"/>
      <c r="DCK50" s="76"/>
      <c r="DCL50" s="76"/>
      <c r="DCM50" s="76"/>
      <c r="DCN50" s="76"/>
      <c r="DCO50" s="76"/>
      <c r="DCP50" s="76"/>
      <c r="DCQ50" s="76"/>
      <c r="DCR50" s="76"/>
      <c r="DCS50" s="76"/>
      <c r="DCT50" s="76"/>
      <c r="DCU50" s="76"/>
      <c r="DCV50" s="76"/>
      <c r="DCW50" s="76"/>
      <c r="DCX50" s="76"/>
      <c r="DCY50" s="76"/>
      <c r="DCZ50" s="76"/>
      <c r="DDA50" s="76"/>
      <c r="DDB50" s="76"/>
      <c r="DDC50" s="76"/>
      <c r="DDD50" s="76"/>
      <c r="DDE50" s="76"/>
      <c r="DDF50" s="76"/>
      <c r="DDG50" s="76"/>
      <c r="DDH50" s="76"/>
      <c r="DDI50" s="76"/>
      <c r="DDJ50" s="76"/>
      <c r="DDK50" s="76"/>
      <c r="DDL50" s="76"/>
      <c r="DDM50" s="76"/>
      <c r="DDN50" s="76"/>
      <c r="DDO50" s="76"/>
      <c r="DDP50" s="76"/>
      <c r="DDQ50" s="76"/>
      <c r="DDR50" s="76"/>
      <c r="DDS50" s="76"/>
      <c r="DDT50" s="76"/>
      <c r="DDU50" s="76"/>
      <c r="DDV50" s="76"/>
      <c r="DDW50" s="76"/>
      <c r="DDX50" s="76"/>
      <c r="DDY50" s="76"/>
      <c r="DDZ50" s="76"/>
      <c r="DEA50" s="76"/>
      <c r="DEB50" s="76"/>
      <c r="DEC50" s="76"/>
      <c r="DED50" s="76"/>
      <c r="DEE50" s="76"/>
      <c r="DEF50" s="76"/>
      <c r="DEG50" s="76"/>
      <c r="DEH50" s="76"/>
      <c r="DEI50" s="76"/>
      <c r="DEJ50" s="76"/>
      <c r="DEK50" s="76"/>
      <c r="DEL50" s="76"/>
      <c r="DEM50" s="76"/>
      <c r="DEN50" s="76"/>
      <c r="DEO50" s="76"/>
      <c r="DEP50" s="76"/>
      <c r="DEQ50" s="76"/>
      <c r="DER50" s="76"/>
      <c r="DES50" s="76"/>
      <c r="DET50" s="76"/>
      <c r="DEU50" s="76"/>
      <c r="DEV50" s="76"/>
      <c r="DEW50" s="76"/>
      <c r="DEX50" s="76"/>
      <c r="DEY50" s="76"/>
      <c r="DEZ50" s="76"/>
      <c r="DFA50" s="76"/>
      <c r="DFB50" s="76"/>
      <c r="DFC50" s="76"/>
      <c r="DFD50" s="76"/>
      <c r="DFE50" s="76"/>
      <c r="DFF50" s="76"/>
      <c r="DFG50" s="76"/>
      <c r="DFH50" s="76"/>
      <c r="DFI50" s="76"/>
      <c r="DFJ50" s="76"/>
      <c r="DFK50" s="76"/>
      <c r="DFL50" s="76"/>
      <c r="DFM50" s="76"/>
      <c r="DFN50" s="76"/>
      <c r="DFO50" s="76"/>
      <c r="DFP50" s="76"/>
      <c r="DFQ50" s="76"/>
      <c r="DFR50" s="76"/>
      <c r="DFS50" s="76"/>
      <c r="DFT50" s="76"/>
      <c r="DFU50" s="76"/>
      <c r="DFV50" s="76"/>
      <c r="DFW50" s="76"/>
      <c r="DFX50" s="76"/>
      <c r="DFY50" s="76"/>
      <c r="DFZ50" s="76"/>
      <c r="DGA50" s="76"/>
      <c r="DGB50" s="76"/>
      <c r="DGC50" s="76"/>
      <c r="DGD50" s="76"/>
      <c r="DGE50" s="76"/>
      <c r="DGF50" s="76"/>
      <c r="DGG50" s="76"/>
      <c r="DGH50" s="76"/>
      <c r="DGI50" s="76"/>
      <c r="DGJ50" s="76"/>
      <c r="DGK50" s="76"/>
      <c r="DGL50" s="76"/>
      <c r="DGM50" s="76"/>
      <c r="DGN50" s="76"/>
      <c r="DGO50" s="76"/>
      <c r="DGP50" s="76"/>
      <c r="DGQ50" s="76"/>
      <c r="DGR50" s="76"/>
      <c r="DGS50" s="76"/>
      <c r="DGT50" s="76"/>
      <c r="DGU50" s="76"/>
      <c r="DGV50" s="76"/>
      <c r="DGW50" s="76"/>
      <c r="DGX50" s="76"/>
      <c r="DGY50" s="76"/>
      <c r="DGZ50" s="76"/>
      <c r="DHA50" s="76"/>
      <c r="DHB50" s="76"/>
      <c r="DHC50" s="76"/>
      <c r="DHD50" s="76"/>
      <c r="DHE50" s="76"/>
      <c r="DHF50" s="76"/>
      <c r="DHG50" s="76"/>
      <c r="DHH50" s="76"/>
      <c r="DHI50" s="76"/>
      <c r="DHJ50" s="76"/>
      <c r="DHK50" s="76"/>
      <c r="DHL50" s="76"/>
      <c r="DHM50" s="76"/>
      <c r="DHN50" s="76"/>
      <c r="DHO50" s="76"/>
      <c r="DHP50" s="76"/>
      <c r="DHQ50" s="76"/>
      <c r="DHR50" s="76"/>
      <c r="DHS50" s="76"/>
      <c r="DHT50" s="76"/>
      <c r="DHU50" s="76"/>
      <c r="DHV50" s="76"/>
      <c r="DHW50" s="76"/>
      <c r="DHX50" s="76"/>
      <c r="DHY50" s="76"/>
      <c r="DHZ50" s="76"/>
      <c r="DIA50" s="76"/>
      <c r="DIB50" s="76"/>
      <c r="DIC50" s="76"/>
      <c r="DID50" s="76"/>
      <c r="DIE50" s="76"/>
      <c r="DIF50" s="76"/>
      <c r="DIG50" s="76"/>
      <c r="DIH50" s="76"/>
      <c r="DII50" s="76"/>
      <c r="DIJ50" s="76"/>
      <c r="DIK50" s="76"/>
      <c r="DIL50" s="76"/>
      <c r="DIM50" s="76"/>
      <c r="DIN50" s="76"/>
      <c r="DIO50" s="76"/>
      <c r="DIP50" s="76"/>
      <c r="DIQ50" s="76"/>
      <c r="DIR50" s="76"/>
      <c r="DIS50" s="76"/>
      <c r="DIT50" s="76"/>
      <c r="DIU50" s="76"/>
      <c r="DIV50" s="76"/>
      <c r="DIW50" s="76"/>
      <c r="DIX50" s="76"/>
      <c r="DIY50" s="76"/>
      <c r="DIZ50" s="76"/>
      <c r="DJA50" s="76"/>
      <c r="DJB50" s="76"/>
      <c r="DJC50" s="76"/>
      <c r="DJD50" s="76"/>
      <c r="DJE50" s="76"/>
      <c r="DJF50" s="76"/>
      <c r="DJG50" s="76"/>
      <c r="DJH50" s="76"/>
      <c r="DJI50" s="76"/>
      <c r="DJJ50" s="76"/>
      <c r="DJK50" s="76"/>
      <c r="DJL50" s="76"/>
      <c r="DJM50" s="76"/>
      <c r="DJN50" s="76"/>
      <c r="DJO50" s="76"/>
      <c r="DJP50" s="76"/>
      <c r="DJQ50" s="76"/>
      <c r="DJR50" s="76"/>
      <c r="DJS50" s="76"/>
      <c r="DJT50" s="76"/>
      <c r="DJU50" s="76"/>
      <c r="DJV50" s="76"/>
      <c r="DJW50" s="76"/>
      <c r="DJX50" s="76"/>
      <c r="DJY50" s="76"/>
      <c r="DJZ50" s="76"/>
      <c r="DKA50" s="76"/>
      <c r="DKB50" s="76"/>
      <c r="DKC50" s="76"/>
      <c r="DKD50" s="76"/>
      <c r="DKE50" s="76"/>
      <c r="DKF50" s="76"/>
      <c r="DKG50" s="76"/>
      <c r="DKH50" s="76"/>
      <c r="DKI50" s="76"/>
      <c r="DKJ50" s="76"/>
      <c r="DKK50" s="76"/>
      <c r="DKL50" s="76"/>
      <c r="DKM50" s="76"/>
      <c r="DKN50" s="76"/>
      <c r="DKO50" s="76"/>
      <c r="DKP50" s="76"/>
      <c r="DKQ50" s="76"/>
      <c r="DKR50" s="76"/>
      <c r="DKS50" s="76"/>
      <c r="DKT50" s="76"/>
      <c r="DKU50" s="76"/>
      <c r="DKV50" s="76"/>
      <c r="DKW50" s="76"/>
      <c r="DKX50" s="76"/>
      <c r="DKY50" s="76"/>
      <c r="DKZ50" s="76"/>
      <c r="DLA50" s="76"/>
      <c r="DLB50" s="76"/>
      <c r="DLC50" s="76"/>
      <c r="DLD50" s="76"/>
      <c r="DLE50" s="76"/>
      <c r="DLF50" s="76"/>
      <c r="DLG50" s="76"/>
      <c r="DLH50" s="76"/>
      <c r="DLI50" s="76"/>
      <c r="DLJ50" s="76"/>
      <c r="DLK50" s="76"/>
      <c r="DLL50" s="76"/>
      <c r="DLM50" s="76"/>
      <c r="DLN50" s="76"/>
      <c r="DLO50" s="76"/>
      <c r="DLP50" s="76"/>
      <c r="DLQ50" s="76"/>
      <c r="DLR50" s="76"/>
      <c r="DLS50" s="76"/>
      <c r="DLT50" s="76"/>
      <c r="DLU50" s="76"/>
      <c r="DLV50" s="76"/>
      <c r="DLW50" s="76"/>
      <c r="DLX50" s="76"/>
      <c r="DLY50" s="76"/>
      <c r="DLZ50" s="76"/>
      <c r="DMA50" s="76"/>
      <c r="DMB50" s="76"/>
      <c r="DMC50" s="76"/>
      <c r="DMD50" s="76"/>
      <c r="DME50" s="76"/>
      <c r="DMF50" s="76"/>
      <c r="DMG50" s="76"/>
      <c r="DMH50" s="76"/>
      <c r="DMI50" s="76"/>
      <c r="DMJ50" s="76"/>
      <c r="DMK50" s="76"/>
      <c r="DML50" s="76"/>
      <c r="DMM50" s="76"/>
      <c r="DMN50" s="76"/>
      <c r="DMO50" s="76"/>
      <c r="DMP50" s="76"/>
      <c r="DMQ50" s="76"/>
      <c r="DMR50" s="76"/>
      <c r="DMS50" s="76"/>
      <c r="DMT50" s="76"/>
      <c r="DMU50" s="76"/>
      <c r="DMV50" s="76"/>
      <c r="DMW50" s="76"/>
      <c r="DMX50" s="76"/>
      <c r="DMY50" s="76"/>
      <c r="DMZ50" s="76"/>
      <c r="DNA50" s="76"/>
      <c r="DNB50" s="76"/>
      <c r="DNC50" s="76"/>
      <c r="DND50" s="76"/>
      <c r="DNE50" s="76"/>
      <c r="DNF50" s="76"/>
      <c r="DNG50" s="76"/>
      <c r="DNH50" s="76"/>
      <c r="DNI50" s="76"/>
      <c r="DNJ50" s="76"/>
      <c r="DNK50" s="76"/>
      <c r="DNL50" s="76"/>
      <c r="DNM50" s="76"/>
      <c r="DNN50" s="76"/>
      <c r="DNO50" s="76"/>
      <c r="DNP50" s="76"/>
      <c r="DNQ50" s="76"/>
      <c r="DNR50" s="76"/>
      <c r="DNS50" s="76"/>
      <c r="DNT50" s="76"/>
      <c r="DNU50" s="76"/>
      <c r="DNV50" s="76"/>
      <c r="DNW50" s="76"/>
      <c r="DNX50" s="76"/>
      <c r="DNY50" s="76"/>
      <c r="DNZ50" s="76"/>
      <c r="DOA50" s="76"/>
      <c r="DOB50" s="76"/>
      <c r="DOC50" s="76"/>
      <c r="DOD50" s="76"/>
      <c r="DOE50" s="76"/>
      <c r="DOF50" s="76"/>
      <c r="DOG50" s="76"/>
      <c r="DOH50" s="76"/>
      <c r="DOI50" s="76"/>
      <c r="DOJ50" s="76"/>
      <c r="DOK50" s="76"/>
      <c r="DOL50" s="76"/>
      <c r="DOM50" s="76"/>
      <c r="DON50" s="76"/>
      <c r="DOO50" s="76"/>
      <c r="DOP50" s="76"/>
      <c r="DOQ50" s="76"/>
      <c r="DOR50" s="76"/>
      <c r="DOS50" s="76"/>
      <c r="DOT50" s="76"/>
      <c r="DOU50" s="76"/>
      <c r="DOV50" s="76"/>
      <c r="DOW50" s="76"/>
      <c r="DOX50" s="76"/>
      <c r="DOY50" s="76"/>
      <c r="DOZ50" s="76"/>
      <c r="DPA50" s="76"/>
      <c r="DPB50" s="76"/>
      <c r="DPC50" s="76"/>
      <c r="DPD50" s="76"/>
      <c r="DPE50" s="76"/>
      <c r="DPF50" s="76"/>
      <c r="DPG50" s="76"/>
      <c r="DPH50" s="76"/>
      <c r="DPI50" s="76"/>
      <c r="DPJ50" s="76"/>
      <c r="DPK50" s="76"/>
      <c r="DPL50" s="76"/>
      <c r="DPM50" s="76"/>
      <c r="DPN50" s="76"/>
      <c r="DPO50" s="76"/>
      <c r="DPP50" s="76"/>
      <c r="DPQ50" s="76"/>
      <c r="DPR50" s="76"/>
      <c r="DPS50" s="76"/>
      <c r="DPT50" s="76"/>
      <c r="DPU50" s="76"/>
      <c r="DPV50" s="76"/>
      <c r="DPW50" s="76"/>
      <c r="DPX50" s="76"/>
      <c r="DPY50" s="76"/>
      <c r="DPZ50" s="76"/>
      <c r="DQA50" s="76"/>
      <c r="DQB50" s="76"/>
      <c r="DQC50" s="76"/>
      <c r="DQD50" s="76"/>
      <c r="DQE50" s="76"/>
      <c r="DQF50" s="76"/>
      <c r="DQG50" s="76"/>
      <c r="DQH50" s="76"/>
      <c r="DQI50" s="76"/>
      <c r="DQJ50" s="76"/>
      <c r="DQK50" s="76"/>
      <c r="DQL50" s="76"/>
      <c r="DQM50" s="76"/>
      <c r="DQN50" s="76"/>
      <c r="DQO50" s="76"/>
      <c r="DQP50" s="76"/>
      <c r="DQQ50" s="76"/>
      <c r="DQR50" s="76"/>
      <c r="DQS50" s="76"/>
      <c r="DQT50" s="76"/>
      <c r="DQU50" s="76"/>
      <c r="DQV50" s="76"/>
      <c r="DQW50" s="76"/>
      <c r="DQX50" s="76"/>
      <c r="DQY50" s="76"/>
      <c r="DQZ50" s="76"/>
      <c r="DRA50" s="76"/>
      <c r="DRB50" s="76"/>
      <c r="DRC50" s="76"/>
      <c r="DRD50" s="76"/>
      <c r="DRE50" s="76"/>
      <c r="DRF50" s="76"/>
      <c r="DRG50" s="76"/>
      <c r="DRH50" s="76"/>
      <c r="DRI50" s="76"/>
      <c r="DRJ50" s="76"/>
      <c r="DRK50" s="76"/>
      <c r="DRL50" s="76"/>
      <c r="DRM50" s="76"/>
      <c r="DRN50" s="76"/>
      <c r="DRO50" s="76"/>
      <c r="DRP50" s="76"/>
      <c r="DRQ50" s="76"/>
      <c r="DRR50" s="76"/>
      <c r="DRS50" s="76"/>
      <c r="DRT50" s="76"/>
      <c r="DRU50" s="76"/>
      <c r="DRV50" s="76"/>
      <c r="DRW50" s="76"/>
      <c r="DRX50" s="76"/>
      <c r="DRY50" s="76"/>
      <c r="DRZ50" s="76"/>
      <c r="DSA50" s="76"/>
      <c r="DSB50" s="76"/>
      <c r="DSC50" s="76"/>
      <c r="DSD50" s="76"/>
      <c r="DSE50" s="76"/>
      <c r="DSF50" s="76"/>
      <c r="DSG50" s="76"/>
      <c r="DSH50" s="76"/>
      <c r="DSI50" s="76"/>
      <c r="DSJ50" s="76"/>
      <c r="DSK50" s="76"/>
      <c r="DSL50" s="76"/>
      <c r="DSM50" s="76"/>
      <c r="DSN50" s="76"/>
      <c r="DSO50" s="76"/>
      <c r="DSP50" s="76"/>
      <c r="DSQ50" s="76"/>
      <c r="DSR50" s="76"/>
      <c r="DSS50" s="76"/>
      <c r="DST50" s="76"/>
      <c r="DSU50" s="76"/>
      <c r="DSV50" s="76"/>
      <c r="DSW50" s="76"/>
      <c r="DSX50" s="76"/>
      <c r="DSY50" s="76"/>
      <c r="DSZ50" s="76"/>
      <c r="DTA50" s="76"/>
      <c r="DTB50" s="76"/>
      <c r="DTC50" s="76"/>
      <c r="DTD50" s="76"/>
      <c r="DTE50" s="76"/>
      <c r="DTF50" s="76"/>
      <c r="DTG50" s="76"/>
      <c r="DTH50" s="76"/>
      <c r="DTI50" s="76"/>
      <c r="DTJ50" s="76"/>
      <c r="DTK50" s="76"/>
      <c r="DTL50" s="76"/>
      <c r="DTM50" s="76"/>
      <c r="DTN50" s="76"/>
      <c r="DTO50" s="76"/>
      <c r="DTP50" s="76"/>
      <c r="DTQ50" s="76"/>
      <c r="DTR50" s="76"/>
      <c r="DTS50" s="76"/>
      <c r="DTT50" s="76"/>
      <c r="DTU50" s="76"/>
      <c r="DTV50" s="76"/>
      <c r="DTW50" s="76"/>
      <c r="DTX50" s="76"/>
      <c r="DTY50" s="76"/>
      <c r="DTZ50" s="76"/>
      <c r="DUA50" s="76"/>
      <c r="DUB50" s="76"/>
      <c r="DUC50" s="76"/>
      <c r="DUD50" s="76"/>
      <c r="DUE50" s="76"/>
      <c r="DUF50" s="76"/>
      <c r="DUG50" s="76"/>
      <c r="DUH50" s="76"/>
      <c r="DUI50" s="76"/>
      <c r="DUJ50" s="76"/>
      <c r="DUK50" s="76"/>
      <c r="DUL50" s="76"/>
      <c r="DUM50" s="76"/>
      <c r="DUN50" s="76"/>
      <c r="DUO50" s="76"/>
      <c r="DUP50" s="76"/>
      <c r="DUQ50" s="76"/>
      <c r="DUR50" s="76"/>
      <c r="DUS50" s="76"/>
      <c r="DUT50" s="76"/>
      <c r="DUU50" s="76"/>
      <c r="DUV50" s="76"/>
      <c r="DUW50" s="76"/>
      <c r="DUX50" s="76"/>
      <c r="DUY50" s="76"/>
      <c r="DUZ50" s="76"/>
      <c r="DVA50" s="76"/>
      <c r="DVB50" s="76"/>
      <c r="DVC50" s="76"/>
      <c r="DVD50" s="76"/>
      <c r="DVE50" s="76"/>
      <c r="DVF50" s="76"/>
      <c r="DVG50" s="76"/>
      <c r="DVH50" s="76"/>
      <c r="DVI50" s="76"/>
      <c r="DVJ50" s="76"/>
      <c r="DVK50" s="76"/>
      <c r="DVL50" s="76"/>
      <c r="DVM50" s="76"/>
      <c r="DVN50" s="76"/>
      <c r="DVO50" s="76"/>
      <c r="DVP50" s="76"/>
      <c r="DVQ50" s="76"/>
      <c r="DVR50" s="76"/>
      <c r="DVS50" s="76"/>
      <c r="DVT50" s="76"/>
      <c r="DVU50" s="76"/>
      <c r="DVV50" s="76"/>
      <c r="DVW50" s="76"/>
      <c r="DVX50" s="76"/>
      <c r="DVY50" s="76"/>
      <c r="DVZ50" s="76"/>
      <c r="DWA50" s="76"/>
      <c r="DWB50" s="76"/>
      <c r="DWC50" s="76"/>
      <c r="DWD50" s="76"/>
      <c r="DWE50" s="76"/>
      <c r="DWF50" s="76"/>
      <c r="DWG50" s="76"/>
      <c r="DWH50" s="76"/>
      <c r="DWI50" s="76"/>
      <c r="DWJ50" s="76"/>
      <c r="DWK50" s="76"/>
      <c r="DWL50" s="76"/>
      <c r="DWM50" s="76"/>
      <c r="DWN50" s="76"/>
      <c r="DWO50" s="76"/>
      <c r="DWP50" s="76"/>
      <c r="DWQ50" s="76"/>
      <c r="DWR50" s="76"/>
      <c r="DWS50" s="76"/>
      <c r="DWT50" s="76"/>
      <c r="DWU50" s="76"/>
      <c r="DWV50" s="76"/>
      <c r="DWW50" s="76"/>
      <c r="DWX50" s="76"/>
      <c r="DWY50" s="76"/>
      <c r="DWZ50" s="76"/>
      <c r="DXA50" s="76"/>
      <c r="DXB50" s="76"/>
      <c r="DXC50" s="76"/>
      <c r="DXD50" s="76"/>
      <c r="DXE50" s="76"/>
      <c r="DXF50" s="76"/>
      <c r="DXG50" s="76"/>
      <c r="DXH50" s="76"/>
      <c r="DXI50" s="76"/>
      <c r="DXJ50" s="76"/>
      <c r="DXK50" s="76"/>
      <c r="DXL50" s="76"/>
      <c r="DXM50" s="76"/>
      <c r="DXN50" s="76"/>
      <c r="DXO50" s="76"/>
      <c r="DXP50" s="76"/>
      <c r="DXQ50" s="76"/>
      <c r="DXR50" s="76"/>
      <c r="DXS50" s="76"/>
      <c r="DXT50" s="76"/>
      <c r="DXU50" s="76"/>
      <c r="DXV50" s="76"/>
      <c r="DXW50" s="76"/>
      <c r="DXX50" s="76"/>
      <c r="DXY50" s="76"/>
      <c r="DXZ50" s="76"/>
      <c r="DYA50" s="76"/>
      <c r="DYB50" s="76"/>
      <c r="DYC50" s="76"/>
      <c r="DYD50" s="76"/>
      <c r="DYE50" s="76"/>
      <c r="DYF50" s="76"/>
      <c r="DYG50" s="76"/>
      <c r="DYH50" s="76"/>
      <c r="DYI50" s="76"/>
      <c r="DYJ50" s="76"/>
      <c r="DYK50" s="76"/>
      <c r="DYL50" s="76"/>
      <c r="DYM50" s="76"/>
      <c r="DYN50" s="76"/>
      <c r="DYO50" s="76"/>
      <c r="DYP50" s="76"/>
      <c r="DYQ50" s="76"/>
      <c r="DYR50" s="76"/>
      <c r="DYS50" s="76"/>
      <c r="DYT50" s="76"/>
      <c r="DYU50" s="76"/>
      <c r="DYV50" s="76"/>
      <c r="DYW50" s="76"/>
      <c r="DYX50" s="76"/>
      <c r="DYY50" s="76"/>
      <c r="DYZ50" s="76"/>
      <c r="DZA50" s="76"/>
      <c r="DZB50" s="76"/>
      <c r="DZC50" s="76"/>
      <c r="DZD50" s="76"/>
      <c r="DZE50" s="76"/>
      <c r="DZF50" s="76"/>
      <c r="DZG50" s="76"/>
      <c r="DZH50" s="76"/>
      <c r="DZI50" s="76"/>
      <c r="DZJ50" s="76"/>
      <c r="DZK50" s="76"/>
      <c r="DZL50" s="76"/>
      <c r="DZM50" s="76"/>
      <c r="DZN50" s="76"/>
      <c r="DZO50" s="76"/>
      <c r="DZP50" s="76"/>
      <c r="DZQ50" s="76"/>
      <c r="DZR50" s="76"/>
      <c r="DZS50" s="76"/>
      <c r="DZT50" s="76"/>
      <c r="DZU50" s="76"/>
      <c r="DZV50" s="76"/>
      <c r="DZW50" s="76"/>
      <c r="DZX50" s="76"/>
      <c r="DZY50" s="76"/>
      <c r="DZZ50" s="76"/>
      <c r="EAA50" s="76"/>
      <c r="EAB50" s="76"/>
      <c r="EAC50" s="76"/>
      <c r="EAD50" s="76"/>
      <c r="EAE50" s="76"/>
      <c r="EAF50" s="76"/>
      <c r="EAG50" s="76"/>
      <c r="EAH50" s="76"/>
      <c r="EAI50" s="76"/>
      <c r="EAJ50" s="76"/>
      <c r="EAK50" s="76"/>
      <c r="EAL50" s="76"/>
      <c r="EAM50" s="76"/>
      <c r="EAN50" s="76"/>
      <c r="EAO50" s="76"/>
      <c r="EAP50" s="76"/>
      <c r="EAQ50" s="76"/>
      <c r="EAR50" s="76"/>
      <c r="EAS50" s="76"/>
      <c r="EAT50" s="76"/>
      <c r="EAU50" s="76"/>
      <c r="EAV50" s="76"/>
      <c r="EAW50" s="76"/>
      <c r="EAX50" s="76"/>
      <c r="EAY50" s="76"/>
      <c r="EAZ50" s="76"/>
      <c r="EBA50" s="76"/>
      <c r="EBB50" s="76"/>
      <c r="EBC50" s="76"/>
      <c r="EBD50" s="76"/>
      <c r="EBE50" s="76"/>
      <c r="EBF50" s="76"/>
      <c r="EBG50" s="76"/>
      <c r="EBH50" s="76"/>
      <c r="EBI50" s="76"/>
      <c r="EBJ50" s="76"/>
      <c r="EBK50" s="76"/>
      <c r="EBL50" s="76"/>
      <c r="EBM50" s="76"/>
      <c r="EBN50" s="76"/>
      <c r="EBO50" s="76"/>
      <c r="EBP50" s="76"/>
      <c r="EBQ50" s="76"/>
      <c r="EBR50" s="76"/>
      <c r="EBS50" s="76"/>
      <c r="EBT50" s="76"/>
      <c r="EBU50" s="76"/>
      <c r="EBV50" s="76"/>
      <c r="EBW50" s="76"/>
      <c r="EBX50" s="76"/>
      <c r="EBY50" s="76"/>
      <c r="EBZ50" s="76"/>
      <c r="ECA50" s="76"/>
      <c r="ECB50" s="76"/>
      <c r="ECC50" s="76"/>
      <c r="ECD50" s="76"/>
      <c r="ECE50" s="76"/>
      <c r="ECF50" s="76"/>
      <c r="ECG50" s="76"/>
      <c r="ECH50" s="76"/>
      <c r="ECI50" s="76"/>
      <c r="ECJ50" s="76"/>
      <c r="ECK50" s="76"/>
      <c r="ECL50" s="76"/>
      <c r="ECM50" s="76"/>
      <c r="ECN50" s="76"/>
      <c r="ECO50" s="76"/>
      <c r="ECP50" s="76"/>
      <c r="ECQ50" s="76"/>
      <c r="ECR50" s="76"/>
      <c r="ECS50" s="76"/>
      <c r="ECT50" s="76"/>
      <c r="ECU50" s="76"/>
      <c r="ECV50" s="76"/>
      <c r="ECW50" s="76"/>
      <c r="ECX50" s="76"/>
      <c r="ECY50" s="76"/>
      <c r="ECZ50" s="76"/>
      <c r="EDA50" s="76"/>
      <c r="EDB50" s="76"/>
      <c r="EDC50" s="76"/>
      <c r="EDD50" s="76"/>
      <c r="EDE50" s="76"/>
      <c r="EDF50" s="76"/>
      <c r="EDG50" s="76"/>
      <c r="EDH50" s="76"/>
      <c r="EDI50" s="76"/>
      <c r="EDJ50" s="76"/>
      <c r="EDK50" s="76"/>
      <c r="EDL50" s="76"/>
      <c r="EDM50" s="76"/>
      <c r="EDN50" s="76"/>
      <c r="EDO50" s="76"/>
      <c r="EDP50" s="76"/>
      <c r="EDQ50" s="76"/>
      <c r="EDR50" s="76"/>
      <c r="EDS50" s="76"/>
      <c r="EDT50" s="76"/>
      <c r="EDU50" s="76"/>
      <c r="EDV50" s="76"/>
      <c r="EDW50" s="76"/>
      <c r="EDX50" s="76"/>
      <c r="EDY50" s="76"/>
      <c r="EDZ50" s="76"/>
      <c r="EEA50" s="76"/>
      <c r="EEB50" s="76"/>
      <c r="EEC50" s="76"/>
      <c r="EED50" s="76"/>
      <c r="EEE50" s="76"/>
      <c r="EEF50" s="76"/>
      <c r="EEG50" s="76"/>
      <c r="EEH50" s="76"/>
      <c r="EEI50" s="76"/>
      <c r="EEJ50" s="76"/>
      <c r="EEK50" s="76"/>
      <c r="EEL50" s="76"/>
      <c r="EEM50" s="76"/>
      <c r="EEN50" s="76"/>
      <c r="EEO50" s="76"/>
      <c r="EEP50" s="76"/>
      <c r="EEQ50" s="76"/>
      <c r="EER50" s="76"/>
      <c r="EES50" s="76"/>
      <c r="EET50" s="76"/>
      <c r="EEU50" s="76"/>
      <c r="EEV50" s="76"/>
      <c r="EEW50" s="76"/>
      <c r="EEX50" s="76"/>
      <c r="EEY50" s="76"/>
      <c r="EEZ50" s="76"/>
      <c r="EFA50" s="76"/>
      <c r="EFB50" s="76"/>
      <c r="EFC50" s="76"/>
      <c r="EFD50" s="76"/>
      <c r="EFE50" s="76"/>
      <c r="EFF50" s="76"/>
      <c r="EFG50" s="76"/>
      <c r="EFH50" s="76"/>
      <c r="EFI50" s="76"/>
      <c r="EFJ50" s="76"/>
      <c r="EFK50" s="76"/>
      <c r="EFL50" s="76"/>
      <c r="EFM50" s="76"/>
      <c r="EFN50" s="76"/>
      <c r="EFO50" s="76"/>
      <c r="EFP50" s="76"/>
      <c r="EFQ50" s="76"/>
      <c r="EFR50" s="76"/>
      <c r="EFS50" s="76"/>
      <c r="EFT50" s="76"/>
      <c r="EFU50" s="76"/>
      <c r="EFV50" s="76"/>
      <c r="EFW50" s="76"/>
      <c r="EFX50" s="76"/>
      <c r="EFY50" s="76"/>
      <c r="EFZ50" s="76"/>
      <c r="EGA50" s="76"/>
      <c r="EGB50" s="76"/>
      <c r="EGC50" s="76"/>
      <c r="EGD50" s="76"/>
      <c r="EGE50" s="76"/>
      <c r="EGF50" s="76"/>
      <c r="EGG50" s="76"/>
      <c r="EGH50" s="76"/>
      <c r="EGI50" s="76"/>
      <c r="EGJ50" s="76"/>
      <c r="EGK50" s="76"/>
      <c r="EGL50" s="76"/>
      <c r="EGM50" s="76"/>
      <c r="EGN50" s="76"/>
      <c r="EGO50" s="76"/>
      <c r="EGP50" s="76"/>
      <c r="EGQ50" s="76"/>
      <c r="EGR50" s="76"/>
      <c r="EGS50" s="76"/>
      <c r="EGT50" s="76"/>
      <c r="EGU50" s="76"/>
      <c r="EGV50" s="76"/>
      <c r="EGW50" s="76"/>
      <c r="EGX50" s="76"/>
      <c r="EGY50" s="76"/>
      <c r="EGZ50" s="76"/>
      <c r="EHA50" s="76"/>
      <c r="EHB50" s="76"/>
      <c r="EHC50" s="76"/>
      <c r="EHD50" s="76"/>
      <c r="EHE50" s="76"/>
      <c r="EHF50" s="76"/>
      <c r="EHG50" s="76"/>
      <c r="EHH50" s="76"/>
      <c r="EHI50" s="76"/>
      <c r="EHJ50" s="76"/>
      <c r="EHK50" s="76"/>
      <c r="EHL50" s="76"/>
      <c r="EHM50" s="76"/>
      <c r="EHN50" s="76"/>
      <c r="EHO50" s="76"/>
      <c r="EHP50" s="76"/>
      <c r="EHQ50" s="76"/>
      <c r="EHR50" s="76"/>
      <c r="EHS50" s="76"/>
      <c r="EHT50" s="76"/>
      <c r="EHU50" s="76"/>
      <c r="EHV50" s="76"/>
      <c r="EHW50" s="76"/>
      <c r="EHX50" s="76"/>
      <c r="EHY50" s="76"/>
      <c r="EHZ50" s="76"/>
      <c r="EIA50" s="76"/>
      <c r="EIB50" s="76"/>
      <c r="EIC50" s="76"/>
      <c r="EID50" s="76"/>
      <c r="EIE50" s="76"/>
      <c r="EIF50" s="76"/>
      <c r="EIG50" s="76"/>
      <c r="EIH50" s="76"/>
      <c r="EII50" s="76"/>
      <c r="EIJ50" s="76"/>
      <c r="EIK50" s="76"/>
      <c r="EIL50" s="76"/>
      <c r="EIM50" s="76"/>
      <c r="EIN50" s="76"/>
      <c r="EIO50" s="76"/>
      <c r="EIP50" s="76"/>
      <c r="EIQ50" s="76"/>
      <c r="EIR50" s="76"/>
      <c r="EIS50" s="76"/>
      <c r="EIT50" s="76"/>
      <c r="EIU50" s="76"/>
      <c r="EIV50" s="76"/>
      <c r="EIW50" s="76"/>
      <c r="EIX50" s="76"/>
      <c r="EIY50" s="76"/>
      <c r="EIZ50" s="76"/>
      <c r="EJA50" s="76"/>
      <c r="EJB50" s="76"/>
      <c r="EJC50" s="76"/>
      <c r="EJD50" s="76"/>
      <c r="EJE50" s="76"/>
      <c r="EJF50" s="76"/>
      <c r="EJG50" s="76"/>
      <c r="EJH50" s="76"/>
      <c r="EJI50" s="76"/>
      <c r="EJJ50" s="76"/>
      <c r="EJK50" s="76"/>
      <c r="EJL50" s="76"/>
      <c r="EJM50" s="76"/>
      <c r="EJN50" s="76"/>
      <c r="EJO50" s="76"/>
      <c r="EJP50" s="76"/>
      <c r="EJQ50" s="76"/>
      <c r="EJR50" s="76"/>
      <c r="EJS50" s="76"/>
      <c r="EJT50" s="76"/>
      <c r="EJU50" s="76"/>
      <c r="EJV50" s="76"/>
      <c r="EJW50" s="76"/>
      <c r="EJX50" s="76"/>
      <c r="EJY50" s="76"/>
      <c r="EJZ50" s="76"/>
      <c r="EKA50" s="76"/>
      <c r="EKB50" s="76"/>
      <c r="EKC50" s="76"/>
      <c r="EKD50" s="76"/>
      <c r="EKE50" s="76"/>
      <c r="EKF50" s="76"/>
      <c r="EKG50" s="76"/>
      <c r="EKH50" s="76"/>
      <c r="EKI50" s="76"/>
      <c r="EKJ50" s="76"/>
      <c r="EKK50" s="76"/>
      <c r="EKL50" s="76"/>
      <c r="EKM50" s="76"/>
      <c r="EKN50" s="76"/>
      <c r="EKO50" s="76"/>
      <c r="EKP50" s="76"/>
      <c r="EKQ50" s="76"/>
      <c r="EKR50" s="76"/>
      <c r="EKS50" s="76"/>
      <c r="EKT50" s="76"/>
      <c r="EKU50" s="76"/>
      <c r="EKV50" s="76"/>
      <c r="EKW50" s="76"/>
      <c r="EKX50" s="76"/>
      <c r="EKY50" s="76"/>
      <c r="EKZ50" s="76"/>
      <c r="ELA50" s="76"/>
      <c r="ELB50" s="76"/>
      <c r="ELC50" s="76"/>
      <c r="ELD50" s="76"/>
      <c r="ELE50" s="76"/>
      <c r="ELF50" s="76"/>
      <c r="ELG50" s="76"/>
      <c r="ELH50" s="76"/>
      <c r="ELI50" s="76"/>
      <c r="ELJ50" s="76"/>
      <c r="ELK50" s="76"/>
      <c r="ELL50" s="76"/>
      <c r="ELM50" s="76"/>
      <c r="ELN50" s="76"/>
      <c r="ELO50" s="76"/>
      <c r="ELP50" s="76"/>
      <c r="ELQ50" s="76"/>
      <c r="ELR50" s="76"/>
      <c r="ELS50" s="76"/>
      <c r="ELT50" s="76"/>
      <c r="ELU50" s="76"/>
      <c r="ELV50" s="76"/>
      <c r="ELW50" s="76"/>
      <c r="ELX50" s="76"/>
      <c r="ELY50" s="76"/>
      <c r="ELZ50" s="76"/>
      <c r="EMA50" s="76"/>
      <c r="EMB50" s="76"/>
      <c r="EMC50" s="76"/>
      <c r="EMD50" s="76"/>
      <c r="EME50" s="76"/>
      <c r="EMF50" s="76"/>
      <c r="EMG50" s="76"/>
      <c r="EMH50" s="76"/>
      <c r="EMI50" s="76"/>
      <c r="EMJ50" s="76"/>
      <c r="EMK50" s="76"/>
      <c r="EML50" s="76"/>
      <c r="EMM50" s="76"/>
      <c r="EMN50" s="76"/>
      <c r="EMO50" s="76"/>
      <c r="EMP50" s="76"/>
      <c r="EMQ50" s="76"/>
      <c r="EMR50" s="76"/>
      <c r="EMS50" s="76"/>
      <c r="EMT50" s="76"/>
      <c r="EMU50" s="76"/>
      <c r="EMV50" s="76"/>
      <c r="EMW50" s="76"/>
      <c r="EMX50" s="76"/>
      <c r="EMY50" s="76"/>
      <c r="EMZ50" s="76"/>
      <c r="ENA50" s="76"/>
      <c r="ENB50" s="76"/>
      <c r="ENC50" s="76"/>
      <c r="END50" s="76"/>
      <c r="ENE50" s="76"/>
      <c r="ENF50" s="76"/>
      <c r="ENG50" s="76"/>
      <c r="ENH50" s="76"/>
      <c r="ENI50" s="76"/>
      <c r="ENJ50" s="76"/>
      <c r="ENK50" s="76"/>
      <c r="ENL50" s="76"/>
      <c r="ENM50" s="76"/>
      <c r="ENN50" s="76"/>
      <c r="ENO50" s="76"/>
      <c r="ENP50" s="76"/>
      <c r="ENQ50" s="76"/>
      <c r="ENR50" s="76"/>
      <c r="ENS50" s="76"/>
      <c r="ENT50" s="76"/>
      <c r="ENU50" s="76"/>
      <c r="ENV50" s="76"/>
      <c r="ENW50" s="76"/>
      <c r="ENX50" s="76"/>
      <c r="ENY50" s="76"/>
      <c r="ENZ50" s="76"/>
      <c r="EOA50" s="76"/>
      <c r="EOB50" s="76"/>
      <c r="EOC50" s="76"/>
      <c r="EOD50" s="76"/>
      <c r="EOE50" s="76"/>
      <c r="EOF50" s="76"/>
      <c r="EOG50" s="76"/>
      <c r="EOH50" s="76"/>
      <c r="EOI50" s="76"/>
      <c r="EOJ50" s="76"/>
      <c r="EOK50" s="76"/>
      <c r="EOL50" s="76"/>
      <c r="EOM50" s="76"/>
      <c r="EON50" s="76"/>
      <c r="EOO50" s="76"/>
      <c r="EOP50" s="76"/>
      <c r="EOQ50" s="76"/>
      <c r="EOR50" s="76"/>
      <c r="EOS50" s="76"/>
      <c r="EOT50" s="76"/>
      <c r="EOU50" s="76"/>
      <c r="EOV50" s="76"/>
      <c r="EOW50" s="76"/>
      <c r="EOX50" s="76"/>
      <c r="EOY50" s="76"/>
      <c r="EOZ50" s="76"/>
      <c r="EPA50" s="76"/>
      <c r="EPB50" s="76"/>
      <c r="EPC50" s="76"/>
      <c r="EPD50" s="76"/>
      <c r="EPE50" s="76"/>
      <c r="EPF50" s="76"/>
      <c r="EPG50" s="76"/>
      <c r="EPH50" s="76"/>
      <c r="EPI50" s="76"/>
      <c r="EPJ50" s="76"/>
      <c r="EPK50" s="76"/>
      <c r="EPL50" s="76"/>
      <c r="EPM50" s="76"/>
      <c r="EPN50" s="76"/>
      <c r="EPO50" s="76"/>
      <c r="EPP50" s="76"/>
      <c r="EPQ50" s="76"/>
      <c r="EPR50" s="76"/>
      <c r="EPS50" s="76"/>
      <c r="EPT50" s="76"/>
      <c r="EPU50" s="76"/>
      <c r="EPV50" s="76"/>
      <c r="EPW50" s="76"/>
      <c r="EPX50" s="76"/>
      <c r="EPY50" s="76"/>
      <c r="EPZ50" s="76"/>
      <c r="EQA50" s="76"/>
      <c r="EQB50" s="76"/>
      <c r="EQC50" s="76"/>
      <c r="EQD50" s="76"/>
      <c r="EQE50" s="76"/>
      <c r="EQF50" s="76"/>
      <c r="EQG50" s="76"/>
      <c r="EQH50" s="76"/>
      <c r="EQI50" s="76"/>
      <c r="EQJ50" s="76"/>
      <c r="EQK50" s="76"/>
      <c r="EQL50" s="76"/>
      <c r="EQM50" s="76"/>
      <c r="EQN50" s="76"/>
      <c r="EQO50" s="76"/>
      <c r="EQP50" s="76"/>
      <c r="EQQ50" s="76"/>
      <c r="EQR50" s="76"/>
      <c r="EQS50" s="76"/>
      <c r="EQT50" s="76"/>
      <c r="EQU50" s="76"/>
      <c r="EQV50" s="76"/>
      <c r="EQW50" s="76"/>
      <c r="EQX50" s="76"/>
      <c r="EQY50" s="76"/>
      <c r="EQZ50" s="76"/>
      <c r="ERA50" s="76"/>
      <c r="ERB50" s="76"/>
      <c r="ERC50" s="76"/>
      <c r="ERD50" s="76"/>
      <c r="ERE50" s="76"/>
      <c r="ERF50" s="76"/>
      <c r="ERG50" s="76"/>
      <c r="ERH50" s="76"/>
      <c r="ERI50" s="76"/>
      <c r="ERJ50" s="76"/>
      <c r="ERK50" s="76"/>
      <c r="ERL50" s="76"/>
      <c r="ERM50" s="76"/>
      <c r="ERN50" s="76"/>
      <c r="ERO50" s="76"/>
      <c r="ERP50" s="76"/>
      <c r="ERQ50" s="76"/>
      <c r="ERR50" s="76"/>
      <c r="ERS50" s="76"/>
      <c r="ERT50" s="76"/>
      <c r="ERU50" s="76"/>
      <c r="ERV50" s="76"/>
      <c r="ERW50" s="76"/>
      <c r="ERX50" s="76"/>
      <c r="ERY50" s="76"/>
      <c r="ERZ50" s="76"/>
      <c r="ESA50" s="76"/>
      <c r="ESB50" s="76"/>
      <c r="ESC50" s="76"/>
      <c r="ESD50" s="76"/>
      <c r="ESE50" s="76"/>
      <c r="ESF50" s="76"/>
      <c r="ESG50" s="76"/>
      <c r="ESH50" s="76"/>
      <c r="ESI50" s="76"/>
      <c r="ESJ50" s="76"/>
      <c r="ESK50" s="76"/>
      <c r="ESL50" s="76"/>
      <c r="ESM50" s="76"/>
      <c r="ESN50" s="76"/>
      <c r="ESO50" s="76"/>
      <c r="ESP50" s="76"/>
      <c r="ESQ50" s="76"/>
      <c r="ESR50" s="76"/>
      <c r="ESS50" s="76"/>
      <c r="EST50" s="76"/>
      <c r="ESU50" s="76"/>
      <c r="ESV50" s="76"/>
      <c r="ESW50" s="76"/>
      <c r="ESX50" s="76"/>
      <c r="ESY50" s="76"/>
      <c r="ESZ50" s="76"/>
      <c r="ETA50" s="76"/>
      <c r="ETB50" s="76"/>
      <c r="ETC50" s="76"/>
      <c r="ETD50" s="76"/>
      <c r="ETE50" s="76"/>
      <c r="ETF50" s="76"/>
      <c r="ETG50" s="76"/>
      <c r="ETH50" s="76"/>
      <c r="ETI50" s="76"/>
      <c r="ETJ50" s="76"/>
      <c r="ETK50" s="76"/>
      <c r="ETL50" s="76"/>
      <c r="ETM50" s="76"/>
      <c r="ETN50" s="76"/>
      <c r="ETO50" s="76"/>
      <c r="ETP50" s="76"/>
      <c r="ETQ50" s="76"/>
      <c r="ETR50" s="76"/>
      <c r="ETS50" s="76"/>
      <c r="ETT50" s="76"/>
      <c r="ETU50" s="76"/>
      <c r="ETV50" s="76"/>
      <c r="ETW50" s="76"/>
      <c r="ETX50" s="76"/>
      <c r="ETY50" s="76"/>
      <c r="ETZ50" s="76"/>
      <c r="EUA50" s="76"/>
      <c r="EUB50" s="76"/>
      <c r="EUC50" s="76"/>
      <c r="EUD50" s="76"/>
      <c r="EUE50" s="76"/>
      <c r="EUF50" s="76"/>
      <c r="EUG50" s="76"/>
      <c r="EUH50" s="76"/>
      <c r="EUI50" s="76"/>
      <c r="EUJ50" s="76"/>
      <c r="EUK50" s="76"/>
      <c r="EUL50" s="76"/>
      <c r="EUM50" s="76"/>
      <c r="EUN50" s="76"/>
      <c r="EUO50" s="76"/>
      <c r="EUP50" s="76"/>
      <c r="EUQ50" s="76"/>
      <c r="EUR50" s="76"/>
      <c r="EUS50" s="76"/>
      <c r="EUT50" s="76"/>
      <c r="EUU50" s="76"/>
      <c r="EUV50" s="76"/>
      <c r="EUW50" s="76"/>
      <c r="EUX50" s="76"/>
      <c r="EUY50" s="76"/>
      <c r="EUZ50" s="76"/>
      <c r="EVA50" s="76"/>
      <c r="EVB50" s="76"/>
      <c r="EVC50" s="76"/>
      <c r="EVD50" s="76"/>
      <c r="EVE50" s="76"/>
      <c r="EVF50" s="76"/>
      <c r="EVG50" s="76"/>
      <c r="EVH50" s="76"/>
      <c r="EVI50" s="76"/>
      <c r="EVJ50" s="76"/>
      <c r="EVK50" s="76"/>
      <c r="EVL50" s="76"/>
      <c r="EVM50" s="76"/>
      <c r="EVN50" s="76"/>
      <c r="EVO50" s="76"/>
      <c r="EVP50" s="76"/>
      <c r="EVQ50" s="76"/>
      <c r="EVR50" s="76"/>
      <c r="EVS50" s="76"/>
      <c r="EVT50" s="76"/>
      <c r="EVU50" s="76"/>
      <c r="EVV50" s="76"/>
      <c r="EVW50" s="76"/>
      <c r="EVX50" s="76"/>
      <c r="EVY50" s="76"/>
      <c r="EVZ50" s="76"/>
      <c r="EWA50" s="76"/>
      <c r="EWB50" s="76"/>
      <c r="EWC50" s="76"/>
      <c r="EWD50" s="76"/>
      <c r="EWE50" s="76"/>
      <c r="EWF50" s="76"/>
      <c r="EWG50" s="76"/>
      <c r="EWH50" s="76"/>
      <c r="EWI50" s="76"/>
      <c r="EWJ50" s="76"/>
      <c r="EWK50" s="76"/>
      <c r="EWL50" s="76"/>
      <c r="EWM50" s="76"/>
      <c r="EWN50" s="76"/>
      <c r="EWO50" s="76"/>
      <c r="EWP50" s="76"/>
      <c r="EWQ50" s="76"/>
      <c r="EWR50" s="76"/>
      <c r="EWS50" s="76"/>
      <c r="EWT50" s="76"/>
      <c r="EWU50" s="76"/>
      <c r="EWV50" s="76"/>
      <c r="EWW50" s="76"/>
      <c r="EWX50" s="76"/>
      <c r="EWY50" s="76"/>
      <c r="EWZ50" s="76"/>
      <c r="EXA50" s="76"/>
      <c r="EXB50" s="76"/>
      <c r="EXC50" s="76"/>
      <c r="EXD50" s="76"/>
      <c r="EXE50" s="76"/>
      <c r="EXF50" s="76"/>
      <c r="EXG50" s="76"/>
      <c r="EXH50" s="76"/>
      <c r="EXI50" s="76"/>
      <c r="EXJ50" s="76"/>
      <c r="EXK50" s="76"/>
      <c r="EXL50" s="76"/>
      <c r="EXM50" s="76"/>
      <c r="EXN50" s="76"/>
      <c r="EXO50" s="76"/>
      <c r="EXP50" s="76"/>
      <c r="EXQ50" s="76"/>
      <c r="EXR50" s="76"/>
      <c r="EXS50" s="76"/>
      <c r="EXT50" s="76"/>
      <c r="EXU50" s="76"/>
      <c r="EXV50" s="76"/>
      <c r="EXW50" s="76"/>
      <c r="EXX50" s="76"/>
      <c r="EXY50" s="76"/>
      <c r="EXZ50" s="76"/>
      <c r="EYA50" s="76"/>
      <c r="EYB50" s="76"/>
      <c r="EYC50" s="76"/>
      <c r="EYD50" s="76"/>
      <c r="EYE50" s="76"/>
      <c r="EYF50" s="76"/>
      <c r="EYG50" s="76"/>
      <c r="EYH50" s="76"/>
      <c r="EYI50" s="76"/>
      <c r="EYJ50" s="76"/>
      <c r="EYK50" s="76"/>
      <c r="EYL50" s="76"/>
      <c r="EYM50" s="76"/>
      <c r="EYN50" s="76"/>
      <c r="EYO50" s="76"/>
      <c r="EYP50" s="76"/>
      <c r="EYQ50" s="76"/>
      <c r="EYR50" s="76"/>
      <c r="EYS50" s="76"/>
      <c r="EYT50" s="76"/>
      <c r="EYU50" s="76"/>
      <c r="EYV50" s="76"/>
      <c r="EYW50" s="76"/>
      <c r="EYX50" s="76"/>
      <c r="EYY50" s="76"/>
      <c r="EYZ50" s="76"/>
      <c r="EZA50" s="76"/>
      <c r="EZB50" s="76"/>
      <c r="EZC50" s="76"/>
      <c r="EZD50" s="76"/>
      <c r="EZE50" s="76"/>
      <c r="EZF50" s="76"/>
      <c r="EZG50" s="76"/>
      <c r="EZH50" s="76"/>
      <c r="EZI50" s="76"/>
      <c r="EZJ50" s="76"/>
      <c r="EZK50" s="76"/>
      <c r="EZL50" s="76"/>
      <c r="EZM50" s="76"/>
      <c r="EZN50" s="76"/>
      <c r="EZO50" s="76"/>
      <c r="EZP50" s="76"/>
      <c r="EZQ50" s="76"/>
      <c r="EZR50" s="76"/>
      <c r="EZS50" s="76"/>
      <c r="EZT50" s="76"/>
      <c r="EZU50" s="76"/>
      <c r="EZV50" s="76"/>
      <c r="EZW50" s="76"/>
      <c r="EZX50" s="76"/>
      <c r="EZY50" s="76"/>
      <c r="EZZ50" s="76"/>
      <c r="FAA50" s="76"/>
      <c r="FAB50" s="76"/>
      <c r="FAC50" s="76"/>
      <c r="FAD50" s="76"/>
      <c r="FAE50" s="76"/>
      <c r="FAF50" s="76"/>
      <c r="FAG50" s="76"/>
      <c r="FAH50" s="76"/>
      <c r="FAI50" s="76"/>
      <c r="FAJ50" s="76"/>
      <c r="FAK50" s="76"/>
      <c r="FAL50" s="76"/>
      <c r="FAM50" s="76"/>
      <c r="FAN50" s="76"/>
      <c r="FAO50" s="76"/>
      <c r="FAP50" s="76"/>
      <c r="FAQ50" s="76"/>
      <c r="FAR50" s="76"/>
      <c r="FAS50" s="76"/>
      <c r="FAT50" s="76"/>
      <c r="FAU50" s="76"/>
      <c r="FAV50" s="76"/>
      <c r="FAW50" s="76"/>
      <c r="FAX50" s="76"/>
      <c r="FAY50" s="76"/>
      <c r="FAZ50" s="76"/>
      <c r="FBA50" s="76"/>
      <c r="FBB50" s="76"/>
      <c r="FBC50" s="76"/>
      <c r="FBD50" s="76"/>
      <c r="FBE50" s="76"/>
      <c r="FBF50" s="76"/>
      <c r="FBG50" s="76"/>
      <c r="FBH50" s="76"/>
      <c r="FBI50" s="76"/>
      <c r="FBJ50" s="76"/>
      <c r="FBK50" s="76"/>
      <c r="FBL50" s="76"/>
      <c r="FBM50" s="76"/>
      <c r="FBN50" s="76"/>
      <c r="FBO50" s="76"/>
      <c r="FBP50" s="76"/>
      <c r="FBQ50" s="76"/>
      <c r="FBR50" s="76"/>
      <c r="FBS50" s="76"/>
      <c r="FBT50" s="76"/>
      <c r="FBU50" s="76"/>
      <c r="FBV50" s="76"/>
      <c r="FBW50" s="76"/>
      <c r="FBX50" s="76"/>
      <c r="FBY50" s="76"/>
      <c r="FBZ50" s="76"/>
      <c r="FCA50" s="76"/>
      <c r="FCB50" s="76"/>
      <c r="FCC50" s="76"/>
      <c r="FCD50" s="76"/>
      <c r="FCE50" s="76"/>
      <c r="FCF50" s="76"/>
      <c r="FCG50" s="76"/>
      <c r="FCH50" s="76"/>
      <c r="FCI50" s="76"/>
      <c r="FCJ50" s="76"/>
      <c r="FCK50" s="76"/>
      <c r="FCL50" s="76"/>
      <c r="FCM50" s="76"/>
      <c r="FCN50" s="76"/>
      <c r="FCO50" s="76"/>
      <c r="FCP50" s="76"/>
      <c r="FCQ50" s="76"/>
      <c r="FCR50" s="76"/>
      <c r="FCS50" s="76"/>
      <c r="FCT50" s="76"/>
      <c r="FCU50" s="76"/>
      <c r="FCV50" s="76"/>
      <c r="FCW50" s="76"/>
      <c r="FCX50" s="76"/>
      <c r="FCY50" s="76"/>
      <c r="FCZ50" s="76"/>
      <c r="FDA50" s="76"/>
      <c r="FDB50" s="76"/>
      <c r="FDC50" s="76"/>
      <c r="FDD50" s="76"/>
      <c r="FDE50" s="76"/>
      <c r="FDF50" s="76"/>
      <c r="FDG50" s="76"/>
      <c r="FDH50" s="76"/>
      <c r="FDI50" s="76"/>
      <c r="FDJ50" s="76"/>
      <c r="FDK50" s="76"/>
      <c r="FDL50" s="76"/>
      <c r="FDM50" s="76"/>
      <c r="FDN50" s="76"/>
      <c r="FDO50" s="76"/>
      <c r="FDP50" s="76"/>
      <c r="FDQ50" s="76"/>
      <c r="FDR50" s="76"/>
      <c r="FDS50" s="76"/>
      <c r="FDT50" s="76"/>
      <c r="FDU50" s="76"/>
      <c r="FDV50" s="76"/>
      <c r="FDW50" s="76"/>
      <c r="FDX50" s="76"/>
      <c r="FDY50" s="76"/>
      <c r="FDZ50" s="76"/>
      <c r="FEA50" s="76"/>
      <c r="FEB50" s="76"/>
      <c r="FEC50" s="76"/>
      <c r="FED50" s="76"/>
      <c r="FEE50" s="76"/>
      <c r="FEF50" s="76"/>
      <c r="FEG50" s="76"/>
      <c r="FEH50" s="76"/>
      <c r="FEI50" s="76"/>
      <c r="FEJ50" s="76"/>
      <c r="FEK50" s="76"/>
      <c r="FEL50" s="76"/>
      <c r="FEM50" s="76"/>
      <c r="FEN50" s="76"/>
      <c r="FEO50" s="76"/>
      <c r="FEP50" s="76"/>
      <c r="FEQ50" s="76"/>
      <c r="FER50" s="76"/>
      <c r="FES50" s="76"/>
      <c r="FET50" s="76"/>
      <c r="FEU50" s="76"/>
      <c r="FEV50" s="76"/>
      <c r="FEW50" s="76"/>
      <c r="FEX50" s="76"/>
      <c r="FEY50" s="76"/>
      <c r="FEZ50" s="76"/>
      <c r="FFA50" s="76"/>
      <c r="FFB50" s="76"/>
      <c r="FFC50" s="76"/>
      <c r="FFD50" s="76"/>
      <c r="FFE50" s="76"/>
      <c r="FFF50" s="76"/>
      <c r="FFG50" s="76"/>
      <c r="FFH50" s="76"/>
      <c r="FFI50" s="76"/>
      <c r="FFJ50" s="76"/>
      <c r="FFK50" s="76"/>
      <c r="FFL50" s="76"/>
      <c r="FFM50" s="76"/>
      <c r="FFN50" s="76"/>
      <c r="FFO50" s="76"/>
      <c r="FFP50" s="76"/>
      <c r="FFQ50" s="76"/>
      <c r="FFR50" s="76"/>
      <c r="FFS50" s="76"/>
      <c r="FFT50" s="76"/>
      <c r="FFU50" s="76"/>
      <c r="FFV50" s="76"/>
      <c r="FFW50" s="76"/>
      <c r="FFX50" s="76"/>
      <c r="FFY50" s="76"/>
      <c r="FFZ50" s="76"/>
      <c r="FGA50" s="76"/>
      <c r="FGB50" s="76"/>
      <c r="FGC50" s="76"/>
      <c r="FGD50" s="76"/>
      <c r="FGE50" s="76"/>
      <c r="FGF50" s="76"/>
      <c r="FGG50" s="76"/>
      <c r="FGH50" s="76"/>
      <c r="FGI50" s="76"/>
      <c r="FGJ50" s="76"/>
      <c r="FGK50" s="76"/>
      <c r="FGL50" s="76"/>
      <c r="FGM50" s="76"/>
      <c r="FGN50" s="76"/>
      <c r="FGO50" s="76"/>
      <c r="FGP50" s="76"/>
      <c r="FGQ50" s="76"/>
      <c r="FGR50" s="76"/>
      <c r="FGS50" s="76"/>
      <c r="FGT50" s="76"/>
      <c r="FGU50" s="76"/>
      <c r="FGV50" s="76"/>
      <c r="FGW50" s="76"/>
      <c r="FGX50" s="76"/>
      <c r="FGY50" s="76"/>
      <c r="FGZ50" s="76"/>
      <c r="FHA50" s="76"/>
      <c r="FHB50" s="76"/>
      <c r="FHC50" s="76"/>
      <c r="FHD50" s="76"/>
      <c r="FHE50" s="76"/>
      <c r="FHF50" s="76"/>
      <c r="FHG50" s="76"/>
      <c r="FHH50" s="76"/>
      <c r="FHI50" s="76"/>
      <c r="FHJ50" s="76"/>
      <c r="FHK50" s="76"/>
      <c r="FHL50" s="76"/>
      <c r="FHM50" s="76"/>
      <c r="FHN50" s="76"/>
      <c r="FHO50" s="76"/>
      <c r="FHP50" s="76"/>
      <c r="FHQ50" s="76"/>
      <c r="FHR50" s="76"/>
      <c r="FHS50" s="76"/>
      <c r="FHT50" s="76"/>
      <c r="FHU50" s="76"/>
      <c r="FHV50" s="76"/>
      <c r="FHW50" s="76"/>
      <c r="FHX50" s="76"/>
      <c r="FHY50" s="76"/>
      <c r="FHZ50" s="76"/>
      <c r="FIA50" s="76"/>
      <c r="FIB50" s="76"/>
      <c r="FIC50" s="76"/>
      <c r="FID50" s="76"/>
      <c r="FIE50" s="76"/>
      <c r="FIF50" s="76"/>
      <c r="FIG50" s="76"/>
      <c r="FIH50" s="76"/>
      <c r="FII50" s="76"/>
      <c r="FIJ50" s="76"/>
      <c r="FIK50" s="76"/>
      <c r="FIL50" s="76"/>
      <c r="FIM50" s="76"/>
      <c r="FIN50" s="76"/>
      <c r="FIO50" s="76"/>
      <c r="FIP50" s="76"/>
      <c r="FIQ50" s="76"/>
      <c r="FIR50" s="76"/>
      <c r="FIS50" s="76"/>
      <c r="FIT50" s="76"/>
      <c r="FIU50" s="76"/>
      <c r="FIV50" s="76"/>
      <c r="FIW50" s="76"/>
      <c r="FIX50" s="76"/>
      <c r="FIY50" s="76"/>
      <c r="FIZ50" s="76"/>
      <c r="FJA50" s="76"/>
      <c r="FJB50" s="76"/>
      <c r="FJC50" s="76"/>
      <c r="FJD50" s="76"/>
      <c r="FJE50" s="76"/>
      <c r="FJF50" s="76"/>
      <c r="FJG50" s="76"/>
      <c r="FJH50" s="76"/>
      <c r="FJI50" s="76"/>
      <c r="FJJ50" s="76"/>
      <c r="FJK50" s="76"/>
      <c r="FJL50" s="76"/>
      <c r="FJM50" s="76"/>
      <c r="FJN50" s="76"/>
      <c r="FJO50" s="76"/>
      <c r="FJP50" s="76"/>
      <c r="FJQ50" s="76"/>
      <c r="FJR50" s="76"/>
      <c r="FJS50" s="76"/>
      <c r="FJT50" s="76"/>
      <c r="FJU50" s="76"/>
      <c r="FJV50" s="76"/>
      <c r="FJW50" s="76"/>
      <c r="FJX50" s="76"/>
      <c r="FJY50" s="76"/>
      <c r="FJZ50" s="76"/>
      <c r="FKA50" s="76"/>
      <c r="FKB50" s="76"/>
      <c r="FKC50" s="76"/>
      <c r="FKD50" s="76"/>
      <c r="FKE50" s="76"/>
      <c r="FKF50" s="76"/>
      <c r="FKG50" s="76"/>
      <c r="FKH50" s="76"/>
      <c r="FKI50" s="76"/>
      <c r="FKJ50" s="76"/>
      <c r="FKK50" s="76"/>
      <c r="FKL50" s="76"/>
      <c r="FKM50" s="76"/>
      <c r="FKN50" s="76"/>
      <c r="FKO50" s="76"/>
      <c r="FKP50" s="76"/>
      <c r="FKQ50" s="76"/>
      <c r="FKR50" s="76"/>
      <c r="FKS50" s="76"/>
      <c r="FKT50" s="76"/>
      <c r="FKU50" s="76"/>
      <c r="FKV50" s="76"/>
      <c r="FKW50" s="76"/>
      <c r="FKX50" s="76"/>
      <c r="FKY50" s="76"/>
      <c r="FKZ50" s="76"/>
      <c r="FLA50" s="76"/>
      <c r="FLB50" s="76"/>
      <c r="FLC50" s="76"/>
      <c r="FLD50" s="76"/>
      <c r="FLE50" s="76"/>
      <c r="FLF50" s="76"/>
      <c r="FLG50" s="76"/>
      <c r="FLH50" s="76"/>
      <c r="FLI50" s="76"/>
      <c r="FLJ50" s="76"/>
      <c r="FLK50" s="76"/>
      <c r="FLL50" s="76"/>
      <c r="FLM50" s="76"/>
      <c r="FLN50" s="76"/>
      <c r="FLO50" s="76"/>
      <c r="FLP50" s="76"/>
      <c r="FLQ50" s="76"/>
      <c r="FLR50" s="76"/>
      <c r="FLS50" s="76"/>
      <c r="FLT50" s="76"/>
      <c r="FLU50" s="76"/>
      <c r="FLV50" s="76"/>
      <c r="FLW50" s="76"/>
      <c r="FLX50" s="76"/>
      <c r="FLY50" s="76"/>
      <c r="FLZ50" s="76"/>
      <c r="FMA50" s="76"/>
      <c r="FMB50" s="76"/>
      <c r="FMC50" s="76"/>
      <c r="FMD50" s="76"/>
      <c r="FME50" s="76"/>
      <c r="FMF50" s="76"/>
      <c r="FMG50" s="76"/>
      <c r="FMH50" s="76"/>
      <c r="FMI50" s="76"/>
      <c r="FMJ50" s="76"/>
      <c r="FMK50" s="76"/>
      <c r="FML50" s="76"/>
      <c r="FMM50" s="76"/>
      <c r="FMN50" s="76"/>
      <c r="FMO50" s="76"/>
      <c r="FMP50" s="76"/>
      <c r="FMQ50" s="76"/>
      <c r="FMR50" s="76"/>
      <c r="FMS50" s="76"/>
      <c r="FMT50" s="76"/>
      <c r="FMU50" s="76"/>
      <c r="FMV50" s="76"/>
      <c r="FMW50" s="76"/>
      <c r="FMX50" s="76"/>
      <c r="FMY50" s="76"/>
      <c r="FMZ50" s="76"/>
      <c r="FNA50" s="76"/>
      <c r="FNB50" s="76"/>
      <c r="FNC50" s="76"/>
      <c r="FND50" s="76"/>
      <c r="FNE50" s="76"/>
      <c r="FNF50" s="76"/>
      <c r="FNG50" s="76"/>
      <c r="FNH50" s="76"/>
      <c r="FNI50" s="76"/>
      <c r="FNJ50" s="76"/>
      <c r="FNK50" s="76"/>
      <c r="FNL50" s="76"/>
      <c r="FNM50" s="76"/>
      <c r="FNN50" s="76"/>
      <c r="FNO50" s="76"/>
      <c r="FNP50" s="76"/>
      <c r="FNQ50" s="76"/>
      <c r="FNR50" s="76"/>
      <c r="FNS50" s="76"/>
      <c r="FNT50" s="76"/>
      <c r="FNU50" s="76"/>
      <c r="FNV50" s="76"/>
      <c r="FNW50" s="76"/>
      <c r="FNX50" s="76"/>
      <c r="FNY50" s="76"/>
      <c r="FNZ50" s="76"/>
      <c r="FOA50" s="76"/>
      <c r="FOB50" s="76"/>
      <c r="FOC50" s="76"/>
      <c r="FOD50" s="76"/>
      <c r="FOE50" s="76"/>
      <c r="FOF50" s="76"/>
      <c r="FOG50" s="76"/>
      <c r="FOH50" s="76"/>
      <c r="FOI50" s="76"/>
      <c r="FOJ50" s="76"/>
      <c r="FOK50" s="76"/>
      <c r="FOL50" s="76"/>
      <c r="FOM50" s="76"/>
      <c r="FON50" s="76"/>
      <c r="FOO50" s="76"/>
      <c r="FOP50" s="76"/>
      <c r="FOQ50" s="76"/>
      <c r="FOR50" s="76"/>
      <c r="FOS50" s="76"/>
      <c r="FOT50" s="76"/>
      <c r="FOU50" s="76"/>
      <c r="FOV50" s="76"/>
      <c r="FOW50" s="76"/>
      <c r="FOX50" s="76"/>
      <c r="FOY50" s="76"/>
      <c r="FOZ50" s="76"/>
      <c r="FPA50" s="76"/>
      <c r="FPB50" s="76"/>
      <c r="FPC50" s="76"/>
      <c r="FPD50" s="76"/>
      <c r="FPE50" s="76"/>
      <c r="FPF50" s="76"/>
      <c r="FPG50" s="76"/>
      <c r="FPH50" s="76"/>
      <c r="FPI50" s="76"/>
      <c r="FPJ50" s="76"/>
      <c r="FPK50" s="76"/>
      <c r="FPL50" s="76"/>
      <c r="FPM50" s="76"/>
      <c r="FPN50" s="76"/>
      <c r="FPO50" s="76"/>
      <c r="FPP50" s="76"/>
      <c r="FPQ50" s="76"/>
      <c r="FPR50" s="76"/>
      <c r="FPS50" s="76"/>
      <c r="FPT50" s="76"/>
      <c r="FPU50" s="76"/>
      <c r="FPV50" s="76"/>
      <c r="FPW50" s="76"/>
      <c r="FPX50" s="76"/>
      <c r="FPY50" s="76"/>
      <c r="FPZ50" s="76"/>
      <c r="FQA50" s="76"/>
      <c r="FQB50" s="76"/>
      <c r="FQC50" s="76"/>
      <c r="FQD50" s="76"/>
      <c r="FQE50" s="76"/>
      <c r="FQF50" s="76"/>
      <c r="FQG50" s="76"/>
      <c r="FQH50" s="76"/>
      <c r="FQI50" s="76"/>
      <c r="FQJ50" s="76"/>
      <c r="FQK50" s="76"/>
      <c r="FQL50" s="76"/>
      <c r="FQM50" s="76"/>
      <c r="FQN50" s="76"/>
      <c r="FQO50" s="76"/>
      <c r="FQP50" s="76"/>
      <c r="FQQ50" s="76"/>
      <c r="FQR50" s="76"/>
      <c r="FQS50" s="76"/>
      <c r="FQT50" s="76"/>
      <c r="FQU50" s="76"/>
      <c r="FQV50" s="76"/>
      <c r="FQW50" s="76"/>
      <c r="FQX50" s="76"/>
      <c r="FQY50" s="76"/>
      <c r="FQZ50" s="76"/>
      <c r="FRA50" s="76"/>
      <c r="FRB50" s="76"/>
      <c r="FRC50" s="76"/>
      <c r="FRD50" s="76"/>
      <c r="FRE50" s="76"/>
      <c r="FRF50" s="76"/>
      <c r="FRG50" s="76"/>
      <c r="FRH50" s="76"/>
      <c r="FRI50" s="76"/>
      <c r="FRJ50" s="76"/>
      <c r="FRK50" s="76"/>
      <c r="FRL50" s="76"/>
      <c r="FRM50" s="76"/>
      <c r="FRN50" s="76"/>
      <c r="FRO50" s="76"/>
      <c r="FRP50" s="76"/>
      <c r="FRQ50" s="76"/>
      <c r="FRR50" s="76"/>
      <c r="FRS50" s="76"/>
      <c r="FRT50" s="76"/>
      <c r="FRU50" s="76"/>
      <c r="FRV50" s="76"/>
      <c r="FRW50" s="76"/>
      <c r="FRX50" s="76"/>
      <c r="FRY50" s="76"/>
      <c r="FRZ50" s="76"/>
      <c r="FSA50" s="76"/>
      <c r="FSB50" s="76"/>
      <c r="FSC50" s="76"/>
      <c r="FSD50" s="76"/>
      <c r="FSE50" s="76"/>
      <c r="FSF50" s="76"/>
      <c r="FSG50" s="76"/>
      <c r="FSH50" s="76"/>
      <c r="FSI50" s="76"/>
      <c r="FSJ50" s="76"/>
      <c r="FSK50" s="76"/>
      <c r="FSL50" s="76"/>
      <c r="FSM50" s="76"/>
      <c r="FSN50" s="76"/>
      <c r="FSO50" s="76"/>
      <c r="FSP50" s="76"/>
      <c r="FSQ50" s="76"/>
      <c r="FSR50" s="76"/>
      <c r="FSS50" s="76"/>
      <c r="FST50" s="76"/>
      <c r="FSU50" s="76"/>
      <c r="FSV50" s="76"/>
      <c r="FSW50" s="76"/>
      <c r="FSX50" s="76"/>
      <c r="FSY50" s="76"/>
      <c r="FSZ50" s="76"/>
      <c r="FTA50" s="76"/>
      <c r="FTB50" s="76"/>
      <c r="FTC50" s="76"/>
      <c r="FTD50" s="76"/>
      <c r="FTE50" s="76"/>
      <c r="FTF50" s="76"/>
      <c r="FTG50" s="76"/>
      <c r="FTH50" s="76"/>
      <c r="FTI50" s="76"/>
      <c r="FTJ50" s="76"/>
      <c r="FTK50" s="76"/>
      <c r="FTL50" s="76"/>
      <c r="FTM50" s="76"/>
      <c r="FTN50" s="76"/>
      <c r="FTO50" s="76"/>
      <c r="FTP50" s="76"/>
      <c r="FTQ50" s="76"/>
      <c r="FTR50" s="76"/>
      <c r="FTS50" s="76"/>
      <c r="FTT50" s="76"/>
      <c r="FTU50" s="76"/>
      <c r="FTV50" s="76"/>
      <c r="FTW50" s="76"/>
      <c r="FTX50" s="76"/>
      <c r="FTY50" s="76"/>
      <c r="FTZ50" s="76"/>
      <c r="FUA50" s="76"/>
      <c r="FUB50" s="76"/>
      <c r="FUC50" s="76"/>
      <c r="FUD50" s="76"/>
      <c r="FUE50" s="76"/>
      <c r="FUF50" s="76"/>
      <c r="FUG50" s="76"/>
      <c r="FUH50" s="76"/>
      <c r="FUI50" s="76"/>
      <c r="FUJ50" s="76"/>
      <c r="FUK50" s="76"/>
      <c r="FUL50" s="76"/>
      <c r="FUM50" s="76"/>
      <c r="FUN50" s="76"/>
      <c r="FUO50" s="76"/>
      <c r="FUP50" s="76"/>
      <c r="FUQ50" s="76"/>
      <c r="FUR50" s="76"/>
      <c r="FUS50" s="76"/>
      <c r="FUT50" s="76"/>
      <c r="FUU50" s="76"/>
      <c r="FUV50" s="76"/>
      <c r="FUW50" s="76"/>
      <c r="FUX50" s="76"/>
      <c r="FUY50" s="76"/>
      <c r="FUZ50" s="76"/>
      <c r="FVA50" s="76"/>
      <c r="FVB50" s="76"/>
      <c r="FVC50" s="76"/>
      <c r="FVD50" s="76"/>
      <c r="FVE50" s="76"/>
      <c r="FVF50" s="76"/>
      <c r="FVG50" s="76"/>
      <c r="FVH50" s="76"/>
      <c r="FVI50" s="76"/>
      <c r="FVJ50" s="76"/>
      <c r="FVK50" s="76"/>
      <c r="FVL50" s="76"/>
      <c r="FVM50" s="76"/>
      <c r="FVN50" s="76"/>
      <c r="FVO50" s="76"/>
      <c r="FVP50" s="76"/>
      <c r="FVQ50" s="76"/>
      <c r="FVR50" s="76"/>
      <c r="FVS50" s="76"/>
      <c r="FVT50" s="76"/>
      <c r="FVU50" s="76"/>
      <c r="FVV50" s="76"/>
      <c r="FVW50" s="76"/>
      <c r="FVX50" s="76"/>
      <c r="FVY50" s="76"/>
      <c r="FVZ50" s="76"/>
      <c r="FWA50" s="76"/>
      <c r="FWB50" s="76"/>
      <c r="FWC50" s="76"/>
      <c r="FWD50" s="76"/>
      <c r="FWE50" s="76"/>
      <c r="FWF50" s="76"/>
      <c r="FWG50" s="76"/>
      <c r="FWH50" s="76"/>
      <c r="FWI50" s="76"/>
      <c r="FWJ50" s="76"/>
      <c r="FWK50" s="76"/>
      <c r="FWL50" s="76"/>
      <c r="FWM50" s="76"/>
      <c r="FWN50" s="76"/>
      <c r="FWO50" s="76"/>
      <c r="FWP50" s="76"/>
      <c r="FWQ50" s="76"/>
      <c r="FWR50" s="76"/>
      <c r="FWS50" s="76"/>
      <c r="FWT50" s="76"/>
      <c r="FWU50" s="76"/>
      <c r="FWV50" s="76"/>
      <c r="FWW50" s="76"/>
      <c r="FWX50" s="76"/>
      <c r="FWY50" s="76"/>
      <c r="FWZ50" s="76"/>
      <c r="FXA50" s="76"/>
      <c r="FXB50" s="76"/>
      <c r="FXC50" s="76"/>
      <c r="FXD50" s="76"/>
      <c r="FXE50" s="76"/>
      <c r="FXF50" s="76"/>
      <c r="FXG50" s="76"/>
      <c r="FXH50" s="76"/>
      <c r="FXI50" s="76"/>
      <c r="FXJ50" s="76"/>
      <c r="FXK50" s="76"/>
      <c r="FXL50" s="76"/>
      <c r="FXM50" s="76"/>
      <c r="FXN50" s="76"/>
      <c r="FXO50" s="76"/>
      <c r="FXP50" s="76"/>
      <c r="FXQ50" s="76"/>
      <c r="FXR50" s="76"/>
      <c r="FXS50" s="76"/>
      <c r="FXT50" s="76"/>
      <c r="FXU50" s="76"/>
      <c r="FXV50" s="76"/>
      <c r="FXW50" s="76"/>
      <c r="FXX50" s="76"/>
      <c r="FXY50" s="76"/>
      <c r="FXZ50" s="76"/>
      <c r="FYA50" s="76"/>
      <c r="FYB50" s="76"/>
      <c r="FYC50" s="76"/>
      <c r="FYD50" s="76"/>
      <c r="FYE50" s="76"/>
      <c r="FYF50" s="76"/>
      <c r="FYG50" s="76"/>
      <c r="FYH50" s="76"/>
      <c r="FYI50" s="76"/>
      <c r="FYJ50" s="76"/>
      <c r="FYK50" s="76"/>
      <c r="FYL50" s="76"/>
      <c r="FYM50" s="76"/>
      <c r="FYN50" s="76"/>
      <c r="FYO50" s="76"/>
      <c r="FYP50" s="76"/>
      <c r="FYQ50" s="76"/>
      <c r="FYR50" s="76"/>
      <c r="FYS50" s="76"/>
      <c r="FYT50" s="76"/>
      <c r="FYU50" s="76"/>
      <c r="FYV50" s="76"/>
      <c r="FYW50" s="76"/>
      <c r="FYX50" s="76"/>
      <c r="FYY50" s="76"/>
      <c r="FYZ50" s="76"/>
      <c r="FZA50" s="76"/>
      <c r="FZB50" s="76"/>
      <c r="FZC50" s="76"/>
      <c r="FZD50" s="76"/>
      <c r="FZE50" s="76"/>
      <c r="FZF50" s="76"/>
      <c r="FZG50" s="76"/>
      <c r="FZH50" s="76"/>
      <c r="FZI50" s="76"/>
      <c r="FZJ50" s="76"/>
      <c r="FZK50" s="76"/>
      <c r="FZL50" s="76"/>
      <c r="FZM50" s="76"/>
      <c r="FZN50" s="76"/>
      <c r="FZO50" s="76"/>
      <c r="FZP50" s="76"/>
      <c r="FZQ50" s="76"/>
      <c r="FZR50" s="76"/>
      <c r="FZS50" s="76"/>
      <c r="FZT50" s="76"/>
      <c r="FZU50" s="76"/>
      <c r="FZV50" s="76"/>
      <c r="FZW50" s="76"/>
      <c r="FZX50" s="76"/>
      <c r="FZY50" s="76"/>
      <c r="FZZ50" s="76"/>
      <c r="GAA50" s="76"/>
      <c r="GAB50" s="76"/>
      <c r="GAC50" s="76"/>
      <c r="GAD50" s="76"/>
      <c r="GAE50" s="76"/>
      <c r="GAF50" s="76"/>
      <c r="GAG50" s="76"/>
      <c r="GAH50" s="76"/>
      <c r="GAI50" s="76"/>
      <c r="GAJ50" s="76"/>
      <c r="GAK50" s="76"/>
      <c r="GAL50" s="76"/>
      <c r="GAM50" s="76"/>
      <c r="GAN50" s="76"/>
      <c r="GAO50" s="76"/>
      <c r="GAP50" s="76"/>
      <c r="GAQ50" s="76"/>
      <c r="GAR50" s="76"/>
      <c r="GAS50" s="76"/>
      <c r="GAT50" s="76"/>
      <c r="GAU50" s="76"/>
      <c r="GAV50" s="76"/>
      <c r="GAW50" s="76"/>
      <c r="GAX50" s="76"/>
      <c r="GAY50" s="76"/>
      <c r="GAZ50" s="76"/>
      <c r="GBA50" s="76"/>
      <c r="GBB50" s="76"/>
      <c r="GBC50" s="76"/>
      <c r="GBD50" s="76"/>
      <c r="GBE50" s="76"/>
      <c r="GBF50" s="76"/>
      <c r="GBG50" s="76"/>
      <c r="GBH50" s="76"/>
      <c r="GBI50" s="76"/>
      <c r="GBJ50" s="76"/>
      <c r="GBK50" s="76"/>
      <c r="GBL50" s="76"/>
      <c r="GBM50" s="76"/>
      <c r="GBN50" s="76"/>
      <c r="GBO50" s="76"/>
      <c r="GBP50" s="76"/>
      <c r="GBQ50" s="76"/>
      <c r="GBR50" s="76"/>
      <c r="GBS50" s="76"/>
      <c r="GBT50" s="76"/>
      <c r="GBU50" s="76"/>
      <c r="GBV50" s="76"/>
      <c r="GBW50" s="76"/>
      <c r="GBX50" s="76"/>
      <c r="GBY50" s="76"/>
      <c r="GBZ50" s="76"/>
      <c r="GCA50" s="76"/>
      <c r="GCB50" s="76"/>
      <c r="GCC50" s="76"/>
      <c r="GCD50" s="76"/>
      <c r="GCE50" s="76"/>
      <c r="GCF50" s="76"/>
      <c r="GCG50" s="76"/>
      <c r="GCH50" s="76"/>
      <c r="GCI50" s="76"/>
      <c r="GCJ50" s="76"/>
      <c r="GCK50" s="76"/>
      <c r="GCL50" s="76"/>
      <c r="GCM50" s="76"/>
      <c r="GCN50" s="76"/>
      <c r="GCO50" s="76"/>
      <c r="GCP50" s="76"/>
      <c r="GCQ50" s="76"/>
      <c r="GCR50" s="76"/>
      <c r="GCS50" s="76"/>
      <c r="GCT50" s="76"/>
      <c r="GCU50" s="76"/>
      <c r="GCV50" s="76"/>
      <c r="GCW50" s="76"/>
      <c r="GCX50" s="76"/>
      <c r="GCY50" s="76"/>
      <c r="GCZ50" s="76"/>
      <c r="GDA50" s="76"/>
      <c r="GDB50" s="76"/>
      <c r="GDC50" s="76"/>
      <c r="GDD50" s="76"/>
      <c r="GDE50" s="76"/>
      <c r="GDF50" s="76"/>
      <c r="GDG50" s="76"/>
      <c r="GDH50" s="76"/>
      <c r="GDI50" s="76"/>
      <c r="GDJ50" s="76"/>
      <c r="GDK50" s="76"/>
      <c r="GDL50" s="76"/>
      <c r="GDM50" s="76"/>
      <c r="GDN50" s="76"/>
      <c r="GDO50" s="76"/>
      <c r="GDP50" s="76"/>
      <c r="GDQ50" s="76"/>
      <c r="GDR50" s="76"/>
      <c r="GDS50" s="76"/>
      <c r="GDT50" s="76"/>
      <c r="GDU50" s="76"/>
      <c r="GDV50" s="76"/>
      <c r="GDW50" s="76"/>
      <c r="GDX50" s="76"/>
      <c r="GDY50" s="76"/>
      <c r="GDZ50" s="76"/>
      <c r="GEA50" s="76"/>
      <c r="GEB50" s="76"/>
      <c r="GEC50" s="76"/>
      <c r="GED50" s="76"/>
      <c r="GEE50" s="76"/>
      <c r="GEF50" s="76"/>
      <c r="GEG50" s="76"/>
      <c r="GEH50" s="76"/>
      <c r="GEI50" s="76"/>
      <c r="GEJ50" s="76"/>
      <c r="GEK50" s="76"/>
      <c r="GEL50" s="76"/>
      <c r="GEM50" s="76"/>
      <c r="GEN50" s="76"/>
      <c r="GEO50" s="76"/>
      <c r="GEP50" s="76"/>
      <c r="GEQ50" s="76"/>
      <c r="GER50" s="76"/>
      <c r="GES50" s="76"/>
      <c r="GET50" s="76"/>
      <c r="GEU50" s="76"/>
      <c r="GEV50" s="76"/>
      <c r="GEW50" s="76"/>
      <c r="GEX50" s="76"/>
      <c r="GEY50" s="76"/>
      <c r="GEZ50" s="76"/>
      <c r="GFA50" s="76"/>
      <c r="GFB50" s="76"/>
      <c r="GFC50" s="76"/>
      <c r="GFD50" s="76"/>
      <c r="GFE50" s="76"/>
      <c r="GFF50" s="76"/>
      <c r="GFG50" s="76"/>
      <c r="GFH50" s="76"/>
      <c r="GFI50" s="76"/>
      <c r="GFJ50" s="76"/>
      <c r="GFK50" s="76"/>
      <c r="GFL50" s="76"/>
      <c r="GFM50" s="76"/>
      <c r="GFN50" s="76"/>
      <c r="GFO50" s="76"/>
      <c r="GFP50" s="76"/>
      <c r="GFQ50" s="76"/>
      <c r="GFR50" s="76"/>
      <c r="GFS50" s="76"/>
      <c r="GFT50" s="76"/>
      <c r="GFU50" s="76"/>
      <c r="GFV50" s="76"/>
      <c r="GFW50" s="76"/>
      <c r="GFX50" s="76"/>
      <c r="GFY50" s="76"/>
      <c r="GFZ50" s="76"/>
      <c r="GGA50" s="76"/>
      <c r="GGB50" s="76"/>
      <c r="GGC50" s="76"/>
      <c r="GGD50" s="76"/>
      <c r="GGE50" s="76"/>
      <c r="GGF50" s="76"/>
      <c r="GGG50" s="76"/>
      <c r="GGH50" s="76"/>
      <c r="GGI50" s="76"/>
      <c r="GGJ50" s="76"/>
      <c r="GGK50" s="76"/>
      <c r="GGL50" s="76"/>
      <c r="GGM50" s="76"/>
      <c r="GGN50" s="76"/>
      <c r="GGO50" s="76"/>
      <c r="GGP50" s="76"/>
      <c r="GGQ50" s="76"/>
      <c r="GGR50" s="76"/>
      <c r="GGS50" s="76"/>
      <c r="GGT50" s="76"/>
      <c r="GGU50" s="76"/>
      <c r="GGV50" s="76"/>
      <c r="GGW50" s="76"/>
      <c r="GGX50" s="76"/>
      <c r="GGY50" s="76"/>
      <c r="GGZ50" s="76"/>
      <c r="GHA50" s="76"/>
      <c r="GHB50" s="76"/>
      <c r="GHC50" s="76"/>
      <c r="GHD50" s="76"/>
      <c r="GHE50" s="76"/>
      <c r="GHF50" s="76"/>
      <c r="GHG50" s="76"/>
      <c r="GHH50" s="76"/>
      <c r="GHI50" s="76"/>
      <c r="GHJ50" s="76"/>
      <c r="GHK50" s="76"/>
      <c r="GHL50" s="76"/>
      <c r="GHM50" s="76"/>
      <c r="GHN50" s="76"/>
      <c r="GHO50" s="76"/>
      <c r="GHP50" s="76"/>
      <c r="GHQ50" s="76"/>
      <c r="GHR50" s="76"/>
      <c r="GHS50" s="76"/>
      <c r="GHT50" s="76"/>
      <c r="GHU50" s="76"/>
      <c r="GHV50" s="76"/>
      <c r="GHW50" s="76"/>
      <c r="GHX50" s="76"/>
      <c r="GHY50" s="76"/>
      <c r="GHZ50" s="76"/>
      <c r="GIA50" s="76"/>
      <c r="GIB50" s="76"/>
      <c r="GIC50" s="76"/>
      <c r="GID50" s="76"/>
      <c r="GIE50" s="76"/>
      <c r="GIF50" s="76"/>
      <c r="GIG50" s="76"/>
      <c r="GIH50" s="76"/>
      <c r="GII50" s="76"/>
      <c r="GIJ50" s="76"/>
      <c r="GIK50" s="76"/>
      <c r="GIL50" s="76"/>
      <c r="GIM50" s="76"/>
      <c r="GIN50" s="76"/>
      <c r="GIO50" s="76"/>
      <c r="GIP50" s="76"/>
      <c r="GIQ50" s="76"/>
      <c r="GIR50" s="76"/>
      <c r="GIS50" s="76"/>
      <c r="GIT50" s="76"/>
      <c r="GIU50" s="76"/>
      <c r="GIV50" s="76"/>
      <c r="GIW50" s="76"/>
      <c r="GIX50" s="76"/>
      <c r="GIY50" s="76"/>
      <c r="GIZ50" s="76"/>
      <c r="GJA50" s="76"/>
      <c r="GJB50" s="76"/>
      <c r="GJC50" s="76"/>
      <c r="GJD50" s="76"/>
      <c r="GJE50" s="76"/>
      <c r="GJF50" s="76"/>
      <c r="GJG50" s="76"/>
      <c r="GJH50" s="76"/>
      <c r="GJI50" s="76"/>
      <c r="GJJ50" s="76"/>
      <c r="GJK50" s="76"/>
      <c r="GJL50" s="76"/>
      <c r="GJM50" s="76"/>
      <c r="GJN50" s="76"/>
      <c r="GJO50" s="76"/>
      <c r="GJP50" s="76"/>
      <c r="GJQ50" s="76"/>
      <c r="GJR50" s="76"/>
      <c r="GJS50" s="76"/>
      <c r="GJT50" s="76"/>
      <c r="GJU50" s="76"/>
      <c r="GJV50" s="76"/>
      <c r="GJW50" s="76"/>
      <c r="GJX50" s="76"/>
      <c r="GJY50" s="76"/>
      <c r="GJZ50" s="76"/>
      <c r="GKA50" s="76"/>
      <c r="GKB50" s="76"/>
      <c r="GKC50" s="76"/>
      <c r="GKD50" s="76"/>
      <c r="GKE50" s="76"/>
      <c r="GKF50" s="76"/>
      <c r="GKG50" s="76"/>
      <c r="GKH50" s="76"/>
      <c r="GKI50" s="76"/>
      <c r="GKJ50" s="76"/>
      <c r="GKK50" s="76"/>
      <c r="GKL50" s="76"/>
      <c r="GKM50" s="76"/>
      <c r="GKN50" s="76"/>
      <c r="GKO50" s="76"/>
      <c r="GKP50" s="76"/>
      <c r="GKQ50" s="76"/>
      <c r="GKR50" s="76"/>
      <c r="GKS50" s="76"/>
      <c r="GKT50" s="76"/>
      <c r="GKU50" s="76"/>
      <c r="GKV50" s="76"/>
      <c r="GKW50" s="76"/>
      <c r="GKX50" s="76"/>
      <c r="GKY50" s="76"/>
      <c r="GKZ50" s="76"/>
      <c r="GLA50" s="76"/>
      <c r="GLB50" s="76"/>
      <c r="GLC50" s="76"/>
      <c r="GLD50" s="76"/>
      <c r="GLE50" s="76"/>
      <c r="GLF50" s="76"/>
      <c r="GLG50" s="76"/>
      <c r="GLH50" s="76"/>
      <c r="GLI50" s="76"/>
      <c r="GLJ50" s="76"/>
      <c r="GLK50" s="76"/>
      <c r="GLL50" s="76"/>
      <c r="GLM50" s="76"/>
      <c r="GLN50" s="76"/>
      <c r="GLO50" s="76"/>
      <c r="GLP50" s="76"/>
      <c r="GLQ50" s="76"/>
      <c r="GLR50" s="76"/>
      <c r="GLS50" s="76"/>
      <c r="GLT50" s="76"/>
      <c r="GLU50" s="76"/>
      <c r="GLV50" s="76"/>
      <c r="GLW50" s="76"/>
      <c r="GLX50" s="76"/>
      <c r="GLY50" s="76"/>
      <c r="GLZ50" s="76"/>
      <c r="GMA50" s="76"/>
      <c r="GMB50" s="76"/>
      <c r="GMC50" s="76"/>
      <c r="GMD50" s="76"/>
      <c r="GME50" s="76"/>
      <c r="GMF50" s="76"/>
      <c r="GMG50" s="76"/>
      <c r="GMH50" s="76"/>
      <c r="GMI50" s="76"/>
      <c r="GMJ50" s="76"/>
      <c r="GMK50" s="76"/>
      <c r="GML50" s="76"/>
      <c r="GMM50" s="76"/>
      <c r="GMN50" s="76"/>
      <c r="GMO50" s="76"/>
      <c r="GMP50" s="76"/>
      <c r="GMQ50" s="76"/>
      <c r="GMR50" s="76"/>
      <c r="GMS50" s="76"/>
      <c r="GMT50" s="76"/>
      <c r="GMU50" s="76"/>
      <c r="GMV50" s="76"/>
      <c r="GMW50" s="76"/>
      <c r="GMX50" s="76"/>
      <c r="GMY50" s="76"/>
      <c r="GMZ50" s="76"/>
      <c r="GNA50" s="76"/>
      <c r="GNB50" s="76"/>
      <c r="GNC50" s="76"/>
      <c r="GND50" s="76"/>
      <c r="GNE50" s="76"/>
      <c r="GNF50" s="76"/>
      <c r="GNG50" s="76"/>
      <c r="GNH50" s="76"/>
      <c r="GNI50" s="76"/>
      <c r="GNJ50" s="76"/>
      <c r="GNK50" s="76"/>
      <c r="GNL50" s="76"/>
      <c r="GNM50" s="76"/>
      <c r="GNN50" s="76"/>
      <c r="GNO50" s="76"/>
      <c r="GNP50" s="76"/>
      <c r="GNQ50" s="76"/>
      <c r="GNR50" s="76"/>
      <c r="GNS50" s="76"/>
      <c r="GNT50" s="76"/>
      <c r="GNU50" s="76"/>
      <c r="GNV50" s="76"/>
      <c r="GNW50" s="76"/>
      <c r="GNX50" s="76"/>
      <c r="GNY50" s="76"/>
      <c r="GNZ50" s="76"/>
      <c r="GOA50" s="76"/>
      <c r="GOB50" s="76"/>
      <c r="GOC50" s="76"/>
      <c r="GOD50" s="76"/>
      <c r="GOE50" s="76"/>
      <c r="GOF50" s="76"/>
      <c r="GOG50" s="76"/>
      <c r="GOH50" s="76"/>
      <c r="GOI50" s="76"/>
      <c r="GOJ50" s="76"/>
      <c r="GOK50" s="76"/>
      <c r="GOL50" s="76"/>
      <c r="GOM50" s="76"/>
      <c r="GON50" s="76"/>
      <c r="GOO50" s="76"/>
      <c r="GOP50" s="76"/>
      <c r="GOQ50" s="76"/>
      <c r="GOR50" s="76"/>
      <c r="GOS50" s="76"/>
      <c r="GOT50" s="76"/>
      <c r="GOU50" s="76"/>
      <c r="GOV50" s="76"/>
      <c r="GOW50" s="76"/>
      <c r="GOX50" s="76"/>
      <c r="GOY50" s="76"/>
      <c r="GOZ50" s="76"/>
      <c r="GPA50" s="76"/>
      <c r="GPB50" s="76"/>
      <c r="GPC50" s="76"/>
      <c r="GPD50" s="76"/>
      <c r="GPE50" s="76"/>
      <c r="GPF50" s="76"/>
      <c r="GPG50" s="76"/>
      <c r="GPH50" s="76"/>
      <c r="GPI50" s="76"/>
      <c r="GPJ50" s="76"/>
      <c r="GPK50" s="76"/>
      <c r="GPL50" s="76"/>
      <c r="GPM50" s="76"/>
      <c r="GPN50" s="76"/>
      <c r="GPO50" s="76"/>
      <c r="GPP50" s="76"/>
      <c r="GPQ50" s="76"/>
      <c r="GPR50" s="76"/>
      <c r="GPS50" s="76"/>
      <c r="GPT50" s="76"/>
      <c r="GPU50" s="76"/>
      <c r="GPV50" s="76"/>
      <c r="GPW50" s="76"/>
      <c r="GPX50" s="76"/>
      <c r="GPY50" s="76"/>
      <c r="GPZ50" s="76"/>
      <c r="GQA50" s="76"/>
      <c r="GQB50" s="76"/>
      <c r="GQC50" s="76"/>
      <c r="GQD50" s="76"/>
      <c r="GQE50" s="76"/>
      <c r="GQF50" s="76"/>
      <c r="GQG50" s="76"/>
      <c r="GQH50" s="76"/>
      <c r="GQI50" s="76"/>
      <c r="GQJ50" s="76"/>
      <c r="GQK50" s="76"/>
      <c r="GQL50" s="76"/>
      <c r="GQM50" s="76"/>
      <c r="GQN50" s="76"/>
      <c r="GQO50" s="76"/>
      <c r="GQP50" s="76"/>
      <c r="GQQ50" s="76"/>
      <c r="GQR50" s="76"/>
      <c r="GQS50" s="76"/>
      <c r="GQT50" s="76"/>
      <c r="GQU50" s="76"/>
      <c r="GQV50" s="76"/>
      <c r="GQW50" s="76"/>
      <c r="GQX50" s="76"/>
      <c r="GQY50" s="76"/>
      <c r="GQZ50" s="76"/>
      <c r="GRA50" s="76"/>
      <c r="GRB50" s="76"/>
      <c r="GRC50" s="76"/>
      <c r="GRD50" s="76"/>
      <c r="GRE50" s="76"/>
      <c r="GRF50" s="76"/>
      <c r="GRG50" s="76"/>
      <c r="GRH50" s="76"/>
      <c r="GRI50" s="76"/>
      <c r="GRJ50" s="76"/>
      <c r="GRK50" s="76"/>
      <c r="GRL50" s="76"/>
      <c r="GRM50" s="76"/>
      <c r="GRN50" s="76"/>
      <c r="GRO50" s="76"/>
      <c r="GRP50" s="76"/>
      <c r="GRQ50" s="76"/>
      <c r="GRR50" s="76"/>
      <c r="GRS50" s="76"/>
      <c r="GRT50" s="76"/>
      <c r="GRU50" s="76"/>
      <c r="GRV50" s="76"/>
      <c r="GRW50" s="76"/>
      <c r="GRX50" s="76"/>
      <c r="GRY50" s="76"/>
      <c r="GRZ50" s="76"/>
      <c r="GSA50" s="76"/>
      <c r="GSB50" s="76"/>
      <c r="GSC50" s="76"/>
      <c r="GSD50" s="76"/>
      <c r="GSE50" s="76"/>
      <c r="GSF50" s="76"/>
      <c r="GSG50" s="76"/>
      <c r="GSH50" s="76"/>
      <c r="GSI50" s="76"/>
      <c r="GSJ50" s="76"/>
      <c r="GSK50" s="76"/>
      <c r="GSL50" s="76"/>
      <c r="GSM50" s="76"/>
      <c r="GSN50" s="76"/>
      <c r="GSO50" s="76"/>
      <c r="GSP50" s="76"/>
      <c r="GSQ50" s="76"/>
      <c r="GSR50" s="76"/>
      <c r="GSS50" s="76"/>
      <c r="GST50" s="76"/>
      <c r="GSU50" s="76"/>
      <c r="GSV50" s="76"/>
      <c r="GSW50" s="76"/>
      <c r="GSX50" s="76"/>
      <c r="GSY50" s="76"/>
      <c r="GSZ50" s="76"/>
      <c r="GTA50" s="76"/>
      <c r="GTB50" s="76"/>
      <c r="GTC50" s="76"/>
      <c r="GTD50" s="76"/>
      <c r="GTE50" s="76"/>
      <c r="GTF50" s="76"/>
      <c r="GTG50" s="76"/>
      <c r="GTH50" s="76"/>
      <c r="GTI50" s="76"/>
      <c r="GTJ50" s="76"/>
      <c r="GTK50" s="76"/>
      <c r="GTL50" s="76"/>
      <c r="GTM50" s="76"/>
      <c r="GTN50" s="76"/>
      <c r="GTO50" s="76"/>
      <c r="GTP50" s="76"/>
      <c r="GTQ50" s="76"/>
      <c r="GTR50" s="76"/>
      <c r="GTS50" s="76"/>
      <c r="GTT50" s="76"/>
      <c r="GTU50" s="76"/>
      <c r="GTV50" s="76"/>
      <c r="GTW50" s="76"/>
      <c r="GTX50" s="76"/>
      <c r="GTY50" s="76"/>
      <c r="GTZ50" s="76"/>
      <c r="GUA50" s="76"/>
      <c r="GUB50" s="76"/>
      <c r="GUC50" s="76"/>
      <c r="GUD50" s="76"/>
      <c r="GUE50" s="76"/>
      <c r="GUF50" s="76"/>
      <c r="GUG50" s="76"/>
      <c r="GUH50" s="76"/>
      <c r="GUI50" s="76"/>
      <c r="GUJ50" s="76"/>
      <c r="GUK50" s="76"/>
      <c r="GUL50" s="76"/>
      <c r="GUM50" s="76"/>
      <c r="GUN50" s="76"/>
      <c r="GUO50" s="76"/>
      <c r="GUP50" s="76"/>
      <c r="GUQ50" s="76"/>
      <c r="GUR50" s="76"/>
      <c r="GUS50" s="76"/>
      <c r="GUT50" s="76"/>
      <c r="GUU50" s="76"/>
      <c r="GUV50" s="76"/>
      <c r="GUW50" s="76"/>
      <c r="GUX50" s="76"/>
      <c r="GUY50" s="76"/>
      <c r="GUZ50" s="76"/>
      <c r="GVA50" s="76"/>
      <c r="GVB50" s="76"/>
      <c r="GVC50" s="76"/>
      <c r="GVD50" s="76"/>
      <c r="GVE50" s="76"/>
      <c r="GVF50" s="76"/>
      <c r="GVG50" s="76"/>
      <c r="GVH50" s="76"/>
      <c r="GVI50" s="76"/>
      <c r="GVJ50" s="76"/>
      <c r="GVK50" s="76"/>
      <c r="GVL50" s="76"/>
      <c r="GVM50" s="76"/>
      <c r="GVN50" s="76"/>
      <c r="GVO50" s="76"/>
      <c r="GVP50" s="76"/>
      <c r="GVQ50" s="76"/>
      <c r="GVR50" s="76"/>
      <c r="GVS50" s="76"/>
      <c r="GVT50" s="76"/>
      <c r="GVU50" s="76"/>
      <c r="GVV50" s="76"/>
      <c r="GVW50" s="76"/>
      <c r="GVX50" s="76"/>
      <c r="GVY50" s="76"/>
      <c r="GVZ50" s="76"/>
      <c r="GWA50" s="76"/>
      <c r="GWB50" s="76"/>
      <c r="GWC50" s="76"/>
      <c r="GWD50" s="76"/>
      <c r="GWE50" s="76"/>
      <c r="GWF50" s="76"/>
      <c r="GWG50" s="76"/>
      <c r="GWH50" s="76"/>
      <c r="GWI50" s="76"/>
      <c r="GWJ50" s="76"/>
      <c r="GWK50" s="76"/>
      <c r="GWL50" s="76"/>
      <c r="GWM50" s="76"/>
      <c r="GWN50" s="76"/>
      <c r="GWO50" s="76"/>
      <c r="GWP50" s="76"/>
      <c r="GWQ50" s="76"/>
      <c r="GWR50" s="76"/>
      <c r="GWS50" s="76"/>
      <c r="GWT50" s="76"/>
      <c r="GWU50" s="76"/>
      <c r="GWV50" s="76"/>
      <c r="GWW50" s="76"/>
      <c r="GWX50" s="76"/>
      <c r="GWY50" s="76"/>
      <c r="GWZ50" s="76"/>
      <c r="GXA50" s="76"/>
      <c r="GXB50" s="76"/>
      <c r="GXC50" s="76"/>
      <c r="GXD50" s="76"/>
      <c r="GXE50" s="76"/>
      <c r="GXF50" s="76"/>
      <c r="GXG50" s="76"/>
      <c r="GXH50" s="76"/>
      <c r="GXI50" s="76"/>
      <c r="GXJ50" s="76"/>
      <c r="GXK50" s="76"/>
      <c r="GXL50" s="76"/>
      <c r="GXM50" s="76"/>
      <c r="GXN50" s="76"/>
      <c r="GXO50" s="76"/>
      <c r="GXP50" s="76"/>
      <c r="GXQ50" s="76"/>
      <c r="GXR50" s="76"/>
      <c r="GXS50" s="76"/>
      <c r="GXT50" s="76"/>
      <c r="GXU50" s="76"/>
      <c r="GXV50" s="76"/>
      <c r="GXW50" s="76"/>
      <c r="GXX50" s="76"/>
      <c r="GXY50" s="76"/>
      <c r="GXZ50" s="76"/>
      <c r="GYA50" s="76"/>
      <c r="GYB50" s="76"/>
      <c r="GYC50" s="76"/>
      <c r="GYD50" s="76"/>
      <c r="GYE50" s="76"/>
      <c r="GYF50" s="76"/>
      <c r="GYG50" s="76"/>
      <c r="GYH50" s="76"/>
      <c r="GYI50" s="76"/>
      <c r="GYJ50" s="76"/>
      <c r="GYK50" s="76"/>
      <c r="GYL50" s="76"/>
      <c r="GYM50" s="76"/>
      <c r="GYN50" s="76"/>
      <c r="GYO50" s="76"/>
      <c r="GYP50" s="76"/>
      <c r="GYQ50" s="76"/>
      <c r="GYR50" s="76"/>
      <c r="GYS50" s="76"/>
      <c r="GYT50" s="76"/>
      <c r="GYU50" s="76"/>
      <c r="GYV50" s="76"/>
      <c r="GYW50" s="76"/>
      <c r="GYX50" s="76"/>
      <c r="GYY50" s="76"/>
      <c r="GYZ50" s="76"/>
      <c r="GZA50" s="76"/>
      <c r="GZB50" s="76"/>
      <c r="GZC50" s="76"/>
      <c r="GZD50" s="76"/>
      <c r="GZE50" s="76"/>
      <c r="GZF50" s="76"/>
      <c r="GZG50" s="76"/>
      <c r="GZH50" s="76"/>
      <c r="GZI50" s="76"/>
      <c r="GZJ50" s="76"/>
      <c r="GZK50" s="76"/>
      <c r="GZL50" s="76"/>
      <c r="GZM50" s="76"/>
      <c r="GZN50" s="76"/>
      <c r="GZO50" s="76"/>
      <c r="GZP50" s="76"/>
      <c r="GZQ50" s="76"/>
      <c r="GZR50" s="76"/>
      <c r="GZS50" s="76"/>
      <c r="GZT50" s="76"/>
      <c r="GZU50" s="76"/>
      <c r="GZV50" s="76"/>
      <c r="GZW50" s="76"/>
      <c r="GZX50" s="76"/>
      <c r="GZY50" s="76"/>
      <c r="GZZ50" s="76"/>
      <c r="HAA50" s="76"/>
      <c r="HAB50" s="76"/>
      <c r="HAC50" s="76"/>
      <c r="HAD50" s="76"/>
      <c r="HAE50" s="76"/>
      <c r="HAF50" s="76"/>
      <c r="HAG50" s="76"/>
      <c r="HAH50" s="76"/>
      <c r="HAI50" s="76"/>
      <c r="HAJ50" s="76"/>
      <c r="HAK50" s="76"/>
      <c r="HAL50" s="76"/>
      <c r="HAM50" s="76"/>
      <c r="HAN50" s="76"/>
      <c r="HAO50" s="76"/>
      <c r="HAP50" s="76"/>
      <c r="HAQ50" s="76"/>
      <c r="HAR50" s="76"/>
      <c r="HAS50" s="76"/>
      <c r="HAT50" s="76"/>
      <c r="HAU50" s="76"/>
      <c r="HAV50" s="76"/>
      <c r="HAW50" s="76"/>
      <c r="HAX50" s="76"/>
      <c r="HAY50" s="76"/>
      <c r="HAZ50" s="76"/>
      <c r="HBA50" s="76"/>
      <c r="HBB50" s="76"/>
      <c r="HBC50" s="76"/>
      <c r="HBD50" s="76"/>
      <c r="HBE50" s="76"/>
      <c r="HBF50" s="76"/>
      <c r="HBG50" s="76"/>
      <c r="HBH50" s="76"/>
      <c r="HBI50" s="76"/>
      <c r="HBJ50" s="76"/>
      <c r="HBK50" s="76"/>
      <c r="HBL50" s="76"/>
      <c r="HBM50" s="76"/>
      <c r="HBN50" s="76"/>
      <c r="HBO50" s="76"/>
      <c r="HBP50" s="76"/>
      <c r="HBQ50" s="76"/>
      <c r="HBR50" s="76"/>
      <c r="HBS50" s="76"/>
      <c r="HBT50" s="76"/>
      <c r="HBU50" s="76"/>
      <c r="HBV50" s="76"/>
      <c r="HBW50" s="76"/>
      <c r="HBX50" s="76"/>
      <c r="HBY50" s="76"/>
      <c r="HBZ50" s="76"/>
      <c r="HCA50" s="76"/>
      <c r="HCB50" s="76"/>
      <c r="HCC50" s="76"/>
      <c r="HCD50" s="76"/>
      <c r="HCE50" s="76"/>
      <c r="HCF50" s="76"/>
      <c r="HCG50" s="76"/>
      <c r="HCH50" s="76"/>
      <c r="HCI50" s="76"/>
      <c r="HCJ50" s="76"/>
      <c r="HCK50" s="76"/>
      <c r="HCL50" s="76"/>
      <c r="HCM50" s="76"/>
      <c r="HCN50" s="76"/>
      <c r="HCO50" s="76"/>
      <c r="HCP50" s="76"/>
      <c r="HCQ50" s="76"/>
      <c r="HCR50" s="76"/>
      <c r="HCS50" s="76"/>
      <c r="HCT50" s="76"/>
      <c r="HCU50" s="76"/>
      <c r="HCV50" s="76"/>
      <c r="HCW50" s="76"/>
      <c r="HCX50" s="76"/>
      <c r="HCY50" s="76"/>
      <c r="HCZ50" s="76"/>
      <c r="HDA50" s="76"/>
      <c r="HDB50" s="76"/>
      <c r="HDC50" s="76"/>
      <c r="HDD50" s="76"/>
      <c r="HDE50" s="76"/>
      <c r="HDF50" s="76"/>
      <c r="HDG50" s="76"/>
      <c r="HDH50" s="76"/>
      <c r="HDI50" s="76"/>
      <c r="HDJ50" s="76"/>
      <c r="HDK50" s="76"/>
      <c r="HDL50" s="76"/>
      <c r="HDM50" s="76"/>
      <c r="HDN50" s="76"/>
      <c r="HDO50" s="76"/>
      <c r="HDP50" s="76"/>
      <c r="HDQ50" s="76"/>
      <c r="HDR50" s="76"/>
      <c r="HDS50" s="76"/>
      <c r="HDT50" s="76"/>
      <c r="HDU50" s="76"/>
      <c r="HDV50" s="76"/>
      <c r="HDW50" s="76"/>
      <c r="HDX50" s="76"/>
      <c r="HDY50" s="76"/>
      <c r="HDZ50" s="76"/>
      <c r="HEA50" s="76"/>
      <c r="HEB50" s="76"/>
      <c r="HEC50" s="76"/>
      <c r="HED50" s="76"/>
      <c r="HEE50" s="76"/>
      <c r="HEF50" s="76"/>
      <c r="HEG50" s="76"/>
      <c r="HEH50" s="76"/>
      <c r="HEI50" s="76"/>
      <c r="HEJ50" s="76"/>
      <c r="HEK50" s="76"/>
      <c r="HEL50" s="76"/>
      <c r="HEM50" s="76"/>
      <c r="HEN50" s="76"/>
      <c r="HEO50" s="76"/>
      <c r="HEP50" s="76"/>
      <c r="HEQ50" s="76"/>
      <c r="HER50" s="76"/>
      <c r="HES50" s="76"/>
      <c r="HET50" s="76"/>
      <c r="HEU50" s="76"/>
      <c r="HEV50" s="76"/>
      <c r="HEW50" s="76"/>
      <c r="HEX50" s="76"/>
      <c r="HEY50" s="76"/>
      <c r="HEZ50" s="76"/>
      <c r="HFA50" s="76"/>
      <c r="HFB50" s="76"/>
      <c r="HFC50" s="76"/>
      <c r="HFD50" s="76"/>
      <c r="HFE50" s="76"/>
      <c r="HFF50" s="76"/>
      <c r="HFG50" s="76"/>
      <c r="HFH50" s="76"/>
      <c r="HFI50" s="76"/>
      <c r="HFJ50" s="76"/>
      <c r="HFK50" s="76"/>
      <c r="HFL50" s="76"/>
      <c r="HFM50" s="76"/>
      <c r="HFN50" s="76"/>
      <c r="HFO50" s="76"/>
      <c r="HFP50" s="76"/>
      <c r="HFQ50" s="76"/>
      <c r="HFR50" s="76"/>
      <c r="HFS50" s="76"/>
      <c r="HFT50" s="76"/>
      <c r="HFU50" s="76"/>
      <c r="HFV50" s="76"/>
      <c r="HFW50" s="76"/>
      <c r="HFX50" s="76"/>
      <c r="HFY50" s="76"/>
      <c r="HFZ50" s="76"/>
      <c r="HGA50" s="76"/>
      <c r="HGB50" s="76"/>
      <c r="HGC50" s="76"/>
      <c r="HGD50" s="76"/>
      <c r="HGE50" s="76"/>
      <c r="HGF50" s="76"/>
      <c r="HGG50" s="76"/>
      <c r="HGH50" s="76"/>
      <c r="HGI50" s="76"/>
      <c r="HGJ50" s="76"/>
      <c r="HGK50" s="76"/>
      <c r="HGL50" s="76"/>
      <c r="HGM50" s="76"/>
      <c r="HGN50" s="76"/>
      <c r="HGO50" s="76"/>
      <c r="HGP50" s="76"/>
      <c r="HGQ50" s="76"/>
      <c r="HGR50" s="76"/>
      <c r="HGS50" s="76"/>
      <c r="HGT50" s="76"/>
      <c r="HGU50" s="76"/>
      <c r="HGV50" s="76"/>
      <c r="HGW50" s="76"/>
      <c r="HGX50" s="76"/>
      <c r="HGY50" s="76"/>
      <c r="HGZ50" s="76"/>
      <c r="HHA50" s="76"/>
      <c r="HHB50" s="76"/>
      <c r="HHC50" s="76"/>
      <c r="HHD50" s="76"/>
      <c r="HHE50" s="76"/>
      <c r="HHF50" s="76"/>
      <c r="HHG50" s="76"/>
      <c r="HHH50" s="76"/>
      <c r="HHI50" s="76"/>
      <c r="HHJ50" s="76"/>
      <c r="HHK50" s="76"/>
      <c r="HHL50" s="76"/>
      <c r="HHM50" s="76"/>
      <c r="HHN50" s="76"/>
      <c r="HHO50" s="76"/>
      <c r="HHP50" s="76"/>
      <c r="HHQ50" s="76"/>
      <c r="HHR50" s="76"/>
      <c r="HHS50" s="76"/>
      <c r="HHT50" s="76"/>
      <c r="HHU50" s="76"/>
      <c r="HHV50" s="76"/>
      <c r="HHW50" s="76"/>
      <c r="HHX50" s="76"/>
      <c r="HHY50" s="76"/>
      <c r="HHZ50" s="76"/>
      <c r="HIA50" s="76"/>
      <c r="HIB50" s="76"/>
      <c r="HIC50" s="76"/>
      <c r="HID50" s="76"/>
      <c r="HIE50" s="76"/>
      <c r="HIF50" s="76"/>
      <c r="HIG50" s="76"/>
      <c r="HIH50" s="76"/>
      <c r="HII50" s="76"/>
      <c r="HIJ50" s="76"/>
      <c r="HIK50" s="76"/>
      <c r="HIL50" s="76"/>
      <c r="HIM50" s="76"/>
      <c r="HIN50" s="76"/>
      <c r="HIO50" s="76"/>
      <c r="HIP50" s="76"/>
      <c r="HIQ50" s="76"/>
      <c r="HIR50" s="76"/>
      <c r="HIS50" s="76"/>
      <c r="HIT50" s="76"/>
      <c r="HIU50" s="76"/>
      <c r="HIV50" s="76"/>
      <c r="HIW50" s="76"/>
      <c r="HIX50" s="76"/>
      <c r="HIY50" s="76"/>
      <c r="HIZ50" s="76"/>
      <c r="HJA50" s="76"/>
      <c r="HJB50" s="76"/>
      <c r="HJC50" s="76"/>
      <c r="HJD50" s="76"/>
      <c r="HJE50" s="76"/>
      <c r="HJF50" s="76"/>
      <c r="HJG50" s="76"/>
      <c r="HJH50" s="76"/>
      <c r="HJI50" s="76"/>
      <c r="HJJ50" s="76"/>
      <c r="HJK50" s="76"/>
      <c r="HJL50" s="76"/>
      <c r="HJM50" s="76"/>
      <c r="HJN50" s="76"/>
      <c r="HJO50" s="76"/>
      <c r="HJP50" s="76"/>
      <c r="HJQ50" s="76"/>
      <c r="HJR50" s="76"/>
      <c r="HJS50" s="76"/>
      <c r="HJT50" s="76"/>
      <c r="HJU50" s="76"/>
      <c r="HJV50" s="76"/>
      <c r="HJW50" s="76"/>
      <c r="HJX50" s="76"/>
      <c r="HJY50" s="76"/>
      <c r="HJZ50" s="76"/>
      <c r="HKA50" s="76"/>
      <c r="HKB50" s="76"/>
      <c r="HKC50" s="76"/>
      <c r="HKD50" s="76"/>
      <c r="HKE50" s="76"/>
      <c r="HKF50" s="76"/>
      <c r="HKG50" s="76"/>
      <c r="HKH50" s="76"/>
      <c r="HKI50" s="76"/>
      <c r="HKJ50" s="76"/>
      <c r="HKK50" s="76"/>
      <c r="HKL50" s="76"/>
      <c r="HKM50" s="76"/>
      <c r="HKN50" s="76"/>
      <c r="HKO50" s="76"/>
      <c r="HKP50" s="76"/>
      <c r="HKQ50" s="76"/>
      <c r="HKR50" s="76"/>
      <c r="HKS50" s="76"/>
      <c r="HKT50" s="76"/>
      <c r="HKU50" s="76"/>
      <c r="HKV50" s="76"/>
      <c r="HKW50" s="76"/>
      <c r="HKX50" s="76"/>
      <c r="HKY50" s="76"/>
      <c r="HKZ50" s="76"/>
      <c r="HLA50" s="76"/>
      <c r="HLB50" s="76"/>
      <c r="HLC50" s="76"/>
      <c r="HLD50" s="76"/>
      <c r="HLE50" s="76"/>
      <c r="HLF50" s="76"/>
      <c r="HLG50" s="76"/>
      <c r="HLH50" s="76"/>
      <c r="HLI50" s="76"/>
      <c r="HLJ50" s="76"/>
      <c r="HLK50" s="76"/>
      <c r="HLL50" s="76"/>
      <c r="HLM50" s="76"/>
      <c r="HLN50" s="76"/>
      <c r="HLO50" s="76"/>
      <c r="HLP50" s="76"/>
      <c r="HLQ50" s="76"/>
      <c r="HLR50" s="76"/>
      <c r="HLS50" s="76"/>
      <c r="HLT50" s="76"/>
      <c r="HLU50" s="76"/>
      <c r="HLV50" s="76"/>
      <c r="HLW50" s="76"/>
      <c r="HLX50" s="76"/>
      <c r="HLY50" s="76"/>
      <c r="HLZ50" s="76"/>
      <c r="HMA50" s="76"/>
      <c r="HMB50" s="76"/>
      <c r="HMC50" s="76"/>
      <c r="HMD50" s="76"/>
      <c r="HME50" s="76"/>
      <c r="HMF50" s="76"/>
      <c r="HMG50" s="76"/>
      <c r="HMH50" s="76"/>
      <c r="HMI50" s="76"/>
      <c r="HMJ50" s="76"/>
      <c r="HMK50" s="76"/>
      <c r="HML50" s="76"/>
      <c r="HMM50" s="76"/>
      <c r="HMN50" s="76"/>
      <c r="HMO50" s="76"/>
      <c r="HMP50" s="76"/>
      <c r="HMQ50" s="76"/>
      <c r="HMR50" s="76"/>
      <c r="HMS50" s="76"/>
      <c r="HMT50" s="76"/>
      <c r="HMU50" s="76"/>
      <c r="HMV50" s="76"/>
      <c r="HMW50" s="76"/>
      <c r="HMX50" s="76"/>
      <c r="HMY50" s="76"/>
      <c r="HMZ50" s="76"/>
      <c r="HNA50" s="76"/>
      <c r="HNB50" s="76"/>
      <c r="HNC50" s="76"/>
      <c r="HND50" s="76"/>
      <c r="HNE50" s="76"/>
      <c r="HNF50" s="76"/>
      <c r="HNG50" s="76"/>
      <c r="HNH50" s="76"/>
      <c r="HNI50" s="76"/>
      <c r="HNJ50" s="76"/>
      <c r="HNK50" s="76"/>
      <c r="HNL50" s="76"/>
      <c r="HNM50" s="76"/>
      <c r="HNN50" s="76"/>
      <c r="HNO50" s="76"/>
      <c r="HNP50" s="76"/>
      <c r="HNQ50" s="76"/>
      <c r="HNR50" s="76"/>
      <c r="HNS50" s="76"/>
      <c r="HNT50" s="76"/>
      <c r="HNU50" s="76"/>
      <c r="HNV50" s="76"/>
      <c r="HNW50" s="76"/>
      <c r="HNX50" s="76"/>
      <c r="HNY50" s="76"/>
      <c r="HNZ50" s="76"/>
      <c r="HOA50" s="76"/>
      <c r="HOB50" s="76"/>
      <c r="HOC50" s="76"/>
      <c r="HOD50" s="76"/>
      <c r="HOE50" s="76"/>
      <c r="HOF50" s="76"/>
      <c r="HOG50" s="76"/>
      <c r="HOH50" s="76"/>
      <c r="HOI50" s="76"/>
      <c r="HOJ50" s="76"/>
      <c r="HOK50" s="76"/>
      <c r="HOL50" s="76"/>
      <c r="HOM50" s="76"/>
      <c r="HON50" s="76"/>
      <c r="HOO50" s="76"/>
      <c r="HOP50" s="76"/>
      <c r="HOQ50" s="76"/>
      <c r="HOR50" s="76"/>
      <c r="HOS50" s="76"/>
      <c r="HOT50" s="76"/>
      <c r="HOU50" s="76"/>
      <c r="HOV50" s="76"/>
      <c r="HOW50" s="76"/>
      <c r="HOX50" s="76"/>
      <c r="HOY50" s="76"/>
      <c r="HOZ50" s="76"/>
      <c r="HPA50" s="76"/>
      <c r="HPB50" s="76"/>
      <c r="HPC50" s="76"/>
      <c r="HPD50" s="76"/>
      <c r="HPE50" s="76"/>
      <c r="HPF50" s="76"/>
      <c r="HPG50" s="76"/>
      <c r="HPH50" s="76"/>
      <c r="HPI50" s="76"/>
      <c r="HPJ50" s="76"/>
      <c r="HPK50" s="76"/>
      <c r="HPL50" s="76"/>
      <c r="HPM50" s="76"/>
      <c r="HPN50" s="76"/>
      <c r="HPO50" s="76"/>
      <c r="HPP50" s="76"/>
      <c r="HPQ50" s="76"/>
      <c r="HPR50" s="76"/>
      <c r="HPS50" s="76"/>
      <c r="HPT50" s="76"/>
      <c r="HPU50" s="76"/>
      <c r="HPV50" s="76"/>
      <c r="HPW50" s="76"/>
      <c r="HPX50" s="76"/>
      <c r="HPY50" s="76"/>
      <c r="HPZ50" s="76"/>
      <c r="HQA50" s="76"/>
      <c r="HQB50" s="76"/>
      <c r="HQC50" s="76"/>
      <c r="HQD50" s="76"/>
      <c r="HQE50" s="76"/>
      <c r="HQF50" s="76"/>
      <c r="HQG50" s="76"/>
      <c r="HQH50" s="76"/>
      <c r="HQI50" s="76"/>
      <c r="HQJ50" s="76"/>
      <c r="HQK50" s="76"/>
      <c r="HQL50" s="76"/>
      <c r="HQM50" s="76"/>
      <c r="HQN50" s="76"/>
      <c r="HQO50" s="76"/>
      <c r="HQP50" s="76"/>
      <c r="HQQ50" s="76"/>
      <c r="HQR50" s="76"/>
      <c r="HQS50" s="76"/>
      <c r="HQT50" s="76"/>
      <c r="HQU50" s="76"/>
      <c r="HQV50" s="76"/>
      <c r="HQW50" s="76"/>
      <c r="HQX50" s="76"/>
      <c r="HQY50" s="76"/>
      <c r="HQZ50" s="76"/>
      <c r="HRA50" s="76"/>
      <c r="HRB50" s="76"/>
      <c r="HRC50" s="76"/>
      <c r="HRD50" s="76"/>
      <c r="HRE50" s="76"/>
      <c r="HRF50" s="76"/>
      <c r="HRG50" s="76"/>
      <c r="HRH50" s="76"/>
      <c r="HRI50" s="76"/>
      <c r="HRJ50" s="76"/>
      <c r="HRK50" s="76"/>
      <c r="HRL50" s="76"/>
      <c r="HRM50" s="76"/>
      <c r="HRN50" s="76"/>
      <c r="HRO50" s="76"/>
      <c r="HRP50" s="76"/>
      <c r="HRQ50" s="76"/>
      <c r="HRR50" s="76"/>
      <c r="HRS50" s="76"/>
      <c r="HRT50" s="76"/>
      <c r="HRU50" s="76"/>
      <c r="HRV50" s="76"/>
      <c r="HRW50" s="76"/>
      <c r="HRX50" s="76"/>
      <c r="HRY50" s="76"/>
      <c r="HRZ50" s="76"/>
      <c r="HSA50" s="76"/>
      <c r="HSB50" s="76"/>
      <c r="HSC50" s="76"/>
      <c r="HSD50" s="76"/>
      <c r="HSE50" s="76"/>
      <c r="HSF50" s="76"/>
      <c r="HSG50" s="76"/>
      <c r="HSH50" s="76"/>
      <c r="HSI50" s="76"/>
      <c r="HSJ50" s="76"/>
      <c r="HSK50" s="76"/>
      <c r="HSL50" s="76"/>
      <c r="HSM50" s="76"/>
      <c r="HSN50" s="76"/>
      <c r="HSO50" s="76"/>
      <c r="HSP50" s="76"/>
      <c r="HSQ50" s="76"/>
      <c r="HSR50" s="76"/>
      <c r="HSS50" s="76"/>
      <c r="HST50" s="76"/>
      <c r="HSU50" s="76"/>
      <c r="HSV50" s="76"/>
      <c r="HSW50" s="76"/>
      <c r="HSX50" s="76"/>
      <c r="HSY50" s="76"/>
      <c r="HSZ50" s="76"/>
      <c r="HTA50" s="76"/>
      <c r="HTB50" s="76"/>
      <c r="HTC50" s="76"/>
      <c r="HTD50" s="76"/>
      <c r="HTE50" s="76"/>
      <c r="HTF50" s="76"/>
      <c r="HTG50" s="76"/>
      <c r="HTH50" s="76"/>
      <c r="HTI50" s="76"/>
      <c r="HTJ50" s="76"/>
      <c r="HTK50" s="76"/>
      <c r="HTL50" s="76"/>
      <c r="HTM50" s="76"/>
      <c r="HTN50" s="76"/>
      <c r="HTO50" s="76"/>
      <c r="HTP50" s="76"/>
      <c r="HTQ50" s="76"/>
      <c r="HTR50" s="76"/>
      <c r="HTS50" s="76"/>
      <c r="HTT50" s="76"/>
      <c r="HTU50" s="76"/>
      <c r="HTV50" s="76"/>
      <c r="HTW50" s="76"/>
      <c r="HTX50" s="76"/>
      <c r="HTY50" s="76"/>
      <c r="HTZ50" s="76"/>
      <c r="HUA50" s="76"/>
      <c r="HUB50" s="76"/>
      <c r="HUC50" s="76"/>
      <c r="HUD50" s="76"/>
      <c r="HUE50" s="76"/>
      <c r="HUF50" s="76"/>
      <c r="HUG50" s="76"/>
      <c r="HUH50" s="76"/>
      <c r="HUI50" s="76"/>
      <c r="HUJ50" s="76"/>
      <c r="HUK50" s="76"/>
      <c r="HUL50" s="76"/>
      <c r="HUM50" s="76"/>
      <c r="HUN50" s="76"/>
      <c r="HUO50" s="76"/>
      <c r="HUP50" s="76"/>
      <c r="HUQ50" s="76"/>
      <c r="HUR50" s="76"/>
      <c r="HUS50" s="76"/>
      <c r="HUT50" s="76"/>
      <c r="HUU50" s="76"/>
      <c r="HUV50" s="76"/>
      <c r="HUW50" s="76"/>
      <c r="HUX50" s="76"/>
      <c r="HUY50" s="76"/>
      <c r="HUZ50" s="76"/>
      <c r="HVA50" s="76"/>
      <c r="HVB50" s="76"/>
      <c r="HVC50" s="76"/>
      <c r="HVD50" s="76"/>
      <c r="HVE50" s="76"/>
      <c r="HVF50" s="76"/>
      <c r="HVG50" s="76"/>
      <c r="HVH50" s="76"/>
      <c r="HVI50" s="76"/>
      <c r="HVJ50" s="76"/>
      <c r="HVK50" s="76"/>
      <c r="HVL50" s="76"/>
      <c r="HVM50" s="76"/>
      <c r="HVN50" s="76"/>
      <c r="HVO50" s="76"/>
      <c r="HVP50" s="76"/>
      <c r="HVQ50" s="76"/>
      <c r="HVR50" s="76"/>
      <c r="HVS50" s="76"/>
      <c r="HVT50" s="76"/>
      <c r="HVU50" s="76"/>
      <c r="HVV50" s="76"/>
      <c r="HVW50" s="76"/>
      <c r="HVX50" s="76"/>
      <c r="HVY50" s="76"/>
      <c r="HVZ50" s="76"/>
      <c r="HWA50" s="76"/>
      <c r="HWB50" s="76"/>
      <c r="HWC50" s="76"/>
      <c r="HWD50" s="76"/>
      <c r="HWE50" s="76"/>
      <c r="HWF50" s="76"/>
      <c r="HWG50" s="76"/>
      <c r="HWH50" s="76"/>
      <c r="HWI50" s="76"/>
      <c r="HWJ50" s="76"/>
      <c r="HWK50" s="76"/>
      <c r="HWL50" s="76"/>
      <c r="HWM50" s="76"/>
      <c r="HWN50" s="76"/>
      <c r="HWO50" s="76"/>
      <c r="HWP50" s="76"/>
      <c r="HWQ50" s="76"/>
      <c r="HWR50" s="76"/>
      <c r="HWS50" s="76"/>
      <c r="HWT50" s="76"/>
      <c r="HWU50" s="76"/>
      <c r="HWV50" s="76"/>
      <c r="HWW50" s="76"/>
      <c r="HWX50" s="76"/>
      <c r="HWY50" s="76"/>
      <c r="HWZ50" s="76"/>
      <c r="HXA50" s="76"/>
      <c r="HXB50" s="76"/>
      <c r="HXC50" s="76"/>
      <c r="HXD50" s="76"/>
      <c r="HXE50" s="76"/>
      <c r="HXF50" s="76"/>
      <c r="HXG50" s="76"/>
      <c r="HXH50" s="76"/>
      <c r="HXI50" s="76"/>
      <c r="HXJ50" s="76"/>
      <c r="HXK50" s="76"/>
      <c r="HXL50" s="76"/>
      <c r="HXM50" s="76"/>
      <c r="HXN50" s="76"/>
      <c r="HXO50" s="76"/>
      <c r="HXP50" s="76"/>
      <c r="HXQ50" s="76"/>
      <c r="HXR50" s="76"/>
      <c r="HXS50" s="76"/>
      <c r="HXT50" s="76"/>
      <c r="HXU50" s="76"/>
      <c r="HXV50" s="76"/>
      <c r="HXW50" s="76"/>
      <c r="HXX50" s="76"/>
      <c r="HXY50" s="76"/>
      <c r="HXZ50" s="76"/>
      <c r="HYA50" s="76"/>
      <c r="HYB50" s="76"/>
      <c r="HYC50" s="76"/>
      <c r="HYD50" s="76"/>
      <c r="HYE50" s="76"/>
      <c r="HYF50" s="76"/>
      <c r="HYG50" s="76"/>
      <c r="HYH50" s="76"/>
      <c r="HYI50" s="76"/>
      <c r="HYJ50" s="76"/>
      <c r="HYK50" s="76"/>
      <c r="HYL50" s="76"/>
      <c r="HYM50" s="76"/>
      <c r="HYN50" s="76"/>
      <c r="HYO50" s="76"/>
      <c r="HYP50" s="76"/>
      <c r="HYQ50" s="76"/>
      <c r="HYR50" s="76"/>
      <c r="HYS50" s="76"/>
      <c r="HYT50" s="76"/>
      <c r="HYU50" s="76"/>
      <c r="HYV50" s="76"/>
      <c r="HYW50" s="76"/>
      <c r="HYX50" s="76"/>
      <c r="HYY50" s="76"/>
      <c r="HYZ50" s="76"/>
      <c r="HZA50" s="76"/>
      <c r="HZB50" s="76"/>
      <c r="HZC50" s="76"/>
      <c r="HZD50" s="76"/>
      <c r="HZE50" s="76"/>
      <c r="HZF50" s="76"/>
      <c r="HZG50" s="76"/>
      <c r="HZH50" s="76"/>
      <c r="HZI50" s="76"/>
      <c r="HZJ50" s="76"/>
      <c r="HZK50" s="76"/>
      <c r="HZL50" s="76"/>
      <c r="HZM50" s="76"/>
      <c r="HZN50" s="76"/>
      <c r="HZO50" s="76"/>
      <c r="HZP50" s="76"/>
      <c r="HZQ50" s="76"/>
      <c r="HZR50" s="76"/>
      <c r="HZS50" s="76"/>
      <c r="HZT50" s="76"/>
      <c r="HZU50" s="76"/>
      <c r="HZV50" s="76"/>
      <c r="HZW50" s="76"/>
      <c r="HZX50" s="76"/>
      <c r="HZY50" s="76"/>
      <c r="HZZ50" s="76"/>
      <c r="IAA50" s="76"/>
      <c r="IAB50" s="76"/>
      <c r="IAC50" s="76"/>
      <c r="IAD50" s="76"/>
      <c r="IAE50" s="76"/>
      <c r="IAF50" s="76"/>
      <c r="IAG50" s="76"/>
      <c r="IAH50" s="76"/>
      <c r="IAI50" s="76"/>
      <c r="IAJ50" s="76"/>
      <c r="IAK50" s="76"/>
      <c r="IAL50" s="76"/>
      <c r="IAM50" s="76"/>
      <c r="IAN50" s="76"/>
      <c r="IAO50" s="76"/>
      <c r="IAP50" s="76"/>
      <c r="IAQ50" s="76"/>
      <c r="IAR50" s="76"/>
      <c r="IAS50" s="76"/>
      <c r="IAT50" s="76"/>
      <c r="IAU50" s="76"/>
      <c r="IAV50" s="76"/>
      <c r="IAW50" s="76"/>
      <c r="IAX50" s="76"/>
      <c r="IAY50" s="76"/>
      <c r="IAZ50" s="76"/>
      <c r="IBA50" s="76"/>
      <c r="IBB50" s="76"/>
      <c r="IBC50" s="76"/>
      <c r="IBD50" s="76"/>
      <c r="IBE50" s="76"/>
      <c r="IBF50" s="76"/>
      <c r="IBG50" s="76"/>
      <c r="IBH50" s="76"/>
      <c r="IBI50" s="76"/>
      <c r="IBJ50" s="76"/>
      <c r="IBK50" s="76"/>
      <c r="IBL50" s="76"/>
      <c r="IBM50" s="76"/>
      <c r="IBN50" s="76"/>
      <c r="IBO50" s="76"/>
      <c r="IBP50" s="76"/>
      <c r="IBQ50" s="76"/>
      <c r="IBR50" s="76"/>
      <c r="IBS50" s="76"/>
      <c r="IBT50" s="76"/>
      <c r="IBU50" s="76"/>
      <c r="IBV50" s="76"/>
      <c r="IBW50" s="76"/>
      <c r="IBX50" s="76"/>
      <c r="IBY50" s="76"/>
      <c r="IBZ50" s="76"/>
      <c r="ICA50" s="76"/>
      <c r="ICB50" s="76"/>
      <c r="ICC50" s="76"/>
      <c r="ICD50" s="76"/>
      <c r="ICE50" s="76"/>
      <c r="ICF50" s="76"/>
      <c r="ICG50" s="76"/>
      <c r="ICH50" s="76"/>
      <c r="ICI50" s="76"/>
      <c r="ICJ50" s="76"/>
      <c r="ICK50" s="76"/>
      <c r="ICL50" s="76"/>
      <c r="ICM50" s="76"/>
      <c r="ICN50" s="76"/>
      <c r="ICO50" s="76"/>
      <c r="ICP50" s="76"/>
      <c r="ICQ50" s="76"/>
      <c r="ICR50" s="76"/>
      <c r="ICS50" s="76"/>
      <c r="ICT50" s="76"/>
      <c r="ICU50" s="76"/>
      <c r="ICV50" s="76"/>
      <c r="ICW50" s="76"/>
      <c r="ICX50" s="76"/>
      <c r="ICY50" s="76"/>
      <c r="ICZ50" s="76"/>
      <c r="IDA50" s="76"/>
      <c r="IDB50" s="76"/>
      <c r="IDC50" s="76"/>
      <c r="IDD50" s="76"/>
      <c r="IDE50" s="76"/>
      <c r="IDF50" s="76"/>
      <c r="IDG50" s="76"/>
      <c r="IDH50" s="76"/>
      <c r="IDI50" s="76"/>
      <c r="IDJ50" s="76"/>
      <c r="IDK50" s="76"/>
      <c r="IDL50" s="76"/>
      <c r="IDM50" s="76"/>
      <c r="IDN50" s="76"/>
      <c r="IDO50" s="76"/>
      <c r="IDP50" s="76"/>
      <c r="IDQ50" s="76"/>
      <c r="IDR50" s="76"/>
      <c r="IDS50" s="76"/>
      <c r="IDT50" s="76"/>
      <c r="IDU50" s="76"/>
      <c r="IDV50" s="76"/>
      <c r="IDW50" s="76"/>
      <c r="IDX50" s="76"/>
      <c r="IDY50" s="76"/>
      <c r="IDZ50" s="76"/>
      <c r="IEA50" s="76"/>
      <c r="IEB50" s="76"/>
      <c r="IEC50" s="76"/>
      <c r="IED50" s="76"/>
      <c r="IEE50" s="76"/>
      <c r="IEF50" s="76"/>
      <c r="IEG50" s="76"/>
      <c r="IEH50" s="76"/>
      <c r="IEI50" s="76"/>
      <c r="IEJ50" s="76"/>
      <c r="IEK50" s="76"/>
      <c r="IEL50" s="76"/>
      <c r="IEM50" s="76"/>
      <c r="IEN50" s="76"/>
      <c r="IEO50" s="76"/>
      <c r="IEP50" s="76"/>
      <c r="IEQ50" s="76"/>
      <c r="IER50" s="76"/>
      <c r="IES50" s="76"/>
      <c r="IET50" s="76"/>
      <c r="IEU50" s="76"/>
      <c r="IEV50" s="76"/>
      <c r="IEW50" s="76"/>
      <c r="IEX50" s="76"/>
      <c r="IEY50" s="76"/>
      <c r="IEZ50" s="76"/>
      <c r="IFA50" s="76"/>
      <c r="IFB50" s="76"/>
      <c r="IFC50" s="76"/>
      <c r="IFD50" s="76"/>
      <c r="IFE50" s="76"/>
      <c r="IFF50" s="76"/>
      <c r="IFG50" s="76"/>
      <c r="IFH50" s="76"/>
      <c r="IFI50" s="76"/>
      <c r="IFJ50" s="76"/>
      <c r="IFK50" s="76"/>
      <c r="IFL50" s="76"/>
      <c r="IFM50" s="76"/>
      <c r="IFN50" s="76"/>
      <c r="IFO50" s="76"/>
      <c r="IFP50" s="76"/>
      <c r="IFQ50" s="76"/>
      <c r="IFR50" s="76"/>
      <c r="IFS50" s="76"/>
      <c r="IFT50" s="76"/>
      <c r="IFU50" s="76"/>
      <c r="IFV50" s="76"/>
      <c r="IFW50" s="76"/>
      <c r="IFX50" s="76"/>
      <c r="IFY50" s="76"/>
      <c r="IFZ50" s="76"/>
      <c r="IGA50" s="76"/>
      <c r="IGB50" s="76"/>
      <c r="IGC50" s="76"/>
      <c r="IGD50" s="76"/>
      <c r="IGE50" s="76"/>
      <c r="IGF50" s="76"/>
      <c r="IGG50" s="76"/>
      <c r="IGH50" s="76"/>
      <c r="IGI50" s="76"/>
      <c r="IGJ50" s="76"/>
      <c r="IGK50" s="76"/>
      <c r="IGL50" s="76"/>
      <c r="IGM50" s="76"/>
      <c r="IGN50" s="76"/>
      <c r="IGO50" s="76"/>
      <c r="IGP50" s="76"/>
      <c r="IGQ50" s="76"/>
      <c r="IGR50" s="76"/>
      <c r="IGS50" s="76"/>
      <c r="IGT50" s="76"/>
      <c r="IGU50" s="76"/>
      <c r="IGV50" s="76"/>
      <c r="IGW50" s="76"/>
      <c r="IGX50" s="76"/>
      <c r="IGY50" s="76"/>
      <c r="IGZ50" s="76"/>
      <c r="IHA50" s="76"/>
      <c r="IHB50" s="76"/>
      <c r="IHC50" s="76"/>
      <c r="IHD50" s="76"/>
      <c r="IHE50" s="76"/>
      <c r="IHF50" s="76"/>
      <c r="IHG50" s="76"/>
      <c r="IHH50" s="76"/>
      <c r="IHI50" s="76"/>
      <c r="IHJ50" s="76"/>
      <c r="IHK50" s="76"/>
      <c r="IHL50" s="76"/>
      <c r="IHM50" s="76"/>
      <c r="IHN50" s="76"/>
      <c r="IHO50" s="76"/>
      <c r="IHP50" s="76"/>
      <c r="IHQ50" s="76"/>
      <c r="IHR50" s="76"/>
      <c r="IHS50" s="76"/>
      <c r="IHT50" s="76"/>
      <c r="IHU50" s="76"/>
      <c r="IHV50" s="76"/>
      <c r="IHW50" s="76"/>
      <c r="IHX50" s="76"/>
      <c r="IHY50" s="76"/>
      <c r="IHZ50" s="76"/>
      <c r="IIA50" s="76"/>
      <c r="IIB50" s="76"/>
      <c r="IIC50" s="76"/>
      <c r="IID50" s="76"/>
      <c r="IIE50" s="76"/>
      <c r="IIF50" s="76"/>
      <c r="IIG50" s="76"/>
      <c r="IIH50" s="76"/>
      <c r="III50" s="76"/>
      <c r="IIJ50" s="76"/>
      <c r="IIK50" s="76"/>
      <c r="IIL50" s="76"/>
      <c r="IIM50" s="76"/>
      <c r="IIN50" s="76"/>
      <c r="IIO50" s="76"/>
      <c r="IIP50" s="76"/>
      <c r="IIQ50" s="76"/>
      <c r="IIR50" s="76"/>
      <c r="IIS50" s="76"/>
      <c r="IIT50" s="76"/>
      <c r="IIU50" s="76"/>
      <c r="IIV50" s="76"/>
      <c r="IIW50" s="76"/>
      <c r="IIX50" s="76"/>
      <c r="IIY50" s="76"/>
      <c r="IIZ50" s="76"/>
      <c r="IJA50" s="76"/>
      <c r="IJB50" s="76"/>
      <c r="IJC50" s="76"/>
      <c r="IJD50" s="76"/>
      <c r="IJE50" s="76"/>
      <c r="IJF50" s="76"/>
      <c r="IJG50" s="76"/>
      <c r="IJH50" s="76"/>
      <c r="IJI50" s="76"/>
      <c r="IJJ50" s="76"/>
      <c r="IJK50" s="76"/>
      <c r="IJL50" s="76"/>
      <c r="IJM50" s="76"/>
      <c r="IJN50" s="76"/>
      <c r="IJO50" s="76"/>
      <c r="IJP50" s="76"/>
      <c r="IJQ50" s="76"/>
      <c r="IJR50" s="76"/>
      <c r="IJS50" s="76"/>
      <c r="IJT50" s="76"/>
      <c r="IJU50" s="76"/>
      <c r="IJV50" s="76"/>
      <c r="IJW50" s="76"/>
      <c r="IJX50" s="76"/>
      <c r="IJY50" s="76"/>
      <c r="IJZ50" s="76"/>
      <c r="IKA50" s="76"/>
      <c r="IKB50" s="76"/>
      <c r="IKC50" s="76"/>
      <c r="IKD50" s="76"/>
      <c r="IKE50" s="76"/>
      <c r="IKF50" s="76"/>
      <c r="IKG50" s="76"/>
      <c r="IKH50" s="76"/>
      <c r="IKI50" s="76"/>
      <c r="IKJ50" s="76"/>
      <c r="IKK50" s="76"/>
      <c r="IKL50" s="76"/>
      <c r="IKM50" s="76"/>
      <c r="IKN50" s="76"/>
      <c r="IKO50" s="76"/>
      <c r="IKP50" s="76"/>
      <c r="IKQ50" s="76"/>
      <c r="IKR50" s="76"/>
      <c r="IKS50" s="76"/>
      <c r="IKT50" s="76"/>
      <c r="IKU50" s="76"/>
      <c r="IKV50" s="76"/>
      <c r="IKW50" s="76"/>
      <c r="IKX50" s="76"/>
      <c r="IKY50" s="76"/>
      <c r="IKZ50" s="76"/>
      <c r="ILA50" s="76"/>
      <c r="ILB50" s="76"/>
      <c r="ILC50" s="76"/>
      <c r="ILD50" s="76"/>
      <c r="ILE50" s="76"/>
      <c r="ILF50" s="76"/>
      <c r="ILG50" s="76"/>
      <c r="ILH50" s="76"/>
      <c r="ILI50" s="76"/>
      <c r="ILJ50" s="76"/>
      <c r="ILK50" s="76"/>
      <c r="ILL50" s="76"/>
      <c r="ILM50" s="76"/>
      <c r="ILN50" s="76"/>
      <c r="ILO50" s="76"/>
      <c r="ILP50" s="76"/>
      <c r="ILQ50" s="76"/>
      <c r="ILR50" s="76"/>
      <c r="ILS50" s="76"/>
      <c r="ILT50" s="76"/>
      <c r="ILU50" s="76"/>
      <c r="ILV50" s="76"/>
      <c r="ILW50" s="76"/>
      <c r="ILX50" s="76"/>
      <c r="ILY50" s="76"/>
      <c r="ILZ50" s="76"/>
      <c r="IMA50" s="76"/>
      <c r="IMB50" s="76"/>
      <c r="IMC50" s="76"/>
      <c r="IMD50" s="76"/>
      <c r="IME50" s="76"/>
      <c r="IMF50" s="76"/>
      <c r="IMG50" s="76"/>
      <c r="IMH50" s="76"/>
      <c r="IMI50" s="76"/>
      <c r="IMJ50" s="76"/>
      <c r="IMK50" s="76"/>
      <c r="IML50" s="76"/>
      <c r="IMM50" s="76"/>
      <c r="IMN50" s="76"/>
      <c r="IMO50" s="76"/>
      <c r="IMP50" s="76"/>
      <c r="IMQ50" s="76"/>
      <c r="IMR50" s="76"/>
      <c r="IMS50" s="76"/>
      <c r="IMT50" s="76"/>
      <c r="IMU50" s="76"/>
      <c r="IMV50" s="76"/>
      <c r="IMW50" s="76"/>
      <c r="IMX50" s="76"/>
      <c r="IMY50" s="76"/>
      <c r="IMZ50" s="76"/>
      <c r="INA50" s="76"/>
      <c r="INB50" s="76"/>
      <c r="INC50" s="76"/>
      <c r="IND50" s="76"/>
      <c r="INE50" s="76"/>
      <c r="INF50" s="76"/>
      <c r="ING50" s="76"/>
      <c r="INH50" s="76"/>
      <c r="INI50" s="76"/>
      <c r="INJ50" s="76"/>
      <c r="INK50" s="76"/>
      <c r="INL50" s="76"/>
      <c r="INM50" s="76"/>
      <c r="INN50" s="76"/>
      <c r="INO50" s="76"/>
      <c r="INP50" s="76"/>
      <c r="INQ50" s="76"/>
      <c r="INR50" s="76"/>
      <c r="INS50" s="76"/>
      <c r="INT50" s="76"/>
      <c r="INU50" s="76"/>
      <c r="INV50" s="76"/>
      <c r="INW50" s="76"/>
      <c r="INX50" s="76"/>
      <c r="INY50" s="76"/>
      <c r="INZ50" s="76"/>
      <c r="IOA50" s="76"/>
      <c r="IOB50" s="76"/>
      <c r="IOC50" s="76"/>
      <c r="IOD50" s="76"/>
      <c r="IOE50" s="76"/>
      <c r="IOF50" s="76"/>
      <c r="IOG50" s="76"/>
      <c r="IOH50" s="76"/>
      <c r="IOI50" s="76"/>
      <c r="IOJ50" s="76"/>
      <c r="IOK50" s="76"/>
      <c r="IOL50" s="76"/>
      <c r="IOM50" s="76"/>
      <c r="ION50" s="76"/>
      <c r="IOO50" s="76"/>
      <c r="IOP50" s="76"/>
      <c r="IOQ50" s="76"/>
      <c r="IOR50" s="76"/>
      <c r="IOS50" s="76"/>
      <c r="IOT50" s="76"/>
      <c r="IOU50" s="76"/>
      <c r="IOV50" s="76"/>
      <c r="IOW50" s="76"/>
      <c r="IOX50" s="76"/>
      <c r="IOY50" s="76"/>
      <c r="IOZ50" s="76"/>
      <c r="IPA50" s="76"/>
      <c r="IPB50" s="76"/>
      <c r="IPC50" s="76"/>
      <c r="IPD50" s="76"/>
      <c r="IPE50" s="76"/>
      <c r="IPF50" s="76"/>
      <c r="IPG50" s="76"/>
      <c r="IPH50" s="76"/>
      <c r="IPI50" s="76"/>
      <c r="IPJ50" s="76"/>
      <c r="IPK50" s="76"/>
      <c r="IPL50" s="76"/>
      <c r="IPM50" s="76"/>
      <c r="IPN50" s="76"/>
      <c r="IPO50" s="76"/>
      <c r="IPP50" s="76"/>
      <c r="IPQ50" s="76"/>
      <c r="IPR50" s="76"/>
      <c r="IPS50" s="76"/>
      <c r="IPT50" s="76"/>
      <c r="IPU50" s="76"/>
      <c r="IPV50" s="76"/>
      <c r="IPW50" s="76"/>
      <c r="IPX50" s="76"/>
      <c r="IPY50" s="76"/>
      <c r="IPZ50" s="76"/>
      <c r="IQA50" s="76"/>
      <c r="IQB50" s="76"/>
      <c r="IQC50" s="76"/>
      <c r="IQD50" s="76"/>
      <c r="IQE50" s="76"/>
      <c r="IQF50" s="76"/>
      <c r="IQG50" s="76"/>
      <c r="IQH50" s="76"/>
      <c r="IQI50" s="76"/>
      <c r="IQJ50" s="76"/>
      <c r="IQK50" s="76"/>
      <c r="IQL50" s="76"/>
      <c r="IQM50" s="76"/>
      <c r="IQN50" s="76"/>
      <c r="IQO50" s="76"/>
      <c r="IQP50" s="76"/>
      <c r="IQQ50" s="76"/>
      <c r="IQR50" s="76"/>
      <c r="IQS50" s="76"/>
      <c r="IQT50" s="76"/>
      <c r="IQU50" s="76"/>
      <c r="IQV50" s="76"/>
      <c r="IQW50" s="76"/>
      <c r="IQX50" s="76"/>
      <c r="IQY50" s="76"/>
      <c r="IQZ50" s="76"/>
      <c r="IRA50" s="76"/>
      <c r="IRB50" s="76"/>
      <c r="IRC50" s="76"/>
      <c r="IRD50" s="76"/>
      <c r="IRE50" s="76"/>
      <c r="IRF50" s="76"/>
      <c r="IRG50" s="76"/>
      <c r="IRH50" s="76"/>
      <c r="IRI50" s="76"/>
      <c r="IRJ50" s="76"/>
      <c r="IRK50" s="76"/>
      <c r="IRL50" s="76"/>
      <c r="IRM50" s="76"/>
      <c r="IRN50" s="76"/>
      <c r="IRO50" s="76"/>
      <c r="IRP50" s="76"/>
      <c r="IRQ50" s="76"/>
      <c r="IRR50" s="76"/>
      <c r="IRS50" s="76"/>
      <c r="IRT50" s="76"/>
      <c r="IRU50" s="76"/>
      <c r="IRV50" s="76"/>
      <c r="IRW50" s="76"/>
      <c r="IRX50" s="76"/>
      <c r="IRY50" s="76"/>
      <c r="IRZ50" s="76"/>
      <c r="ISA50" s="76"/>
      <c r="ISB50" s="76"/>
      <c r="ISC50" s="76"/>
      <c r="ISD50" s="76"/>
      <c r="ISE50" s="76"/>
      <c r="ISF50" s="76"/>
      <c r="ISG50" s="76"/>
      <c r="ISH50" s="76"/>
      <c r="ISI50" s="76"/>
      <c r="ISJ50" s="76"/>
      <c r="ISK50" s="76"/>
      <c r="ISL50" s="76"/>
      <c r="ISM50" s="76"/>
      <c r="ISN50" s="76"/>
      <c r="ISO50" s="76"/>
      <c r="ISP50" s="76"/>
      <c r="ISQ50" s="76"/>
      <c r="ISR50" s="76"/>
      <c r="ISS50" s="76"/>
      <c r="IST50" s="76"/>
      <c r="ISU50" s="76"/>
      <c r="ISV50" s="76"/>
      <c r="ISW50" s="76"/>
      <c r="ISX50" s="76"/>
      <c r="ISY50" s="76"/>
      <c r="ISZ50" s="76"/>
      <c r="ITA50" s="76"/>
      <c r="ITB50" s="76"/>
      <c r="ITC50" s="76"/>
      <c r="ITD50" s="76"/>
      <c r="ITE50" s="76"/>
      <c r="ITF50" s="76"/>
      <c r="ITG50" s="76"/>
      <c r="ITH50" s="76"/>
      <c r="ITI50" s="76"/>
      <c r="ITJ50" s="76"/>
      <c r="ITK50" s="76"/>
      <c r="ITL50" s="76"/>
      <c r="ITM50" s="76"/>
      <c r="ITN50" s="76"/>
      <c r="ITO50" s="76"/>
      <c r="ITP50" s="76"/>
      <c r="ITQ50" s="76"/>
      <c r="ITR50" s="76"/>
      <c r="ITS50" s="76"/>
      <c r="ITT50" s="76"/>
      <c r="ITU50" s="76"/>
      <c r="ITV50" s="76"/>
      <c r="ITW50" s="76"/>
      <c r="ITX50" s="76"/>
      <c r="ITY50" s="76"/>
      <c r="ITZ50" s="76"/>
      <c r="IUA50" s="76"/>
      <c r="IUB50" s="76"/>
      <c r="IUC50" s="76"/>
      <c r="IUD50" s="76"/>
      <c r="IUE50" s="76"/>
      <c r="IUF50" s="76"/>
      <c r="IUG50" s="76"/>
      <c r="IUH50" s="76"/>
      <c r="IUI50" s="76"/>
      <c r="IUJ50" s="76"/>
      <c r="IUK50" s="76"/>
      <c r="IUL50" s="76"/>
      <c r="IUM50" s="76"/>
      <c r="IUN50" s="76"/>
      <c r="IUO50" s="76"/>
      <c r="IUP50" s="76"/>
      <c r="IUQ50" s="76"/>
      <c r="IUR50" s="76"/>
      <c r="IUS50" s="76"/>
      <c r="IUT50" s="76"/>
      <c r="IUU50" s="76"/>
      <c r="IUV50" s="76"/>
      <c r="IUW50" s="76"/>
      <c r="IUX50" s="76"/>
      <c r="IUY50" s="76"/>
      <c r="IUZ50" s="76"/>
      <c r="IVA50" s="76"/>
      <c r="IVB50" s="76"/>
      <c r="IVC50" s="76"/>
      <c r="IVD50" s="76"/>
      <c r="IVE50" s="76"/>
      <c r="IVF50" s="76"/>
      <c r="IVG50" s="76"/>
      <c r="IVH50" s="76"/>
      <c r="IVI50" s="76"/>
      <c r="IVJ50" s="76"/>
      <c r="IVK50" s="76"/>
      <c r="IVL50" s="76"/>
      <c r="IVM50" s="76"/>
      <c r="IVN50" s="76"/>
      <c r="IVO50" s="76"/>
      <c r="IVP50" s="76"/>
      <c r="IVQ50" s="76"/>
      <c r="IVR50" s="76"/>
      <c r="IVS50" s="76"/>
      <c r="IVT50" s="76"/>
      <c r="IVU50" s="76"/>
      <c r="IVV50" s="76"/>
      <c r="IVW50" s="76"/>
      <c r="IVX50" s="76"/>
      <c r="IVY50" s="76"/>
      <c r="IVZ50" s="76"/>
      <c r="IWA50" s="76"/>
      <c r="IWB50" s="76"/>
      <c r="IWC50" s="76"/>
      <c r="IWD50" s="76"/>
      <c r="IWE50" s="76"/>
      <c r="IWF50" s="76"/>
      <c r="IWG50" s="76"/>
      <c r="IWH50" s="76"/>
      <c r="IWI50" s="76"/>
      <c r="IWJ50" s="76"/>
      <c r="IWK50" s="76"/>
      <c r="IWL50" s="76"/>
      <c r="IWM50" s="76"/>
      <c r="IWN50" s="76"/>
      <c r="IWO50" s="76"/>
      <c r="IWP50" s="76"/>
      <c r="IWQ50" s="76"/>
      <c r="IWR50" s="76"/>
      <c r="IWS50" s="76"/>
      <c r="IWT50" s="76"/>
      <c r="IWU50" s="76"/>
      <c r="IWV50" s="76"/>
      <c r="IWW50" s="76"/>
      <c r="IWX50" s="76"/>
      <c r="IWY50" s="76"/>
      <c r="IWZ50" s="76"/>
      <c r="IXA50" s="76"/>
      <c r="IXB50" s="76"/>
      <c r="IXC50" s="76"/>
      <c r="IXD50" s="76"/>
      <c r="IXE50" s="76"/>
      <c r="IXF50" s="76"/>
      <c r="IXG50" s="76"/>
      <c r="IXH50" s="76"/>
      <c r="IXI50" s="76"/>
      <c r="IXJ50" s="76"/>
      <c r="IXK50" s="76"/>
      <c r="IXL50" s="76"/>
      <c r="IXM50" s="76"/>
      <c r="IXN50" s="76"/>
      <c r="IXO50" s="76"/>
      <c r="IXP50" s="76"/>
      <c r="IXQ50" s="76"/>
      <c r="IXR50" s="76"/>
      <c r="IXS50" s="76"/>
      <c r="IXT50" s="76"/>
      <c r="IXU50" s="76"/>
      <c r="IXV50" s="76"/>
      <c r="IXW50" s="76"/>
      <c r="IXX50" s="76"/>
      <c r="IXY50" s="76"/>
      <c r="IXZ50" s="76"/>
      <c r="IYA50" s="76"/>
      <c r="IYB50" s="76"/>
      <c r="IYC50" s="76"/>
      <c r="IYD50" s="76"/>
      <c r="IYE50" s="76"/>
      <c r="IYF50" s="76"/>
      <c r="IYG50" s="76"/>
      <c r="IYH50" s="76"/>
      <c r="IYI50" s="76"/>
      <c r="IYJ50" s="76"/>
      <c r="IYK50" s="76"/>
      <c r="IYL50" s="76"/>
      <c r="IYM50" s="76"/>
      <c r="IYN50" s="76"/>
      <c r="IYO50" s="76"/>
      <c r="IYP50" s="76"/>
      <c r="IYQ50" s="76"/>
      <c r="IYR50" s="76"/>
      <c r="IYS50" s="76"/>
      <c r="IYT50" s="76"/>
      <c r="IYU50" s="76"/>
      <c r="IYV50" s="76"/>
      <c r="IYW50" s="76"/>
      <c r="IYX50" s="76"/>
      <c r="IYY50" s="76"/>
      <c r="IYZ50" s="76"/>
      <c r="IZA50" s="76"/>
      <c r="IZB50" s="76"/>
      <c r="IZC50" s="76"/>
      <c r="IZD50" s="76"/>
      <c r="IZE50" s="76"/>
      <c r="IZF50" s="76"/>
      <c r="IZG50" s="76"/>
      <c r="IZH50" s="76"/>
      <c r="IZI50" s="76"/>
      <c r="IZJ50" s="76"/>
      <c r="IZK50" s="76"/>
      <c r="IZL50" s="76"/>
      <c r="IZM50" s="76"/>
      <c r="IZN50" s="76"/>
      <c r="IZO50" s="76"/>
      <c r="IZP50" s="76"/>
      <c r="IZQ50" s="76"/>
      <c r="IZR50" s="76"/>
      <c r="IZS50" s="76"/>
      <c r="IZT50" s="76"/>
      <c r="IZU50" s="76"/>
      <c r="IZV50" s="76"/>
      <c r="IZW50" s="76"/>
      <c r="IZX50" s="76"/>
      <c r="IZY50" s="76"/>
      <c r="IZZ50" s="76"/>
      <c r="JAA50" s="76"/>
      <c r="JAB50" s="76"/>
      <c r="JAC50" s="76"/>
      <c r="JAD50" s="76"/>
      <c r="JAE50" s="76"/>
      <c r="JAF50" s="76"/>
      <c r="JAG50" s="76"/>
      <c r="JAH50" s="76"/>
      <c r="JAI50" s="76"/>
      <c r="JAJ50" s="76"/>
      <c r="JAK50" s="76"/>
      <c r="JAL50" s="76"/>
      <c r="JAM50" s="76"/>
      <c r="JAN50" s="76"/>
      <c r="JAO50" s="76"/>
      <c r="JAP50" s="76"/>
      <c r="JAQ50" s="76"/>
      <c r="JAR50" s="76"/>
      <c r="JAS50" s="76"/>
      <c r="JAT50" s="76"/>
      <c r="JAU50" s="76"/>
      <c r="JAV50" s="76"/>
      <c r="JAW50" s="76"/>
      <c r="JAX50" s="76"/>
      <c r="JAY50" s="76"/>
      <c r="JAZ50" s="76"/>
      <c r="JBA50" s="76"/>
      <c r="JBB50" s="76"/>
      <c r="JBC50" s="76"/>
      <c r="JBD50" s="76"/>
      <c r="JBE50" s="76"/>
      <c r="JBF50" s="76"/>
      <c r="JBG50" s="76"/>
      <c r="JBH50" s="76"/>
      <c r="JBI50" s="76"/>
      <c r="JBJ50" s="76"/>
      <c r="JBK50" s="76"/>
      <c r="JBL50" s="76"/>
      <c r="JBM50" s="76"/>
      <c r="JBN50" s="76"/>
      <c r="JBO50" s="76"/>
      <c r="JBP50" s="76"/>
      <c r="JBQ50" s="76"/>
      <c r="JBR50" s="76"/>
      <c r="JBS50" s="76"/>
      <c r="JBT50" s="76"/>
      <c r="JBU50" s="76"/>
      <c r="JBV50" s="76"/>
      <c r="JBW50" s="76"/>
      <c r="JBX50" s="76"/>
      <c r="JBY50" s="76"/>
      <c r="JBZ50" s="76"/>
      <c r="JCA50" s="76"/>
      <c r="JCB50" s="76"/>
      <c r="JCC50" s="76"/>
      <c r="JCD50" s="76"/>
      <c r="JCE50" s="76"/>
      <c r="JCF50" s="76"/>
      <c r="JCG50" s="76"/>
      <c r="JCH50" s="76"/>
      <c r="JCI50" s="76"/>
      <c r="JCJ50" s="76"/>
      <c r="JCK50" s="76"/>
      <c r="JCL50" s="76"/>
      <c r="JCM50" s="76"/>
      <c r="JCN50" s="76"/>
      <c r="JCO50" s="76"/>
      <c r="JCP50" s="76"/>
      <c r="JCQ50" s="76"/>
      <c r="JCR50" s="76"/>
      <c r="JCS50" s="76"/>
      <c r="JCT50" s="76"/>
      <c r="JCU50" s="76"/>
      <c r="JCV50" s="76"/>
      <c r="JCW50" s="76"/>
      <c r="JCX50" s="76"/>
      <c r="JCY50" s="76"/>
      <c r="JCZ50" s="76"/>
      <c r="JDA50" s="76"/>
      <c r="JDB50" s="76"/>
      <c r="JDC50" s="76"/>
      <c r="JDD50" s="76"/>
      <c r="JDE50" s="76"/>
      <c r="JDF50" s="76"/>
      <c r="JDG50" s="76"/>
      <c r="JDH50" s="76"/>
      <c r="JDI50" s="76"/>
      <c r="JDJ50" s="76"/>
      <c r="JDK50" s="76"/>
      <c r="JDL50" s="76"/>
      <c r="JDM50" s="76"/>
      <c r="JDN50" s="76"/>
      <c r="JDO50" s="76"/>
      <c r="JDP50" s="76"/>
      <c r="JDQ50" s="76"/>
      <c r="JDR50" s="76"/>
      <c r="JDS50" s="76"/>
      <c r="JDT50" s="76"/>
      <c r="JDU50" s="76"/>
      <c r="JDV50" s="76"/>
      <c r="JDW50" s="76"/>
      <c r="JDX50" s="76"/>
      <c r="JDY50" s="76"/>
      <c r="JDZ50" s="76"/>
      <c r="JEA50" s="76"/>
      <c r="JEB50" s="76"/>
      <c r="JEC50" s="76"/>
      <c r="JED50" s="76"/>
      <c r="JEE50" s="76"/>
      <c r="JEF50" s="76"/>
      <c r="JEG50" s="76"/>
      <c r="JEH50" s="76"/>
      <c r="JEI50" s="76"/>
      <c r="JEJ50" s="76"/>
      <c r="JEK50" s="76"/>
      <c r="JEL50" s="76"/>
      <c r="JEM50" s="76"/>
      <c r="JEN50" s="76"/>
      <c r="JEO50" s="76"/>
      <c r="JEP50" s="76"/>
      <c r="JEQ50" s="76"/>
      <c r="JER50" s="76"/>
      <c r="JES50" s="76"/>
      <c r="JET50" s="76"/>
      <c r="JEU50" s="76"/>
      <c r="JEV50" s="76"/>
      <c r="JEW50" s="76"/>
      <c r="JEX50" s="76"/>
      <c r="JEY50" s="76"/>
      <c r="JEZ50" s="76"/>
      <c r="JFA50" s="76"/>
      <c r="JFB50" s="76"/>
      <c r="JFC50" s="76"/>
      <c r="JFD50" s="76"/>
      <c r="JFE50" s="76"/>
      <c r="JFF50" s="76"/>
      <c r="JFG50" s="76"/>
      <c r="JFH50" s="76"/>
      <c r="JFI50" s="76"/>
      <c r="JFJ50" s="76"/>
      <c r="JFK50" s="76"/>
      <c r="JFL50" s="76"/>
      <c r="JFM50" s="76"/>
      <c r="JFN50" s="76"/>
      <c r="JFO50" s="76"/>
      <c r="JFP50" s="76"/>
      <c r="JFQ50" s="76"/>
      <c r="JFR50" s="76"/>
      <c r="JFS50" s="76"/>
      <c r="JFT50" s="76"/>
      <c r="JFU50" s="76"/>
      <c r="JFV50" s="76"/>
      <c r="JFW50" s="76"/>
      <c r="JFX50" s="76"/>
      <c r="JFY50" s="76"/>
      <c r="JFZ50" s="76"/>
      <c r="JGA50" s="76"/>
      <c r="JGB50" s="76"/>
      <c r="JGC50" s="76"/>
      <c r="JGD50" s="76"/>
      <c r="JGE50" s="76"/>
      <c r="JGF50" s="76"/>
      <c r="JGG50" s="76"/>
      <c r="JGH50" s="76"/>
      <c r="JGI50" s="76"/>
      <c r="JGJ50" s="76"/>
      <c r="JGK50" s="76"/>
      <c r="JGL50" s="76"/>
      <c r="JGM50" s="76"/>
      <c r="JGN50" s="76"/>
      <c r="JGO50" s="76"/>
      <c r="JGP50" s="76"/>
      <c r="JGQ50" s="76"/>
      <c r="JGR50" s="76"/>
      <c r="JGS50" s="76"/>
      <c r="JGT50" s="76"/>
      <c r="JGU50" s="76"/>
      <c r="JGV50" s="76"/>
      <c r="JGW50" s="76"/>
      <c r="JGX50" s="76"/>
      <c r="JGY50" s="76"/>
      <c r="JGZ50" s="76"/>
      <c r="JHA50" s="76"/>
      <c r="JHB50" s="76"/>
      <c r="JHC50" s="76"/>
      <c r="JHD50" s="76"/>
      <c r="JHE50" s="76"/>
      <c r="JHF50" s="76"/>
      <c r="JHG50" s="76"/>
      <c r="JHH50" s="76"/>
      <c r="JHI50" s="76"/>
      <c r="JHJ50" s="76"/>
      <c r="JHK50" s="76"/>
      <c r="JHL50" s="76"/>
      <c r="JHM50" s="76"/>
      <c r="JHN50" s="76"/>
      <c r="JHO50" s="76"/>
      <c r="JHP50" s="76"/>
      <c r="JHQ50" s="76"/>
      <c r="JHR50" s="76"/>
      <c r="JHS50" s="76"/>
      <c r="JHT50" s="76"/>
      <c r="JHU50" s="76"/>
      <c r="JHV50" s="76"/>
      <c r="JHW50" s="76"/>
      <c r="JHX50" s="76"/>
      <c r="JHY50" s="76"/>
      <c r="JHZ50" s="76"/>
      <c r="JIA50" s="76"/>
      <c r="JIB50" s="76"/>
      <c r="JIC50" s="76"/>
      <c r="JID50" s="76"/>
      <c r="JIE50" s="76"/>
      <c r="JIF50" s="76"/>
      <c r="JIG50" s="76"/>
      <c r="JIH50" s="76"/>
      <c r="JII50" s="76"/>
      <c r="JIJ50" s="76"/>
      <c r="JIK50" s="76"/>
      <c r="JIL50" s="76"/>
      <c r="JIM50" s="76"/>
      <c r="JIN50" s="76"/>
      <c r="JIO50" s="76"/>
      <c r="JIP50" s="76"/>
      <c r="JIQ50" s="76"/>
      <c r="JIR50" s="76"/>
      <c r="JIS50" s="76"/>
      <c r="JIT50" s="76"/>
      <c r="JIU50" s="76"/>
      <c r="JIV50" s="76"/>
      <c r="JIW50" s="76"/>
      <c r="JIX50" s="76"/>
      <c r="JIY50" s="76"/>
      <c r="JIZ50" s="76"/>
      <c r="JJA50" s="76"/>
      <c r="JJB50" s="76"/>
      <c r="JJC50" s="76"/>
      <c r="JJD50" s="76"/>
      <c r="JJE50" s="76"/>
      <c r="JJF50" s="76"/>
      <c r="JJG50" s="76"/>
      <c r="JJH50" s="76"/>
      <c r="JJI50" s="76"/>
      <c r="JJJ50" s="76"/>
      <c r="JJK50" s="76"/>
      <c r="JJL50" s="76"/>
      <c r="JJM50" s="76"/>
      <c r="JJN50" s="76"/>
      <c r="JJO50" s="76"/>
      <c r="JJP50" s="76"/>
      <c r="JJQ50" s="76"/>
      <c r="JJR50" s="76"/>
      <c r="JJS50" s="76"/>
      <c r="JJT50" s="76"/>
      <c r="JJU50" s="76"/>
      <c r="JJV50" s="76"/>
      <c r="JJW50" s="76"/>
      <c r="JJX50" s="76"/>
      <c r="JJY50" s="76"/>
      <c r="JJZ50" s="76"/>
      <c r="JKA50" s="76"/>
      <c r="JKB50" s="76"/>
      <c r="JKC50" s="76"/>
      <c r="JKD50" s="76"/>
      <c r="JKE50" s="76"/>
      <c r="JKF50" s="76"/>
      <c r="JKG50" s="76"/>
      <c r="JKH50" s="76"/>
      <c r="JKI50" s="76"/>
      <c r="JKJ50" s="76"/>
      <c r="JKK50" s="76"/>
      <c r="JKL50" s="76"/>
      <c r="JKM50" s="76"/>
      <c r="JKN50" s="76"/>
      <c r="JKO50" s="76"/>
      <c r="JKP50" s="76"/>
      <c r="JKQ50" s="76"/>
      <c r="JKR50" s="76"/>
      <c r="JKS50" s="76"/>
      <c r="JKT50" s="76"/>
      <c r="JKU50" s="76"/>
      <c r="JKV50" s="76"/>
      <c r="JKW50" s="76"/>
      <c r="JKX50" s="76"/>
      <c r="JKY50" s="76"/>
      <c r="JKZ50" s="76"/>
      <c r="JLA50" s="76"/>
      <c r="JLB50" s="76"/>
      <c r="JLC50" s="76"/>
      <c r="JLD50" s="76"/>
      <c r="JLE50" s="76"/>
      <c r="JLF50" s="76"/>
      <c r="JLG50" s="76"/>
      <c r="JLH50" s="76"/>
      <c r="JLI50" s="76"/>
      <c r="JLJ50" s="76"/>
      <c r="JLK50" s="76"/>
      <c r="JLL50" s="76"/>
      <c r="JLM50" s="76"/>
      <c r="JLN50" s="76"/>
      <c r="JLO50" s="76"/>
      <c r="JLP50" s="76"/>
      <c r="JLQ50" s="76"/>
      <c r="JLR50" s="76"/>
      <c r="JLS50" s="76"/>
      <c r="JLT50" s="76"/>
      <c r="JLU50" s="76"/>
      <c r="JLV50" s="76"/>
      <c r="JLW50" s="76"/>
      <c r="JLX50" s="76"/>
      <c r="JLY50" s="76"/>
      <c r="JLZ50" s="76"/>
      <c r="JMA50" s="76"/>
      <c r="JMB50" s="76"/>
      <c r="JMC50" s="76"/>
      <c r="JMD50" s="76"/>
      <c r="JME50" s="76"/>
      <c r="JMF50" s="76"/>
      <c r="JMG50" s="76"/>
      <c r="JMH50" s="76"/>
      <c r="JMI50" s="76"/>
      <c r="JMJ50" s="76"/>
      <c r="JMK50" s="76"/>
      <c r="JML50" s="76"/>
      <c r="JMM50" s="76"/>
      <c r="JMN50" s="76"/>
      <c r="JMO50" s="76"/>
      <c r="JMP50" s="76"/>
      <c r="JMQ50" s="76"/>
      <c r="JMR50" s="76"/>
      <c r="JMS50" s="76"/>
      <c r="JMT50" s="76"/>
      <c r="JMU50" s="76"/>
      <c r="JMV50" s="76"/>
      <c r="JMW50" s="76"/>
      <c r="JMX50" s="76"/>
      <c r="JMY50" s="76"/>
      <c r="JMZ50" s="76"/>
      <c r="JNA50" s="76"/>
      <c r="JNB50" s="76"/>
      <c r="JNC50" s="76"/>
      <c r="JND50" s="76"/>
      <c r="JNE50" s="76"/>
      <c r="JNF50" s="76"/>
      <c r="JNG50" s="76"/>
      <c r="JNH50" s="76"/>
      <c r="JNI50" s="76"/>
      <c r="JNJ50" s="76"/>
      <c r="JNK50" s="76"/>
      <c r="JNL50" s="76"/>
      <c r="JNM50" s="76"/>
      <c r="JNN50" s="76"/>
      <c r="JNO50" s="76"/>
      <c r="JNP50" s="76"/>
      <c r="JNQ50" s="76"/>
      <c r="JNR50" s="76"/>
      <c r="JNS50" s="76"/>
      <c r="JNT50" s="76"/>
      <c r="JNU50" s="76"/>
      <c r="JNV50" s="76"/>
      <c r="JNW50" s="76"/>
      <c r="JNX50" s="76"/>
      <c r="JNY50" s="76"/>
      <c r="JNZ50" s="76"/>
      <c r="JOA50" s="76"/>
      <c r="JOB50" s="76"/>
      <c r="JOC50" s="76"/>
      <c r="JOD50" s="76"/>
      <c r="JOE50" s="76"/>
      <c r="JOF50" s="76"/>
      <c r="JOG50" s="76"/>
      <c r="JOH50" s="76"/>
      <c r="JOI50" s="76"/>
      <c r="JOJ50" s="76"/>
      <c r="JOK50" s="76"/>
      <c r="JOL50" s="76"/>
      <c r="JOM50" s="76"/>
      <c r="JON50" s="76"/>
      <c r="JOO50" s="76"/>
      <c r="JOP50" s="76"/>
      <c r="JOQ50" s="76"/>
      <c r="JOR50" s="76"/>
      <c r="JOS50" s="76"/>
      <c r="JOT50" s="76"/>
      <c r="JOU50" s="76"/>
      <c r="JOV50" s="76"/>
      <c r="JOW50" s="76"/>
      <c r="JOX50" s="76"/>
      <c r="JOY50" s="76"/>
      <c r="JOZ50" s="76"/>
      <c r="JPA50" s="76"/>
      <c r="JPB50" s="76"/>
      <c r="JPC50" s="76"/>
      <c r="JPD50" s="76"/>
      <c r="JPE50" s="76"/>
      <c r="JPF50" s="76"/>
      <c r="JPG50" s="76"/>
      <c r="JPH50" s="76"/>
      <c r="JPI50" s="76"/>
      <c r="JPJ50" s="76"/>
      <c r="JPK50" s="76"/>
      <c r="JPL50" s="76"/>
      <c r="JPM50" s="76"/>
      <c r="JPN50" s="76"/>
      <c r="JPO50" s="76"/>
      <c r="JPP50" s="76"/>
      <c r="JPQ50" s="76"/>
      <c r="JPR50" s="76"/>
      <c r="JPS50" s="76"/>
      <c r="JPT50" s="76"/>
      <c r="JPU50" s="76"/>
      <c r="JPV50" s="76"/>
      <c r="JPW50" s="76"/>
      <c r="JPX50" s="76"/>
      <c r="JPY50" s="76"/>
      <c r="JPZ50" s="76"/>
      <c r="JQA50" s="76"/>
      <c r="JQB50" s="76"/>
      <c r="JQC50" s="76"/>
      <c r="JQD50" s="76"/>
      <c r="JQE50" s="76"/>
      <c r="JQF50" s="76"/>
      <c r="JQG50" s="76"/>
      <c r="JQH50" s="76"/>
      <c r="JQI50" s="76"/>
      <c r="JQJ50" s="76"/>
      <c r="JQK50" s="76"/>
      <c r="JQL50" s="76"/>
      <c r="JQM50" s="76"/>
      <c r="JQN50" s="76"/>
      <c r="JQO50" s="76"/>
      <c r="JQP50" s="76"/>
      <c r="JQQ50" s="76"/>
      <c r="JQR50" s="76"/>
      <c r="JQS50" s="76"/>
      <c r="JQT50" s="76"/>
      <c r="JQU50" s="76"/>
      <c r="JQV50" s="76"/>
      <c r="JQW50" s="76"/>
      <c r="JQX50" s="76"/>
      <c r="JQY50" s="76"/>
      <c r="JQZ50" s="76"/>
      <c r="JRA50" s="76"/>
      <c r="JRB50" s="76"/>
      <c r="JRC50" s="76"/>
      <c r="JRD50" s="76"/>
      <c r="JRE50" s="76"/>
      <c r="JRF50" s="76"/>
      <c r="JRG50" s="76"/>
      <c r="JRH50" s="76"/>
      <c r="JRI50" s="76"/>
      <c r="JRJ50" s="76"/>
      <c r="JRK50" s="76"/>
      <c r="JRL50" s="76"/>
      <c r="JRM50" s="76"/>
      <c r="JRN50" s="76"/>
      <c r="JRO50" s="76"/>
      <c r="JRP50" s="76"/>
      <c r="JRQ50" s="76"/>
      <c r="JRR50" s="76"/>
      <c r="JRS50" s="76"/>
      <c r="JRT50" s="76"/>
      <c r="JRU50" s="76"/>
      <c r="JRV50" s="76"/>
      <c r="JRW50" s="76"/>
      <c r="JRX50" s="76"/>
      <c r="JRY50" s="76"/>
      <c r="JRZ50" s="76"/>
      <c r="JSA50" s="76"/>
      <c r="JSB50" s="76"/>
      <c r="JSC50" s="76"/>
      <c r="JSD50" s="76"/>
      <c r="JSE50" s="76"/>
      <c r="JSF50" s="76"/>
      <c r="JSG50" s="76"/>
      <c r="JSH50" s="76"/>
      <c r="JSI50" s="76"/>
      <c r="JSJ50" s="76"/>
      <c r="JSK50" s="76"/>
      <c r="JSL50" s="76"/>
      <c r="JSM50" s="76"/>
      <c r="JSN50" s="76"/>
      <c r="JSO50" s="76"/>
      <c r="JSP50" s="76"/>
      <c r="JSQ50" s="76"/>
      <c r="JSR50" s="76"/>
      <c r="JSS50" s="76"/>
      <c r="JST50" s="76"/>
      <c r="JSU50" s="76"/>
      <c r="JSV50" s="76"/>
      <c r="JSW50" s="76"/>
      <c r="JSX50" s="76"/>
      <c r="JSY50" s="76"/>
      <c r="JSZ50" s="76"/>
      <c r="JTA50" s="76"/>
      <c r="JTB50" s="76"/>
      <c r="JTC50" s="76"/>
      <c r="JTD50" s="76"/>
      <c r="JTE50" s="76"/>
      <c r="JTF50" s="76"/>
      <c r="JTG50" s="76"/>
      <c r="JTH50" s="76"/>
      <c r="JTI50" s="76"/>
      <c r="JTJ50" s="76"/>
      <c r="JTK50" s="76"/>
      <c r="JTL50" s="76"/>
      <c r="JTM50" s="76"/>
      <c r="JTN50" s="76"/>
      <c r="JTO50" s="76"/>
      <c r="JTP50" s="76"/>
      <c r="JTQ50" s="76"/>
      <c r="JTR50" s="76"/>
      <c r="JTS50" s="76"/>
      <c r="JTT50" s="76"/>
      <c r="JTU50" s="76"/>
      <c r="JTV50" s="76"/>
      <c r="JTW50" s="76"/>
      <c r="JTX50" s="76"/>
      <c r="JTY50" s="76"/>
      <c r="JTZ50" s="76"/>
      <c r="JUA50" s="76"/>
      <c r="JUB50" s="76"/>
      <c r="JUC50" s="76"/>
      <c r="JUD50" s="76"/>
      <c r="JUE50" s="76"/>
      <c r="JUF50" s="76"/>
      <c r="JUG50" s="76"/>
      <c r="JUH50" s="76"/>
      <c r="JUI50" s="76"/>
      <c r="JUJ50" s="76"/>
      <c r="JUK50" s="76"/>
      <c r="JUL50" s="76"/>
      <c r="JUM50" s="76"/>
      <c r="JUN50" s="76"/>
      <c r="JUO50" s="76"/>
      <c r="JUP50" s="76"/>
      <c r="JUQ50" s="76"/>
      <c r="JUR50" s="76"/>
      <c r="JUS50" s="76"/>
      <c r="JUT50" s="76"/>
      <c r="JUU50" s="76"/>
      <c r="JUV50" s="76"/>
      <c r="JUW50" s="76"/>
      <c r="JUX50" s="76"/>
      <c r="JUY50" s="76"/>
      <c r="JUZ50" s="76"/>
      <c r="JVA50" s="76"/>
      <c r="JVB50" s="76"/>
      <c r="JVC50" s="76"/>
      <c r="JVD50" s="76"/>
      <c r="JVE50" s="76"/>
      <c r="JVF50" s="76"/>
      <c r="JVG50" s="76"/>
      <c r="JVH50" s="76"/>
      <c r="JVI50" s="76"/>
      <c r="JVJ50" s="76"/>
      <c r="JVK50" s="76"/>
      <c r="JVL50" s="76"/>
      <c r="JVM50" s="76"/>
      <c r="JVN50" s="76"/>
      <c r="JVO50" s="76"/>
      <c r="JVP50" s="76"/>
      <c r="JVQ50" s="76"/>
      <c r="JVR50" s="76"/>
      <c r="JVS50" s="76"/>
      <c r="JVT50" s="76"/>
      <c r="JVU50" s="76"/>
      <c r="JVV50" s="76"/>
      <c r="JVW50" s="76"/>
      <c r="JVX50" s="76"/>
      <c r="JVY50" s="76"/>
      <c r="JVZ50" s="76"/>
      <c r="JWA50" s="76"/>
      <c r="JWB50" s="76"/>
      <c r="JWC50" s="76"/>
      <c r="JWD50" s="76"/>
      <c r="JWE50" s="76"/>
      <c r="JWF50" s="76"/>
      <c r="JWG50" s="76"/>
      <c r="JWH50" s="76"/>
      <c r="JWI50" s="76"/>
      <c r="JWJ50" s="76"/>
      <c r="JWK50" s="76"/>
      <c r="JWL50" s="76"/>
      <c r="JWM50" s="76"/>
      <c r="JWN50" s="76"/>
      <c r="JWO50" s="76"/>
      <c r="JWP50" s="76"/>
      <c r="JWQ50" s="76"/>
      <c r="JWR50" s="76"/>
      <c r="JWS50" s="76"/>
      <c r="JWT50" s="76"/>
      <c r="JWU50" s="76"/>
      <c r="JWV50" s="76"/>
      <c r="JWW50" s="76"/>
      <c r="JWX50" s="76"/>
      <c r="JWY50" s="76"/>
      <c r="JWZ50" s="76"/>
      <c r="JXA50" s="76"/>
      <c r="JXB50" s="76"/>
      <c r="JXC50" s="76"/>
      <c r="JXD50" s="76"/>
      <c r="JXE50" s="76"/>
      <c r="JXF50" s="76"/>
      <c r="JXG50" s="76"/>
      <c r="JXH50" s="76"/>
      <c r="JXI50" s="76"/>
      <c r="JXJ50" s="76"/>
      <c r="JXK50" s="76"/>
      <c r="JXL50" s="76"/>
      <c r="JXM50" s="76"/>
      <c r="JXN50" s="76"/>
      <c r="JXO50" s="76"/>
      <c r="JXP50" s="76"/>
      <c r="JXQ50" s="76"/>
      <c r="JXR50" s="76"/>
      <c r="JXS50" s="76"/>
      <c r="JXT50" s="76"/>
      <c r="JXU50" s="76"/>
      <c r="JXV50" s="76"/>
      <c r="JXW50" s="76"/>
      <c r="JXX50" s="76"/>
      <c r="JXY50" s="76"/>
      <c r="JXZ50" s="76"/>
      <c r="JYA50" s="76"/>
      <c r="JYB50" s="76"/>
      <c r="JYC50" s="76"/>
      <c r="JYD50" s="76"/>
      <c r="JYE50" s="76"/>
      <c r="JYF50" s="76"/>
      <c r="JYG50" s="76"/>
      <c r="JYH50" s="76"/>
      <c r="JYI50" s="76"/>
      <c r="JYJ50" s="76"/>
      <c r="JYK50" s="76"/>
      <c r="JYL50" s="76"/>
      <c r="JYM50" s="76"/>
      <c r="JYN50" s="76"/>
      <c r="JYO50" s="76"/>
      <c r="JYP50" s="76"/>
      <c r="JYQ50" s="76"/>
      <c r="JYR50" s="76"/>
      <c r="JYS50" s="76"/>
      <c r="JYT50" s="76"/>
      <c r="JYU50" s="76"/>
      <c r="JYV50" s="76"/>
      <c r="JYW50" s="76"/>
      <c r="JYX50" s="76"/>
      <c r="JYY50" s="76"/>
      <c r="JYZ50" s="76"/>
      <c r="JZA50" s="76"/>
      <c r="JZB50" s="76"/>
      <c r="JZC50" s="76"/>
      <c r="JZD50" s="76"/>
      <c r="JZE50" s="76"/>
      <c r="JZF50" s="76"/>
      <c r="JZG50" s="76"/>
      <c r="JZH50" s="76"/>
      <c r="JZI50" s="76"/>
      <c r="JZJ50" s="76"/>
      <c r="JZK50" s="76"/>
      <c r="JZL50" s="76"/>
      <c r="JZM50" s="76"/>
      <c r="JZN50" s="76"/>
      <c r="JZO50" s="76"/>
      <c r="JZP50" s="76"/>
      <c r="JZQ50" s="76"/>
      <c r="JZR50" s="76"/>
      <c r="JZS50" s="76"/>
      <c r="JZT50" s="76"/>
      <c r="JZU50" s="76"/>
      <c r="JZV50" s="76"/>
      <c r="JZW50" s="76"/>
      <c r="JZX50" s="76"/>
      <c r="JZY50" s="76"/>
      <c r="JZZ50" s="76"/>
      <c r="KAA50" s="76"/>
      <c r="KAB50" s="76"/>
      <c r="KAC50" s="76"/>
      <c r="KAD50" s="76"/>
      <c r="KAE50" s="76"/>
      <c r="KAF50" s="76"/>
      <c r="KAG50" s="76"/>
      <c r="KAH50" s="76"/>
      <c r="KAI50" s="76"/>
      <c r="KAJ50" s="76"/>
      <c r="KAK50" s="76"/>
      <c r="KAL50" s="76"/>
      <c r="KAM50" s="76"/>
      <c r="KAN50" s="76"/>
      <c r="KAO50" s="76"/>
      <c r="KAP50" s="76"/>
      <c r="KAQ50" s="76"/>
      <c r="KAR50" s="76"/>
      <c r="KAS50" s="76"/>
      <c r="KAT50" s="76"/>
      <c r="KAU50" s="76"/>
      <c r="KAV50" s="76"/>
      <c r="KAW50" s="76"/>
      <c r="KAX50" s="76"/>
      <c r="KAY50" s="76"/>
      <c r="KAZ50" s="76"/>
      <c r="KBA50" s="76"/>
      <c r="KBB50" s="76"/>
      <c r="KBC50" s="76"/>
      <c r="KBD50" s="76"/>
      <c r="KBE50" s="76"/>
      <c r="KBF50" s="76"/>
      <c r="KBG50" s="76"/>
      <c r="KBH50" s="76"/>
      <c r="KBI50" s="76"/>
      <c r="KBJ50" s="76"/>
      <c r="KBK50" s="76"/>
      <c r="KBL50" s="76"/>
      <c r="KBM50" s="76"/>
      <c r="KBN50" s="76"/>
      <c r="KBO50" s="76"/>
      <c r="KBP50" s="76"/>
      <c r="KBQ50" s="76"/>
      <c r="KBR50" s="76"/>
      <c r="KBS50" s="76"/>
      <c r="KBT50" s="76"/>
      <c r="KBU50" s="76"/>
      <c r="KBV50" s="76"/>
      <c r="KBW50" s="76"/>
      <c r="KBX50" s="76"/>
      <c r="KBY50" s="76"/>
      <c r="KBZ50" s="76"/>
      <c r="KCA50" s="76"/>
      <c r="KCB50" s="76"/>
      <c r="KCC50" s="76"/>
      <c r="KCD50" s="76"/>
      <c r="KCE50" s="76"/>
      <c r="KCF50" s="76"/>
      <c r="KCG50" s="76"/>
      <c r="KCH50" s="76"/>
      <c r="KCI50" s="76"/>
      <c r="KCJ50" s="76"/>
      <c r="KCK50" s="76"/>
      <c r="KCL50" s="76"/>
      <c r="KCM50" s="76"/>
      <c r="KCN50" s="76"/>
      <c r="KCO50" s="76"/>
      <c r="KCP50" s="76"/>
      <c r="KCQ50" s="76"/>
      <c r="KCR50" s="76"/>
      <c r="KCS50" s="76"/>
      <c r="KCT50" s="76"/>
      <c r="KCU50" s="76"/>
      <c r="KCV50" s="76"/>
      <c r="KCW50" s="76"/>
      <c r="KCX50" s="76"/>
      <c r="KCY50" s="76"/>
      <c r="KCZ50" s="76"/>
      <c r="KDA50" s="76"/>
      <c r="KDB50" s="76"/>
      <c r="KDC50" s="76"/>
      <c r="KDD50" s="76"/>
      <c r="KDE50" s="76"/>
      <c r="KDF50" s="76"/>
      <c r="KDG50" s="76"/>
      <c r="KDH50" s="76"/>
      <c r="KDI50" s="76"/>
      <c r="KDJ50" s="76"/>
      <c r="KDK50" s="76"/>
      <c r="KDL50" s="76"/>
      <c r="KDM50" s="76"/>
      <c r="KDN50" s="76"/>
      <c r="KDO50" s="76"/>
      <c r="KDP50" s="76"/>
      <c r="KDQ50" s="76"/>
      <c r="KDR50" s="76"/>
      <c r="KDS50" s="76"/>
      <c r="KDT50" s="76"/>
      <c r="KDU50" s="76"/>
      <c r="KDV50" s="76"/>
      <c r="KDW50" s="76"/>
      <c r="KDX50" s="76"/>
      <c r="KDY50" s="76"/>
      <c r="KDZ50" s="76"/>
      <c r="KEA50" s="76"/>
      <c r="KEB50" s="76"/>
      <c r="KEC50" s="76"/>
      <c r="KED50" s="76"/>
      <c r="KEE50" s="76"/>
      <c r="KEF50" s="76"/>
      <c r="KEG50" s="76"/>
      <c r="KEH50" s="76"/>
      <c r="KEI50" s="76"/>
      <c r="KEJ50" s="76"/>
      <c r="KEK50" s="76"/>
      <c r="KEL50" s="76"/>
      <c r="KEM50" s="76"/>
      <c r="KEN50" s="76"/>
      <c r="KEO50" s="76"/>
      <c r="KEP50" s="76"/>
      <c r="KEQ50" s="76"/>
      <c r="KER50" s="76"/>
      <c r="KES50" s="76"/>
      <c r="KET50" s="76"/>
      <c r="KEU50" s="76"/>
      <c r="KEV50" s="76"/>
      <c r="KEW50" s="76"/>
      <c r="KEX50" s="76"/>
      <c r="KEY50" s="76"/>
      <c r="KEZ50" s="76"/>
      <c r="KFA50" s="76"/>
      <c r="KFB50" s="76"/>
      <c r="KFC50" s="76"/>
      <c r="KFD50" s="76"/>
      <c r="KFE50" s="76"/>
      <c r="KFF50" s="76"/>
      <c r="KFG50" s="76"/>
      <c r="KFH50" s="76"/>
      <c r="KFI50" s="76"/>
      <c r="KFJ50" s="76"/>
      <c r="KFK50" s="76"/>
      <c r="KFL50" s="76"/>
      <c r="KFM50" s="76"/>
      <c r="KFN50" s="76"/>
      <c r="KFO50" s="76"/>
      <c r="KFP50" s="76"/>
      <c r="KFQ50" s="76"/>
      <c r="KFR50" s="76"/>
      <c r="KFS50" s="76"/>
      <c r="KFT50" s="76"/>
      <c r="KFU50" s="76"/>
      <c r="KFV50" s="76"/>
      <c r="KFW50" s="76"/>
      <c r="KFX50" s="76"/>
      <c r="KFY50" s="76"/>
      <c r="KFZ50" s="76"/>
      <c r="KGA50" s="76"/>
      <c r="KGB50" s="76"/>
      <c r="KGC50" s="76"/>
      <c r="KGD50" s="76"/>
      <c r="KGE50" s="76"/>
      <c r="KGF50" s="76"/>
      <c r="KGG50" s="76"/>
      <c r="KGH50" s="76"/>
      <c r="KGI50" s="76"/>
      <c r="KGJ50" s="76"/>
      <c r="KGK50" s="76"/>
      <c r="KGL50" s="76"/>
      <c r="KGM50" s="76"/>
      <c r="KGN50" s="76"/>
      <c r="KGO50" s="76"/>
      <c r="KGP50" s="76"/>
      <c r="KGQ50" s="76"/>
      <c r="KGR50" s="76"/>
      <c r="KGS50" s="76"/>
      <c r="KGT50" s="76"/>
      <c r="KGU50" s="76"/>
      <c r="KGV50" s="76"/>
      <c r="KGW50" s="76"/>
      <c r="KGX50" s="76"/>
      <c r="KGY50" s="76"/>
      <c r="KGZ50" s="76"/>
      <c r="KHA50" s="76"/>
      <c r="KHB50" s="76"/>
      <c r="KHC50" s="76"/>
      <c r="KHD50" s="76"/>
      <c r="KHE50" s="76"/>
      <c r="KHF50" s="76"/>
      <c r="KHG50" s="76"/>
      <c r="KHH50" s="76"/>
      <c r="KHI50" s="76"/>
      <c r="KHJ50" s="76"/>
      <c r="KHK50" s="76"/>
      <c r="KHL50" s="76"/>
      <c r="KHM50" s="76"/>
      <c r="KHN50" s="76"/>
      <c r="KHO50" s="76"/>
      <c r="KHP50" s="76"/>
      <c r="KHQ50" s="76"/>
      <c r="KHR50" s="76"/>
      <c r="KHS50" s="76"/>
      <c r="KHT50" s="76"/>
      <c r="KHU50" s="76"/>
      <c r="KHV50" s="76"/>
      <c r="KHW50" s="76"/>
      <c r="KHX50" s="76"/>
      <c r="KHY50" s="76"/>
      <c r="KHZ50" s="76"/>
      <c r="KIA50" s="76"/>
      <c r="KIB50" s="76"/>
      <c r="KIC50" s="76"/>
      <c r="KID50" s="76"/>
      <c r="KIE50" s="76"/>
      <c r="KIF50" s="76"/>
      <c r="KIG50" s="76"/>
      <c r="KIH50" s="76"/>
      <c r="KII50" s="76"/>
      <c r="KIJ50" s="76"/>
      <c r="KIK50" s="76"/>
      <c r="KIL50" s="76"/>
      <c r="KIM50" s="76"/>
      <c r="KIN50" s="76"/>
      <c r="KIO50" s="76"/>
      <c r="KIP50" s="76"/>
      <c r="KIQ50" s="76"/>
      <c r="KIR50" s="76"/>
      <c r="KIS50" s="76"/>
      <c r="KIT50" s="76"/>
      <c r="KIU50" s="76"/>
      <c r="KIV50" s="76"/>
      <c r="KIW50" s="76"/>
      <c r="KIX50" s="76"/>
      <c r="KIY50" s="76"/>
      <c r="KIZ50" s="76"/>
      <c r="KJA50" s="76"/>
      <c r="KJB50" s="76"/>
      <c r="KJC50" s="76"/>
      <c r="KJD50" s="76"/>
      <c r="KJE50" s="76"/>
      <c r="KJF50" s="76"/>
      <c r="KJG50" s="76"/>
      <c r="KJH50" s="76"/>
      <c r="KJI50" s="76"/>
      <c r="KJJ50" s="76"/>
      <c r="KJK50" s="76"/>
      <c r="KJL50" s="76"/>
      <c r="KJM50" s="76"/>
      <c r="KJN50" s="76"/>
      <c r="KJO50" s="76"/>
      <c r="KJP50" s="76"/>
      <c r="KJQ50" s="76"/>
      <c r="KJR50" s="76"/>
      <c r="KJS50" s="76"/>
      <c r="KJT50" s="76"/>
      <c r="KJU50" s="76"/>
      <c r="KJV50" s="76"/>
      <c r="KJW50" s="76"/>
      <c r="KJX50" s="76"/>
      <c r="KJY50" s="76"/>
      <c r="KJZ50" s="76"/>
      <c r="KKA50" s="76"/>
      <c r="KKB50" s="76"/>
      <c r="KKC50" s="76"/>
      <c r="KKD50" s="76"/>
      <c r="KKE50" s="76"/>
      <c r="KKF50" s="76"/>
      <c r="KKG50" s="76"/>
      <c r="KKH50" s="76"/>
      <c r="KKI50" s="76"/>
      <c r="KKJ50" s="76"/>
      <c r="KKK50" s="76"/>
      <c r="KKL50" s="76"/>
      <c r="KKM50" s="76"/>
      <c r="KKN50" s="76"/>
      <c r="KKO50" s="76"/>
      <c r="KKP50" s="76"/>
      <c r="KKQ50" s="76"/>
      <c r="KKR50" s="76"/>
      <c r="KKS50" s="76"/>
      <c r="KKT50" s="76"/>
      <c r="KKU50" s="76"/>
      <c r="KKV50" s="76"/>
      <c r="KKW50" s="76"/>
      <c r="KKX50" s="76"/>
      <c r="KKY50" s="76"/>
      <c r="KKZ50" s="76"/>
      <c r="KLA50" s="76"/>
      <c r="KLB50" s="76"/>
      <c r="KLC50" s="76"/>
      <c r="KLD50" s="76"/>
      <c r="KLE50" s="76"/>
      <c r="KLF50" s="76"/>
      <c r="KLG50" s="76"/>
      <c r="KLH50" s="76"/>
      <c r="KLI50" s="76"/>
      <c r="KLJ50" s="76"/>
      <c r="KLK50" s="76"/>
      <c r="KLL50" s="76"/>
      <c r="KLM50" s="76"/>
      <c r="KLN50" s="76"/>
      <c r="KLO50" s="76"/>
      <c r="KLP50" s="76"/>
      <c r="KLQ50" s="76"/>
      <c r="KLR50" s="76"/>
      <c r="KLS50" s="76"/>
      <c r="KLT50" s="76"/>
      <c r="KLU50" s="76"/>
      <c r="KLV50" s="76"/>
      <c r="KLW50" s="76"/>
      <c r="KLX50" s="76"/>
      <c r="KLY50" s="76"/>
      <c r="KLZ50" s="76"/>
      <c r="KMA50" s="76"/>
      <c r="KMB50" s="76"/>
      <c r="KMC50" s="76"/>
      <c r="KMD50" s="76"/>
      <c r="KME50" s="76"/>
      <c r="KMF50" s="76"/>
      <c r="KMG50" s="76"/>
      <c r="KMH50" s="76"/>
      <c r="KMI50" s="76"/>
      <c r="KMJ50" s="76"/>
      <c r="KMK50" s="76"/>
      <c r="KML50" s="76"/>
      <c r="KMM50" s="76"/>
      <c r="KMN50" s="76"/>
      <c r="KMO50" s="76"/>
      <c r="KMP50" s="76"/>
      <c r="KMQ50" s="76"/>
      <c r="KMR50" s="76"/>
      <c r="KMS50" s="76"/>
      <c r="KMT50" s="76"/>
      <c r="KMU50" s="76"/>
      <c r="KMV50" s="76"/>
      <c r="KMW50" s="76"/>
      <c r="KMX50" s="76"/>
      <c r="KMY50" s="76"/>
      <c r="KMZ50" s="76"/>
      <c r="KNA50" s="76"/>
      <c r="KNB50" s="76"/>
      <c r="KNC50" s="76"/>
      <c r="KND50" s="76"/>
      <c r="KNE50" s="76"/>
      <c r="KNF50" s="76"/>
      <c r="KNG50" s="76"/>
      <c r="KNH50" s="76"/>
      <c r="KNI50" s="76"/>
      <c r="KNJ50" s="76"/>
      <c r="KNK50" s="76"/>
      <c r="KNL50" s="76"/>
      <c r="KNM50" s="76"/>
      <c r="KNN50" s="76"/>
      <c r="KNO50" s="76"/>
      <c r="KNP50" s="76"/>
      <c r="KNQ50" s="76"/>
      <c r="KNR50" s="76"/>
      <c r="KNS50" s="76"/>
      <c r="KNT50" s="76"/>
      <c r="KNU50" s="76"/>
      <c r="KNV50" s="76"/>
      <c r="KNW50" s="76"/>
      <c r="KNX50" s="76"/>
      <c r="KNY50" s="76"/>
      <c r="KNZ50" s="76"/>
      <c r="KOA50" s="76"/>
      <c r="KOB50" s="76"/>
      <c r="KOC50" s="76"/>
      <c r="KOD50" s="76"/>
      <c r="KOE50" s="76"/>
      <c r="KOF50" s="76"/>
      <c r="KOG50" s="76"/>
      <c r="KOH50" s="76"/>
      <c r="KOI50" s="76"/>
      <c r="KOJ50" s="76"/>
      <c r="KOK50" s="76"/>
      <c r="KOL50" s="76"/>
      <c r="KOM50" s="76"/>
      <c r="KON50" s="76"/>
      <c r="KOO50" s="76"/>
      <c r="KOP50" s="76"/>
      <c r="KOQ50" s="76"/>
      <c r="KOR50" s="76"/>
      <c r="KOS50" s="76"/>
      <c r="KOT50" s="76"/>
      <c r="KOU50" s="76"/>
      <c r="KOV50" s="76"/>
      <c r="KOW50" s="76"/>
      <c r="KOX50" s="76"/>
      <c r="KOY50" s="76"/>
      <c r="KOZ50" s="76"/>
      <c r="KPA50" s="76"/>
      <c r="KPB50" s="76"/>
      <c r="KPC50" s="76"/>
      <c r="KPD50" s="76"/>
      <c r="KPE50" s="76"/>
      <c r="KPF50" s="76"/>
      <c r="KPG50" s="76"/>
      <c r="KPH50" s="76"/>
      <c r="KPI50" s="76"/>
      <c r="KPJ50" s="76"/>
      <c r="KPK50" s="76"/>
      <c r="KPL50" s="76"/>
      <c r="KPM50" s="76"/>
      <c r="KPN50" s="76"/>
      <c r="KPO50" s="76"/>
      <c r="KPP50" s="76"/>
      <c r="KPQ50" s="76"/>
      <c r="KPR50" s="76"/>
      <c r="KPS50" s="76"/>
      <c r="KPT50" s="76"/>
      <c r="KPU50" s="76"/>
      <c r="KPV50" s="76"/>
      <c r="KPW50" s="76"/>
      <c r="KPX50" s="76"/>
      <c r="KPY50" s="76"/>
      <c r="KPZ50" s="76"/>
      <c r="KQA50" s="76"/>
      <c r="KQB50" s="76"/>
      <c r="KQC50" s="76"/>
      <c r="KQD50" s="76"/>
      <c r="KQE50" s="76"/>
      <c r="KQF50" s="76"/>
      <c r="KQG50" s="76"/>
      <c r="KQH50" s="76"/>
      <c r="KQI50" s="76"/>
      <c r="KQJ50" s="76"/>
      <c r="KQK50" s="76"/>
      <c r="KQL50" s="76"/>
      <c r="KQM50" s="76"/>
      <c r="KQN50" s="76"/>
      <c r="KQO50" s="76"/>
      <c r="KQP50" s="76"/>
      <c r="KQQ50" s="76"/>
      <c r="KQR50" s="76"/>
      <c r="KQS50" s="76"/>
      <c r="KQT50" s="76"/>
      <c r="KQU50" s="76"/>
      <c r="KQV50" s="76"/>
      <c r="KQW50" s="76"/>
      <c r="KQX50" s="76"/>
      <c r="KQY50" s="76"/>
      <c r="KQZ50" s="76"/>
      <c r="KRA50" s="76"/>
      <c r="KRB50" s="76"/>
      <c r="KRC50" s="76"/>
      <c r="KRD50" s="76"/>
      <c r="KRE50" s="76"/>
      <c r="KRF50" s="76"/>
      <c r="KRG50" s="76"/>
      <c r="KRH50" s="76"/>
      <c r="KRI50" s="76"/>
      <c r="KRJ50" s="76"/>
      <c r="KRK50" s="76"/>
      <c r="KRL50" s="76"/>
      <c r="KRM50" s="76"/>
      <c r="KRN50" s="76"/>
      <c r="KRO50" s="76"/>
      <c r="KRP50" s="76"/>
      <c r="KRQ50" s="76"/>
      <c r="KRR50" s="76"/>
      <c r="KRS50" s="76"/>
      <c r="KRT50" s="76"/>
      <c r="KRU50" s="76"/>
      <c r="KRV50" s="76"/>
      <c r="KRW50" s="76"/>
      <c r="KRX50" s="76"/>
      <c r="KRY50" s="76"/>
      <c r="KRZ50" s="76"/>
      <c r="KSA50" s="76"/>
      <c r="KSB50" s="76"/>
      <c r="KSC50" s="76"/>
      <c r="KSD50" s="76"/>
      <c r="KSE50" s="76"/>
      <c r="KSF50" s="76"/>
      <c r="KSG50" s="76"/>
      <c r="KSH50" s="76"/>
      <c r="KSI50" s="76"/>
      <c r="KSJ50" s="76"/>
      <c r="KSK50" s="76"/>
      <c r="KSL50" s="76"/>
      <c r="KSM50" s="76"/>
      <c r="KSN50" s="76"/>
      <c r="KSO50" s="76"/>
      <c r="KSP50" s="76"/>
      <c r="KSQ50" s="76"/>
      <c r="KSR50" s="76"/>
      <c r="KSS50" s="76"/>
      <c r="KST50" s="76"/>
      <c r="KSU50" s="76"/>
      <c r="KSV50" s="76"/>
      <c r="KSW50" s="76"/>
      <c r="KSX50" s="76"/>
      <c r="KSY50" s="76"/>
      <c r="KSZ50" s="76"/>
      <c r="KTA50" s="76"/>
      <c r="KTB50" s="76"/>
      <c r="KTC50" s="76"/>
      <c r="KTD50" s="76"/>
      <c r="KTE50" s="76"/>
      <c r="KTF50" s="76"/>
      <c r="KTG50" s="76"/>
      <c r="KTH50" s="76"/>
      <c r="KTI50" s="76"/>
      <c r="KTJ50" s="76"/>
      <c r="KTK50" s="76"/>
      <c r="KTL50" s="76"/>
      <c r="KTM50" s="76"/>
      <c r="KTN50" s="76"/>
      <c r="KTO50" s="76"/>
      <c r="KTP50" s="76"/>
      <c r="KTQ50" s="76"/>
      <c r="KTR50" s="76"/>
      <c r="KTS50" s="76"/>
      <c r="KTT50" s="76"/>
      <c r="KTU50" s="76"/>
      <c r="KTV50" s="76"/>
      <c r="KTW50" s="76"/>
      <c r="KTX50" s="76"/>
      <c r="KTY50" s="76"/>
      <c r="KTZ50" s="76"/>
      <c r="KUA50" s="76"/>
      <c r="KUB50" s="76"/>
      <c r="KUC50" s="76"/>
      <c r="KUD50" s="76"/>
      <c r="KUE50" s="76"/>
      <c r="KUF50" s="76"/>
      <c r="KUG50" s="76"/>
      <c r="KUH50" s="76"/>
      <c r="KUI50" s="76"/>
      <c r="KUJ50" s="76"/>
      <c r="KUK50" s="76"/>
      <c r="KUL50" s="76"/>
      <c r="KUM50" s="76"/>
      <c r="KUN50" s="76"/>
      <c r="KUO50" s="76"/>
      <c r="KUP50" s="76"/>
      <c r="KUQ50" s="76"/>
      <c r="KUR50" s="76"/>
      <c r="KUS50" s="76"/>
      <c r="KUT50" s="76"/>
      <c r="KUU50" s="76"/>
      <c r="KUV50" s="76"/>
      <c r="KUW50" s="76"/>
      <c r="KUX50" s="76"/>
      <c r="KUY50" s="76"/>
      <c r="KUZ50" s="76"/>
      <c r="KVA50" s="76"/>
      <c r="KVB50" s="76"/>
      <c r="KVC50" s="76"/>
      <c r="KVD50" s="76"/>
      <c r="KVE50" s="76"/>
      <c r="KVF50" s="76"/>
      <c r="KVG50" s="76"/>
      <c r="KVH50" s="76"/>
      <c r="KVI50" s="76"/>
      <c r="KVJ50" s="76"/>
      <c r="KVK50" s="76"/>
      <c r="KVL50" s="76"/>
      <c r="KVM50" s="76"/>
      <c r="KVN50" s="76"/>
      <c r="KVO50" s="76"/>
      <c r="KVP50" s="76"/>
      <c r="KVQ50" s="76"/>
      <c r="KVR50" s="76"/>
      <c r="KVS50" s="76"/>
      <c r="KVT50" s="76"/>
      <c r="KVU50" s="76"/>
      <c r="KVV50" s="76"/>
      <c r="KVW50" s="76"/>
      <c r="KVX50" s="76"/>
      <c r="KVY50" s="76"/>
      <c r="KVZ50" s="76"/>
      <c r="KWA50" s="76"/>
      <c r="KWB50" s="76"/>
      <c r="KWC50" s="76"/>
      <c r="KWD50" s="76"/>
      <c r="KWE50" s="76"/>
      <c r="KWF50" s="76"/>
      <c r="KWG50" s="76"/>
      <c r="KWH50" s="76"/>
      <c r="KWI50" s="76"/>
      <c r="KWJ50" s="76"/>
      <c r="KWK50" s="76"/>
      <c r="KWL50" s="76"/>
      <c r="KWM50" s="76"/>
      <c r="KWN50" s="76"/>
      <c r="KWO50" s="76"/>
      <c r="KWP50" s="76"/>
      <c r="KWQ50" s="76"/>
      <c r="KWR50" s="76"/>
      <c r="KWS50" s="76"/>
      <c r="KWT50" s="76"/>
      <c r="KWU50" s="76"/>
      <c r="KWV50" s="76"/>
      <c r="KWW50" s="76"/>
      <c r="KWX50" s="76"/>
      <c r="KWY50" s="76"/>
      <c r="KWZ50" s="76"/>
      <c r="KXA50" s="76"/>
      <c r="KXB50" s="76"/>
      <c r="KXC50" s="76"/>
      <c r="KXD50" s="76"/>
      <c r="KXE50" s="76"/>
      <c r="KXF50" s="76"/>
      <c r="KXG50" s="76"/>
      <c r="KXH50" s="76"/>
      <c r="KXI50" s="76"/>
      <c r="KXJ50" s="76"/>
      <c r="KXK50" s="76"/>
      <c r="KXL50" s="76"/>
      <c r="KXM50" s="76"/>
      <c r="KXN50" s="76"/>
      <c r="KXO50" s="76"/>
      <c r="KXP50" s="76"/>
      <c r="KXQ50" s="76"/>
      <c r="KXR50" s="76"/>
      <c r="KXS50" s="76"/>
      <c r="KXT50" s="76"/>
      <c r="KXU50" s="76"/>
      <c r="KXV50" s="76"/>
      <c r="KXW50" s="76"/>
      <c r="KXX50" s="76"/>
      <c r="KXY50" s="76"/>
      <c r="KXZ50" s="76"/>
      <c r="KYA50" s="76"/>
      <c r="KYB50" s="76"/>
      <c r="KYC50" s="76"/>
      <c r="KYD50" s="76"/>
      <c r="KYE50" s="76"/>
      <c r="KYF50" s="76"/>
      <c r="KYG50" s="76"/>
      <c r="KYH50" s="76"/>
      <c r="KYI50" s="76"/>
      <c r="KYJ50" s="76"/>
      <c r="KYK50" s="76"/>
      <c r="KYL50" s="76"/>
      <c r="KYM50" s="76"/>
      <c r="KYN50" s="76"/>
      <c r="KYO50" s="76"/>
      <c r="KYP50" s="76"/>
      <c r="KYQ50" s="76"/>
      <c r="KYR50" s="76"/>
      <c r="KYS50" s="76"/>
      <c r="KYT50" s="76"/>
      <c r="KYU50" s="76"/>
      <c r="KYV50" s="76"/>
      <c r="KYW50" s="76"/>
      <c r="KYX50" s="76"/>
      <c r="KYY50" s="76"/>
      <c r="KYZ50" s="76"/>
      <c r="KZA50" s="76"/>
      <c r="KZB50" s="76"/>
      <c r="KZC50" s="76"/>
      <c r="KZD50" s="76"/>
      <c r="KZE50" s="76"/>
      <c r="KZF50" s="76"/>
      <c r="KZG50" s="76"/>
      <c r="KZH50" s="76"/>
      <c r="KZI50" s="76"/>
      <c r="KZJ50" s="76"/>
      <c r="KZK50" s="76"/>
      <c r="KZL50" s="76"/>
      <c r="KZM50" s="76"/>
      <c r="KZN50" s="76"/>
      <c r="KZO50" s="76"/>
      <c r="KZP50" s="76"/>
      <c r="KZQ50" s="76"/>
      <c r="KZR50" s="76"/>
      <c r="KZS50" s="76"/>
      <c r="KZT50" s="76"/>
      <c r="KZU50" s="76"/>
      <c r="KZV50" s="76"/>
      <c r="KZW50" s="76"/>
      <c r="KZX50" s="76"/>
      <c r="KZY50" s="76"/>
      <c r="KZZ50" s="76"/>
      <c r="LAA50" s="76"/>
      <c r="LAB50" s="76"/>
      <c r="LAC50" s="76"/>
      <c r="LAD50" s="76"/>
      <c r="LAE50" s="76"/>
      <c r="LAF50" s="76"/>
      <c r="LAG50" s="76"/>
      <c r="LAH50" s="76"/>
      <c r="LAI50" s="76"/>
      <c r="LAJ50" s="76"/>
      <c r="LAK50" s="76"/>
      <c r="LAL50" s="76"/>
      <c r="LAM50" s="76"/>
      <c r="LAN50" s="76"/>
      <c r="LAO50" s="76"/>
      <c r="LAP50" s="76"/>
      <c r="LAQ50" s="76"/>
      <c r="LAR50" s="76"/>
      <c r="LAS50" s="76"/>
      <c r="LAT50" s="76"/>
      <c r="LAU50" s="76"/>
      <c r="LAV50" s="76"/>
      <c r="LAW50" s="76"/>
      <c r="LAX50" s="76"/>
      <c r="LAY50" s="76"/>
      <c r="LAZ50" s="76"/>
      <c r="LBA50" s="76"/>
      <c r="LBB50" s="76"/>
      <c r="LBC50" s="76"/>
      <c r="LBD50" s="76"/>
      <c r="LBE50" s="76"/>
      <c r="LBF50" s="76"/>
      <c r="LBG50" s="76"/>
      <c r="LBH50" s="76"/>
      <c r="LBI50" s="76"/>
      <c r="LBJ50" s="76"/>
      <c r="LBK50" s="76"/>
      <c r="LBL50" s="76"/>
      <c r="LBM50" s="76"/>
      <c r="LBN50" s="76"/>
      <c r="LBO50" s="76"/>
      <c r="LBP50" s="76"/>
      <c r="LBQ50" s="76"/>
      <c r="LBR50" s="76"/>
      <c r="LBS50" s="76"/>
      <c r="LBT50" s="76"/>
      <c r="LBU50" s="76"/>
      <c r="LBV50" s="76"/>
      <c r="LBW50" s="76"/>
      <c r="LBX50" s="76"/>
      <c r="LBY50" s="76"/>
      <c r="LBZ50" s="76"/>
      <c r="LCA50" s="76"/>
      <c r="LCB50" s="76"/>
      <c r="LCC50" s="76"/>
      <c r="LCD50" s="76"/>
      <c r="LCE50" s="76"/>
      <c r="LCF50" s="76"/>
      <c r="LCG50" s="76"/>
      <c r="LCH50" s="76"/>
      <c r="LCI50" s="76"/>
      <c r="LCJ50" s="76"/>
      <c r="LCK50" s="76"/>
      <c r="LCL50" s="76"/>
      <c r="LCM50" s="76"/>
      <c r="LCN50" s="76"/>
      <c r="LCO50" s="76"/>
      <c r="LCP50" s="76"/>
      <c r="LCQ50" s="76"/>
      <c r="LCR50" s="76"/>
      <c r="LCS50" s="76"/>
      <c r="LCT50" s="76"/>
      <c r="LCU50" s="76"/>
      <c r="LCV50" s="76"/>
      <c r="LCW50" s="76"/>
      <c r="LCX50" s="76"/>
      <c r="LCY50" s="76"/>
      <c r="LCZ50" s="76"/>
      <c r="LDA50" s="76"/>
      <c r="LDB50" s="76"/>
      <c r="LDC50" s="76"/>
      <c r="LDD50" s="76"/>
      <c r="LDE50" s="76"/>
      <c r="LDF50" s="76"/>
      <c r="LDG50" s="76"/>
      <c r="LDH50" s="76"/>
      <c r="LDI50" s="76"/>
      <c r="LDJ50" s="76"/>
      <c r="LDK50" s="76"/>
      <c r="LDL50" s="76"/>
      <c r="LDM50" s="76"/>
      <c r="LDN50" s="76"/>
      <c r="LDO50" s="76"/>
      <c r="LDP50" s="76"/>
      <c r="LDQ50" s="76"/>
      <c r="LDR50" s="76"/>
      <c r="LDS50" s="76"/>
      <c r="LDT50" s="76"/>
      <c r="LDU50" s="76"/>
      <c r="LDV50" s="76"/>
      <c r="LDW50" s="76"/>
      <c r="LDX50" s="76"/>
      <c r="LDY50" s="76"/>
      <c r="LDZ50" s="76"/>
      <c r="LEA50" s="76"/>
      <c r="LEB50" s="76"/>
      <c r="LEC50" s="76"/>
      <c r="LED50" s="76"/>
      <c r="LEE50" s="76"/>
      <c r="LEF50" s="76"/>
      <c r="LEG50" s="76"/>
      <c r="LEH50" s="76"/>
      <c r="LEI50" s="76"/>
      <c r="LEJ50" s="76"/>
      <c r="LEK50" s="76"/>
      <c r="LEL50" s="76"/>
      <c r="LEM50" s="76"/>
      <c r="LEN50" s="76"/>
      <c r="LEO50" s="76"/>
      <c r="LEP50" s="76"/>
      <c r="LEQ50" s="76"/>
      <c r="LER50" s="76"/>
      <c r="LES50" s="76"/>
      <c r="LET50" s="76"/>
      <c r="LEU50" s="76"/>
      <c r="LEV50" s="76"/>
      <c r="LEW50" s="76"/>
      <c r="LEX50" s="76"/>
      <c r="LEY50" s="76"/>
      <c r="LEZ50" s="76"/>
      <c r="LFA50" s="76"/>
      <c r="LFB50" s="76"/>
      <c r="LFC50" s="76"/>
      <c r="LFD50" s="76"/>
      <c r="LFE50" s="76"/>
      <c r="LFF50" s="76"/>
      <c r="LFG50" s="76"/>
      <c r="LFH50" s="76"/>
      <c r="LFI50" s="76"/>
      <c r="LFJ50" s="76"/>
      <c r="LFK50" s="76"/>
      <c r="LFL50" s="76"/>
      <c r="LFM50" s="76"/>
      <c r="LFN50" s="76"/>
      <c r="LFO50" s="76"/>
      <c r="LFP50" s="76"/>
      <c r="LFQ50" s="76"/>
      <c r="LFR50" s="76"/>
      <c r="LFS50" s="76"/>
      <c r="LFT50" s="76"/>
      <c r="LFU50" s="76"/>
      <c r="LFV50" s="76"/>
      <c r="LFW50" s="76"/>
      <c r="LFX50" s="76"/>
      <c r="LFY50" s="76"/>
      <c r="LFZ50" s="76"/>
      <c r="LGA50" s="76"/>
      <c r="LGB50" s="76"/>
      <c r="LGC50" s="76"/>
      <c r="LGD50" s="76"/>
      <c r="LGE50" s="76"/>
      <c r="LGF50" s="76"/>
      <c r="LGG50" s="76"/>
      <c r="LGH50" s="76"/>
      <c r="LGI50" s="76"/>
      <c r="LGJ50" s="76"/>
      <c r="LGK50" s="76"/>
      <c r="LGL50" s="76"/>
      <c r="LGM50" s="76"/>
      <c r="LGN50" s="76"/>
      <c r="LGO50" s="76"/>
      <c r="LGP50" s="76"/>
      <c r="LGQ50" s="76"/>
      <c r="LGR50" s="76"/>
      <c r="LGS50" s="76"/>
      <c r="LGT50" s="76"/>
      <c r="LGU50" s="76"/>
      <c r="LGV50" s="76"/>
      <c r="LGW50" s="76"/>
      <c r="LGX50" s="76"/>
      <c r="LGY50" s="76"/>
      <c r="LGZ50" s="76"/>
      <c r="LHA50" s="76"/>
      <c r="LHB50" s="76"/>
      <c r="LHC50" s="76"/>
      <c r="LHD50" s="76"/>
      <c r="LHE50" s="76"/>
      <c r="LHF50" s="76"/>
      <c r="LHG50" s="76"/>
      <c r="LHH50" s="76"/>
      <c r="LHI50" s="76"/>
      <c r="LHJ50" s="76"/>
      <c r="LHK50" s="76"/>
      <c r="LHL50" s="76"/>
      <c r="LHM50" s="76"/>
      <c r="LHN50" s="76"/>
      <c r="LHO50" s="76"/>
      <c r="LHP50" s="76"/>
      <c r="LHQ50" s="76"/>
      <c r="LHR50" s="76"/>
      <c r="LHS50" s="76"/>
      <c r="LHT50" s="76"/>
      <c r="LHU50" s="76"/>
      <c r="LHV50" s="76"/>
      <c r="LHW50" s="76"/>
      <c r="LHX50" s="76"/>
      <c r="LHY50" s="76"/>
      <c r="LHZ50" s="76"/>
      <c r="LIA50" s="76"/>
      <c r="LIB50" s="76"/>
      <c r="LIC50" s="76"/>
      <c r="LID50" s="76"/>
      <c r="LIE50" s="76"/>
      <c r="LIF50" s="76"/>
      <c r="LIG50" s="76"/>
      <c r="LIH50" s="76"/>
      <c r="LII50" s="76"/>
      <c r="LIJ50" s="76"/>
      <c r="LIK50" s="76"/>
      <c r="LIL50" s="76"/>
      <c r="LIM50" s="76"/>
      <c r="LIN50" s="76"/>
      <c r="LIO50" s="76"/>
      <c r="LIP50" s="76"/>
      <c r="LIQ50" s="76"/>
      <c r="LIR50" s="76"/>
      <c r="LIS50" s="76"/>
      <c r="LIT50" s="76"/>
      <c r="LIU50" s="76"/>
      <c r="LIV50" s="76"/>
      <c r="LIW50" s="76"/>
      <c r="LIX50" s="76"/>
      <c r="LIY50" s="76"/>
      <c r="LIZ50" s="76"/>
      <c r="LJA50" s="76"/>
      <c r="LJB50" s="76"/>
      <c r="LJC50" s="76"/>
      <c r="LJD50" s="76"/>
      <c r="LJE50" s="76"/>
      <c r="LJF50" s="76"/>
      <c r="LJG50" s="76"/>
      <c r="LJH50" s="76"/>
      <c r="LJI50" s="76"/>
      <c r="LJJ50" s="76"/>
      <c r="LJK50" s="76"/>
      <c r="LJL50" s="76"/>
      <c r="LJM50" s="76"/>
      <c r="LJN50" s="76"/>
      <c r="LJO50" s="76"/>
      <c r="LJP50" s="76"/>
      <c r="LJQ50" s="76"/>
      <c r="LJR50" s="76"/>
      <c r="LJS50" s="76"/>
      <c r="LJT50" s="76"/>
      <c r="LJU50" s="76"/>
      <c r="LJV50" s="76"/>
      <c r="LJW50" s="76"/>
      <c r="LJX50" s="76"/>
      <c r="LJY50" s="76"/>
      <c r="LJZ50" s="76"/>
      <c r="LKA50" s="76"/>
      <c r="LKB50" s="76"/>
      <c r="LKC50" s="76"/>
      <c r="LKD50" s="76"/>
      <c r="LKE50" s="76"/>
      <c r="LKF50" s="76"/>
      <c r="LKG50" s="76"/>
      <c r="LKH50" s="76"/>
      <c r="LKI50" s="76"/>
      <c r="LKJ50" s="76"/>
      <c r="LKK50" s="76"/>
      <c r="LKL50" s="76"/>
      <c r="LKM50" s="76"/>
      <c r="LKN50" s="76"/>
      <c r="LKO50" s="76"/>
      <c r="LKP50" s="76"/>
      <c r="LKQ50" s="76"/>
      <c r="LKR50" s="76"/>
      <c r="LKS50" s="76"/>
      <c r="LKT50" s="76"/>
      <c r="LKU50" s="76"/>
      <c r="LKV50" s="76"/>
      <c r="LKW50" s="76"/>
      <c r="LKX50" s="76"/>
      <c r="LKY50" s="76"/>
      <c r="LKZ50" s="76"/>
      <c r="LLA50" s="76"/>
      <c r="LLB50" s="76"/>
      <c r="LLC50" s="76"/>
      <c r="LLD50" s="76"/>
      <c r="LLE50" s="76"/>
      <c r="LLF50" s="76"/>
      <c r="LLG50" s="76"/>
      <c r="LLH50" s="76"/>
      <c r="LLI50" s="76"/>
      <c r="LLJ50" s="76"/>
      <c r="LLK50" s="76"/>
      <c r="LLL50" s="76"/>
      <c r="LLM50" s="76"/>
      <c r="LLN50" s="76"/>
      <c r="LLO50" s="76"/>
      <c r="LLP50" s="76"/>
      <c r="LLQ50" s="76"/>
      <c r="LLR50" s="76"/>
      <c r="LLS50" s="76"/>
      <c r="LLT50" s="76"/>
      <c r="LLU50" s="76"/>
      <c r="LLV50" s="76"/>
      <c r="LLW50" s="76"/>
      <c r="LLX50" s="76"/>
      <c r="LLY50" s="76"/>
      <c r="LLZ50" s="76"/>
      <c r="LMA50" s="76"/>
      <c r="LMB50" s="76"/>
      <c r="LMC50" s="76"/>
      <c r="LMD50" s="76"/>
      <c r="LME50" s="76"/>
      <c r="LMF50" s="76"/>
      <c r="LMG50" s="76"/>
      <c r="LMH50" s="76"/>
      <c r="LMI50" s="76"/>
      <c r="LMJ50" s="76"/>
      <c r="LMK50" s="76"/>
      <c r="LML50" s="76"/>
      <c r="LMM50" s="76"/>
      <c r="LMN50" s="76"/>
      <c r="LMO50" s="76"/>
      <c r="LMP50" s="76"/>
      <c r="LMQ50" s="76"/>
      <c r="LMR50" s="76"/>
      <c r="LMS50" s="76"/>
      <c r="LMT50" s="76"/>
      <c r="LMU50" s="76"/>
      <c r="LMV50" s="76"/>
      <c r="LMW50" s="76"/>
      <c r="LMX50" s="76"/>
      <c r="LMY50" s="76"/>
      <c r="LMZ50" s="76"/>
      <c r="LNA50" s="76"/>
      <c r="LNB50" s="76"/>
      <c r="LNC50" s="76"/>
      <c r="LND50" s="76"/>
      <c r="LNE50" s="76"/>
      <c r="LNF50" s="76"/>
      <c r="LNG50" s="76"/>
      <c r="LNH50" s="76"/>
      <c r="LNI50" s="76"/>
      <c r="LNJ50" s="76"/>
      <c r="LNK50" s="76"/>
      <c r="LNL50" s="76"/>
      <c r="LNM50" s="76"/>
      <c r="LNN50" s="76"/>
      <c r="LNO50" s="76"/>
      <c r="LNP50" s="76"/>
      <c r="LNQ50" s="76"/>
      <c r="LNR50" s="76"/>
      <c r="LNS50" s="76"/>
      <c r="LNT50" s="76"/>
      <c r="LNU50" s="76"/>
      <c r="LNV50" s="76"/>
      <c r="LNW50" s="76"/>
      <c r="LNX50" s="76"/>
      <c r="LNY50" s="76"/>
      <c r="LNZ50" s="76"/>
      <c r="LOA50" s="76"/>
      <c r="LOB50" s="76"/>
      <c r="LOC50" s="76"/>
      <c r="LOD50" s="76"/>
      <c r="LOE50" s="76"/>
      <c r="LOF50" s="76"/>
      <c r="LOG50" s="76"/>
      <c r="LOH50" s="76"/>
      <c r="LOI50" s="76"/>
      <c r="LOJ50" s="76"/>
      <c r="LOK50" s="76"/>
      <c r="LOL50" s="76"/>
      <c r="LOM50" s="76"/>
      <c r="LON50" s="76"/>
      <c r="LOO50" s="76"/>
      <c r="LOP50" s="76"/>
      <c r="LOQ50" s="76"/>
      <c r="LOR50" s="76"/>
      <c r="LOS50" s="76"/>
      <c r="LOT50" s="76"/>
      <c r="LOU50" s="76"/>
      <c r="LOV50" s="76"/>
      <c r="LOW50" s="76"/>
      <c r="LOX50" s="76"/>
      <c r="LOY50" s="76"/>
      <c r="LOZ50" s="76"/>
      <c r="LPA50" s="76"/>
      <c r="LPB50" s="76"/>
      <c r="LPC50" s="76"/>
      <c r="LPD50" s="76"/>
      <c r="LPE50" s="76"/>
      <c r="LPF50" s="76"/>
      <c r="LPG50" s="76"/>
      <c r="LPH50" s="76"/>
      <c r="LPI50" s="76"/>
      <c r="LPJ50" s="76"/>
      <c r="LPK50" s="76"/>
      <c r="LPL50" s="76"/>
      <c r="LPM50" s="76"/>
      <c r="LPN50" s="76"/>
      <c r="LPO50" s="76"/>
      <c r="LPP50" s="76"/>
      <c r="LPQ50" s="76"/>
      <c r="LPR50" s="76"/>
      <c r="LPS50" s="76"/>
      <c r="LPT50" s="76"/>
      <c r="LPU50" s="76"/>
      <c r="LPV50" s="76"/>
      <c r="LPW50" s="76"/>
      <c r="LPX50" s="76"/>
      <c r="LPY50" s="76"/>
      <c r="LPZ50" s="76"/>
      <c r="LQA50" s="76"/>
      <c r="LQB50" s="76"/>
      <c r="LQC50" s="76"/>
      <c r="LQD50" s="76"/>
      <c r="LQE50" s="76"/>
      <c r="LQF50" s="76"/>
      <c r="LQG50" s="76"/>
      <c r="LQH50" s="76"/>
      <c r="LQI50" s="76"/>
      <c r="LQJ50" s="76"/>
      <c r="LQK50" s="76"/>
      <c r="LQL50" s="76"/>
      <c r="LQM50" s="76"/>
      <c r="LQN50" s="76"/>
      <c r="LQO50" s="76"/>
      <c r="LQP50" s="76"/>
      <c r="LQQ50" s="76"/>
      <c r="LQR50" s="76"/>
      <c r="LQS50" s="76"/>
      <c r="LQT50" s="76"/>
      <c r="LQU50" s="76"/>
      <c r="LQV50" s="76"/>
      <c r="LQW50" s="76"/>
      <c r="LQX50" s="76"/>
      <c r="LQY50" s="76"/>
      <c r="LQZ50" s="76"/>
      <c r="LRA50" s="76"/>
      <c r="LRB50" s="76"/>
      <c r="LRC50" s="76"/>
      <c r="LRD50" s="76"/>
      <c r="LRE50" s="76"/>
      <c r="LRF50" s="76"/>
      <c r="LRG50" s="76"/>
      <c r="LRH50" s="76"/>
      <c r="LRI50" s="76"/>
      <c r="LRJ50" s="76"/>
      <c r="LRK50" s="76"/>
      <c r="LRL50" s="76"/>
      <c r="LRM50" s="76"/>
      <c r="LRN50" s="76"/>
      <c r="LRO50" s="76"/>
      <c r="LRP50" s="76"/>
      <c r="LRQ50" s="76"/>
      <c r="LRR50" s="76"/>
      <c r="LRS50" s="76"/>
      <c r="LRT50" s="76"/>
      <c r="LRU50" s="76"/>
      <c r="LRV50" s="76"/>
      <c r="LRW50" s="76"/>
      <c r="LRX50" s="76"/>
      <c r="LRY50" s="76"/>
      <c r="LRZ50" s="76"/>
      <c r="LSA50" s="76"/>
      <c r="LSB50" s="76"/>
      <c r="LSC50" s="76"/>
      <c r="LSD50" s="76"/>
      <c r="LSE50" s="76"/>
      <c r="LSF50" s="76"/>
      <c r="LSG50" s="76"/>
      <c r="LSH50" s="76"/>
      <c r="LSI50" s="76"/>
      <c r="LSJ50" s="76"/>
      <c r="LSK50" s="76"/>
      <c r="LSL50" s="76"/>
      <c r="LSM50" s="76"/>
      <c r="LSN50" s="76"/>
      <c r="LSO50" s="76"/>
      <c r="LSP50" s="76"/>
      <c r="LSQ50" s="76"/>
      <c r="LSR50" s="76"/>
      <c r="LSS50" s="76"/>
      <c r="LST50" s="76"/>
      <c r="LSU50" s="76"/>
      <c r="LSV50" s="76"/>
      <c r="LSW50" s="76"/>
      <c r="LSX50" s="76"/>
      <c r="LSY50" s="76"/>
      <c r="LSZ50" s="76"/>
      <c r="LTA50" s="76"/>
      <c r="LTB50" s="76"/>
      <c r="LTC50" s="76"/>
      <c r="LTD50" s="76"/>
      <c r="LTE50" s="76"/>
      <c r="LTF50" s="76"/>
      <c r="LTG50" s="76"/>
      <c r="LTH50" s="76"/>
      <c r="LTI50" s="76"/>
      <c r="LTJ50" s="76"/>
      <c r="LTK50" s="76"/>
      <c r="LTL50" s="76"/>
      <c r="LTM50" s="76"/>
      <c r="LTN50" s="76"/>
      <c r="LTO50" s="76"/>
      <c r="LTP50" s="76"/>
      <c r="LTQ50" s="76"/>
      <c r="LTR50" s="76"/>
      <c r="LTS50" s="76"/>
      <c r="LTT50" s="76"/>
      <c r="LTU50" s="76"/>
      <c r="LTV50" s="76"/>
      <c r="LTW50" s="76"/>
      <c r="LTX50" s="76"/>
      <c r="LTY50" s="76"/>
      <c r="LTZ50" s="76"/>
      <c r="LUA50" s="76"/>
      <c r="LUB50" s="76"/>
      <c r="LUC50" s="76"/>
      <c r="LUD50" s="76"/>
      <c r="LUE50" s="76"/>
      <c r="LUF50" s="76"/>
      <c r="LUG50" s="76"/>
      <c r="LUH50" s="76"/>
      <c r="LUI50" s="76"/>
      <c r="LUJ50" s="76"/>
      <c r="LUK50" s="76"/>
      <c r="LUL50" s="76"/>
      <c r="LUM50" s="76"/>
      <c r="LUN50" s="76"/>
      <c r="LUO50" s="76"/>
      <c r="LUP50" s="76"/>
      <c r="LUQ50" s="76"/>
      <c r="LUR50" s="76"/>
      <c r="LUS50" s="76"/>
      <c r="LUT50" s="76"/>
      <c r="LUU50" s="76"/>
      <c r="LUV50" s="76"/>
      <c r="LUW50" s="76"/>
      <c r="LUX50" s="76"/>
      <c r="LUY50" s="76"/>
      <c r="LUZ50" s="76"/>
      <c r="LVA50" s="76"/>
      <c r="LVB50" s="76"/>
      <c r="LVC50" s="76"/>
      <c r="LVD50" s="76"/>
      <c r="LVE50" s="76"/>
      <c r="LVF50" s="76"/>
      <c r="LVG50" s="76"/>
      <c r="LVH50" s="76"/>
      <c r="LVI50" s="76"/>
      <c r="LVJ50" s="76"/>
      <c r="LVK50" s="76"/>
      <c r="LVL50" s="76"/>
      <c r="LVM50" s="76"/>
      <c r="LVN50" s="76"/>
      <c r="LVO50" s="76"/>
      <c r="LVP50" s="76"/>
      <c r="LVQ50" s="76"/>
      <c r="LVR50" s="76"/>
      <c r="LVS50" s="76"/>
      <c r="LVT50" s="76"/>
      <c r="LVU50" s="76"/>
      <c r="LVV50" s="76"/>
      <c r="LVW50" s="76"/>
      <c r="LVX50" s="76"/>
      <c r="LVY50" s="76"/>
      <c r="LVZ50" s="76"/>
      <c r="LWA50" s="76"/>
      <c r="LWB50" s="76"/>
      <c r="LWC50" s="76"/>
      <c r="LWD50" s="76"/>
      <c r="LWE50" s="76"/>
      <c r="LWF50" s="76"/>
      <c r="LWG50" s="76"/>
      <c r="LWH50" s="76"/>
      <c r="LWI50" s="76"/>
      <c r="LWJ50" s="76"/>
      <c r="LWK50" s="76"/>
      <c r="LWL50" s="76"/>
      <c r="LWM50" s="76"/>
      <c r="LWN50" s="76"/>
      <c r="LWO50" s="76"/>
      <c r="LWP50" s="76"/>
      <c r="LWQ50" s="76"/>
      <c r="LWR50" s="76"/>
      <c r="LWS50" s="76"/>
      <c r="LWT50" s="76"/>
      <c r="LWU50" s="76"/>
      <c r="LWV50" s="76"/>
      <c r="LWW50" s="76"/>
      <c r="LWX50" s="76"/>
      <c r="LWY50" s="76"/>
      <c r="LWZ50" s="76"/>
      <c r="LXA50" s="76"/>
      <c r="LXB50" s="76"/>
      <c r="LXC50" s="76"/>
      <c r="LXD50" s="76"/>
      <c r="LXE50" s="76"/>
      <c r="LXF50" s="76"/>
      <c r="LXG50" s="76"/>
      <c r="LXH50" s="76"/>
      <c r="LXI50" s="76"/>
      <c r="LXJ50" s="76"/>
      <c r="LXK50" s="76"/>
      <c r="LXL50" s="76"/>
      <c r="LXM50" s="76"/>
      <c r="LXN50" s="76"/>
      <c r="LXO50" s="76"/>
      <c r="LXP50" s="76"/>
      <c r="LXQ50" s="76"/>
      <c r="LXR50" s="76"/>
      <c r="LXS50" s="76"/>
      <c r="LXT50" s="76"/>
      <c r="LXU50" s="76"/>
      <c r="LXV50" s="76"/>
      <c r="LXW50" s="76"/>
      <c r="LXX50" s="76"/>
      <c r="LXY50" s="76"/>
      <c r="LXZ50" s="76"/>
      <c r="LYA50" s="76"/>
      <c r="LYB50" s="76"/>
      <c r="LYC50" s="76"/>
      <c r="LYD50" s="76"/>
      <c r="LYE50" s="76"/>
      <c r="LYF50" s="76"/>
      <c r="LYG50" s="76"/>
      <c r="LYH50" s="76"/>
      <c r="LYI50" s="76"/>
      <c r="LYJ50" s="76"/>
      <c r="LYK50" s="76"/>
      <c r="LYL50" s="76"/>
      <c r="LYM50" s="76"/>
      <c r="LYN50" s="76"/>
      <c r="LYO50" s="76"/>
      <c r="LYP50" s="76"/>
      <c r="LYQ50" s="76"/>
      <c r="LYR50" s="76"/>
      <c r="LYS50" s="76"/>
      <c r="LYT50" s="76"/>
      <c r="LYU50" s="76"/>
      <c r="LYV50" s="76"/>
      <c r="LYW50" s="76"/>
      <c r="LYX50" s="76"/>
      <c r="LYY50" s="76"/>
      <c r="LYZ50" s="76"/>
      <c r="LZA50" s="76"/>
      <c r="LZB50" s="76"/>
      <c r="LZC50" s="76"/>
      <c r="LZD50" s="76"/>
      <c r="LZE50" s="76"/>
      <c r="LZF50" s="76"/>
      <c r="LZG50" s="76"/>
      <c r="LZH50" s="76"/>
      <c r="LZI50" s="76"/>
      <c r="LZJ50" s="76"/>
      <c r="LZK50" s="76"/>
      <c r="LZL50" s="76"/>
      <c r="LZM50" s="76"/>
      <c r="LZN50" s="76"/>
      <c r="LZO50" s="76"/>
      <c r="LZP50" s="76"/>
      <c r="LZQ50" s="76"/>
      <c r="LZR50" s="76"/>
      <c r="LZS50" s="76"/>
      <c r="LZT50" s="76"/>
      <c r="LZU50" s="76"/>
      <c r="LZV50" s="76"/>
      <c r="LZW50" s="76"/>
      <c r="LZX50" s="76"/>
      <c r="LZY50" s="76"/>
      <c r="LZZ50" s="76"/>
      <c r="MAA50" s="76"/>
      <c r="MAB50" s="76"/>
      <c r="MAC50" s="76"/>
      <c r="MAD50" s="76"/>
      <c r="MAE50" s="76"/>
      <c r="MAF50" s="76"/>
      <c r="MAG50" s="76"/>
      <c r="MAH50" s="76"/>
      <c r="MAI50" s="76"/>
      <c r="MAJ50" s="76"/>
      <c r="MAK50" s="76"/>
      <c r="MAL50" s="76"/>
      <c r="MAM50" s="76"/>
      <c r="MAN50" s="76"/>
      <c r="MAO50" s="76"/>
      <c r="MAP50" s="76"/>
      <c r="MAQ50" s="76"/>
      <c r="MAR50" s="76"/>
      <c r="MAS50" s="76"/>
      <c r="MAT50" s="76"/>
      <c r="MAU50" s="76"/>
      <c r="MAV50" s="76"/>
      <c r="MAW50" s="76"/>
      <c r="MAX50" s="76"/>
      <c r="MAY50" s="76"/>
      <c r="MAZ50" s="76"/>
      <c r="MBA50" s="76"/>
      <c r="MBB50" s="76"/>
      <c r="MBC50" s="76"/>
      <c r="MBD50" s="76"/>
      <c r="MBE50" s="76"/>
      <c r="MBF50" s="76"/>
      <c r="MBG50" s="76"/>
      <c r="MBH50" s="76"/>
      <c r="MBI50" s="76"/>
      <c r="MBJ50" s="76"/>
      <c r="MBK50" s="76"/>
      <c r="MBL50" s="76"/>
      <c r="MBM50" s="76"/>
      <c r="MBN50" s="76"/>
      <c r="MBO50" s="76"/>
      <c r="MBP50" s="76"/>
      <c r="MBQ50" s="76"/>
      <c r="MBR50" s="76"/>
      <c r="MBS50" s="76"/>
      <c r="MBT50" s="76"/>
      <c r="MBU50" s="76"/>
      <c r="MBV50" s="76"/>
      <c r="MBW50" s="76"/>
      <c r="MBX50" s="76"/>
      <c r="MBY50" s="76"/>
      <c r="MBZ50" s="76"/>
      <c r="MCA50" s="76"/>
      <c r="MCB50" s="76"/>
      <c r="MCC50" s="76"/>
      <c r="MCD50" s="76"/>
      <c r="MCE50" s="76"/>
      <c r="MCF50" s="76"/>
      <c r="MCG50" s="76"/>
      <c r="MCH50" s="76"/>
      <c r="MCI50" s="76"/>
      <c r="MCJ50" s="76"/>
      <c r="MCK50" s="76"/>
      <c r="MCL50" s="76"/>
      <c r="MCM50" s="76"/>
      <c r="MCN50" s="76"/>
      <c r="MCO50" s="76"/>
      <c r="MCP50" s="76"/>
      <c r="MCQ50" s="76"/>
      <c r="MCR50" s="76"/>
      <c r="MCS50" s="76"/>
      <c r="MCT50" s="76"/>
      <c r="MCU50" s="76"/>
      <c r="MCV50" s="76"/>
      <c r="MCW50" s="76"/>
      <c r="MCX50" s="76"/>
      <c r="MCY50" s="76"/>
      <c r="MCZ50" s="76"/>
      <c r="MDA50" s="76"/>
      <c r="MDB50" s="76"/>
      <c r="MDC50" s="76"/>
      <c r="MDD50" s="76"/>
      <c r="MDE50" s="76"/>
      <c r="MDF50" s="76"/>
      <c r="MDG50" s="76"/>
      <c r="MDH50" s="76"/>
      <c r="MDI50" s="76"/>
      <c r="MDJ50" s="76"/>
      <c r="MDK50" s="76"/>
      <c r="MDL50" s="76"/>
      <c r="MDM50" s="76"/>
      <c r="MDN50" s="76"/>
      <c r="MDO50" s="76"/>
      <c r="MDP50" s="76"/>
      <c r="MDQ50" s="76"/>
      <c r="MDR50" s="76"/>
      <c r="MDS50" s="76"/>
      <c r="MDT50" s="76"/>
      <c r="MDU50" s="76"/>
      <c r="MDV50" s="76"/>
      <c r="MDW50" s="76"/>
      <c r="MDX50" s="76"/>
      <c r="MDY50" s="76"/>
      <c r="MDZ50" s="76"/>
      <c r="MEA50" s="76"/>
      <c r="MEB50" s="76"/>
      <c r="MEC50" s="76"/>
      <c r="MED50" s="76"/>
      <c r="MEE50" s="76"/>
      <c r="MEF50" s="76"/>
      <c r="MEG50" s="76"/>
      <c r="MEH50" s="76"/>
      <c r="MEI50" s="76"/>
      <c r="MEJ50" s="76"/>
      <c r="MEK50" s="76"/>
      <c r="MEL50" s="76"/>
      <c r="MEM50" s="76"/>
      <c r="MEN50" s="76"/>
      <c r="MEO50" s="76"/>
      <c r="MEP50" s="76"/>
      <c r="MEQ50" s="76"/>
      <c r="MER50" s="76"/>
      <c r="MES50" s="76"/>
      <c r="MET50" s="76"/>
      <c r="MEU50" s="76"/>
      <c r="MEV50" s="76"/>
      <c r="MEW50" s="76"/>
      <c r="MEX50" s="76"/>
      <c r="MEY50" s="76"/>
      <c r="MEZ50" s="76"/>
      <c r="MFA50" s="76"/>
      <c r="MFB50" s="76"/>
      <c r="MFC50" s="76"/>
      <c r="MFD50" s="76"/>
      <c r="MFE50" s="76"/>
      <c r="MFF50" s="76"/>
      <c r="MFG50" s="76"/>
      <c r="MFH50" s="76"/>
      <c r="MFI50" s="76"/>
      <c r="MFJ50" s="76"/>
      <c r="MFK50" s="76"/>
      <c r="MFL50" s="76"/>
      <c r="MFM50" s="76"/>
      <c r="MFN50" s="76"/>
      <c r="MFO50" s="76"/>
      <c r="MFP50" s="76"/>
      <c r="MFQ50" s="76"/>
      <c r="MFR50" s="76"/>
      <c r="MFS50" s="76"/>
      <c r="MFT50" s="76"/>
      <c r="MFU50" s="76"/>
      <c r="MFV50" s="76"/>
      <c r="MFW50" s="76"/>
      <c r="MFX50" s="76"/>
      <c r="MFY50" s="76"/>
      <c r="MFZ50" s="76"/>
      <c r="MGA50" s="76"/>
      <c r="MGB50" s="76"/>
      <c r="MGC50" s="76"/>
      <c r="MGD50" s="76"/>
      <c r="MGE50" s="76"/>
      <c r="MGF50" s="76"/>
      <c r="MGG50" s="76"/>
      <c r="MGH50" s="76"/>
      <c r="MGI50" s="76"/>
      <c r="MGJ50" s="76"/>
      <c r="MGK50" s="76"/>
      <c r="MGL50" s="76"/>
      <c r="MGM50" s="76"/>
      <c r="MGN50" s="76"/>
      <c r="MGO50" s="76"/>
      <c r="MGP50" s="76"/>
      <c r="MGQ50" s="76"/>
      <c r="MGR50" s="76"/>
      <c r="MGS50" s="76"/>
      <c r="MGT50" s="76"/>
      <c r="MGU50" s="76"/>
      <c r="MGV50" s="76"/>
      <c r="MGW50" s="76"/>
      <c r="MGX50" s="76"/>
      <c r="MGY50" s="76"/>
      <c r="MGZ50" s="76"/>
      <c r="MHA50" s="76"/>
      <c r="MHB50" s="76"/>
      <c r="MHC50" s="76"/>
      <c r="MHD50" s="76"/>
      <c r="MHE50" s="76"/>
      <c r="MHF50" s="76"/>
      <c r="MHG50" s="76"/>
      <c r="MHH50" s="76"/>
      <c r="MHI50" s="76"/>
      <c r="MHJ50" s="76"/>
      <c r="MHK50" s="76"/>
      <c r="MHL50" s="76"/>
      <c r="MHM50" s="76"/>
      <c r="MHN50" s="76"/>
      <c r="MHO50" s="76"/>
      <c r="MHP50" s="76"/>
      <c r="MHQ50" s="76"/>
      <c r="MHR50" s="76"/>
      <c r="MHS50" s="76"/>
      <c r="MHT50" s="76"/>
      <c r="MHU50" s="76"/>
      <c r="MHV50" s="76"/>
      <c r="MHW50" s="76"/>
      <c r="MHX50" s="76"/>
      <c r="MHY50" s="76"/>
      <c r="MHZ50" s="76"/>
      <c r="MIA50" s="76"/>
      <c r="MIB50" s="76"/>
      <c r="MIC50" s="76"/>
      <c r="MID50" s="76"/>
      <c r="MIE50" s="76"/>
      <c r="MIF50" s="76"/>
      <c r="MIG50" s="76"/>
      <c r="MIH50" s="76"/>
      <c r="MII50" s="76"/>
      <c r="MIJ50" s="76"/>
      <c r="MIK50" s="76"/>
      <c r="MIL50" s="76"/>
      <c r="MIM50" s="76"/>
      <c r="MIN50" s="76"/>
      <c r="MIO50" s="76"/>
      <c r="MIP50" s="76"/>
      <c r="MIQ50" s="76"/>
      <c r="MIR50" s="76"/>
      <c r="MIS50" s="76"/>
      <c r="MIT50" s="76"/>
      <c r="MIU50" s="76"/>
      <c r="MIV50" s="76"/>
      <c r="MIW50" s="76"/>
      <c r="MIX50" s="76"/>
      <c r="MIY50" s="76"/>
      <c r="MIZ50" s="76"/>
      <c r="MJA50" s="76"/>
      <c r="MJB50" s="76"/>
      <c r="MJC50" s="76"/>
      <c r="MJD50" s="76"/>
      <c r="MJE50" s="76"/>
      <c r="MJF50" s="76"/>
      <c r="MJG50" s="76"/>
      <c r="MJH50" s="76"/>
      <c r="MJI50" s="76"/>
      <c r="MJJ50" s="76"/>
      <c r="MJK50" s="76"/>
      <c r="MJL50" s="76"/>
      <c r="MJM50" s="76"/>
      <c r="MJN50" s="76"/>
      <c r="MJO50" s="76"/>
      <c r="MJP50" s="76"/>
      <c r="MJQ50" s="76"/>
      <c r="MJR50" s="76"/>
      <c r="MJS50" s="76"/>
      <c r="MJT50" s="76"/>
      <c r="MJU50" s="76"/>
      <c r="MJV50" s="76"/>
      <c r="MJW50" s="76"/>
      <c r="MJX50" s="76"/>
      <c r="MJY50" s="76"/>
      <c r="MJZ50" s="76"/>
      <c r="MKA50" s="76"/>
      <c r="MKB50" s="76"/>
      <c r="MKC50" s="76"/>
      <c r="MKD50" s="76"/>
      <c r="MKE50" s="76"/>
      <c r="MKF50" s="76"/>
      <c r="MKG50" s="76"/>
      <c r="MKH50" s="76"/>
      <c r="MKI50" s="76"/>
      <c r="MKJ50" s="76"/>
      <c r="MKK50" s="76"/>
      <c r="MKL50" s="76"/>
      <c r="MKM50" s="76"/>
      <c r="MKN50" s="76"/>
      <c r="MKO50" s="76"/>
      <c r="MKP50" s="76"/>
      <c r="MKQ50" s="76"/>
      <c r="MKR50" s="76"/>
      <c r="MKS50" s="76"/>
      <c r="MKT50" s="76"/>
      <c r="MKU50" s="76"/>
      <c r="MKV50" s="76"/>
      <c r="MKW50" s="76"/>
      <c r="MKX50" s="76"/>
      <c r="MKY50" s="76"/>
      <c r="MKZ50" s="76"/>
      <c r="MLA50" s="76"/>
      <c r="MLB50" s="76"/>
      <c r="MLC50" s="76"/>
      <c r="MLD50" s="76"/>
      <c r="MLE50" s="76"/>
      <c r="MLF50" s="76"/>
      <c r="MLG50" s="76"/>
      <c r="MLH50" s="76"/>
      <c r="MLI50" s="76"/>
      <c r="MLJ50" s="76"/>
      <c r="MLK50" s="76"/>
      <c r="MLL50" s="76"/>
      <c r="MLM50" s="76"/>
      <c r="MLN50" s="76"/>
      <c r="MLO50" s="76"/>
      <c r="MLP50" s="76"/>
      <c r="MLQ50" s="76"/>
      <c r="MLR50" s="76"/>
      <c r="MLS50" s="76"/>
      <c r="MLT50" s="76"/>
      <c r="MLU50" s="76"/>
      <c r="MLV50" s="76"/>
      <c r="MLW50" s="76"/>
      <c r="MLX50" s="76"/>
      <c r="MLY50" s="76"/>
      <c r="MLZ50" s="76"/>
      <c r="MMA50" s="76"/>
      <c r="MMB50" s="76"/>
      <c r="MMC50" s="76"/>
      <c r="MMD50" s="76"/>
      <c r="MME50" s="76"/>
      <c r="MMF50" s="76"/>
      <c r="MMG50" s="76"/>
      <c r="MMH50" s="76"/>
      <c r="MMI50" s="76"/>
      <c r="MMJ50" s="76"/>
      <c r="MMK50" s="76"/>
      <c r="MML50" s="76"/>
      <c r="MMM50" s="76"/>
      <c r="MMN50" s="76"/>
      <c r="MMO50" s="76"/>
      <c r="MMP50" s="76"/>
      <c r="MMQ50" s="76"/>
      <c r="MMR50" s="76"/>
      <c r="MMS50" s="76"/>
      <c r="MMT50" s="76"/>
      <c r="MMU50" s="76"/>
      <c r="MMV50" s="76"/>
      <c r="MMW50" s="76"/>
      <c r="MMX50" s="76"/>
      <c r="MMY50" s="76"/>
      <c r="MMZ50" s="76"/>
      <c r="MNA50" s="76"/>
      <c r="MNB50" s="76"/>
      <c r="MNC50" s="76"/>
      <c r="MND50" s="76"/>
      <c r="MNE50" s="76"/>
      <c r="MNF50" s="76"/>
      <c r="MNG50" s="76"/>
      <c r="MNH50" s="76"/>
      <c r="MNI50" s="76"/>
      <c r="MNJ50" s="76"/>
      <c r="MNK50" s="76"/>
      <c r="MNL50" s="76"/>
      <c r="MNM50" s="76"/>
      <c r="MNN50" s="76"/>
      <c r="MNO50" s="76"/>
      <c r="MNP50" s="76"/>
      <c r="MNQ50" s="76"/>
      <c r="MNR50" s="76"/>
      <c r="MNS50" s="76"/>
      <c r="MNT50" s="76"/>
      <c r="MNU50" s="76"/>
      <c r="MNV50" s="76"/>
      <c r="MNW50" s="76"/>
      <c r="MNX50" s="76"/>
      <c r="MNY50" s="76"/>
      <c r="MNZ50" s="76"/>
      <c r="MOA50" s="76"/>
      <c r="MOB50" s="76"/>
      <c r="MOC50" s="76"/>
      <c r="MOD50" s="76"/>
      <c r="MOE50" s="76"/>
      <c r="MOF50" s="76"/>
      <c r="MOG50" s="76"/>
      <c r="MOH50" s="76"/>
      <c r="MOI50" s="76"/>
      <c r="MOJ50" s="76"/>
      <c r="MOK50" s="76"/>
      <c r="MOL50" s="76"/>
      <c r="MOM50" s="76"/>
      <c r="MON50" s="76"/>
      <c r="MOO50" s="76"/>
      <c r="MOP50" s="76"/>
      <c r="MOQ50" s="76"/>
      <c r="MOR50" s="76"/>
      <c r="MOS50" s="76"/>
      <c r="MOT50" s="76"/>
      <c r="MOU50" s="76"/>
      <c r="MOV50" s="76"/>
      <c r="MOW50" s="76"/>
      <c r="MOX50" s="76"/>
      <c r="MOY50" s="76"/>
      <c r="MOZ50" s="76"/>
      <c r="MPA50" s="76"/>
      <c r="MPB50" s="76"/>
      <c r="MPC50" s="76"/>
      <c r="MPD50" s="76"/>
      <c r="MPE50" s="76"/>
      <c r="MPF50" s="76"/>
      <c r="MPG50" s="76"/>
      <c r="MPH50" s="76"/>
      <c r="MPI50" s="76"/>
      <c r="MPJ50" s="76"/>
      <c r="MPK50" s="76"/>
      <c r="MPL50" s="76"/>
      <c r="MPM50" s="76"/>
      <c r="MPN50" s="76"/>
      <c r="MPO50" s="76"/>
      <c r="MPP50" s="76"/>
      <c r="MPQ50" s="76"/>
      <c r="MPR50" s="76"/>
      <c r="MPS50" s="76"/>
      <c r="MPT50" s="76"/>
      <c r="MPU50" s="76"/>
      <c r="MPV50" s="76"/>
      <c r="MPW50" s="76"/>
      <c r="MPX50" s="76"/>
      <c r="MPY50" s="76"/>
      <c r="MPZ50" s="76"/>
      <c r="MQA50" s="76"/>
      <c r="MQB50" s="76"/>
      <c r="MQC50" s="76"/>
      <c r="MQD50" s="76"/>
      <c r="MQE50" s="76"/>
      <c r="MQF50" s="76"/>
      <c r="MQG50" s="76"/>
      <c r="MQH50" s="76"/>
      <c r="MQI50" s="76"/>
      <c r="MQJ50" s="76"/>
      <c r="MQK50" s="76"/>
      <c r="MQL50" s="76"/>
      <c r="MQM50" s="76"/>
      <c r="MQN50" s="76"/>
      <c r="MQO50" s="76"/>
      <c r="MQP50" s="76"/>
      <c r="MQQ50" s="76"/>
      <c r="MQR50" s="76"/>
      <c r="MQS50" s="76"/>
      <c r="MQT50" s="76"/>
      <c r="MQU50" s="76"/>
      <c r="MQV50" s="76"/>
      <c r="MQW50" s="76"/>
      <c r="MQX50" s="76"/>
      <c r="MQY50" s="76"/>
      <c r="MQZ50" s="76"/>
      <c r="MRA50" s="76"/>
      <c r="MRB50" s="76"/>
      <c r="MRC50" s="76"/>
      <c r="MRD50" s="76"/>
      <c r="MRE50" s="76"/>
      <c r="MRF50" s="76"/>
      <c r="MRG50" s="76"/>
      <c r="MRH50" s="76"/>
      <c r="MRI50" s="76"/>
      <c r="MRJ50" s="76"/>
      <c r="MRK50" s="76"/>
      <c r="MRL50" s="76"/>
      <c r="MRM50" s="76"/>
      <c r="MRN50" s="76"/>
      <c r="MRO50" s="76"/>
      <c r="MRP50" s="76"/>
      <c r="MRQ50" s="76"/>
      <c r="MRR50" s="76"/>
      <c r="MRS50" s="76"/>
      <c r="MRT50" s="76"/>
      <c r="MRU50" s="76"/>
      <c r="MRV50" s="76"/>
      <c r="MRW50" s="76"/>
      <c r="MRX50" s="76"/>
      <c r="MRY50" s="76"/>
      <c r="MRZ50" s="76"/>
      <c r="MSA50" s="76"/>
      <c r="MSB50" s="76"/>
      <c r="MSC50" s="76"/>
      <c r="MSD50" s="76"/>
      <c r="MSE50" s="76"/>
      <c r="MSF50" s="76"/>
      <c r="MSG50" s="76"/>
      <c r="MSH50" s="76"/>
      <c r="MSI50" s="76"/>
      <c r="MSJ50" s="76"/>
      <c r="MSK50" s="76"/>
      <c r="MSL50" s="76"/>
      <c r="MSM50" s="76"/>
      <c r="MSN50" s="76"/>
      <c r="MSO50" s="76"/>
      <c r="MSP50" s="76"/>
      <c r="MSQ50" s="76"/>
      <c r="MSR50" s="76"/>
      <c r="MSS50" s="76"/>
      <c r="MST50" s="76"/>
      <c r="MSU50" s="76"/>
      <c r="MSV50" s="76"/>
      <c r="MSW50" s="76"/>
      <c r="MSX50" s="76"/>
      <c r="MSY50" s="76"/>
      <c r="MSZ50" s="76"/>
      <c r="MTA50" s="76"/>
      <c r="MTB50" s="76"/>
      <c r="MTC50" s="76"/>
      <c r="MTD50" s="76"/>
      <c r="MTE50" s="76"/>
      <c r="MTF50" s="76"/>
      <c r="MTG50" s="76"/>
      <c r="MTH50" s="76"/>
      <c r="MTI50" s="76"/>
      <c r="MTJ50" s="76"/>
      <c r="MTK50" s="76"/>
      <c r="MTL50" s="76"/>
      <c r="MTM50" s="76"/>
      <c r="MTN50" s="76"/>
      <c r="MTO50" s="76"/>
      <c r="MTP50" s="76"/>
      <c r="MTQ50" s="76"/>
      <c r="MTR50" s="76"/>
      <c r="MTS50" s="76"/>
      <c r="MTT50" s="76"/>
      <c r="MTU50" s="76"/>
      <c r="MTV50" s="76"/>
      <c r="MTW50" s="76"/>
      <c r="MTX50" s="76"/>
      <c r="MTY50" s="76"/>
      <c r="MTZ50" s="76"/>
      <c r="MUA50" s="76"/>
      <c r="MUB50" s="76"/>
      <c r="MUC50" s="76"/>
      <c r="MUD50" s="76"/>
      <c r="MUE50" s="76"/>
      <c r="MUF50" s="76"/>
      <c r="MUG50" s="76"/>
      <c r="MUH50" s="76"/>
      <c r="MUI50" s="76"/>
      <c r="MUJ50" s="76"/>
      <c r="MUK50" s="76"/>
      <c r="MUL50" s="76"/>
      <c r="MUM50" s="76"/>
      <c r="MUN50" s="76"/>
      <c r="MUO50" s="76"/>
      <c r="MUP50" s="76"/>
      <c r="MUQ50" s="76"/>
      <c r="MUR50" s="76"/>
      <c r="MUS50" s="76"/>
      <c r="MUT50" s="76"/>
      <c r="MUU50" s="76"/>
      <c r="MUV50" s="76"/>
      <c r="MUW50" s="76"/>
      <c r="MUX50" s="76"/>
      <c r="MUY50" s="76"/>
      <c r="MUZ50" s="76"/>
      <c r="MVA50" s="76"/>
      <c r="MVB50" s="76"/>
      <c r="MVC50" s="76"/>
      <c r="MVD50" s="76"/>
      <c r="MVE50" s="76"/>
      <c r="MVF50" s="76"/>
      <c r="MVG50" s="76"/>
      <c r="MVH50" s="76"/>
      <c r="MVI50" s="76"/>
      <c r="MVJ50" s="76"/>
      <c r="MVK50" s="76"/>
      <c r="MVL50" s="76"/>
      <c r="MVM50" s="76"/>
      <c r="MVN50" s="76"/>
      <c r="MVO50" s="76"/>
      <c r="MVP50" s="76"/>
      <c r="MVQ50" s="76"/>
      <c r="MVR50" s="76"/>
      <c r="MVS50" s="76"/>
      <c r="MVT50" s="76"/>
      <c r="MVU50" s="76"/>
      <c r="MVV50" s="76"/>
      <c r="MVW50" s="76"/>
      <c r="MVX50" s="76"/>
      <c r="MVY50" s="76"/>
      <c r="MVZ50" s="76"/>
      <c r="MWA50" s="76"/>
      <c r="MWB50" s="76"/>
      <c r="MWC50" s="76"/>
      <c r="MWD50" s="76"/>
      <c r="MWE50" s="76"/>
      <c r="MWF50" s="76"/>
      <c r="MWG50" s="76"/>
      <c r="MWH50" s="76"/>
      <c r="MWI50" s="76"/>
      <c r="MWJ50" s="76"/>
      <c r="MWK50" s="76"/>
      <c r="MWL50" s="76"/>
      <c r="MWM50" s="76"/>
      <c r="MWN50" s="76"/>
      <c r="MWO50" s="76"/>
      <c r="MWP50" s="76"/>
      <c r="MWQ50" s="76"/>
      <c r="MWR50" s="76"/>
      <c r="MWS50" s="76"/>
      <c r="MWT50" s="76"/>
      <c r="MWU50" s="76"/>
      <c r="MWV50" s="76"/>
      <c r="MWW50" s="76"/>
      <c r="MWX50" s="76"/>
      <c r="MWY50" s="76"/>
      <c r="MWZ50" s="76"/>
      <c r="MXA50" s="76"/>
      <c r="MXB50" s="76"/>
      <c r="MXC50" s="76"/>
      <c r="MXD50" s="76"/>
      <c r="MXE50" s="76"/>
      <c r="MXF50" s="76"/>
      <c r="MXG50" s="76"/>
      <c r="MXH50" s="76"/>
      <c r="MXI50" s="76"/>
      <c r="MXJ50" s="76"/>
      <c r="MXK50" s="76"/>
      <c r="MXL50" s="76"/>
      <c r="MXM50" s="76"/>
      <c r="MXN50" s="76"/>
      <c r="MXO50" s="76"/>
      <c r="MXP50" s="76"/>
      <c r="MXQ50" s="76"/>
      <c r="MXR50" s="76"/>
      <c r="MXS50" s="76"/>
      <c r="MXT50" s="76"/>
      <c r="MXU50" s="76"/>
      <c r="MXV50" s="76"/>
      <c r="MXW50" s="76"/>
      <c r="MXX50" s="76"/>
      <c r="MXY50" s="76"/>
      <c r="MXZ50" s="76"/>
      <c r="MYA50" s="76"/>
      <c r="MYB50" s="76"/>
      <c r="MYC50" s="76"/>
      <c r="MYD50" s="76"/>
      <c r="MYE50" s="76"/>
      <c r="MYF50" s="76"/>
      <c r="MYG50" s="76"/>
      <c r="MYH50" s="76"/>
      <c r="MYI50" s="76"/>
      <c r="MYJ50" s="76"/>
      <c r="MYK50" s="76"/>
      <c r="MYL50" s="76"/>
      <c r="MYM50" s="76"/>
      <c r="MYN50" s="76"/>
      <c r="MYO50" s="76"/>
      <c r="MYP50" s="76"/>
      <c r="MYQ50" s="76"/>
      <c r="MYR50" s="76"/>
      <c r="MYS50" s="76"/>
      <c r="MYT50" s="76"/>
      <c r="MYU50" s="76"/>
      <c r="MYV50" s="76"/>
      <c r="MYW50" s="76"/>
      <c r="MYX50" s="76"/>
      <c r="MYY50" s="76"/>
      <c r="MYZ50" s="76"/>
      <c r="MZA50" s="76"/>
      <c r="MZB50" s="76"/>
      <c r="MZC50" s="76"/>
      <c r="MZD50" s="76"/>
      <c r="MZE50" s="76"/>
      <c r="MZF50" s="76"/>
      <c r="MZG50" s="76"/>
      <c r="MZH50" s="76"/>
      <c r="MZI50" s="76"/>
      <c r="MZJ50" s="76"/>
      <c r="MZK50" s="76"/>
      <c r="MZL50" s="76"/>
      <c r="MZM50" s="76"/>
      <c r="MZN50" s="76"/>
      <c r="MZO50" s="76"/>
      <c r="MZP50" s="76"/>
      <c r="MZQ50" s="76"/>
      <c r="MZR50" s="76"/>
      <c r="MZS50" s="76"/>
      <c r="MZT50" s="76"/>
      <c r="MZU50" s="76"/>
      <c r="MZV50" s="76"/>
      <c r="MZW50" s="76"/>
      <c r="MZX50" s="76"/>
      <c r="MZY50" s="76"/>
      <c r="MZZ50" s="76"/>
      <c r="NAA50" s="76"/>
      <c r="NAB50" s="76"/>
      <c r="NAC50" s="76"/>
      <c r="NAD50" s="76"/>
      <c r="NAE50" s="76"/>
      <c r="NAF50" s="76"/>
      <c r="NAG50" s="76"/>
      <c r="NAH50" s="76"/>
      <c r="NAI50" s="76"/>
      <c r="NAJ50" s="76"/>
      <c r="NAK50" s="76"/>
      <c r="NAL50" s="76"/>
      <c r="NAM50" s="76"/>
      <c r="NAN50" s="76"/>
      <c r="NAO50" s="76"/>
      <c r="NAP50" s="76"/>
      <c r="NAQ50" s="76"/>
      <c r="NAR50" s="76"/>
      <c r="NAS50" s="76"/>
      <c r="NAT50" s="76"/>
      <c r="NAU50" s="76"/>
      <c r="NAV50" s="76"/>
      <c r="NAW50" s="76"/>
      <c r="NAX50" s="76"/>
      <c r="NAY50" s="76"/>
      <c r="NAZ50" s="76"/>
      <c r="NBA50" s="76"/>
      <c r="NBB50" s="76"/>
      <c r="NBC50" s="76"/>
      <c r="NBD50" s="76"/>
      <c r="NBE50" s="76"/>
      <c r="NBF50" s="76"/>
      <c r="NBG50" s="76"/>
      <c r="NBH50" s="76"/>
      <c r="NBI50" s="76"/>
      <c r="NBJ50" s="76"/>
      <c r="NBK50" s="76"/>
      <c r="NBL50" s="76"/>
      <c r="NBM50" s="76"/>
      <c r="NBN50" s="76"/>
      <c r="NBO50" s="76"/>
      <c r="NBP50" s="76"/>
      <c r="NBQ50" s="76"/>
      <c r="NBR50" s="76"/>
      <c r="NBS50" s="76"/>
      <c r="NBT50" s="76"/>
      <c r="NBU50" s="76"/>
      <c r="NBV50" s="76"/>
      <c r="NBW50" s="76"/>
      <c r="NBX50" s="76"/>
      <c r="NBY50" s="76"/>
      <c r="NBZ50" s="76"/>
      <c r="NCA50" s="76"/>
      <c r="NCB50" s="76"/>
      <c r="NCC50" s="76"/>
      <c r="NCD50" s="76"/>
      <c r="NCE50" s="76"/>
      <c r="NCF50" s="76"/>
      <c r="NCG50" s="76"/>
      <c r="NCH50" s="76"/>
      <c r="NCI50" s="76"/>
      <c r="NCJ50" s="76"/>
      <c r="NCK50" s="76"/>
      <c r="NCL50" s="76"/>
      <c r="NCM50" s="76"/>
      <c r="NCN50" s="76"/>
      <c r="NCO50" s="76"/>
      <c r="NCP50" s="76"/>
      <c r="NCQ50" s="76"/>
      <c r="NCR50" s="76"/>
      <c r="NCS50" s="76"/>
      <c r="NCT50" s="76"/>
      <c r="NCU50" s="76"/>
      <c r="NCV50" s="76"/>
      <c r="NCW50" s="76"/>
      <c r="NCX50" s="76"/>
      <c r="NCY50" s="76"/>
      <c r="NCZ50" s="76"/>
      <c r="NDA50" s="76"/>
      <c r="NDB50" s="76"/>
      <c r="NDC50" s="76"/>
      <c r="NDD50" s="76"/>
      <c r="NDE50" s="76"/>
      <c r="NDF50" s="76"/>
      <c r="NDG50" s="76"/>
      <c r="NDH50" s="76"/>
      <c r="NDI50" s="76"/>
      <c r="NDJ50" s="76"/>
      <c r="NDK50" s="76"/>
      <c r="NDL50" s="76"/>
      <c r="NDM50" s="76"/>
      <c r="NDN50" s="76"/>
      <c r="NDO50" s="76"/>
      <c r="NDP50" s="76"/>
      <c r="NDQ50" s="76"/>
      <c r="NDR50" s="76"/>
      <c r="NDS50" s="76"/>
      <c r="NDT50" s="76"/>
      <c r="NDU50" s="76"/>
      <c r="NDV50" s="76"/>
      <c r="NDW50" s="76"/>
      <c r="NDX50" s="76"/>
      <c r="NDY50" s="76"/>
      <c r="NDZ50" s="76"/>
      <c r="NEA50" s="76"/>
      <c r="NEB50" s="76"/>
      <c r="NEC50" s="76"/>
      <c r="NED50" s="76"/>
      <c r="NEE50" s="76"/>
      <c r="NEF50" s="76"/>
      <c r="NEG50" s="76"/>
      <c r="NEH50" s="76"/>
      <c r="NEI50" s="76"/>
      <c r="NEJ50" s="76"/>
      <c r="NEK50" s="76"/>
      <c r="NEL50" s="76"/>
      <c r="NEM50" s="76"/>
      <c r="NEN50" s="76"/>
      <c r="NEO50" s="76"/>
      <c r="NEP50" s="76"/>
      <c r="NEQ50" s="76"/>
      <c r="NER50" s="76"/>
      <c r="NES50" s="76"/>
      <c r="NET50" s="76"/>
      <c r="NEU50" s="76"/>
      <c r="NEV50" s="76"/>
      <c r="NEW50" s="76"/>
      <c r="NEX50" s="76"/>
      <c r="NEY50" s="76"/>
      <c r="NEZ50" s="76"/>
      <c r="NFA50" s="76"/>
      <c r="NFB50" s="76"/>
      <c r="NFC50" s="76"/>
      <c r="NFD50" s="76"/>
      <c r="NFE50" s="76"/>
      <c r="NFF50" s="76"/>
      <c r="NFG50" s="76"/>
      <c r="NFH50" s="76"/>
      <c r="NFI50" s="76"/>
      <c r="NFJ50" s="76"/>
      <c r="NFK50" s="76"/>
      <c r="NFL50" s="76"/>
      <c r="NFM50" s="76"/>
      <c r="NFN50" s="76"/>
      <c r="NFO50" s="76"/>
      <c r="NFP50" s="76"/>
      <c r="NFQ50" s="76"/>
      <c r="NFR50" s="76"/>
      <c r="NFS50" s="76"/>
      <c r="NFT50" s="76"/>
      <c r="NFU50" s="76"/>
      <c r="NFV50" s="76"/>
      <c r="NFW50" s="76"/>
      <c r="NFX50" s="76"/>
      <c r="NFY50" s="76"/>
      <c r="NFZ50" s="76"/>
      <c r="NGA50" s="76"/>
      <c r="NGB50" s="76"/>
      <c r="NGC50" s="76"/>
      <c r="NGD50" s="76"/>
      <c r="NGE50" s="76"/>
      <c r="NGF50" s="76"/>
      <c r="NGG50" s="76"/>
      <c r="NGH50" s="76"/>
      <c r="NGI50" s="76"/>
      <c r="NGJ50" s="76"/>
      <c r="NGK50" s="76"/>
      <c r="NGL50" s="76"/>
      <c r="NGM50" s="76"/>
      <c r="NGN50" s="76"/>
      <c r="NGO50" s="76"/>
      <c r="NGP50" s="76"/>
      <c r="NGQ50" s="76"/>
      <c r="NGR50" s="76"/>
      <c r="NGS50" s="76"/>
      <c r="NGT50" s="76"/>
      <c r="NGU50" s="76"/>
      <c r="NGV50" s="76"/>
      <c r="NGW50" s="76"/>
      <c r="NGX50" s="76"/>
      <c r="NGY50" s="76"/>
      <c r="NGZ50" s="76"/>
      <c r="NHA50" s="76"/>
      <c r="NHB50" s="76"/>
      <c r="NHC50" s="76"/>
      <c r="NHD50" s="76"/>
      <c r="NHE50" s="76"/>
      <c r="NHF50" s="76"/>
      <c r="NHG50" s="76"/>
      <c r="NHH50" s="76"/>
      <c r="NHI50" s="76"/>
      <c r="NHJ50" s="76"/>
      <c r="NHK50" s="76"/>
      <c r="NHL50" s="76"/>
      <c r="NHM50" s="76"/>
      <c r="NHN50" s="76"/>
      <c r="NHO50" s="76"/>
      <c r="NHP50" s="76"/>
      <c r="NHQ50" s="76"/>
      <c r="NHR50" s="76"/>
      <c r="NHS50" s="76"/>
      <c r="NHT50" s="76"/>
      <c r="NHU50" s="76"/>
      <c r="NHV50" s="76"/>
      <c r="NHW50" s="76"/>
      <c r="NHX50" s="76"/>
      <c r="NHY50" s="76"/>
      <c r="NHZ50" s="76"/>
      <c r="NIA50" s="76"/>
      <c r="NIB50" s="76"/>
      <c r="NIC50" s="76"/>
      <c r="NID50" s="76"/>
      <c r="NIE50" s="76"/>
      <c r="NIF50" s="76"/>
      <c r="NIG50" s="76"/>
      <c r="NIH50" s="76"/>
      <c r="NII50" s="76"/>
      <c r="NIJ50" s="76"/>
      <c r="NIK50" s="76"/>
      <c r="NIL50" s="76"/>
      <c r="NIM50" s="76"/>
      <c r="NIN50" s="76"/>
      <c r="NIO50" s="76"/>
      <c r="NIP50" s="76"/>
      <c r="NIQ50" s="76"/>
      <c r="NIR50" s="76"/>
      <c r="NIS50" s="76"/>
      <c r="NIT50" s="76"/>
      <c r="NIU50" s="76"/>
      <c r="NIV50" s="76"/>
      <c r="NIW50" s="76"/>
      <c r="NIX50" s="76"/>
      <c r="NIY50" s="76"/>
      <c r="NIZ50" s="76"/>
      <c r="NJA50" s="76"/>
      <c r="NJB50" s="76"/>
      <c r="NJC50" s="76"/>
      <c r="NJD50" s="76"/>
      <c r="NJE50" s="76"/>
      <c r="NJF50" s="76"/>
      <c r="NJG50" s="76"/>
      <c r="NJH50" s="76"/>
      <c r="NJI50" s="76"/>
      <c r="NJJ50" s="76"/>
      <c r="NJK50" s="76"/>
      <c r="NJL50" s="76"/>
      <c r="NJM50" s="76"/>
      <c r="NJN50" s="76"/>
      <c r="NJO50" s="76"/>
      <c r="NJP50" s="76"/>
      <c r="NJQ50" s="76"/>
      <c r="NJR50" s="76"/>
      <c r="NJS50" s="76"/>
      <c r="NJT50" s="76"/>
      <c r="NJU50" s="76"/>
      <c r="NJV50" s="76"/>
      <c r="NJW50" s="76"/>
      <c r="NJX50" s="76"/>
      <c r="NJY50" s="76"/>
      <c r="NJZ50" s="76"/>
      <c r="NKA50" s="76"/>
      <c r="NKB50" s="76"/>
      <c r="NKC50" s="76"/>
      <c r="NKD50" s="76"/>
      <c r="NKE50" s="76"/>
      <c r="NKF50" s="76"/>
      <c r="NKG50" s="76"/>
      <c r="NKH50" s="76"/>
      <c r="NKI50" s="76"/>
      <c r="NKJ50" s="76"/>
      <c r="NKK50" s="76"/>
      <c r="NKL50" s="76"/>
      <c r="NKM50" s="76"/>
      <c r="NKN50" s="76"/>
      <c r="NKO50" s="76"/>
      <c r="NKP50" s="76"/>
      <c r="NKQ50" s="76"/>
      <c r="NKR50" s="76"/>
      <c r="NKS50" s="76"/>
      <c r="NKT50" s="76"/>
      <c r="NKU50" s="76"/>
      <c r="NKV50" s="76"/>
      <c r="NKW50" s="76"/>
      <c r="NKX50" s="76"/>
      <c r="NKY50" s="76"/>
      <c r="NKZ50" s="76"/>
      <c r="NLA50" s="76"/>
      <c r="NLB50" s="76"/>
      <c r="NLC50" s="76"/>
      <c r="NLD50" s="76"/>
      <c r="NLE50" s="76"/>
      <c r="NLF50" s="76"/>
      <c r="NLG50" s="76"/>
      <c r="NLH50" s="76"/>
      <c r="NLI50" s="76"/>
      <c r="NLJ50" s="76"/>
      <c r="NLK50" s="76"/>
      <c r="NLL50" s="76"/>
      <c r="NLM50" s="76"/>
      <c r="NLN50" s="76"/>
      <c r="NLO50" s="76"/>
      <c r="NLP50" s="76"/>
      <c r="NLQ50" s="76"/>
      <c r="NLR50" s="76"/>
      <c r="NLS50" s="76"/>
      <c r="NLT50" s="76"/>
      <c r="NLU50" s="76"/>
      <c r="NLV50" s="76"/>
      <c r="NLW50" s="76"/>
      <c r="NLX50" s="76"/>
      <c r="NLY50" s="76"/>
      <c r="NLZ50" s="76"/>
      <c r="NMA50" s="76"/>
      <c r="NMB50" s="76"/>
      <c r="NMC50" s="76"/>
      <c r="NMD50" s="76"/>
      <c r="NME50" s="76"/>
      <c r="NMF50" s="76"/>
      <c r="NMG50" s="76"/>
      <c r="NMH50" s="76"/>
      <c r="NMI50" s="76"/>
      <c r="NMJ50" s="76"/>
      <c r="NMK50" s="76"/>
      <c r="NML50" s="76"/>
      <c r="NMM50" s="76"/>
      <c r="NMN50" s="76"/>
      <c r="NMO50" s="76"/>
      <c r="NMP50" s="76"/>
      <c r="NMQ50" s="76"/>
      <c r="NMR50" s="76"/>
      <c r="NMS50" s="76"/>
      <c r="NMT50" s="76"/>
      <c r="NMU50" s="76"/>
      <c r="NMV50" s="76"/>
      <c r="NMW50" s="76"/>
      <c r="NMX50" s="76"/>
      <c r="NMY50" s="76"/>
      <c r="NMZ50" s="76"/>
      <c r="NNA50" s="76"/>
      <c r="NNB50" s="76"/>
      <c r="NNC50" s="76"/>
      <c r="NND50" s="76"/>
      <c r="NNE50" s="76"/>
      <c r="NNF50" s="76"/>
      <c r="NNG50" s="76"/>
      <c r="NNH50" s="76"/>
      <c r="NNI50" s="76"/>
      <c r="NNJ50" s="76"/>
      <c r="NNK50" s="76"/>
      <c r="NNL50" s="76"/>
      <c r="NNM50" s="76"/>
      <c r="NNN50" s="76"/>
      <c r="NNO50" s="76"/>
      <c r="NNP50" s="76"/>
      <c r="NNQ50" s="76"/>
      <c r="NNR50" s="76"/>
      <c r="NNS50" s="76"/>
      <c r="NNT50" s="76"/>
      <c r="NNU50" s="76"/>
      <c r="NNV50" s="76"/>
      <c r="NNW50" s="76"/>
      <c r="NNX50" s="76"/>
      <c r="NNY50" s="76"/>
      <c r="NNZ50" s="76"/>
      <c r="NOA50" s="76"/>
      <c r="NOB50" s="76"/>
      <c r="NOC50" s="76"/>
      <c r="NOD50" s="76"/>
      <c r="NOE50" s="76"/>
      <c r="NOF50" s="76"/>
      <c r="NOG50" s="76"/>
      <c r="NOH50" s="76"/>
      <c r="NOI50" s="76"/>
      <c r="NOJ50" s="76"/>
      <c r="NOK50" s="76"/>
      <c r="NOL50" s="76"/>
      <c r="NOM50" s="76"/>
      <c r="NON50" s="76"/>
      <c r="NOO50" s="76"/>
      <c r="NOP50" s="76"/>
      <c r="NOQ50" s="76"/>
      <c r="NOR50" s="76"/>
      <c r="NOS50" s="76"/>
      <c r="NOT50" s="76"/>
      <c r="NOU50" s="76"/>
      <c r="NOV50" s="76"/>
      <c r="NOW50" s="76"/>
      <c r="NOX50" s="76"/>
      <c r="NOY50" s="76"/>
      <c r="NOZ50" s="76"/>
      <c r="NPA50" s="76"/>
      <c r="NPB50" s="76"/>
      <c r="NPC50" s="76"/>
      <c r="NPD50" s="76"/>
      <c r="NPE50" s="76"/>
      <c r="NPF50" s="76"/>
      <c r="NPG50" s="76"/>
      <c r="NPH50" s="76"/>
      <c r="NPI50" s="76"/>
      <c r="NPJ50" s="76"/>
      <c r="NPK50" s="76"/>
      <c r="NPL50" s="76"/>
      <c r="NPM50" s="76"/>
      <c r="NPN50" s="76"/>
      <c r="NPO50" s="76"/>
      <c r="NPP50" s="76"/>
      <c r="NPQ50" s="76"/>
      <c r="NPR50" s="76"/>
      <c r="NPS50" s="76"/>
      <c r="NPT50" s="76"/>
      <c r="NPU50" s="76"/>
      <c r="NPV50" s="76"/>
      <c r="NPW50" s="76"/>
      <c r="NPX50" s="76"/>
      <c r="NPY50" s="76"/>
      <c r="NPZ50" s="76"/>
      <c r="NQA50" s="76"/>
      <c r="NQB50" s="76"/>
      <c r="NQC50" s="76"/>
      <c r="NQD50" s="76"/>
      <c r="NQE50" s="76"/>
      <c r="NQF50" s="76"/>
      <c r="NQG50" s="76"/>
      <c r="NQH50" s="76"/>
      <c r="NQI50" s="76"/>
      <c r="NQJ50" s="76"/>
      <c r="NQK50" s="76"/>
      <c r="NQL50" s="76"/>
      <c r="NQM50" s="76"/>
      <c r="NQN50" s="76"/>
      <c r="NQO50" s="76"/>
      <c r="NQP50" s="76"/>
      <c r="NQQ50" s="76"/>
      <c r="NQR50" s="76"/>
      <c r="NQS50" s="76"/>
      <c r="NQT50" s="76"/>
      <c r="NQU50" s="76"/>
      <c r="NQV50" s="76"/>
      <c r="NQW50" s="76"/>
      <c r="NQX50" s="76"/>
      <c r="NQY50" s="76"/>
      <c r="NQZ50" s="76"/>
      <c r="NRA50" s="76"/>
      <c r="NRB50" s="76"/>
      <c r="NRC50" s="76"/>
      <c r="NRD50" s="76"/>
      <c r="NRE50" s="76"/>
      <c r="NRF50" s="76"/>
      <c r="NRG50" s="76"/>
      <c r="NRH50" s="76"/>
      <c r="NRI50" s="76"/>
      <c r="NRJ50" s="76"/>
      <c r="NRK50" s="76"/>
      <c r="NRL50" s="76"/>
      <c r="NRM50" s="76"/>
      <c r="NRN50" s="76"/>
      <c r="NRO50" s="76"/>
      <c r="NRP50" s="76"/>
      <c r="NRQ50" s="76"/>
      <c r="NRR50" s="76"/>
      <c r="NRS50" s="76"/>
      <c r="NRT50" s="76"/>
      <c r="NRU50" s="76"/>
      <c r="NRV50" s="76"/>
      <c r="NRW50" s="76"/>
      <c r="NRX50" s="76"/>
      <c r="NRY50" s="76"/>
      <c r="NRZ50" s="76"/>
      <c r="NSA50" s="76"/>
      <c r="NSB50" s="76"/>
      <c r="NSC50" s="76"/>
      <c r="NSD50" s="76"/>
      <c r="NSE50" s="76"/>
      <c r="NSF50" s="76"/>
      <c r="NSG50" s="76"/>
      <c r="NSH50" s="76"/>
      <c r="NSI50" s="76"/>
      <c r="NSJ50" s="76"/>
      <c r="NSK50" s="76"/>
      <c r="NSL50" s="76"/>
      <c r="NSM50" s="76"/>
      <c r="NSN50" s="76"/>
      <c r="NSO50" s="76"/>
      <c r="NSP50" s="76"/>
      <c r="NSQ50" s="76"/>
      <c r="NSR50" s="76"/>
      <c r="NSS50" s="76"/>
      <c r="NST50" s="76"/>
      <c r="NSU50" s="76"/>
      <c r="NSV50" s="76"/>
      <c r="NSW50" s="76"/>
      <c r="NSX50" s="76"/>
      <c r="NSY50" s="76"/>
      <c r="NSZ50" s="76"/>
      <c r="NTA50" s="76"/>
      <c r="NTB50" s="76"/>
      <c r="NTC50" s="76"/>
      <c r="NTD50" s="76"/>
      <c r="NTE50" s="76"/>
      <c r="NTF50" s="76"/>
      <c r="NTG50" s="76"/>
      <c r="NTH50" s="76"/>
      <c r="NTI50" s="76"/>
      <c r="NTJ50" s="76"/>
      <c r="NTK50" s="76"/>
      <c r="NTL50" s="76"/>
      <c r="NTM50" s="76"/>
      <c r="NTN50" s="76"/>
      <c r="NTO50" s="76"/>
      <c r="NTP50" s="76"/>
      <c r="NTQ50" s="76"/>
      <c r="NTR50" s="76"/>
      <c r="NTS50" s="76"/>
      <c r="NTT50" s="76"/>
      <c r="NTU50" s="76"/>
      <c r="NTV50" s="76"/>
      <c r="NTW50" s="76"/>
      <c r="NTX50" s="76"/>
      <c r="NTY50" s="76"/>
      <c r="NTZ50" s="76"/>
      <c r="NUA50" s="76"/>
      <c r="NUB50" s="76"/>
      <c r="NUC50" s="76"/>
      <c r="NUD50" s="76"/>
      <c r="NUE50" s="76"/>
      <c r="NUF50" s="76"/>
      <c r="NUG50" s="76"/>
      <c r="NUH50" s="76"/>
      <c r="NUI50" s="76"/>
      <c r="NUJ50" s="76"/>
      <c r="NUK50" s="76"/>
      <c r="NUL50" s="76"/>
      <c r="NUM50" s="76"/>
      <c r="NUN50" s="76"/>
      <c r="NUO50" s="76"/>
      <c r="NUP50" s="76"/>
      <c r="NUQ50" s="76"/>
      <c r="NUR50" s="76"/>
      <c r="NUS50" s="76"/>
      <c r="NUT50" s="76"/>
      <c r="NUU50" s="76"/>
      <c r="NUV50" s="76"/>
      <c r="NUW50" s="76"/>
      <c r="NUX50" s="76"/>
      <c r="NUY50" s="76"/>
      <c r="NUZ50" s="76"/>
      <c r="NVA50" s="76"/>
      <c r="NVB50" s="76"/>
      <c r="NVC50" s="76"/>
      <c r="NVD50" s="76"/>
      <c r="NVE50" s="76"/>
      <c r="NVF50" s="76"/>
      <c r="NVG50" s="76"/>
      <c r="NVH50" s="76"/>
      <c r="NVI50" s="76"/>
      <c r="NVJ50" s="76"/>
      <c r="NVK50" s="76"/>
      <c r="NVL50" s="76"/>
      <c r="NVM50" s="76"/>
      <c r="NVN50" s="76"/>
      <c r="NVO50" s="76"/>
      <c r="NVP50" s="76"/>
      <c r="NVQ50" s="76"/>
      <c r="NVR50" s="76"/>
      <c r="NVS50" s="76"/>
      <c r="NVT50" s="76"/>
      <c r="NVU50" s="76"/>
      <c r="NVV50" s="76"/>
      <c r="NVW50" s="76"/>
      <c r="NVX50" s="76"/>
      <c r="NVY50" s="76"/>
      <c r="NVZ50" s="76"/>
      <c r="NWA50" s="76"/>
      <c r="NWB50" s="76"/>
      <c r="NWC50" s="76"/>
      <c r="NWD50" s="76"/>
      <c r="NWE50" s="76"/>
      <c r="NWF50" s="76"/>
      <c r="NWG50" s="76"/>
      <c r="NWH50" s="76"/>
      <c r="NWI50" s="76"/>
      <c r="NWJ50" s="76"/>
      <c r="NWK50" s="76"/>
      <c r="NWL50" s="76"/>
      <c r="NWM50" s="76"/>
      <c r="NWN50" s="76"/>
      <c r="NWO50" s="76"/>
      <c r="NWP50" s="76"/>
      <c r="NWQ50" s="76"/>
      <c r="NWR50" s="76"/>
      <c r="NWS50" s="76"/>
      <c r="NWT50" s="76"/>
      <c r="NWU50" s="76"/>
      <c r="NWV50" s="76"/>
      <c r="NWW50" s="76"/>
      <c r="NWX50" s="76"/>
      <c r="NWY50" s="76"/>
      <c r="NWZ50" s="76"/>
      <c r="NXA50" s="76"/>
      <c r="NXB50" s="76"/>
      <c r="NXC50" s="76"/>
      <c r="NXD50" s="76"/>
      <c r="NXE50" s="76"/>
      <c r="NXF50" s="76"/>
      <c r="NXG50" s="76"/>
      <c r="NXH50" s="76"/>
      <c r="NXI50" s="76"/>
      <c r="NXJ50" s="76"/>
      <c r="NXK50" s="76"/>
      <c r="NXL50" s="76"/>
      <c r="NXM50" s="76"/>
      <c r="NXN50" s="76"/>
      <c r="NXO50" s="76"/>
      <c r="NXP50" s="76"/>
      <c r="NXQ50" s="76"/>
      <c r="NXR50" s="76"/>
      <c r="NXS50" s="76"/>
      <c r="NXT50" s="76"/>
      <c r="NXU50" s="76"/>
      <c r="NXV50" s="76"/>
      <c r="NXW50" s="76"/>
      <c r="NXX50" s="76"/>
      <c r="NXY50" s="76"/>
      <c r="NXZ50" s="76"/>
      <c r="NYA50" s="76"/>
      <c r="NYB50" s="76"/>
      <c r="NYC50" s="76"/>
      <c r="NYD50" s="76"/>
      <c r="NYE50" s="76"/>
      <c r="NYF50" s="76"/>
      <c r="NYG50" s="76"/>
      <c r="NYH50" s="76"/>
      <c r="NYI50" s="76"/>
      <c r="NYJ50" s="76"/>
      <c r="NYK50" s="76"/>
      <c r="NYL50" s="76"/>
      <c r="NYM50" s="76"/>
      <c r="NYN50" s="76"/>
      <c r="NYO50" s="76"/>
      <c r="NYP50" s="76"/>
      <c r="NYQ50" s="76"/>
      <c r="NYR50" s="76"/>
      <c r="NYS50" s="76"/>
      <c r="NYT50" s="76"/>
      <c r="NYU50" s="76"/>
      <c r="NYV50" s="76"/>
      <c r="NYW50" s="76"/>
      <c r="NYX50" s="76"/>
      <c r="NYY50" s="76"/>
      <c r="NYZ50" s="76"/>
      <c r="NZA50" s="76"/>
      <c r="NZB50" s="76"/>
      <c r="NZC50" s="76"/>
      <c r="NZD50" s="76"/>
      <c r="NZE50" s="76"/>
      <c r="NZF50" s="76"/>
      <c r="NZG50" s="76"/>
      <c r="NZH50" s="76"/>
      <c r="NZI50" s="76"/>
      <c r="NZJ50" s="76"/>
      <c r="NZK50" s="76"/>
      <c r="NZL50" s="76"/>
      <c r="NZM50" s="76"/>
      <c r="NZN50" s="76"/>
      <c r="NZO50" s="76"/>
      <c r="NZP50" s="76"/>
      <c r="NZQ50" s="76"/>
      <c r="NZR50" s="76"/>
      <c r="NZS50" s="76"/>
      <c r="NZT50" s="76"/>
      <c r="NZU50" s="76"/>
      <c r="NZV50" s="76"/>
      <c r="NZW50" s="76"/>
      <c r="NZX50" s="76"/>
      <c r="NZY50" s="76"/>
      <c r="NZZ50" s="76"/>
      <c r="OAA50" s="76"/>
      <c r="OAB50" s="76"/>
      <c r="OAC50" s="76"/>
      <c r="OAD50" s="76"/>
      <c r="OAE50" s="76"/>
      <c r="OAF50" s="76"/>
      <c r="OAG50" s="76"/>
      <c r="OAH50" s="76"/>
      <c r="OAI50" s="76"/>
      <c r="OAJ50" s="76"/>
      <c r="OAK50" s="76"/>
      <c r="OAL50" s="76"/>
      <c r="OAM50" s="76"/>
      <c r="OAN50" s="76"/>
      <c r="OAO50" s="76"/>
      <c r="OAP50" s="76"/>
      <c r="OAQ50" s="76"/>
      <c r="OAR50" s="76"/>
      <c r="OAS50" s="76"/>
      <c r="OAT50" s="76"/>
      <c r="OAU50" s="76"/>
      <c r="OAV50" s="76"/>
      <c r="OAW50" s="76"/>
      <c r="OAX50" s="76"/>
      <c r="OAY50" s="76"/>
      <c r="OAZ50" s="76"/>
      <c r="OBA50" s="76"/>
      <c r="OBB50" s="76"/>
      <c r="OBC50" s="76"/>
      <c r="OBD50" s="76"/>
      <c r="OBE50" s="76"/>
      <c r="OBF50" s="76"/>
      <c r="OBG50" s="76"/>
      <c r="OBH50" s="76"/>
      <c r="OBI50" s="76"/>
      <c r="OBJ50" s="76"/>
      <c r="OBK50" s="76"/>
      <c r="OBL50" s="76"/>
      <c r="OBM50" s="76"/>
      <c r="OBN50" s="76"/>
      <c r="OBO50" s="76"/>
      <c r="OBP50" s="76"/>
      <c r="OBQ50" s="76"/>
      <c r="OBR50" s="76"/>
      <c r="OBS50" s="76"/>
      <c r="OBT50" s="76"/>
      <c r="OBU50" s="76"/>
      <c r="OBV50" s="76"/>
      <c r="OBW50" s="76"/>
      <c r="OBX50" s="76"/>
      <c r="OBY50" s="76"/>
      <c r="OBZ50" s="76"/>
      <c r="OCA50" s="76"/>
      <c r="OCB50" s="76"/>
      <c r="OCC50" s="76"/>
      <c r="OCD50" s="76"/>
      <c r="OCE50" s="76"/>
      <c r="OCF50" s="76"/>
      <c r="OCG50" s="76"/>
      <c r="OCH50" s="76"/>
      <c r="OCI50" s="76"/>
      <c r="OCJ50" s="76"/>
      <c r="OCK50" s="76"/>
      <c r="OCL50" s="76"/>
      <c r="OCM50" s="76"/>
      <c r="OCN50" s="76"/>
      <c r="OCO50" s="76"/>
      <c r="OCP50" s="76"/>
      <c r="OCQ50" s="76"/>
      <c r="OCR50" s="76"/>
      <c r="OCS50" s="76"/>
      <c r="OCT50" s="76"/>
      <c r="OCU50" s="76"/>
      <c r="OCV50" s="76"/>
      <c r="OCW50" s="76"/>
      <c r="OCX50" s="76"/>
      <c r="OCY50" s="76"/>
      <c r="OCZ50" s="76"/>
      <c r="ODA50" s="76"/>
      <c r="ODB50" s="76"/>
      <c r="ODC50" s="76"/>
      <c r="ODD50" s="76"/>
      <c r="ODE50" s="76"/>
      <c r="ODF50" s="76"/>
      <c r="ODG50" s="76"/>
      <c r="ODH50" s="76"/>
      <c r="ODI50" s="76"/>
      <c r="ODJ50" s="76"/>
      <c r="ODK50" s="76"/>
      <c r="ODL50" s="76"/>
      <c r="ODM50" s="76"/>
      <c r="ODN50" s="76"/>
      <c r="ODO50" s="76"/>
      <c r="ODP50" s="76"/>
      <c r="ODQ50" s="76"/>
      <c r="ODR50" s="76"/>
      <c r="ODS50" s="76"/>
      <c r="ODT50" s="76"/>
      <c r="ODU50" s="76"/>
      <c r="ODV50" s="76"/>
      <c r="ODW50" s="76"/>
      <c r="ODX50" s="76"/>
      <c r="ODY50" s="76"/>
      <c r="ODZ50" s="76"/>
      <c r="OEA50" s="76"/>
      <c r="OEB50" s="76"/>
      <c r="OEC50" s="76"/>
      <c r="OED50" s="76"/>
      <c r="OEE50" s="76"/>
      <c r="OEF50" s="76"/>
      <c r="OEG50" s="76"/>
      <c r="OEH50" s="76"/>
      <c r="OEI50" s="76"/>
      <c r="OEJ50" s="76"/>
      <c r="OEK50" s="76"/>
      <c r="OEL50" s="76"/>
      <c r="OEM50" s="76"/>
      <c r="OEN50" s="76"/>
      <c r="OEO50" s="76"/>
      <c r="OEP50" s="76"/>
      <c r="OEQ50" s="76"/>
      <c r="OER50" s="76"/>
      <c r="OES50" s="76"/>
      <c r="OET50" s="76"/>
      <c r="OEU50" s="76"/>
      <c r="OEV50" s="76"/>
      <c r="OEW50" s="76"/>
      <c r="OEX50" s="76"/>
      <c r="OEY50" s="76"/>
      <c r="OEZ50" s="76"/>
      <c r="OFA50" s="76"/>
      <c r="OFB50" s="76"/>
      <c r="OFC50" s="76"/>
      <c r="OFD50" s="76"/>
      <c r="OFE50" s="76"/>
      <c r="OFF50" s="76"/>
      <c r="OFG50" s="76"/>
      <c r="OFH50" s="76"/>
      <c r="OFI50" s="76"/>
      <c r="OFJ50" s="76"/>
      <c r="OFK50" s="76"/>
      <c r="OFL50" s="76"/>
      <c r="OFM50" s="76"/>
      <c r="OFN50" s="76"/>
      <c r="OFO50" s="76"/>
      <c r="OFP50" s="76"/>
      <c r="OFQ50" s="76"/>
      <c r="OFR50" s="76"/>
      <c r="OFS50" s="76"/>
      <c r="OFT50" s="76"/>
      <c r="OFU50" s="76"/>
      <c r="OFV50" s="76"/>
      <c r="OFW50" s="76"/>
      <c r="OFX50" s="76"/>
      <c r="OFY50" s="76"/>
      <c r="OFZ50" s="76"/>
      <c r="OGA50" s="76"/>
      <c r="OGB50" s="76"/>
      <c r="OGC50" s="76"/>
      <c r="OGD50" s="76"/>
      <c r="OGE50" s="76"/>
      <c r="OGF50" s="76"/>
      <c r="OGG50" s="76"/>
      <c r="OGH50" s="76"/>
      <c r="OGI50" s="76"/>
      <c r="OGJ50" s="76"/>
      <c r="OGK50" s="76"/>
      <c r="OGL50" s="76"/>
      <c r="OGM50" s="76"/>
      <c r="OGN50" s="76"/>
      <c r="OGO50" s="76"/>
      <c r="OGP50" s="76"/>
      <c r="OGQ50" s="76"/>
      <c r="OGR50" s="76"/>
      <c r="OGS50" s="76"/>
      <c r="OGT50" s="76"/>
      <c r="OGU50" s="76"/>
      <c r="OGV50" s="76"/>
      <c r="OGW50" s="76"/>
      <c r="OGX50" s="76"/>
      <c r="OGY50" s="76"/>
      <c r="OGZ50" s="76"/>
      <c r="OHA50" s="76"/>
      <c r="OHB50" s="76"/>
      <c r="OHC50" s="76"/>
      <c r="OHD50" s="76"/>
      <c r="OHE50" s="76"/>
      <c r="OHF50" s="76"/>
      <c r="OHG50" s="76"/>
      <c r="OHH50" s="76"/>
      <c r="OHI50" s="76"/>
      <c r="OHJ50" s="76"/>
      <c r="OHK50" s="76"/>
      <c r="OHL50" s="76"/>
      <c r="OHM50" s="76"/>
      <c r="OHN50" s="76"/>
      <c r="OHO50" s="76"/>
      <c r="OHP50" s="76"/>
      <c r="OHQ50" s="76"/>
      <c r="OHR50" s="76"/>
      <c r="OHS50" s="76"/>
      <c r="OHT50" s="76"/>
      <c r="OHU50" s="76"/>
      <c r="OHV50" s="76"/>
      <c r="OHW50" s="76"/>
      <c r="OHX50" s="76"/>
      <c r="OHY50" s="76"/>
      <c r="OHZ50" s="76"/>
      <c r="OIA50" s="76"/>
      <c r="OIB50" s="76"/>
      <c r="OIC50" s="76"/>
      <c r="OID50" s="76"/>
      <c r="OIE50" s="76"/>
      <c r="OIF50" s="76"/>
      <c r="OIG50" s="76"/>
      <c r="OIH50" s="76"/>
      <c r="OII50" s="76"/>
      <c r="OIJ50" s="76"/>
      <c r="OIK50" s="76"/>
      <c r="OIL50" s="76"/>
      <c r="OIM50" s="76"/>
      <c r="OIN50" s="76"/>
      <c r="OIO50" s="76"/>
      <c r="OIP50" s="76"/>
      <c r="OIQ50" s="76"/>
      <c r="OIR50" s="76"/>
      <c r="OIS50" s="76"/>
      <c r="OIT50" s="76"/>
      <c r="OIU50" s="76"/>
      <c r="OIV50" s="76"/>
      <c r="OIW50" s="76"/>
      <c r="OIX50" s="76"/>
      <c r="OIY50" s="76"/>
      <c r="OIZ50" s="76"/>
      <c r="OJA50" s="76"/>
      <c r="OJB50" s="76"/>
      <c r="OJC50" s="76"/>
      <c r="OJD50" s="76"/>
      <c r="OJE50" s="76"/>
      <c r="OJF50" s="76"/>
      <c r="OJG50" s="76"/>
      <c r="OJH50" s="76"/>
      <c r="OJI50" s="76"/>
      <c r="OJJ50" s="76"/>
      <c r="OJK50" s="76"/>
      <c r="OJL50" s="76"/>
      <c r="OJM50" s="76"/>
      <c r="OJN50" s="76"/>
      <c r="OJO50" s="76"/>
      <c r="OJP50" s="76"/>
      <c r="OJQ50" s="76"/>
      <c r="OJR50" s="76"/>
      <c r="OJS50" s="76"/>
      <c r="OJT50" s="76"/>
      <c r="OJU50" s="76"/>
      <c r="OJV50" s="76"/>
      <c r="OJW50" s="76"/>
      <c r="OJX50" s="76"/>
      <c r="OJY50" s="76"/>
      <c r="OJZ50" s="76"/>
      <c r="OKA50" s="76"/>
      <c r="OKB50" s="76"/>
      <c r="OKC50" s="76"/>
      <c r="OKD50" s="76"/>
      <c r="OKE50" s="76"/>
      <c r="OKF50" s="76"/>
      <c r="OKG50" s="76"/>
      <c r="OKH50" s="76"/>
      <c r="OKI50" s="76"/>
      <c r="OKJ50" s="76"/>
      <c r="OKK50" s="76"/>
      <c r="OKL50" s="76"/>
      <c r="OKM50" s="76"/>
      <c r="OKN50" s="76"/>
      <c r="OKO50" s="76"/>
      <c r="OKP50" s="76"/>
      <c r="OKQ50" s="76"/>
      <c r="OKR50" s="76"/>
      <c r="OKS50" s="76"/>
      <c r="OKT50" s="76"/>
      <c r="OKU50" s="76"/>
      <c r="OKV50" s="76"/>
      <c r="OKW50" s="76"/>
      <c r="OKX50" s="76"/>
      <c r="OKY50" s="76"/>
      <c r="OKZ50" s="76"/>
      <c r="OLA50" s="76"/>
      <c r="OLB50" s="76"/>
      <c r="OLC50" s="76"/>
      <c r="OLD50" s="76"/>
      <c r="OLE50" s="76"/>
      <c r="OLF50" s="76"/>
      <c r="OLG50" s="76"/>
      <c r="OLH50" s="76"/>
      <c r="OLI50" s="76"/>
      <c r="OLJ50" s="76"/>
      <c r="OLK50" s="76"/>
      <c r="OLL50" s="76"/>
      <c r="OLM50" s="76"/>
      <c r="OLN50" s="76"/>
      <c r="OLO50" s="76"/>
      <c r="OLP50" s="76"/>
      <c r="OLQ50" s="76"/>
      <c r="OLR50" s="76"/>
      <c r="OLS50" s="76"/>
      <c r="OLT50" s="76"/>
      <c r="OLU50" s="76"/>
      <c r="OLV50" s="76"/>
      <c r="OLW50" s="76"/>
      <c r="OLX50" s="76"/>
      <c r="OLY50" s="76"/>
      <c r="OLZ50" s="76"/>
      <c r="OMA50" s="76"/>
      <c r="OMB50" s="76"/>
      <c r="OMC50" s="76"/>
      <c r="OMD50" s="76"/>
      <c r="OME50" s="76"/>
      <c r="OMF50" s="76"/>
      <c r="OMG50" s="76"/>
      <c r="OMH50" s="76"/>
      <c r="OMI50" s="76"/>
      <c r="OMJ50" s="76"/>
      <c r="OMK50" s="76"/>
      <c r="OML50" s="76"/>
      <c r="OMM50" s="76"/>
      <c r="OMN50" s="76"/>
      <c r="OMO50" s="76"/>
      <c r="OMP50" s="76"/>
      <c r="OMQ50" s="76"/>
      <c r="OMR50" s="76"/>
      <c r="OMS50" s="76"/>
      <c r="OMT50" s="76"/>
      <c r="OMU50" s="76"/>
      <c r="OMV50" s="76"/>
      <c r="OMW50" s="76"/>
      <c r="OMX50" s="76"/>
      <c r="OMY50" s="76"/>
      <c r="OMZ50" s="76"/>
      <c r="ONA50" s="76"/>
      <c r="ONB50" s="76"/>
      <c r="ONC50" s="76"/>
      <c r="OND50" s="76"/>
      <c r="ONE50" s="76"/>
      <c r="ONF50" s="76"/>
      <c r="ONG50" s="76"/>
      <c r="ONH50" s="76"/>
      <c r="ONI50" s="76"/>
      <c r="ONJ50" s="76"/>
      <c r="ONK50" s="76"/>
      <c r="ONL50" s="76"/>
      <c r="ONM50" s="76"/>
      <c r="ONN50" s="76"/>
      <c r="ONO50" s="76"/>
      <c r="ONP50" s="76"/>
      <c r="ONQ50" s="76"/>
      <c r="ONR50" s="76"/>
      <c r="ONS50" s="76"/>
      <c r="ONT50" s="76"/>
      <c r="ONU50" s="76"/>
      <c r="ONV50" s="76"/>
      <c r="ONW50" s="76"/>
      <c r="ONX50" s="76"/>
      <c r="ONY50" s="76"/>
      <c r="ONZ50" s="76"/>
      <c r="OOA50" s="76"/>
      <c r="OOB50" s="76"/>
      <c r="OOC50" s="76"/>
      <c r="OOD50" s="76"/>
      <c r="OOE50" s="76"/>
      <c r="OOF50" s="76"/>
      <c r="OOG50" s="76"/>
      <c r="OOH50" s="76"/>
      <c r="OOI50" s="76"/>
      <c r="OOJ50" s="76"/>
      <c r="OOK50" s="76"/>
      <c r="OOL50" s="76"/>
      <c r="OOM50" s="76"/>
      <c r="OON50" s="76"/>
      <c r="OOO50" s="76"/>
      <c r="OOP50" s="76"/>
      <c r="OOQ50" s="76"/>
      <c r="OOR50" s="76"/>
      <c r="OOS50" s="76"/>
      <c r="OOT50" s="76"/>
      <c r="OOU50" s="76"/>
      <c r="OOV50" s="76"/>
      <c r="OOW50" s="76"/>
      <c r="OOX50" s="76"/>
      <c r="OOY50" s="76"/>
      <c r="OOZ50" s="76"/>
      <c r="OPA50" s="76"/>
      <c r="OPB50" s="76"/>
      <c r="OPC50" s="76"/>
      <c r="OPD50" s="76"/>
      <c r="OPE50" s="76"/>
      <c r="OPF50" s="76"/>
      <c r="OPG50" s="76"/>
      <c r="OPH50" s="76"/>
      <c r="OPI50" s="76"/>
      <c r="OPJ50" s="76"/>
      <c r="OPK50" s="76"/>
      <c r="OPL50" s="76"/>
      <c r="OPM50" s="76"/>
      <c r="OPN50" s="76"/>
      <c r="OPO50" s="76"/>
      <c r="OPP50" s="76"/>
      <c r="OPQ50" s="76"/>
      <c r="OPR50" s="76"/>
      <c r="OPS50" s="76"/>
      <c r="OPT50" s="76"/>
      <c r="OPU50" s="76"/>
      <c r="OPV50" s="76"/>
      <c r="OPW50" s="76"/>
      <c r="OPX50" s="76"/>
      <c r="OPY50" s="76"/>
      <c r="OPZ50" s="76"/>
      <c r="OQA50" s="76"/>
      <c r="OQB50" s="76"/>
      <c r="OQC50" s="76"/>
      <c r="OQD50" s="76"/>
      <c r="OQE50" s="76"/>
      <c r="OQF50" s="76"/>
      <c r="OQG50" s="76"/>
      <c r="OQH50" s="76"/>
      <c r="OQI50" s="76"/>
      <c r="OQJ50" s="76"/>
      <c r="OQK50" s="76"/>
      <c r="OQL50" s="76"/>
      <c r="OQM50" s="76"/>
      <c r="OQN50" s="76"/>
      <c r="OQO50" s="76"/>
      <c r="OQP50" s="76"/>
      <c r="OQQ50" s="76"/>
      <c r="OQR50" s="76"/>
      <c r="OQS50" s="76"/>
      <c r="OQT50" s="76"/>
      <c r="OQU50" s="76"/>
      <c r="OQV50" s="76"/>
      <c r="OQW50" s="76"/>
      <c r="OQX50" s="76"/>
      <c r="OQY50" s="76"/>
      <c r="OQZ50" s="76"/>
      <c r="ORA50" s="76"/>
      <c r="ORB50" s="76"/>
      <c r="ORC50" s="76"/>
      <c r="ORD50" s="76"/>
      <c r="ORE50" s="76"/>
      <c r="ORF50" s="76"/>
      <c r="ORG50" s="76"/>
      <c r="ORH50" s="76"/>
      <c r="ORI50" s="76"/>
      <c r="ORJ50" s="76"/>
      <c r="ORK50" s="76"/>
      <c r="ORL50" s="76"/>
      <c r="ORM50" s="76"/>
      <c r="ORN50" s="76"/>
      <c r="ORO50" s="76"/>
      <c r="ORP50" s="76"/>
      <c r="ORQ50" s="76"/>
      <c r="ORR50" s="76"/>
      <c r="ORS50" s="76"/>
      <c r="ORT50" s="76"/>
      <c r="ORU50" s="76"/>
      <c r="ORV50" s="76"/>
      <c r="ORW50" s="76"/>
      <c r="ORX50" s="76"/>
      <c r="ORY50" s="76"/>
      <c r="ORZ50" s="76"/>
      <c r="OSA50" s="76"/>
      <c r="OSB50" s="76"/>
      <c r="OSC50" s="76"/>
      <c r="OSD50" s="76"/>
      <c r="OSE50" s="76"/>
      <c r="OSF50" s="76"/>
      <c r="OSG50" s="76"/>
      <c r="OSH50" s="76"/>
      <c r="OSI50" s="76"/>
      <c r="OSJ50" s="76"/>
      <c r="OSK50" s="76"/>
      <c r="OSL50" s="76"/>
      <c r="OSM50" s="76"/>
      <c r="OSN50" s="76"/>
      <c r="OSO50" s="76"/>
      <c r="OSP50" s="76"/>
      <c r="OSQ50" s="76"/>
      <c r="OSR50" s="76"/>
      <c r="OSS50" s="76"/>
      <c r="OST50" s="76"/>
      <c r="OSU50" s="76"/>
      <c r="OSV50" s="76"/>
      <c r="OSW50" s="76"/>
      <c r="OSX50" s="76"/>
      <c r="OSY50" s="76"/>
      <c r="OSZ50" s="76"/>
      <c r="OTA50" s="76"/>
      <c r="OTB50" s="76"/>
      <c r="OTC50" s="76"/>
      <c r="OTD50" s="76"/>
      <c r="OTE50" s="76"/>
      <c r="OTF50" s="76"/>
      <c r="OTG50" s="76"/>
      <c r="OTH50" s="76"/>
      <c r="OTI50" s="76"/>
      <c r="OTJ50" s="76"/>
      <c r="OTK50" s="76"/>
      <c r="OTL50" s="76"/>
      <c r="OTM50" s="76"/>
      <c r="OTN50" s="76"/>
      <c r="OTO50" s="76"/>
      <c r="OTP50" s="76"/>
      <c r="OTQ50" s="76"/>
      <c r="OTR50" s="76"/>
      <c r="OTS50" s="76"/>
      <c r="OTT50" s="76"/>
      <c r="OTU50" s="76"/>
      <c r="OTV50" s="76"/>
      <c r="OTW50" s="76"/>
      <c r="OTX50" s="76"/>
      <c r="OTY50" s="76"/>
      <c r="OTZ50" s="76"/>
      <c r="OUA50" s="76"/>
      <c r="OUB50" s="76"/>
      <c r="OUC50" s="76"/>
      <c r="OUD50" s="76"/>
      <c r="OUE50" s="76"/>
      <c r="OUF50" s="76"/>
      <c r="OUG50" s="76"/>
      <c r="OUH50" s="76"/>
      <c r="OUI50" s="76"/>
      <c r="OUJ50" s="76"/>
      <c r="OUK50" s="76"/>
      <c r="OUL50" s="76"/>
      <c r="OUM50" s="76"/>
      <c r="OUN50" s="76"/>
      <c r="OUO50" s="76"/>
      <c r="OUP50" s="76"/>
      <c r="OUQ50" s="76"/>
      <c r="OUR50" s="76"/>
      <c r="OUS50" s="76"/>
      <c r="OUT50" s="76"/>
      <c r="OUU50" s="76"/>
      <c r="OUV50" s="76"/>
      <c r="OUW50" s="76"/>
      <c r="OUX50" s="76"/>
      <c r="OUY50" s="76"/>
      <c r="OUZ50" s="76"/>
      <c r="OVA50" s="76"/>
      <c r="OVB50" s="76"/>
      <c r="OVC50" s="76"/>
      <c r="OVD50" s="76"/>
      <c r="OVE50" s="76"/>
      <c r="OVF50" s="76"/>
      <c r="OVG50" s="76"/>
      <c r="OVH50" s="76"/>
      <c r="OVI50" s="76"/>
      <c r="OVJ50" s="76"/>
      <c r="OVK50" s="76"/>
      <c r="OVL50" s="76"/>
      <c r="OVM50" s="76"/>
      <c r="OVN50" s="76"/>
      <c r="OVO50" s="76"/>
      <c r="OVP50" s="76"/>
      <c r="OVQ50" s="76"/>
      <c r="OVR50" s="76"/>
      <c r="OVS50" s="76"/>
      <c r="OVT50" s="76"/>
      <c r="OVU50" s="76"/>
      <c r="OVV50" s="76"/>
      <c r="OVW50" s="76"/>
      <c r="OVX50" s="76"/>
      <c r="OVY50" s="76"/>
      <c r="OVZ50" s="76"/>
      <c r="OWA50" s="76"/>
      <c r="OWB50" s="76"/>
      <c r="OWC50" s="76"/>
      <c r="OWD50" s="76"/>
      <c r="OWE50" s="76"/>
      <c r="OWF50" s="76"/>
      <c r="OWG50" s="76"/>
      <c r="OWH50" s="76"/>
      <c r="OWI50" s="76"/>
      <c r="OWJ50" s="76"/>
      <c r="OWK50" s="76"/>
      <c r="OWL50" s="76"/>
      <c r="OWM50" s="76"/>
      <c r="OWN50" s="76"/>
      <c r="OWO50" s="76"/>
      <c r="OWP50" s="76"/>
      <c r="OWQ50" s="76"/>
      <c r="OWR50" s="76"/>
      <c r="OWS50" s="76"/>
      <c r="OWT50" s="76"/>
      <c r="OWU50" s="76"/>
      <c r="OWV50" s="76"/>
      <c r="OWW50" s="76"/>
      <c r="OWX50" s="76"/>
      <c r="OWY50" s="76"/>
      <c r="OWZ50" s="76"/>
      <c r="OXA50" s="76"/>
      <c r="OXB50" s="76"/>
      <c r="OXC50" s="76"/>
      <c r="OXD50" s="76"/>
      <c r="OXE50" s="76"/>
      <c r="OXF50" s="76"/>
      <c r="OXG50" s="76"/>
      <c r="OXH50" s="76"/>
      <c r="OXI50" s="76"/>
      <c r="OXJ50" s="76"/>
      <c r="OXK50" s="76"/>
      <c r="OXL50" s="76"/>
      <c r="OXM50" s="76"/>
      <c r="OXN50" s="76"/>
      <c r="OXO50" s="76"/>
      <c r="OXP50" s="76"/>
      <c r="OXQ50" s="76"/>
      <c r="OXR50" s="76"/>
      <c r="OXS50" s="76"/>
      <c r="OXT50" s="76"/>
      <c r="OXU50" s="76"/>
      <c r="OXV50" s="76"/>
      <c r="OXW50" s="76"/>
      <c r="OXX50" s="76"/>
      <c r="OXY50" s="76"/>
      <c r="OXZ50" s="76"/>
      <c r="OYA50" s="76"/>
      <c r="OYB50" s="76"/>
      <c r="OYC50" s="76"/>
      <c r="OYD50" s="76"/>
      <c r="OYE50" s="76"/>
      <c r="OYF50" s="76"/>
      <c r="OYG50" s="76"/>
      <c r="OYH50" s="76"/>
      <c r="OYI50" s="76"/>
      <c r="OYJ50" s="76"/>
      <c r="OYK50" s="76"/>
      <c r="OYL50" s="76"/>
      <c r="OYM50" s="76"/>
      <c r="OYN50" s="76"/>
      <c r="OYO50" s="76"/>
      <c r="OYP50" s="76"/>
      <c r="OYQ50" s="76"/>
      <c r="OYR50" s="76"/>
      <c r="OYS50" s="76"/>
      <c r="OYT50" s="76"/>
      <c r="OYU50" s="76"/>
      <c r="OYV50" s="76"/>
      <c r="OYW50" s="76"/>
      <c r="OYX50" s="76"/>
      <c r="OYY50" s="76"/>
      <c r="OYZ50" s="76"/>
      <c r="OZA50" s="76"/>
      <c r="OZB50" s="76"/>
      <c r="OZC50" s="76"/>
      <c r="OZD50" s="76"/>
      <c r="OZE50" s="76"/>
      <c r="OZF50" s="76"/>
      <c r="OZG50" s="76"/>
      <c r="OZH50" s="76"/>
      <c r="OZI50" s="76"/>
      <c r="OZJ50" s="76"/>
      <c r="OZK50" s="76"/>
      <c r="OZL50" s="76"/>
      <c r="OZM50" s="76"/>
      <c r="OZN50" s="76"/>
      <c r="OZO50" s="76"/>
      <c r="OZP50" s="76"/>
      <c r="OZQ50" s="76"/>
      <c r="OZR50" s="76"/>
      <c r="OZS50" s="76"/>
      <c r="OZT50" s="76"/>
      <c r="OZU50" s="76"/>
      <c r="OZV50" s="76"/>
      <c r="OZW50" s="76"/>
      <c r="OZX50" s="76"/>
      <c r="OZY50" s="76"/>
      <c r="OZZ50" s="76"/>
      <c r="PAA50" s="76"/>
      <c r="PAB50" s="76"/>
      <c r="PAC50" s="76"/>
      <c r="PAD50" s="76"/>
      <c r="PAE50" s="76"/>
      <c r="PAF50" s="76"/>
      <c r="PAG50" s="76"/>
      <c r="PAH50" s="76"/>
      <c r="PAI50" s="76"/>
      <c r="PAJ50" s="76"/>
      <c r="PAK50" s="76"/>
      <c r="PAL50" s="76"/>
      <c r="PAM50" s="76"/>
      <c r="PAN50" s="76"/>
      <c r="PAO50" s="76"/>
      <c r="PAP50" s="76"/>
      <c r="PAQ50" s="76"/>
      <c r="PAR50" s="76"/>
      <c r="PAS50" s="76"/>
      <c r="PAT50" s="76"/>
      <c r="PAU50" s="76"/>
      <c r="PAV50" s="76"/>
      <c r="PAW50" s="76"/>
      <c r="PAX50" s="76"/>
      <c r="PAY50" s="76"/>
      <c r="PAZ50" s="76"/>
      <c r="PBA50" s="76"/>
      <c r="PBB50" s="76"/>
      <c r="PBC50" s="76"/>
      <c r="PBD50" s="76"/>
      <c r="PBE50" s="76"/>
      <c r="PBF50" s="76"/>
      <c r="PBG50" s="76"/>
      <c r="PBH50" s="76"/>
      <c r="PBI50" s="76"/>
      <c r="PBJ50" s="76"/>
      <c r="PBK50" s="76"/>
      <c r="PBL50" s="76"/>
      <c r="PBM50" s="76"/>
      <c r="PBN50" s="76"/>
      <c r="PBO50" s="76"/>
      <c r="PBP50" s="76"/>
      <c r="PBQ50" s="76"/>
      <c r="PBR50" s="76"/>
      <c r="PBS50" s="76"/>
      <c r="PBT50" s="76"/>
      <c r="PBU50" s="76"/>
      <c r="PBV50" s="76"/>
      <c r="PBW50" s="76"/>
      <c r="PBX50" s="76"/>
      <c r="PBY50" s="76"/>
      <c r="PBZ50" s="76"/>
      <c r="PCA50" s="76"/>
      <c r="PCB50" s="76"/>
      <c r="PCC50" s="76"/>
      <c r="PCD50" s="76"/>
      <c r="PCE50" s="76"/>
      <c r="PCF50" s="76"/>
      <c r="PCG50" s="76"/>
      <c r="PCH50" s="76"/>
      <c r="PCI50" s="76"/>
      <c r="PCJ50" s="76"/>
      <c r="PCK50" s="76"/>
      <c r="PCL50" s="76"/>
      <c r="PCM50" s="76"/>
      <c r="PCN50" s="76"/>
      <c r="PCO50" s="76"/>
      <c r="PCP50" s="76"/>
      <c r="PCQ50" s="76"/>
      <c r="PCR50" s="76"/>
      <c r="PCS50" s="76"/>
      <c r="PCT50" s="76"/>
      <c r="PCU50" s="76"/>
      <c r="PCV50" s="76"/>
      <c r="PCW50" s="76"/>
      <c r="PCX50" s="76"/>
      <c r="PCY50" s="76"/>
      <c r="PCZ50" s="76"/>
      <c r="PDA50" s="76"/>
      <c r="PDB50" s="76"/>
      <c r="PDC50" s="76"/>
      <c r="PDD50" s="76"/>
      <c r="PDE50" s="76"/>
      <c r="PDF50" s="76"/>
      <c r="PDG50" s="76"/>
      <c r="PDH50" s="76"/>
      <c r="PDI50" s="76"/>
      <c r="PDJ50" s="76"/>
      <c r="PDK50" s="76"/>
      <c r="PDL50" s="76"/>
      <c r="PDM50" s="76"/>
      <c r="PDN50" s="76"/>
      <c r="PDO50" s="76"/>
      <c r="PDP50" s="76"/>
      <c r="PDQ50" s="76"/>
      <c r="PDR50" s="76"/>
      <c r="PDS50" s="76"/>
      <c r="PDT50" s="76"/>
      <c r="PDU50" s="76"/>
      <c r="PDV50" s="76"/>
      <c r="PDW50" s="76"/>
      <c r="PDX50" s="76"/>
      <c r="PDY50" s="76"/>
      <c r="PDZ50" s="76"/>
      <c r="PEA50" s="76"/>
      <c r="PEB50" s="76"/>
      <c r="PEC50" s="76"/>
      <c r="PED50" s="76"/>
      <c r="PEE50" s="76"/>
      <c r="PEF50" s="76"/>
      <c r="PEG50" s="76"/>
      <c r="PEH50" s="76"/>
      <c r="PEI50" s="76"/>
      <c r="PEJ50" s="76"/>
      <c r="PEK50" s="76"/>
      <c r="PEL50" s="76"/>
      <c r="PEM50" s="76"/>
      <c r="PEN50" s="76"/>
      <c r="PEO50" s="76"/>
      <c r="PEP50" s="76"/>
      <c r="PEQ50" s="76"/>
      <c r="PER50" s="76"/>
      <c r="PES50" s="76"/>
      <c r="PET50" s="76"/>
      <c r="PEU50" s="76"/>
      <c r="PEV50" s="76"/>
      <c r="PEW50" s="76"/>
      <c r="PEX50" s="76"/>
      <c r="PEY50" s="76"/>
      <c r="PEZ50" s="76"/>
      <c r="PFA50" s="76"/>
      <c r="PFB50" s="76"/>
      <c r="PFC50" s="76"/>
      <c r="PFD50" s="76"/>
      <c r="PFE50" s="76"/>
      <c r="PFF50" s="76"/>
      <c r="PFG50" s="76"/>
      <c r="PFH50" s="76"/>
      <c r="PFI50" s="76"/>
      <c r="PFJ50" s="76"/>
      <c r="PFK50" s="76"/>
      <c r="PFL50" s="76"/>
      <c r="PFM50" s="76"/>
      <c r="PFN50" s="76"/>
      <c r="PFO50" s="76"/>
      <c r="PFP50" s="76"/>
      <c r="PFQ50" s="76"/>
      <c r="PFR50" s="76"/>
      <c r="PFS50" s="76"/>
      <c r="PFT50" s="76"/>
      <c r="PFU50" s="76"/>
      <c r="PFV50" s="76"/>
      <c r="PFW50" s="76"/>
      <c r="PFX50" s="76"/>
      <c r="PFY50" s="76"/>
      <c r="PFZ50" s="76"/>
      <c r="PGA50" s="76"/>
      <c r="PGB50" s="76"/>
      <c r="PGC50" s="76"/>
      <c r="PGD50" s="76"/>
      <c r="PGE50" s="76"/>
      <c r="PGF50" s="76"/>
      <c r="PGG50" s="76"/>
      <c r="PGH50" s="76"/>
      <c r="PGI50" s="76"/>
      <c r="PGJ50" s="76"/>
      <c r="PGK50" s="76"/>
      <c r="PGL50" s="76"/>
      <c r="PGM50" s="76"/>
      <c r="PGN50" s="76"/>
      <c r="PGO50" s="76"/>
      <c r="PGP50" s="76"/>
      <c r="PGQ50" s="76"/>
      <c r="PGR50" s="76"/>
      <c r="PGS50" s="76"/>
      <c r="PGT50" s="76"/>
      <c r="PGU50" s="76"/>
      <c r="PGV50" s="76"/>
      <c r="PGW50" s="76"/>
      <c r="PGX50" s="76"/>
      <c r="PGY50" s="76"/>
      <c r="PGZ50" s="76"/>
      <c r="PHA50" s="76"/>
      <c r="PHB50" s="76"/>
      <c r="PHC50" s="76"/>
      <c r="PHD50" s="76"/>
      <c r="PHE50" s="76"/>
      <c r="PHF50" s="76"/>
      <c r="PHG50" s="76"/>
      <c r="PHH50" s="76"/>
      <c r="PHI50" s="76"/>
      <c r="PHJ50" s="76"/>
      <c r="PHK50" s="76"/>
      <c r="PHL50" s="76"/>
      <c r="PHM50" s="76"/>
      <c r="PHN50" s="76"/>
      <c r="PHO50" s="76"/>
      <c r="PHP50" s="76"/>
      <c r="PHQ50" s="76"/>
      <c r="PHR50" s="76"/>
      <c r="PHS50" s="76"/>
      <c r="PHT50" s="76"/>
      <c r="PHU50" s="76"/>
      <c r="PHV50" s="76"/>
      <c r="PHW50" s="76"/>
      <c r="PHX50" s="76"/>
      <c r="PHY50" s="76"/>
      <c r="PHZ50" s="76"/>
      <c r="PIA50" s="76"/>
      <c r="PIB50" s="76"/>
      <c r="PIC50" s="76"/>
      <c r="PID50" s="76"/>
      <c r="PIE50" s="76"/>
      <c r="PIF50" s="76"/>
      <c r="PIG50" s="76"/>
      <c r="PIH50" s="76"/>
      <c r="PII50" s="76"/>
      <c r="PIJ50" s="76"/>
      <c r="PIK50" s="76"/>
      <c r="PIL50" s="76"/>
      <c r="PIM50" s="76"/>
      <c r="PIN50" s="76"/>
      <c r="PIO50" s="76"/>
      <c r="PIP50" s="76"/>
      <c r="PIQ50" s="76"/>
      <c r="PIR50" s="76"/>
      <c r="PIS50" s="76"/>
      <c r="PIT50" s="76"/>
      <c r="PIU50" s="76"/>
      <c r="PIV50" s="76"/>
      <c r="PIW50" s="76"/>
      <c r="PIX50" s="76"/>
      <c r="PIY50" s="76"/>
      <c r="PIZ50" s="76"/>
      <c r="PJA50" s="76"/>
      <c r="PJB50" s="76"/>
      <c r="PJC50" s="76"/>
      <c r="PJD50" s="76"/>
      <c r="PJE50" s="76"/>
      <c r="PJF50" s="76"/>
      <c r="PJG50" s="76"/>
      <c r="PJH50" s="76"/>
      <c r="PJI50" s="76"/>
      <c r="PJJ50" s="76"/>
      <c r="PJK50" s="76"/>
      <c r="PJL50" s="76"/>
      <c r="PJM50" s="76"/>
      <c r="PJN50" s="76"/>
      <c r="PJO50" s="76"/>
      <c r="PJP50" s="76"/>
      <c r="PJQ50" s="76"/>
      <c r="PJR50" s="76"/>
      <c r="PJS50" s="76"/>
      <c r="PJT50" s="76"/>
      <c r="PJU50" s="76"/>
      <c r="PJV50" s="76"/>
      <c r="PJW50" s="76"/>
      <c r="PJX50" s="76"/>
      <c r="PJY50" s="76"/>
      <c r="PJZ50" s="76"/>
      <c r="PKA50" s="76"/>
      <c r="PKB50" s="76"/>
      <c r="PKC50" s="76"/>
      <c r="PKD50" s="76"/>
      <c r="PKE50" s="76"/>
      <c r="PKF50" s="76"/>
      <c r="PKG50" s="76"/>
      <c r="PKH50" s="76"/>
      <c r="PKI50" s="76"/>
      <c r="PKJ50" s="76"/>
      <c r="PKK50" s="76"/>
      <c r="PKL50" s="76"/>
      <c r="PKM50" s="76"/>
      <c r="PKN50" s="76"/>
      <c r="PKO50" s="76"/>
      <c r="PKP50" s="76"/>
      <c r="PKQ50" s="76"/>
      <c r="PKR50" s="76"/>
      <c r="PKS50" s="76"/>
      <c r="PKT50" s="76"/>
      <c r="PKU50" s="76"/>
      <c r="PKV50" s="76"/>
      <c r="PKW50" s="76"/>
      <c r="PKX50" s="76"/>
      <c r="PKY50" s="76"/>
      <c r="PKZ50" s="76"/>
      <c r="PLA50" s="76"/>
      <c r="PLB50" s="76"/>
      <c r="PLC50" s="76"/>
      <c r="PLD50" s="76"/>
      <c r="PLE50" s="76"/>
      <c r="PLF50" s="76"/>
      <c r="PLG50" s="76"/>
      <c r="PLH50" s="76"/>
      <c r="PLI50" s="76"/>
      <c r="PLJ50" s="76"/>
      <c r="PLK50" s="76"/>
      <c r="PLL50" s="76"/>
      <c r="PLM50" s="76"/>
      <c r="PLN50" s="76"/>
      <c r="PLO50" s="76"/>
      <c r="PLP50" s="76"/>
      <c r="PLQ50" s="76"/>
      <c r="PLR50" s="76"/>
      <c r="PLS50" s="76"/>
      <c r="PLT50" s="76"/>
      <c r="PLU50" s="76"/>
      <c r="PLV50" s="76"/>
      <c r="PLW50" s="76"/>
      <c r="PLX50" s="76"/>
      <c r="PLY50" s="76"/>
      <c r="PLZ50" s="76"/>
      <c r="PMA50" s="76"/>
      <c r="PMB50" s="76"/>
      <c r="PMC50" s="76"/>
      <c r="PMD50" s="76"/>
      <c r="PME50" s="76"/>
      <c r="PMF50" s="76"/>
      <c r="PMG50" s="76"/>
      <c r="PMH50" s="76"/>
      <c r="PMI50" s="76"/>
      <c r="PMJ50" s="76"/>
      <c r="PMK50" s="76"/>
      <c r="PML50" s="76"/>
      <c r="PMM50" s="76"/>
      <c r="PMN50" s="76"/>
      <c r="PMO50" s="76"/>
      <c r="PMP50" s="76"/>
      <c r="PMQ50" s="76"/>
      <c r="PMR50" s="76"/>
      <c r="PMS50" s="76"/>
      <c r="PMT50" s="76"/>
      <c r="PMU50" s="76"/>
      <c r="PMV50" s="76"/>
      <c r="PMW50" s="76"/>
      <c r="PMX50" s="76"/>
      <c r="PMY50" s="76"/>
      <c r="PMZ50" s="76"/>
      <c r="PNA50" s="76"/>
      <c r="PNB50" s="76"/>
      <c r="PNC50" s="76"/>
      <c r="PND50" s="76"/>
      <c r="PNE50" s="76"/>
      <c r="PNF50" s="76"/>
      <c r="PNG50" s="76"/>
      <c r="PNH50" s="76"/>
      <c r="PNI50" s="76"/>
      <c r="PNJ50" s="76"/>
      <c r="PNK50" s="76"/>
      <c r="PNL50" s="76"/>
      <c r="PNM50" s="76"/>
      <c r="PNN50" s="76"/>
      <c r="PNO50" s="76"/>
      <c r="PNP50" s="76"/>
      <c r="PNQ50" s="76"/>
      <c r="PNR50" s="76"/>
      <c r="PNS50" s="76"/>
      <c r="PNT50" s="76"/>
      <c r="PNU50" s="76"/>
      <c r="PNV50" s="76"/>
      <c r="PNW50" s="76"/>
      <c r="PNX50" s="76"/>
      <c r="PNY50" s="76"/>
      <c r="PNZ50" s="76"/>
      <c r="POA50" s="76"/>
      <c r="POB50" s="76"/>
      <c r="POC50" s="76"/>
      <c r="POD50" s="76"/>
      <c r="POE50" s="76"/>
      <c r="POF50" s="76"/>
      <c r="POG50" s="76"/>
      <c r="POH50" s="76"/>
      <c r="POI50" s="76"/>
      <c r="POJ50" s="76"/>
      <c r="POK50" s="76"/>
      <c r="POL50" s="76"/>
      <c r="POM50" s="76"/>
      <c r="PON50" s="76"/>
      <c r="POO50" s="76"/>
      <c r="POP50" s="76"/>
      <c r="POQ50" s="76"/>
      <c r="POR50" s="76"/>
      <c r="POS50" s="76"/>
      <c r="POT50" s="76"/>
      <c r="POU50" s="76"/>
      <c r="POV50" s="76"/>
      <c r="POW50" s="76"/>
      <c r="POX50" s="76"/>
      <c r="POY50" s="76"/>
      <c r="POZ50" s="76"/>
      <c r="PPA50" s="76"/>
      <c r="PPB50" s="76"/>
      <c r="PPC50" s="76"/>
      <c r="PPD50" s="76"/>
      <c r="PPE50" s="76"/>
      <c r="PPF50" s="76"/>
      <c r="PPG50" s="76"/>
      <c r="PPH50" s="76"/>
      <c r="PPI50" s="76"/>
      <c r="PPJ50" s="76"/>
      <c r="PPK50" s="76"/>
      <c r="PPL50" s="76"/>
      <c r="PPM50" s="76"/>
      <c r="PPN50" s="76"/>
      <c r="PPO50" s="76"/>
      <c r="PPP50" s="76"/>
      <c r="PPQ50" s="76"/>
      <c r="PPR50" s="76"/>
      <c r="PPS50" s="76"/>
      <c r="PPT50" s="76"/>
      <c r="PPU50" s="76"/>
      <c r="PPV50" s="76"/>
      <c r="PPW50" s="76"/>
      <c r="PPX50" s="76"/>
      <c r="PPY50" s="76"/>
      <c r="PPZ50" s="76"/>
      <c r="PQA50" s="76"/>
      <c r="PQB50" s="76"/>
      <c r="PQC50" s="76"/>
      <c r="PQD50" s="76"/>
      <c r="PQE50" s="76"/>
      <c r="PQF50" s="76"/>
      <c r="PQG50" s="76"/>
      <c r="PQH50" s="76"/>
      <c r="PQI50" s="76"/>
      <c r="PQJ50" s="76"/>
      <c r="PQK50" s="76"/>
      <c r="PQL50" s="76"/>
      <c r="PQM50" s="76"/>
      <c r="PQN50" s="76"/>
      <c r="PQO50" s="76"/>
      <c r="PQP50" s="76"/>
      <c r="PQQ50" s="76"/>
      <c r="PQR50" s="76"/>
      <c r="PQS50" s="76"/>
      <c r="PQT50" s="76"/>
      <c r="PQU50" s="76"/>
      <c r="PQV50" s="76"/>
      <c r="PQW50" s="76"/>
      <c r="PQX50" s="76"/>
      <c r="PQY50" s="76"/>
      <c r="PQZ50" s="76"/>
      <c r="PRA50" s="76"/>
      <c r="PRB50" s="76"/>
      <c r="PRC50" s="76"/>
      <c r="PRD50" s="76"/>
      <c r="PRE50" s="76"/>
      <c r="PRF50" s="76"/>
      <c r="PRG50" s="76"/>
      <c r="PRH50" s="76"/>
      <c r="PRI50" s="76"/>
      <c r="PRJ50" s="76"/>
      <c r="PRK50" s="76"/>
      <c r="PRL50" s="76"/>
      <c r="PRM50" s="76"/>
      <c r="PRN50" s="76"/>
      <c r="PRO50" s="76"/>
      <c r="PRP50" s="76"/>
      <c r="PRQ50" s="76"/>
      <c r="PRR50" s="76"/>
      <c r="PRS50" s="76"/>
      <c r="PRT50" s="76"/>
      <c r="PRU50" s="76"/>
      <c r="PRV50" s="76"/>
      <c r="PRW50" s="76"/>
      <c r="PRX50" s="76"/>
      <c r="PRY50" s="76"/>
      <c r="PRZ50" s="76"/>
      <c r="PSA50" s="76"/>
      <c r="PSB50" s="76"/>
      <c r="PSC50" s="76"/>
      <c r="PSD50" s="76"/>
      <c r="PSE50" s="76"/>
      <c r="PSF50" s="76"/>
      <c r="PSG50" s="76"/>
      <c r="PSH50" s="76"/>
      <c r="PSI50" s="76"/>
      <c r="PSJ50" s="76"/>
      <c r="PSK50" s="76"/>
      <c r="PSL50" s="76"/>
      <c r="PSM50" s="76"/>
      <c r="PSN50" s="76"/>
      <c r="PSO50" s="76"/>
      <c r="PSP50" s="76"/>
      <c r="PSQ50" s="76"/>
      <c r="PSR50" s="76"/>
      <c r="PSS50" s="76"/>
      <c r="PST50" s="76"/>
      <c r="PSU50" s="76"/>
      <c r="PSV50" s="76"/>
      <c r="PSW50" s="76"/>
      <c r="PSX50" s="76"/>
      <c r="PSY50" s="76"/>
      <c r="PSZ50" s="76"/>
      <c r="PTA50" s="76"/>
      <c r="PTB50" s="76"/>
      <c r="PTC50" s="76"/>
      <c r="PTD50" s="76"/>
      <c r="PTE50" s="76"/>
      <c r="PTF50" s="76"/>
      <c r="PTG50" s="76"/>
      <c r="PTH50" s="76"/>
      <c r="PTI50" s="76"/>
      <c r="PTJ50" s="76"/>
      <c r="PTK50" s="76"/>
      <c r="PTL50" s="76"/>
      <c r="PTM50" s="76"/>
      <c r="PTN50" s="76"/>
      <c r="PTO50" s="76"/>
      <c r="PTP50" s="76"/>
      <c r="PTQ50" s="76"/>
      <c r="PTR50" s="76"/>
      <c r="PTS50" s="76"/>
      <c r="PTT50" s="76"/>
      <c r="PTU50" s="76"/>
      <c r="PTV50" s="76"/>
      <c r="PTW50" s="76"/>
      <c r="PTX50" s="76"/>
      <c r="PTY50" s="76"/>
      <c r="PTZ50" s="76"/>
      <c r="PUA50" s="76"/>
      <c r="PUB50" s="76"/>
      <c r="PUC50" s="76"/>
      <c r="PUD50" s="76"/>
      <c r="PUE50" s="76"/>
      <c r="PUF50" s="76"/>
      <c r="PUG50" s="76"/>
      <c r="PUH50" s="76"/>
      <c r="PUI50" s="76"/>
      <c r="PUJ50" s="76"/>
      <c r="PUK50" s="76"/>
      <c r="PUL50" s="76"/>
      <c r="PUM50" s="76"/>
      <c r="PUN50" s="76"/>
      <c r="PUO50" s="76"/>
      <c r="PUP50" s="76"/>
      <c r="PUQ50" s="76"/>
      <c r="PUR50" s="76"/>
      <c r="PUS50" s="76"/>
      <c r="PUT50" s="76"/>
      <c r="PUU50" s="76"/>
      <c r="PUV50" s="76"/>
      <c r="PUW50" s="76"/>
      <c r="PUX50" s="76"/>
      <c r="PUY50" s="76"/>
      <c r="PUZ50" s="76"/>
      <c r="PVA50" s="76"/>
      <c r="PVB50" s="76"/>
      <c r="PVC50" s="76"/>
      <c r="PVD50" s="76"/>
      <c r="PVE50" s="76"/>
      <c r="PVF50" s="76"/>
      <c r="PVG50" s="76"/>
      <c r="PVH50" s="76"/>
      <c r="PVI50" s="76"/>
      <c r="PVJ50" s="76"/>
      <c r="PVK50" s="76"/>
      <c r="PVL50" s="76"/>
      <c r="PVM50" s="76"/>
      <c r="PVN50" s="76"/>
      <c r="PVO50" s="76"/>
      <c r="PVP50" s="76"/>
      <c r="PVQ50" s="76"/>
      <c r="PVR50" s="76"/>
      <c r="PVS50" s="76"/>
      <c r="PVT50" s="76"/>
      <c r="PVU50" s="76"/>
      <c r="PVV50" s="76"/>
      <c r="PVW50" s="76"/>
      <c r="PVX50" s="76"/>
      <c r="PVY50" s="76"/>
      <c r="PVZ50" s="76"/>
      <c r="PWA50" s="76"/>
      <c r="PWB50" s="76"/>
      <c r="PWC50" s="76"/>
      <c r="PWD50" s="76"/>
      <c r="PWE50" s="76"/>
      <c r="PWF50" s="76"/>
      <c r="PWG50" s="76"/>
      <c r="PWH50" s="76"/>
      <c r="PWI50" s="76"/>
      <c r="PWJ50" s="76"/>
      <c r="PWK50" s="76"/>
      <c r="PWL50" s="76"/>
      <c r="PWM50" s="76"/>
      <c r="PWN50" s="76"/>
      <c r="PWO50" s="76"/>
      <c r="PWP50" s="76"/>
      <c r="PWQ50" s="76"/>
      <c r="PWR50" s="76"/>
      <c r="PWS50" s="76"/>
      <c r="PWT50" s="76"/>
      <c r="PWU50" s="76"/>
      <c r="PWV50" s="76"/>
      <c r="PWW50" s="76"/>
      <c r="PWX50" s="76"/>
      <c r="PWY50" s="76"/>
      <c r="PWZ50" s="76"/>
      <c r="PXA50" s="76"/>
      <c r="PXB50" s="76"/>
      <c r="PXC50" s="76"/>
      <c r="PXD50" s="76"/>
      <c r="PXE50" s="76"/>
      <c r="PXF50" s="76"/>
      <c r="PXG50" s="76"/>
      <c r="PXH50" s="76"/>
      <c r="PXI50" s="76"/>
      <c r="PXJ50" s="76"/>
      <c r="PXK50" s="76"/>
      <c r="PXL50" s="76"/>
      <c r="PXM50" s="76"/>
      <c r="PXN50" s="76"/>
      <c r="PXO50" s="76"/>
      <c r="PXP50" s="76"/>
      <c r="PXQ50" s="76"/>
      <c r="PXR50" s="76"/>
      <c r="PXS50" s="76"/>
      <c r="PXT50" s="76"/>
      <c r="PXU50" s="76"/>
      <c r="PXV50" s="76"/>
      <c r="PXW50" s="76"/>
      <c r="PXX50" s="76"/>
      <c r="PXY50" s="76"/>
      <c r="PXZ50" s="76"/>
      <c r="PYA50" s="76"/>
      <c r="PYB50" s="76"/>
      <c r="PYC50" s="76"/>
      <c r="PYD50" s="76"/>
      <c r="PYE50" s="76"/>
      <c r="PYF50" s="76"/>
      <c r="PYG50" s="76"/>
      <c r="PYH50" s="76"/>
      <c r="PYI50" s="76"/>
      <c r="PYJ50" s="76"/>
      <c r="PYK50" s="76"/>
      <c r="PYL50" s="76"/>
      <c r="PYM50" s="76"/>
      <c r="PYN50" s="76"/>
      <c r="PYO50" s="76"/>
      <c r="PYP50" s="76"/>
      <c r="PYQ50" s="76"/>
      <c r="PYR50" s="76"/>
      <c r="PYS50" s="76"/>
      <c r="PYT50" s="76"/>
      <c r="PYU50" s="76"/>
      <c r="PYV50" s="76"/>
      <c r="PYW50" s="76"/>
      <c r="PYX50" s="76"/>
      <c r="PYY50" s="76"/>
      <c r="PYZ50" s="76"/>
      <c r="PZA50" s="76"/>
      <c r="PZB50" s="76"/>
      <c r="PZC50" s="76"/>
      <c r="PZD50" s="76"/>
      <c r="PZE50" s="76"/>
      <c r="PZF50" s="76"/>
      <c r="PZG50" s="76"/>
      <c r="PZH50" s="76"/>
      <c r="PZI50" s="76"/>
      <c r="PZJ50" s="76"/>
      <c r="PZK50" s="76"/>
      <c r="PZL50" s="76"/>
      <c r="PZM50" s="76"/>
      <c r="PZN50" s="76"/>
      <c r="PZO50" s="76"/>
      <c r="PZP50" s="76"/>
      <c r="PZQ50" s="76"/>
      <c r="PZR50" s="76"/>
      <c r="PZS50" s="76"/>
      <c r="PZT50" s="76"/>
      <c r="PZU50" s="76"/>
      <c r="PZV50" s="76"/>
      <c r="PZW50" s="76"/>
      <c r="PZX50" s="76"/>
      <c r="PZY50" s="76"/>
      <c r="PZZ50" s="76"/>
      <c r="QAA50" s="76"/>
      <c r="QAB50" s="76"/>
      <c r="QAC50" s="76"/>
      <c r="QAD50" s="76"/>
      <c r="QAE50" s="76"/>
      <c r="QAF50" s="76"/>
      <c r="QAG50" s="76"/>
      <c r="QAH50" s="76"/>
      <c r="QAI50" s="76"/>
      <c r="QAJ50" s="76"/>
      <c r="QAK50" s="76"/>
      <c r="QAL50" s="76"/>
      <c r="QAM50" s="76"/>
      <c r="QAN50" s="76"/>
      <c r="QAO50" s="76"/>
      <c r="QAP50" s="76"/>
      <c r="QAQ50" s="76"/>
      <c r="QAR50" s="76"/>
      <c r="QAS50" s="76"/>
      <c r="QAT50" s="76"/>
      <c r="QAU50" s="76"/>
      <c r="QAV50" s="76"/>
      <c r="QAW50" s="76"/>
      <c r="QAX50" s="76"/>
      <c r="QAY50" s="76"/>
      <c r="QAZ50" s="76"/>
      <c r="QBA50" s="76"/>
      <c r="QBB50" s="76"/>
      <c r="QBC50" s="76"/>
      <c r="QBD50" s="76"/>
      <c r="QBE50" s="76"/>
      <c r="QBF50" s="76"/>
      <c r="QBG50" s="76"/>
      <c r="QBH50" s="76"/>
      <c r="QBI50" s="76"/>
      <c r="QBJ50" s="76"/>
      <c r="QBK50" s="76"/>
      <c r="QBL50" s="76"/>
      <c r="QBM50" s="76"/>
      <c r="QBN50" s="76"/>
      <c r="QBO50" s="76"/>
      <c r="QBP50" s="76"/>
      <c r="QBQ50" s="76"/>
      <c r="QBR50" s="76"/>
      <c r="QBS50" s="76"/>
      <c r="QBT50" s="76"/>
      <c r="QBU50" s="76"/>
      <c r="QBV50" s="76"/>
      <c r="QBW50" s="76"/>
      <c r="QBX50" s="76"/>
      <c r="QBY50" s="76"/>
      <c r="QBZ50" s="76"/>
      <c r="QCA50" s="76"/>
      <c r="QCB50" s="76"/>
      <c r="QCC50" s="76"/>
      <c r="QCD50" s="76"/>
      <c r="QCE50" s="76"/>
      <c r="QCF50" s="76"/>
      <c r="QCG50" s="76"/>
      <c r="QCH50" s="76"/>
      <c r="QCI50" s="76"/>
      <c r="QCJ50" s="76"/>
      <c r="QCK50" s="76"/>
      <c r="QCL50" s="76"/>
      <c r="QCM50" s="76"/>
      <c r="QCN50" s="76"/>
      <c r="QCO50" s="76"/>
      <c r="QCP50" s="76"/>
      <c r="QCQ50" s="76"/>
      <c r="QCR50" s="76"/>
      <c r="QCS50" s="76"/>
      <c r="QCT50" s="76"/>
      <c r="QCU50" s="76"/>
      <c r="QCV50" s="76"/>
      <c r="QCW50" s="76"/>
      <c r="QCX50" s="76"/>
      <c r="QCY50" s="76"/>
      <c r="QCZ50" s="76"/>
      <c r="QDA50" s="76"/>
      <c r="QDB50" s="76"/>
      <c r="QDC50" s="76"/>
      <c r="QDD50" s="76"/>
      <c r="QDE50" s="76"/>
      <c r="QDF50" s="76"/>
      <c r="QDG50" s="76"/>
      <c r="QDH50" s="76"/>
      <c r="QDI50" s="76"/>
      <c r="QDJ50" s="76"/>
      <c r="QDK50" s="76"/>
      <c r="QDL50" s="76"/>
      <c r="QDM50" s="76"/>
      <c r="QDN50" s="76"/>
      <c r="QDO50" s="76"/>
      <c r="QDP50" s="76"/>
      <c r="QDQ50" s="76"/>
      <c r="QDR50" s="76"/>
      <c r="QDS50" s="76"/>
      <c r="QDT50" s="76"/>
      <c r="QDU50" s="76"/>
      <c r="QDV50" s="76"/>
      <c r="QDW50" s="76"/>
      <c r="QDX50" s="76"/>
      <c r="QDY50" s="76"/>
      <c r="QDZ50" s="76"/>
      <c r="QEA50" s="76"/>
      <c r="QEB50" s="76"/>
      <c r="QEC50" s="76"/>
      <c r="QED50" s="76"/>
      <c r="QEE50" s="76"/>
      <c r="QEF50" s="76"/>
      <c r="QEG50" s="76"/>
      <c r="QEH50" s="76"/>
      <c r="QEI50" s="76"/>
      <c r="QEJ50" s="76"/>
      <c r="QEK50" s="76"/>
      <c r="QEL50" s="76"/>
      <c r="QEM50" s="76"/>
      <c r="QEN50" s="76"/>
      <c r="QEO50" s="76"/>
      <c r="QEP50" s="76"/>
      <c r="QEQ50" s="76"/>
      <c r="QER50" s="76"/>
      <c r="QES50" s="76"/>
      <c r="QET50" s="76"/>
      <c r="QEU50" s="76"/>
      <c r="QEV50" s="76"/>
      <c r="QEW50" s="76"/>
      <c r="QEX50" s="76"/>
      <c r="QEY50" s="76"/>
      <c r="QEZ50" s="76"/>
      <c r="QFA50" s="76"/>
      <c r="QFB50" s="76"/>
      <c r="QFC50" s="76"/>
      <c r="QFD50" s="76"/>
      <c r="QFE50" s="76"/>
      <c r="QFF50" s="76"/>
      <c r="QFG50" s="76"/>
      <c r="QFH50" s="76"/>
      <c r="QFI50" s="76"/>
      <c r="QFJ50" s="76"/>
      <c r="QFK50" s="76"/>
      <c r="QFL50" s="76"/>
      <c r="QFM50" s="76"/>
      <c r="QFN50" s="76"/>
      <c r="QFO50" s="76"/>
      <c r="QFP50" s="76"/>
      <c r="QFQ50" s="76"/>
      <c r="QFR50" s="76"/>
      <c r="QFS50" s="76"/>
      <c r="QFT50" s="76"/>
      <c r="QFU50" s="76"/>
      <c r="QFV50" s="76"/>
      <c r="QFW50" s="76"/>
      <c r="QFX50" s="76"/>
      <c r="QFY50" s="76"/>
      <c r="QFZ50" s="76"/>
      <c r="QGA50" s="76"/>
      <c r="QGB50" s="76"/>
      <c r="QGC50" s="76"/>
      <c r="QGD50" s="76"/>
      <c r="QGE50" s="76"/>
      <c r="QGF50" s="76"/>
      <c r="QGG50" s="76"/>
      <c r="QGH50" s="76"/>
      <c r="QGI50" s="76"/>
      <c r="QGJ50" s="76"/>
      <c r="QGK50" s="76"/>
      <c r="QGL50" s="76"/>
      <c r="QGM50" s="76"/>
      <c r="QGN50" s="76"/>
      <c r="QGO50" s="76"/>
      <c r="QGP50" s="76"/>
      <c r="QGQ50" s="76"/>
      <c r="QGR50" s="76"/>
      <c r="QGS50" s="76"/>
      <c r="QGT50" s="76"/>
      <c r="QGU50" s="76"/>
      <c r="QGV50" s="76"/>
      <c r="QGW50" s="76"/>
      <c r="QGX50" s="76"/>
      <c r="QGY50" s="76"/>
      <c r="QGZ50" s="76"/>
      <c r="QHA50" s="76"/>
      <c r="QHB50" s="76"/>
      <c r="QHC50" s="76"/>
      <c r="QHD50" s="76"/>
      <c r="QHE50" s="76"/>
      <c r="QHF50" s="76"/>
      <c r="QHG50" s="76"/>
      <c r="QHH50" s="76"/>
      <c r="QHI50" s="76"/>
      <c r="QHJ50" s="76"/>
      <c r="QHK50" s="76"/>
      <c r="QHL50" s="76"/>
      <c r="QHM50" s="76"/>
      <c r="QHN50" s="76"/>
      <c r="QHO50" s="76"/>
      <c r="QHP50" s="76"/>
      <c r="QHQ50" s="76"/>
      <c r="QHR50" s="76"/>
      <c r="QHS50" s="76"/>
      <c r="QHT50" s="76"/>
      <c r="QHU50" s="76"/>
      <c r="QHV50" s="76"/>
      <c r="QHW50" s="76"/>
      <c r="QHX50" s="76"/>
      <c r="QHY50" s="76"/>
      <c r="QHZ50" s="76"/>
      <c r="QIA50" s="76"/>
      <c r="QIB50" s="76"/>
      <c r="QIC50" s="76"/>
      <c r="QID50" s="76"/>
      <c r="QIE50" s="76"/>
      <c r="QIF50" s="76"/>
      <c r="QIG50" s="76"/>
      <c r="QIH50" s="76"/>
      <c r="QII50" s="76"/>
      <c r="QIJ50" s="76"/>
      <c r="QIK50" s="76"/>
      <c r="QIL50" s="76"/>
      <c r="QIM50" s="76"/>
      <c r="QIN50" s="76"/>
      <c r="QIO50" s="76"/>
      <c r="QIP50" s="76"/>
      <c r="QIQ50" s="76"/>
      <c r="QIR50" s="76"/>
      <c r="QIS50" s="76"/>
      <c r="QIT50" s="76"/>
      <c r="QIU50" s="76"/>
      <c r="QIV50" s="76"/>
      <c r="QIW50" s="76"/>
      <c r="QIX50" s="76"/>
      <c r="QIY50" s="76"/>
      <c r="QIZ50" s="76"/>
      <c r="QJA50" s="76"/>
      <c r="QJB50" s="76"/>
      <c r="QJC50" s="76"/>
      <c r="QJD50" s="76"/>
      <c r="QJE50" s="76"/>
      <c r="QJF50" s="76"/>
      <c r="QJG50" s="76"/>
      <c r="QJH50" s="76"/>
      <c r="QJI50" s="76"/>
      <c r="QJJ50" s="76"/>
      <c r="QJK50" s="76"/>
      <c r="QJL50" s="76"/>
      <c r="QJM50" s="76"/>
      <c r="QJN50" s="76"/>
      <c r="QJO50" s="76"/>
      <c r="QJP50" s="76"/>
      <c r="QJQ50" s="76"/>
      <c r="QJR50" s="76"/>
      <c r="QJS50" s="76"/>
      <c r="QJT50" s="76"/>
      <c r="QJU50" s="76"/>
      <c r="QJV50" s="76"/>
      <c r="QJW50" s="76"/>
      <c r="QJX50" s="76"/>
      <c r="QJY50" s="76"/>
      <c r="QJZ50" s="76"/>
      <c r="QKA50" s="76"/>
      <c r="QKB50" s="76"/>
      <c r="QKC50" s="76"/>
      <c r="QKD50" s="76"/>
      <c r="QKE50" s="76"/>
      <c r="QKF50" s="76"/>
      <c r="QKG50" s="76"/>
      <c r="QKH50" s="76"/>
      <c r="QKI50" s="76"/>
      <c r="QKJ50" s="76"/>
      <c r="QKK50" s="76"/>
      <c r="QKL50" s="76"/>
      <c r="QKM50" s="76"/>
      <c r="QKN50" s="76"/>
      <c r="QKO50" s="76"/>
      <c r="QKP50" s="76"/>
      <c r="QKQ50" s="76"/>
      <c r="QKR50" s="76"/>
      <c r="QKS50" s="76"/>
      <c r="QKT50" s="76"/>
      <c r="QKU50" s="76"/>
      <c r="QKV50" s="76"/>
      <c r="QKW50" s="76"/>
      <c r="QKX50" s="76"/>
      <c r="QKY50" s="76"/>
      <c r="QKZ50" s="76"/>
      <c r="QLA50" s="76"/>
      <c r="QLB50" s="76"/>
      <c r="QLC50" s="76"/>
      <c r="QLD50" s="76"/>
      <c r="QLE50" s="76"/>
      <c r="QLF50" s="76"/>
      <c r="QLG50" s="76"/>
      <c r="QLH50" s="76"/>
      <c r="QLI50" s="76"/>
      <c r="QLJ50" s="76"/>
      <c r="QLK50" s="76"/>
      <c r="QLL50" s="76"/>
      <c r="QLM50" s="76"/>
      <c r="QLN50" s="76"/>
      <c r="QLO50" s="76"/>
      <c r="QLP50" s="76"/>
      <c r="QLQ50" s="76"/>
      <c r="QLR50" s="76"/>
      <c r="QLS50" s="76"/>
      <c r="QLT50" s="76"/>
      <c r="QLU50" s="76"/>
      <c r="QLV50" s="76"/>
      <c r="QLW50" s="76"/>
      <c r="QLX50" s="76"/>
      <c r="QLY50" s="76"/>
      <c r="QLZ50" s="76"/>
      <c r="QMA50" s="76"/>
      <c r="QMB50" s="76"/>
      <c r="QMC50" s="76"/>
      <c r="QMD50" s="76"/>
      <c r="QME50" s="76"/>
      <c r="QMF50" s="76"/>
      <c r="QMG50" s="76"/>
      <c r="QMH50" s="76"/>
      <c r="QMI50" s="76"/>
      <c r="QMJ50" s="76"/>
      <c r="QMK50" s="76"/>
      <c r="QML50" s="76"/>
      <c r="QMM50" s="76"/>
      <c r="QMN50" s="76"/>
      <c r="QMO50" s="76"/>
      <c r="QMP50" s="76"/>
      <c r="QMQ50" s="76"/>
      <c r="QMR50" s="76"/>
      <c r="QMS50" s="76"/>
      <c r="QMT50" s="76"/>
      <c r="QMU50" s="76"/>
      <c r="QMV50" s="76"/>
      <c r="QMW50" s="76"/>
      <c r="QMX50" s="76"/>
      <c r="QMY50" s="76"/>
      <c r="QMZ50" s="76"/>
      <c r="QNA50" s="76"/>
      <c r="QNB50" s="76"/>
      <c r="QNC50" s="76"/>
      <c r="QND50" s="76"/>
      <c r="QNE50" s="76"/>
      <c r="QNF50" s="76"/>
      <c r="QNG50" s="76"/>
      <c r="QNH50" s="76"/>
      <c r="QNI50" s="76"/>
      <c r="QNJ50" s="76"/>
      <c r="QNK50" s="76"/>
      <c r="QNL50" s="76"/>
      <c r="QNM50" s="76"/>
      <c r="QNN50" s="76"/>
      <c r="QNO50" s="76"/>
      <c r="QNP50" s="76"/>
      <c r="QNQ50" s="76"/>
      <c r="QNR50" s="76"/>
      <c r="QNS50" s="76"/>
      <c r="QNT50" s="76"/>
      <c r="QNU50" s="76"/>
      <c r="QNV50" s="76"/>
      <c r="QNW50" s="76"/>
      <c r="QNX50" s="76"/>
      <c r="QNY50" s="76"/>
      <c r="QNZ50" s="76"/>
      <c r="QOA50" s="76"/>
      <c r="QOB50" s="76"/>
      <c r="QOC50" s="76"/>
      <c r="QOD50" s="76"/>
      <c r="QOE50" s="76"/>
      <c r="QOF50" s="76"/>
      <c r="QOG50" s="76"/>
      <c r="QOH50" s="76"/>
      <c r="QOI50" s="76"/>
      <c r="QOJ50" s="76"/>
      <c r="QOK50" s="76"/>
      <c r="QOL50" s="76"/>
      <c r="QOM50" s="76"/>
      <c r="QON50" s="76"/>
      <c r="QOO50" s="76"/>
      <c r="QOP50" s="76"/>
      <c r="QOQ50" s="76"/>
      <c r="QOR50" s="76"/>
      <c r="QOS50" s="76"/>
      <c r="QOT50" s="76"/>
      <c r="QOU50" s="76"/>
      <c r="QOV50" s="76"/>
      <c r="QOW50" s="76"/>
      <c r="QOX50" s="76"/>
      <c r="QOY50" s="76"/>
      <c r="QOZ50" s="76"/>
      <c r="QPA50" s="76"/>
      <c r="QPB50" s="76"/>
      <c r="QPC50" s="76"/>
      <c r="QPD50" s="76"/>
      <c r="QPE50" s="76"/>
      <c r="QPF50" s="76"/>
      <c r="QPG50" s="76"/>
      <c r="QPH50" s="76"/>
      <c r="QPI50" s="76"/>
      <c r="QPJ50" s="76"/>
      <c r="QPK50" s="76"/>
      <c r="QPL50" s="76"/>
      <c r="QPM50" s="76"/>
      <c r="QPN50" s="76"/>
      <c r="QPO50" s="76"/>
      <c r="QPP50" s="76"/>
      <c r="QPQ50" s="76"/>
      <c r="QPR50" s="76"/>
      <c r="QPS50" s="76"/>
      <c r="QPT50" s="76"/>
      <c r="QPU50" s="76"/>
      <c r="QPV50" s="76"/>
      <c r="QPW50" s="76"/>
      <c r="QPX50" s="76"/>
      <c r="QPY50" s="76"/>
      <c r="QPZ50" s="76"/>
      <c r="QQA50" s="76"/>
      <c r="QQB50" s="76"/>
      <c r="QQC50" s="76"/>
      <c r="QQD50" s="76"/>
      <c r="QQE50" s="76"/>
      <c r="QQF50" s="76"/>
      <c r="QQG50" s="76"/>
      <c r="QQH50" s="76"/>
      <c r="QQI50" s="76"/>
      <c r="QQJ50" s="76"/>
      <c r="QQK50" s="76"/>
      <c r="QQL50" s="76"/>
      <c r="QQM50" s="76"/>
      <c r="QQN50" s="76"/>
      <c r="QQO50" s="76"/>
      <c r="QQP50" s="76"/>
      <c r="QQQ50" s="76"/>
      <c r="QQR50" s="76"/>
      <c r="QQS50" s="76"/>
      <c r="QQT50" s="76"/>
      <c r="QQU50" s="76"/>
      <c r="QQV50" s="76"/>
      <c r="QQW50" s="76"/>
      <c r="QQX50" s="76"/>
      <c r="QQY50" s="76"/>
      <c r="QQZ50" s="76"/>
      <c r="QRA50" s="76"/>
      <c r="QRB50" s="76"/>
      <c r="QRC50" s="76"/>
      <c r="QRD50" s="76"/>
      <c r="QRE50" s="76"/>
      <c r="QRF50" s="76"/>
      <c r="QRG50" s="76"/>
      <c r="QRH50" s="76"/>
      <c r="QRI50" s="76"/>
      <c r="QRJ50" s="76"/>
      <c r="QRK50" s="76"/>
      <c r="QRL50" s="76"/>
      <c r="QRM50" s="76"/>
      <c r="QRN50" s="76"/>
      <c r="QRO50" s="76"/>
      <c r="QRP50" s="76"/>
      <c r="QRQ50" s="76"/>
      <c r="QRR50" s="76"/>
      <c r="QRS50" s="76"/>
      <c r="QRT50" s="76"/>
      <c r="QRU50" s="76"/>
      <c r="QRV50" s="76"/>
      <c r="QRW50" s="76"/>
      <c r="QRX50" s="76"/>
      <c r="QRY50" s="76"/>
      <c r="QRZ50" s="76"/>
      <c r="QSA50" s="76"/>
      <c r="QSB50" s="76"/>
      <c r="QSC50" s="76"/>
      <c r="QSD50" s="76"/>
      <c r="QSE50" s="76"/>
      <c r="QSF50" s="76"/>
      <c r="QSG50" s="76"/>
      <c r="QSH50" s="76"/>
      <c r="QSI50" s="76"/>
      <c r="QSJ50" s="76"/>
      <c r="QSK50" s="76"/>
      <c r="QSL50" s="76"/>
      <c r="QSM50" s="76"/>
      <c r="QSN50" s="76"/>
      <c r="QSO50" s="76"/>
      <c r="QSP50" s="76"/>
      <c r="QSQ50" s="76"/>
      <c r="QSR50" s="76"/>
      <c r="QSS50" s="76"/>
      <c r="QST50" s="76"/>
      <c r="QSU50" s="76"/>
      <c r="QSV50" s="76"/>
      <c r="QSW50" s="76"/>
      <c r="QSX50" s="76"/>
      <c r="QSY50" s="76"/>
      <c r="QSZ50" s="76"/>
      <c r="QTA50" s="76"/>
      <c r="QTB50" s="76"/>
      <c r="QTC50" s="76"/>
      <c r="QTD50" s="76"/>
      <c r="QTE50" s="76"/>
      <c r="QTF50" s="76"/>
      <c r="QTG50" s="76"/>
      <c r="QTH50" s="76"/>
      <c r="QTI50" s="76"/>
      <c r="QTJ50" s="76"/>
      <c r="QTK50" s="76"/>
      <c r="QTL50" s="76"/>
      <c r="QTM50" s="76"/>
      <c r="QTN50" s="76"/>
      <c r="QTO50" s="76"/>
      <c r="QTP50" s="76"/>
      <c r="QTQ50" s="76"/>
      <c r="QTR50" s="76"/>
      <c r="QTS50" s="76"/>
      <c r="QTT50" s="76"/>
      <c r="QTU50" s="76"/>
      <c r="QTV50" s="76"/>
      <c r="QTW50" s="76"/>
      <c r="QTX50" s="76"/>
      <c r="QTY50" s="76"/>
      <c r="QTZ50" s="76"/>
      <c r="QUA50" s="76"/>
      <c r="QUB50" s="76"/>
      <c r="QUC50" s="76"/>
      <c r="QUD50" s="76"/>
      <c r="QUE50" s="76"/>
      <c r="QUF50" s="76"/>
      <c r="QUG50" s="76"/>
      <c r="QUH50" s="76"/>
      <c r="QUI50" s="76"/>
      <c r="QUJ50" s="76"/>
      <c r="QUK50" s="76"/>
      <c r="QUL50" s="76"/>
      <c r="QUM50" s="76"/>
      <c r="QUN50" s="76"/>
      <c r="QUO50" s="76"/>
      <c r="QUP50" s="76"/>
      <c r="QUQ50" s="76"/>
      <c r="QUR50" s="76"/>
      <c r="QUS50" s="76"/>
      <c r="QUT50" s="76"/>
      <c r="QUU50" s="76"/>
      <c r="QUV50" s="76"/>
      <c r="QUW50" s="76"/>
      <c r="QUX50" s="76"/>
      <c r="QUY50" s="76"/>
      <c r="QUZ50" s="76"/>
      <c r="QVA50" s="76"/>
      <c r="QVB50" s="76"/>
      <c r="QVC50" s="76"/>
      <c r="QVD50" s="76"/>
      <c r="QVE50" s="76"/>
      <c r="QVF50" s="76"/>
      <c r="QVG50" s="76"/>
      <c r="QVH50" s="76"/>
      <c r="QVI50" s="76"/>
      <c r="QVJ50" s="76"/>
      <c r="QVK50" s="76"/>
      <c r="QVL50" s="76"/>
      <c r="QVM50" s="76"/>
      <c r="QVN50" s="76"/>
      <c r="QVO50" s="76"/>
      <c r="QVP50" s="76"/>
      <c r="QVQ50" s="76"/>
      <c r="QVR50" s="76"/>
      <c r="QVS50" s="76"/>
      <c r="QVT50" s="76"/>
      <c r="QVU50" s="76"/>
      <c r="QVV50" s="76"/>
      <c r="QVW50" s="76"/>
      <c r="QVX50" s="76"/>
      <c r="QVY50" s="76"/>
      <c r="QVZ50" s="76"/>
      <c r="QWA50" s="76"/>
      <c r="QWB50" s="76"/>
      <c r="QWC50" s="76"/>
      <c r="QWD50" s="76"/>
      <c r="QWE50" s="76"/>
      <c r="QWF50" s="76"/>
      <c r="QWG50" s="76"/>
      <c r="QWH50" s="76"/>
      <c r="QWI50" s="76"/>
      <c r="QWJ50" s="76"/>
      <c r="QWK50" s="76"/>
      <c r="QWL50" s="76"/>
      <c r="QWM50" s="76"/>
      <c r="QWN50" s="76"/>
      <c r="QWO50" s="76"/>
      <c r="QWP50" s="76"/>
      <c r="QWQ50" s="76"/>
      <c r="QWR50" s="76"/>
      <c r="QWS50" s="76"/>
      <c r="QWT50" s="76"/>
      <c r="QWU50" s="76"/>
      <c r="QWV50" s="76"/>
      <c r="QWW50" s="76"/>
      <c r="QWX50" s="76"/>
      <c r="QWY50" s="76"/>
      <c r="QWZ50" s="76"/>
      <c r="QXA50" s="76"/>
      <c r="QXB50" s="76"/>
      <c r="QXC50" s="76"/>
      <c r="QXD50" s="76"/>
      <c r="QXE50" s="76"/>
      <c r="QXF50" s="76"/>
      <c r="QXG50" s="76"/>
      <c r="QXH50" s="76"/>
      <c r="QXI50" s="76"/>
      <c r="QXJ50" s="76"/>
      <c r="QXK50" s="76"/>
      <c r="QXL50" s="76"/>
      <c r="QXM50" s="76"/>
      <c r="QXN50" s="76"/>
      <c r="QXO50" s="76"/>
      <c r="QXP50" s="76"/>
      <c r="QXQ50" s="76"/>
      <c r="QXR50" s="76"/>
      <c r="QXS50" s="76"/>
      <c r="QXT50" s="76"/>
      <c r="QXU50" s="76"/>
      <c r="QXV50" s="76"/>
      <c r="QXW50" s="76"/>
      <c r="QXX50" s="76"/>
      <c r="QXY50" s="76"/>
      <c r="QXZ50" s="76"/>
      <c r="QYA50" s="76"/>
      <c r="QYB50" s="76"/>
      <c r="QYC50" s="76"/>
      <c r="QYD50" s="76"/>
      <c r="QYE50" s="76"/>
      <c r="QYF50" s="76"/>
      <c r="QYG50" s="76"/>
      <c r="QYH50" s="76"/>
      <c r="QYI50" s="76"/>
      <c r="QYJ50" s="76"/>
      <c r="QYK50" s="76"/>
      <c r="QYL50" s="76"/>
      <c r="QYM50" s="76"/>
      <c r="QYN50" s="76"/>
      <c r="QYO50" s="76"/>
      <c r="QYP50" s="76"/>
      <c r="QYQ50" s="76"/>
      <c r="QYR50" s="76"/>
      <c r="QYS50" s="76"/>
      <c r="QYT50" s="76"/>
      <c r="QYU50" s="76"/>
      <c r="QYV50" s="76"/>
      <c r="QYW50" s="76"/>
      <c r="QYX50" s="76"/>
      <c r="QYY50" s="76"/>
      <c r="QYZ50" s="76"/>
      <c r="QZA50" s="76"/>
      <c r="QZB50" s="76"/>
      <c r="QZC50" s="76"/>
      <c r="QZD50" s="76"/>
      <c r="QZE50" s="76"/>
      <c r="QZF50" s="76"/>
      <c r="QZG50" s="76"/>
      <c r="QZH50" s="76"/>
      <c r="QZI50" s="76"/>
      <c r="QZJ50" s="76"/>
      <c r="QZK50" s="76"/>
      <c r="QZL50" s="76"/>
      <c r="QZM50" s="76"/>
      <c r="QZN50" s="76"/>
      <c r="QZO50" s="76"/>
      <c r="QZP50" s="76"/>
      <c r="QZQ50" s="76"/>
      <c r="QZR50" s="76"/>
      <c r="QZS50" s="76"/>
      <c r="QZT50" s="76"/>
      <c r="QZU50" s="76"/>
      <c r="QZV50" s="76"/>
      <c r="QZW50" s="76"/>
      <c r="QZX50" s="76"/>
      <c r="QZY50" s="76"/>
      <c r="QZZ50" s="76"/>
      <c r="RAA50" s="76"/>
      <c r="RAB50" s="76"/>
      <c r="RAC50" s="76"/>
      <c r="RAD50" s="76"/>
      <c r="RAE50" s="76"/>
      <c r="RAF50" s="76"/>
      <c r="RAG50" s="76"/>
      <c r="RAH50" s="76"/>
      <c r="RAI50" s="76"/>
      <c r="RAJ50" s="76"/>
      <c r="RAK50" s="76"/>
      <c r="RAL50" s="76"/>
      <c r="RAM50" s="76"/>
      <c r="RAN50" s="76"/>
      <c r="RAO50" s="76"/>
      <c r="RAP50" s="76"/>
      <c r="RAQ50" s="76"/>
      <c r="RAR50" s="76"/>
      <c r="RAS50" s="76"/>
      <c r="RAT50" s="76"/>
      <c r="RAU50" s="76"/>
      <c r="RAV50" s="76"/>
      <c r="RAW50" s="76"/>
      <c r="RAX50" s="76"/>
      <c r="RAY50" s="76"/>
      <c r="RAZ50" s="76"/>
      <c r="RBA50" s="76"/>
      <c r="RBB50" s="76"/>
      <c r="RBC50" s="76"/>
      <c r="RBD50" s="76"/>
      <c r="RBE50" s="76"/>
      <c r="RBF50" s="76"/>
      <c r="RBG50" s="76"/>
      <c r="RBH50" s="76"/>
      <c r="RBI50" s="76"/>
      <c r="RBJ50" s="76"/>
      <c r="RBK50" s="76"/>
      <c r="RBL50" s="76"/>
      <c r="RBM50" s="76"/>
      <c r="RBN50" s="76"/>
      <c r="RBO50" s="76"/>
      <c r="RBP50" s="76"/>
      <c r="RBQ50" s="76"/>
      <c r="RBR50" s="76"/>
      <c r="RBS50" s="76"/>
      <c r="RBT50" s="76"/>
      <c r="RBU50" s="76"/>
      <c r="RBV50" s="76"/>
      <c r="RBW50" s="76"/>
      <c r="RBX50" s="76"/>
      <c r="RBY50" s="76"/>
      <c r="RBZ50" s="76"/>
      <c r="RCA50" s="76"/>
      <c r="RCB50" s="76"/>
      <c r="RCC50" s="76"/>
      <c r="RCD50" s="76"/>
      <c r="RCE50" s="76"/>
      <c r="RCF50" s="76"/>
      <c r="RCG50" s="76"/>
      <c r="RCH50" s="76"/>
      <c r="RCI50" s="76"/>
      <c r="RCJ50" s="76"/>
      <c r="RCK50" s="76"/>
      <c r="RCL50" s="76"/>
      <c r="RCM50" s="76"/>
      <c r="RCN50" s="76"/>
      <c r="RCO50" s="76"/>
      <c r="RCP50" s="76"/>
      <c r="RCQ50" s="76"/>
      <c r="RCR50" s="76"/>
      <c r="RCS50" s="76"/>
      <c r="RCT50" s="76"/>
      <c r="RCU50" s="76"/>
      <c r="RCV50" s="76"/>
      <c r="RCW50" s="76"/>
      <c r="RCX50" s="76"/>
      <c r="RCY50" s="76"/>
      <c r="RCZ50" s="76"/>
      <c r="RDA50" s="76"/>
      <c r="RDB50" s="76"/>
      <c r="RDC50" s="76"/>
      <c r="RDD50" s="76"/>
      <c r="RDE50" s="76"/>
      <c r="RDF50" s="76"/>
      <c r="RDG50" s="76"/>
      <c r="RDH50" s="76"/>
      <c r="RDI50" s="76"/>
      <c r="RDJ50" s="76"/>
      <c r="RDK50" s="76"/>
      <c r="RDL50" s="76"/>
      <c r="RDM50" s="76"/>
      <c r="RDN50" s="76"/>
      <c r="RDO50" s="76"/>
      <c r="RDP50" s="76"/>
      <c r="RDQ50" s="76"/>
      <c r="RDR50" s="76"/>
      <c r="RDS50" s="76"/>
      <c r="RDT50" s="76"/>
      <c r="RDU50" s="76"/>
      <c r="RDV50" s="76"/>
      <c r="RDW50" s="76"/>
      <c r="RDX50" s="76"/>
      <c r="RDY50" s="76"/>
      <c r="RDZ50" s="76"/>
      <c r="REA50" s="76"/>
      <c r="REB50" s="76"/>
      <c r="REC50" s="76"/>
      <c r="RED50" s="76"/>
      <c r="REE50" s="76"/>
      <c r="REF50" s="76"/>
      <c r="REG50" s="76"/>
      <c r="REH50" s="76"/>
      <c r="REI50" s="76"/>
      <c r="REJ50" s="76"/>
      <c r="REK50" s="76"/>
      <c r="REL50" s="76"/>
      <c r="REM50" s="76"/>
      <c r="REN50" s="76"/>
      <c r="REO50" s="76"/>
      <c r="REP50" s="76"/>
      <c r="REQ50" s="76"/>
      <c r="RER50" s="76"/>
      <c r="RES50" s="76"/>
      <c r="RET50" s="76"/>
      <c r="REU50" s="76"/>
      <c r="REV50" s="76"/>
      <c r="REW50" s="76"/>
      <c r="REX50" s="76"/>
      <c r="REY50" s="76"/>
      <c r="REZ50" s="76"/>
      <c r="RFA50" s="76"/>
      <c r="RFB50" s="76"/>
      <c r="RFC50" s="76"/>
      <c r="RFD50" s="76"/>
      <c r="RFE50" s="76"/>
      <c r="RFF50" s="76"/>
      <c r="RFG50" s="76"/>
      <c r="RFH50" s="76"/>
      <c r="RFI50" s="76"/>
      <c r="RFJ50" s="76"/>
      <c r="RFK50" s="76"/>
      <c r="RFL50" s="76"/>
      <c r="RFM50" s="76"/>
      <c r="RFN50" s="76"/>
      <c r="RFO50" s="76"/>
      <c r="RFP50" s="76"/>
      <c r="RFQ50" s="76"/>
      <c r="RFR50" s="76"/>
      <c r="RFS50" s="76"/>
      <c r="RFT50" s="76"/>
      <c r="RFU50" s="76"/>
      <c r="RFV50" s="76"/>
      <c r="RFW50" s="76"/>
      <c r="RFX50" s="76"/>
      <c r="RFY50" s="76"/>
      <c r="RFZ50" s="76"/>
      <c r="RGA50" s="76"/>
      <c r="RGB50" s="76"/>
      <c r="RGC50" s="76"/>
      <c r="RGD50" s="76"/>
      <c r="RGE50" s="76"/>
      <c r="RGF50" s="76"/>
      <c r="RGG50" s="76"/>
      <c r="RGH50" s="76"/>
      <c r="RGI50" s="76"/>
      <c r="RGJ50" s="76"/>
      <c r="RGK50" s="76"/>
      <c r="RGL50" s="76"/>
      <c r="RGM50" s="76"/>
      <c r="RGN50" s="76"/>
      <c r="RGO50" s="76"/>
      <c r="RGP50" s="76"/>
      <c r="RGQ50" s="76"/>
      <c r="RGR50" s="76"/>
      <c r="RGS50" s="76"/>
      <c r="RGT50" s="76"/>
      <c r="RGU50" s="76"/>
      <c r="RGV50" s="76"/>
      <c r="RGW50" s="76"/>
      <c r="RGX50" s="76"/>
      <c r="RGY50" s="76"/>
      <c r="RGZ50" s="76"/>
      <c r="RHA50" s="76"/>
      <c r="RHB50" s="76"/>
      <c r="RHC50" s="76"/>
      <c r="RHD50" s="76"/>
      <c r="RHE50" s="76"/>
      <c r="RHF50" s="76"/>
      <c r="RHG50" s="76"/>
      <c r="RHH50" s="76"/>
      <c r="RHI50" s="76"/>
      <c r="RHJ50" s="76"/>
      <c r="RHK50" s="76"/>
      <c r="RHL50" s="76"/>
      <c r="RHM50" s="76"/>
      <c r="RHN50" s="76"/>
      <c r="RHO50" s="76"/>
      <c r="RHP50" s="76"/>
      <c r="RHQ50" s="76"/>
      <c r="RHR50" s="76"/>
      <c r="RHS50" s="76"/>
      <c r="RHT50" s="76"/>
      <c r="RHU50" s="76"/>
      <c r="RHV50" s="76"/>
      <c r="RHW50" s="76"/>
      <c r="RHX50" s="76"/>
      <c r="RHY50" s="76"/>
      <c r="RHZ50" s="76"/>
      <c r="RIA50" s="76"/>
      <c r="RIB50" s="76"/>
      <c r="RIC50" s="76"/>
      <c r="RID50" s="76"/>
      <c r="RIE50" s="76"/>
      <c r="RIF50" s="76"/>
      <c r="RIG50" s="76"/>
      <c r="RIH50" s="76"/>
      <c r="RII50" s="76"/>
      <c r="RIJ50" s="76"/>
      <c r="RIK50" s="76"/>
      <c r="RIL50" s="76"/>
      <c r="RIM50" s="76"/>
      <c r="RIN50" s="76"/>
      <c r="RIO50" s="76"/>
      <c r="RIP50" s="76"/>
      <c r="RIQ50" s="76"/>
      <c r="RIR50" s="76"/>
      <c r="RIS50" s="76"/>
      <c r="RIT50" s="76"/>
      <c r="RIU50" s="76"/>
      <c r="RIV50" s="76"/>
      <c r="RIW50" s="76"/>
      <c r="RIX50" s="76"/>
      <c r="RIY50" s="76"/>
      <c r="RIZ50" s="76"/>
      <c r="RJA50" s="76"/>
      <c r="RJB50" s="76"/>
      <c r="RJC50" s="76"/>
      <c r="RJD50" s="76"/>
      <c r="RJE50" s="76"/>
      <c r="RJF50" s="76"/>
      <c r="RJG50" s="76"/>
      <c r="RJH50" s="76"/>
      <c r="RJI50" s="76"/>
      <c r="RJJ50" s="76"/>
      <c r="RJK50" s="76"/>
      <c r="RJL50" s="76"/>
      <c r="RJM50" s="76"/>
      <c r="RJN50" s="76"/>
      <c r="RJO50" s="76"/>
      <c r="RJP50" s="76"/>
      <c r="RJQ50" s="76"/>
      <c r="RJR50" s="76"/>
      <c r="RJS50" s="76"/>
      <c r="RJT50" s="76"/>
      <c r="RJU50" s="76"/>
      <c r="RJV50" s="76"/>
      <c r="RJW50" s="76"/>
      <c r="RJX50" s="76"/>
      <c r="RJY50" s="76"/>
      <c r="RJZ50" s="76"/>
      <c r="RKA50" s="76"/>
      <c r="RKB50" s="76"/>
      <c r="RKC50" s="76"/>
      <c r="RKD50" s="76"/>
      <c r="RKE50" s="76"/>
      <c r="RKF50" s="76"/>
      <c r="RKG50" s="76"/>
      <c r="RKH50" s="76"/>
      <c r="RKI50" s="76"/>
      <c r="RKJ50" s="76"/>
      <c r="RKK50" s="76"/>
      <c r="RKL50" s="76"/>
      <c r="RKM50" s="76"/>
      <c r="RKN50" s="76"/>
      <c r="RKO50" s="76"/>
      <c r="RKP50" s="76"/>
      <c r="RKQ50" s="76"/>
      <c r="RKR50" s="76"/>
      <c r="RKS50" s="76"/>
      <c r="RKT50" s="76"/>
      <c r="RKU50" s="76"/>
      <c r="RKV50" s="76"/>
      <c r="RKW50" s="76"/>
      <c r="RKX50" s="76"/>
      <c r="RKY50" s="76"/>
      <c r="RKZ50" s="76"/>
      <c r="RLA50" s="76"/>
      <c r="RLB50" s="76"/>
      <c r="RLC50" s="76"/>
      <c r="RLD50" s="76"/>
      <c r="RLE50" s="76"/>
      <c r="RLF50" s="76"/>
      <c r="RLG50" s="76"/>
      <c r="RLH50" s="76"/>
      <c r="RLI50" s="76"/>
      <c r="RLJ50" s="76"/>
      <c r="RLK50" s="76"/>
      <c r="RLL50" s="76"/>
      <c r="RLM50" s="76"/>
      <c r="RLN50" s="76"/>
      <c r="RLO50" s="76"/>
      <c r="RLP50" s="76"/>
      <c r="RLQ50" s="76"/>
      <c r="RLR50" s="76"/>
      <c r="RLS50" s="76"/>
      <c r="RLT50" s="76"/>
      <c r="RLU50" s="76"/>
      <c r="RLV50" s="76"/>
      <c r="RLW50" s="76"/>
      <c r="RLX50" s="76"/>
      <c r="RLY50" s="76"/>
      <c r="RLZ50" s="76"/>
      <c r="RMA50" s="76"/>
      <c r="RMB50" s="76"/>
      <c r="RMC50" s="76"/>
      <c r="RMD50" s="76"/>
      <c r="RME50" s="76"/>
      <c r="RMF50" s="76"/>
      <c r="RMG50" s="76"/>
      <c r="RMH50" s="76"/>
      <c r="RMI50" s="76"/>
      <c r="RMJ50" s="76"/>
      <c r="RMK50" s="76"/>
      <c r="RML50" s="76"/>
      <c r="RMM50" s="76"/>
      <c r="RMN50" s="76"/>
      <c r="RMO50" s="76"/>
      <c r="RMP50" s="76"/>
      <c r="RMQ50" s="76"/>
      <c r="RMR50" s="76"/>
      <c r="RMS50" s="76"/>
      <c r="RMT50" s="76"/>
      <c r="RMU50" s="76"/>
      <c r="RMV50" s="76"/>
      <c r="RMW50" s="76"/>
      <c r="RMX50" s="76"/>
      <c r="RMY50" s="76"/>
      <c r="RMZ50" s="76"/>
      <c r="RNA50" s="76"/>
      <c r="RNB50" s="76"/>
      <c r="RNC50" s="76"/>
      <c r="RND50" s="76"/>
      <c r="RNE50" s="76"/>
      <c r="RNF50" s="76"/>
      <c r="RNG50" s="76"/>
      <c r="RNH50" s="76"/>
      <c r="RNI50" s="76"/>
      <c r="RNJ50" s="76"/>
      <c r="RNK50" s="76"/>
      <c r="RNL50" s="76"/>
      <c r="RNM50" s="76"/>
      <c r="RNN50" s="76"/>
      <c r="RNO50" s="76"/>
      <c r="RNP50" s="76"/>
      <c r="RNQ50" s="76"/>
      <c r="RNR50" s="76"/>
      <c r="RNS50" s="76"/>
      <c r="RNT50" s="76"/>
      <c r="RNU50" s="76"/>
      <c r="RNV50" s="76"/>
      <c r="RNW50" s="76"/>
      <c r="RNX50" s="76"/>
      <c r="RNY50" s="76"/>
      <c r="RNZ50" s="76"/>
      <c r="ROA50" s="76"/>
      <c r="ROB50" s="76"/>
      <c r="ROC50" s="76"/>
      <c r="ROD50" s="76"/>
      <c r="ROE50" s="76"/>
      <c r="ROF50" s="76"/>
      <c r="ROG50" s="76"/>
      <c r="ROH50" s="76"/>
      <c r="ROI50" s="76"/>
      <c r="ROJ50" s="76"/>
      <c r="ROK50" s="76"/>
      <c r="ROL50" s="76"/>
      <c r="ROM50" s="76"/>
      <c r="RON50" s="76"/>
      <c r="ROO50" s="76"/>
      <c r="ROP50" s="76"/>
      <c r="ROQ50" s="76"/>
      <c r="ROR50" s="76"/>
      <c r="ROS50" s="76"/>
      <c r="ROT50" s="76"/>
      <c r="ROU50" s="76"/>
      <c r="ROV50" s="76"/>
      <c r="ROW50" s="76"/>
      <c r="ROX50" s="76"/>
      <c r="ROY50" s="76"/>
      <c r="ROZ50" s="76"/>
      <c r="RPA50" s="76"/>
      <c r="RPB50" s="76"/>
      <c r="RPC50" s="76"/>
      <c r="RPD50" s="76"/>
      <c r="RPE50" s="76"/>
      <c r="RPF50" s="76"/>
      <c r="RPG50" s="76"/>
      <c r="RPH50" s="76"/>
      <c r="RPI50" s="76"/>
      <c r="RPJ50" s="76"/>
      <c r="RPK50" s="76"/>
      <c r="RPL50" s="76"/>
      <c r="RPM50" s="76"/>
      <c r="RPN50" s="76"/>
      <c r="RPO50" s="76"/>
      <c r="RPP50" s="76"/>
      <c r="RPQ50" s="76"/>
      <c r="RPR50" s="76"/>
      <c r="RPS50" s="76"/>
      <c r="RPT50" s="76"/>
      <c r="RPU50" s="76"/>
      <c r="RPV50" s="76"/>
      <c r="RPW50" s="76"/>
      <c r="RPX50" s="76"/>
      <c r="RPY50" s="76"/>
      <c r="RPZ50" s="76"/>
      <c r="RQA50" s="76"/>
      <c r="RQB50" s="76"/>
      <c r="RQC50" s="76"/>
      <c r="RQD50" s="76"/>
      <c r="RQE50" s="76"/>
      <c r="RQF50" s="76"/>
      <c r="RQG50" s="76"/>
      <c r="RQH50" s="76"/>
      <c r="RQI50" s="76"/>
      <c r="RQJ50" s="76"/>
      <c r="RQK50" s="76"/>
      <c r="RQL50" s="76"/>
      <c r="RQM50" s="76"/>
      <c r="RQN50" s="76"/>
      <c r="RQO50" s="76"/>
      <c r="RQP50" s="76"/>
      <c r="RQQ50" s="76"/>
      <c r="RQR50" s="76"/>
      <c r="RQS50" s="76"/>
      <c r="RQT50" s="76"/>
      <c r="RQU50" s="76"/>
      <c r="RQV50" s="76"/>
      <c r="RQW50" s="76"/>
      <c r="RQX50" s="76"/>
      <c r="RQY50" s="76"/>
      <c r="RQZ50" s="76"/>
      <c r="RRA50" s="76"/>
      <c r="RRB50" s="76"/>
      <c r="RRC50" s="76"/>
      <c r="RRD50" s="76"/>
      <c r="RRE50" s="76"/>
      <c r="RRF50" s="76"/>
      <c r="RRG50" s="76"/>
      <c r="RRH50" s="76"/>
      <c r="RRI50" s="76"/>
      <c r="RRJ50" s="76"/>
      <c r="RRK50" s="76"/>
      <c r="RRL50" s="76"/>
      <c r="RRM50" s="76"/>
      <c r="RRN50" s="76"/>
      <c r="RRO50" s="76"/>
      <c r="RRP50" s="76"/>
      <c r="RRQ50" s="76"/>
      <c r="RRR50" s="76"/>
      <c r="RRS50" s="76"/>
      <c r="RRT50" s="76"/>
      <c r="RRU50" s="76"/>
      <c r="RRV50" s="76"/>
      <c r="RRW50" s="76"/>
      <c r="RRX50" s="76"/>
      <c r="RRY50" s="76"/>
      <c r="RRZ50" s="76"/>
      <c r="RSA50" s="76"/>
      <c r="RSB50" s="76"/>
      <c r="RSC50" s="76"/>
      <c r="RSD50" s="76"/>
      <c r="RSE50" s="76"/>
      <c r="RSF50" s="76"/>
      <c r="RSG50" s="76"/>
      <c r="RSH50" s="76"/>
      <c r="RSI50" s="76"/>
      <c r="RSJ50" s="76"/>
      <c r="RSK50" s="76"/>
      <c r="RSL50" s="76"/>
      <c r="RSM50" s="76"/>
      <c r="RSN50" s="76"/>
      <c r="RSO50" s="76"/>
      <c r="RSP50" s="76"/>
      <c r="RSQ50" s="76"/>
      <c r="RSR50" s="76"/>
      <c r="RSS50" s="76"/>
      <c r="RST50" s="76"/>
      <c r="RSU50" s="76"/>
      <c r="RSV50" s="76"/>
      <c r="RSW50" s="76"/>
      <c r="RSX50" s="76"/>
      <c r="RSY50" s="76"/>
      <c r="RSZ50" s="76"/>
      <c r="RTA50" s="76"/>
      <c r="RTB50" s="76"/>
      <c r="RTC50" s="76"/>
      <c r="RTD50" s="76"/>
      <c r="RTE50" s="76"/>
      <c r="RTF50" s="76"/>
      <c r="RTG50" s="76"/>
      <c r="RTH50" s="76"/>
      <c r="RTI50" s="76"/>
      <c r="RTJ50" s="76"/>
      <c r="RTK50" s="76"/>
      <c r="RTL50" s="76"/>
      <c r="RTM50" s="76"/>
      <c r="RTN50" s="76"/>
      <c r="RTO50" s="76"/>
      <c r="RTP50" s="76"/>
      <c r="RTQ50" s="76"/>
      <c r="RTR50" s="76"/>
      <c r="RTS50" s="76"/>
      <c r="RTT50" s="76"/>
      <c r="RTU50" s="76"/>
      <c r="RTV50" s="76"/>
      <c r="RTW50" s="76"/>
      <c r="RTX50" s="76"/>
      <c r="RTY50" s="76"/>
      <c r="RTZ50" s="76"/>
      <c r="RUA50" s="76"/>
      <c r="RUB50" s="76"/>
      <c r="RUC50" s="76"/>
      <c r="RUD50" s="76"/>
      <c r="RUE50" s="76"/>
      <c r="RUF50" s="76"/>
      <c r="RUG50" s="76"/>
      <c r="RUH50" s="76"/>
      <c r="RUI50" s="76"/>
      <c r="RUJ50" s="76"/>
      <c r="RUK50" s="76"/>
      <c r="RUL50" s="76"/>
      <c r="RUM50" s="76"/>
      <c r="RUN50" s="76"/>
      <c r="RUO50" s="76"/>
      <c r="RUP50" s="76"/>
      <c r="RUQ50" s="76"/>
      <c r="RUR50" s="76"/>
      <c r="RUS50" s="76"/>
      <c r="RUT50" s="76"/>
      <c r="RUU50" s="76"/>
      <c r="RUV50" s="76"/>
      <c r="RUW50" s="76"/>
      <c r="RUX50" s="76"/>
      <c r="RUY50" s="76"/>
      <c r="RUZ50" s="76"/>
      <c r="RVA50" s="76"/>
      <c r="RVB50" s="76"/>
      <c r="RVC50" s="76"/>
      <c r="RVD50" s="76"/>
      <c r="RVE50" s="76"/>
      <c r="RVF50" s="76"/>
      <c r="RVG50" s="76"/>
      <c r="RVH50" s="76"/>
      <c r="RVI50" s="76"/>
      <c r="RVJ50" s="76"/>
      <c r="RVK50" s="76"/>
      <c r="RVL50" s="76"/>
      <c r="RVM50" s="76"/>
      <c r="RVN50" s="76"/>
      <c r="RVO50" s="76"/>
      <c r="RVP50" s="76"/>
      <c r="RVQ50" s="76"/>
      <c r="RVR50" s="76"/>
      <c r="RVS50" s="76"/>
      <c r="RVT50" s="76"/>
      <c r="RVU50" s="76"/>
      <c r="RVV50" s="76"/>
      <c r="RVW50" s="76"/>
      <c r="RVX50" s="76"/>
      <c r="RVY50" s="76"/>
      <c r="RVZ50" s="76"/>
      <c r="RWA50" s="76"/>
      <c r="RWB50" s="76"/>
      <c r="RWC50" s="76"/>
      <c r="RWD50" s="76"/>
      <c r="RWE50" s="76"/>
      <c r="RWF50" s="76"/>
      <c r="RWG50" s="76"/>
      <c r="RWH50" s="76"/>
      <c r="RWI50" s="76"/>
      <c r="RWJ50" s="76"/>
      <c r="RWK50" s="76"/>
      <c r="RWL50" s="76"/>
      <c r="RWM50" s="76"/>
      <c r="RWN50" s="76"/>
      <c r="RWO50" s="76"/>
      <c r="RWP50" s="76"/>
      <c r="RWQ50" s="76"/>
      <c r="RWR50" s="76"/>
      <c r="RWS50" s="76"/>
      <c r="RWT50" s="76"/>
      <c r="RWU50" s="76"/>
      <c r="RWV50" s="76"/>
      <c r="RWW50" s="76"/>
      <c r="RWX50" s="76"/>
      <c r="RWY50" s="76"/>
      <c r="RWZ50" s="76"/>
      <c r="RXA50" s="76"/>
      <c r="RXB50" s="76"/>
      <c r="RXC50" s="76"/>
      <c r="RXD50" s="76"/>
      <c r="RXE50" s="76"/>
      <c r="RXF50" s="76"/>
      <c r="RXG50" s="76"/>
      <c r="RXH50" s="76"/>
      <c r="RXI50" s="76"/>
      <c r="RXJ50" s="76"/>
      <c r="RXK50" s="76"/>
      <c r="RXL50" s="76"/>
      <c r="RXM50" s="76"/>
      <c r="RXN50" s="76"/>
      <c r="RXO50" s="76"/>
      <c r="RXP50" s="76"/>
      <c r="RXQ50" s="76"/>
      <c r="RXR50" s="76"/>
      <c r="RXS50" s="76"/>
      <c r="RXT50" s="76"/>
      <c r="RXU50" s="76"/>
      <c r="RXV50" s="76"/>
      <c r="RXW50" s="76"/>
      <c r="RXX50" s="76"/>
      <c r="RXY50" s="76"/>
      <c r="RXZ50" s="76"/>
      <c r="RYA50" s="76"/>
      <c r="RYB50" s="76"/>
      <c r="RYC50" s="76"/>
      <c r="RYD50" s="76"/>
      <c r="RYE50" s="76"/>
      <c r="RYF50" s="76"/>
      <c r="RYG50" s="76"/>
      <c r="RYH50" s="76"/>
      <c r="RYI50" s="76"/>
      <c r="RYJ50" s="76"/>
      <c r="RYK50" s="76"/>
      <c r="RYL50" s="76"/>
      <c r="RYM50" s="76"/>
      <c r="RYN50" s="76"/>
      <c r="RYO50" s="76"/>
      <c r="RYP50" s="76"/>
      <c r="RYQ50" s="76"/>
      <c r="RYR50" s="76"/>
      <c r="RYS50" s="76"/>
      <c r="RYT50" s="76"/>
      <c r="RYU50" s="76"/>
      <c r="RYV50" s="76"/>
      <c r="RYW50" s="76"/>
      <c r="RYX50" s="76"/>
      <c r="RYY50" s="76"/>
      <c r="RYZ50" s="76"/>
      <c r="RZA50" s="76"/>
      <c r="RZB50" s="76"/>
      <c r="RZC50" s="76"/>
      <c r="RZD50" s="76"/>
      <c r="RZE50" s="76"/>
      <c r="RZF50" s="76"/>
      <c r="RZG50" s="76"/>
      <c r="RZH50" s="76"/>
      <c r="RZI50" s="76"/>
      <c r="RZJ50" s="76"/>
      <c r="RZK50" s="76"/>
      <c r="RZL50" s="76"/>
      <c r="RZM50" s="76"/>
      <c r="RZN50" s="76"/>
      <c r="RZO50" s="76"/>
      <c r="RZP50" s="76"/>
      <c r="RZQ50" s="76"/>
      <c r="RZR50" s="76"/>
      <c r="RZS50" s="76"/>
      <c r="RZT50" s="76"/>
      <c r="RZU50" s="76"/>
      <c r="RZV50" s="76"/>
      <c r="RZW50" s="76"/>
      <c r="RZX50" s="76"/>
      <c r="RZY50" s="76"/>
      <c r="RZZ50" s="76"/>
      <c r="SAA50" s="76"/>
      <c r="SAB50" s="76"/>
      <c r="SAC50" s="76"/>
      <c r="SAD50" s="76"/>
      <c r="SAE50" s="76"/>
      <c r="SAF50" s="76"/>
      <c r="SAG50" s="76"/>
      <c r="SAH50" s="76"/>
      <c r="SAI50" s="76"/>
      <c r="SAJ50" s="76"/>
      <c r="SAK50" s="76"/>
      <c r="SAL50" s="76"/>
      <c r="SAM50" s="76"/>
      <c r="SAN50" s="76"/>
      <c r="SAO50" s="76"/>
      <c r="SAP50" s="76"/>
      <c r="SAQ50" s="76"/>
      <c r="SAR50" s="76"/>
      <c r="SAS50" s="76"/>
      <c r="SAT50" s="76"/>
      <c r="SAU50" s="76"/>
      <c r="SAV50" s="76"/>
      <c r="SAW50" s="76"/>
      <c r="SAX50" s="76"/>
      <c r="SAY50" s="76"/>
      <c r="SAZ50" s="76"/>
      <c r="SBA50" s="76"/>
      <c r="SBB50" s="76"/>
      <c r="SBC50" s="76"/>
      <c r="SBD50" s="76"/>
      <c r="SBE50" s="76"/>
      <c r="SBF50" s="76"/>
      <c r="SBG50" s="76"/>
      <c r="SBH50" s="76"/>
      <c r="SBI50" s="76"/>
      <c r="SBJ50" s="76"/>
      <c r="SBK50" s="76"/>
      <c r="SBL50" s="76"/>
      <c r="SBM50" s="76"/>
      <c r="SBN50" s="76"/>
      <c r="SBO50" s="76"/>
      <c r="SBP50" s="76"/>
      <c r="SBQ50" s="76"/>
      <c r="SBR50" s="76"/>
      <c r="SBS50" s="76"/>
      <c r="SBT50" s="76"/>
      <c r="SBU50" s="76"/>
      <c r="SBV50" s="76"/>
      <c r="SBW50" s="76"/>
      <c r="SBX50" s="76"/>
      <c r="SBY50" s="76"/>
      <c r="SBZ50" s="76"/>
      <c r="SCA50" s="76"/>
      <c r="SCB50" s="76"/>
      <c r="SCC50" s="76"/>
      <c r="SCD50" s="76"/>
      <c r="SCE50" s="76"/>
      <c r="SCF50" s="76"/>
      <c r="SCG50" s="76"/>
      <c r="SCH50" s="76"/>
      <c r="SCI50" s="76"/>
      <c r="SCJ50" s="76"/>
      <c r="SCK50" s="76"/>
      <c r="SCL50" s="76"/>
      <c r="SCM50" s="76"/>
      <c r="SCN50" s="76"/>
      <c r="SCO50" s="76"/>
      <c r="SCP50" s="76"/>
      <c r="SCQ50" s="76"/>
      <c r="SCR50" s="76"/>
      <c r="SCS50" s="76"/>
      <c r="SCT50" s="76"/>
      <c r="SCU50" s="76"/>
      <c r="SCV50" s="76"/>
      <c r="SCW50" s="76"/>
      <c r="SCX50" s="76"/>
      <c r="SCY50" s="76"/>
      <c r="SCZ50" s="76"/>
      <c r="SDA50" s="76"/>
      <c r="SDB50" s="76"/>
      <c r="SDC50" s="76"/>
      <c r="SDD50" s="76"/>
      <c r="SDE50" s="76"/>
      <c r="SDF50" s="76"/>
      <c r="SDG50" s="76"/>
      <c r="SDH50" s="76"/>
      <c r="SDI50" s="76"/>
      <c r="SDJ50" s="76"/>
      <c r="SDK50" s="76"/>
      <c r="SDL50" s="76"/>
      <c r="SDM50" s="76"/>
      <c r="SDN50" s="76"/>
      <c r="SDO50" s="76"/>
      <c r="SDP50" s="76"/>
      <c r="SDQ50" s="76"/>
      <c r="SDR50" s="76"/>
      <c r="SDS50" s="76"/>
      <c r="SDT50" s="76"/>
      <c r="SDU50" s="76"/>
      <c r="SDV50" s="76"/>
      <c r="SDW50" s="76"/>
      <c r="SDX50" s="76"/>
      <c r="SDY50" s="76"/>
      <c r="SDZ50" s="76"/>
      <c r="SEA50" s="76"/>
      <c r="SEB50" s="76"/>
      <c r="SEC50" s="76"/>
      <c r="SED50" s="76"/>
      <c r="SEE50" s="76"/>
      <c r="SEF50" s="76"/>
      <c r="SEG50" s="76"/>
      <c r="SEH50" s="76"/>
      <c r="SEI50" s="76"/>
      <c r="SEJ50" s="76"/>
      <c r="SEK50" s="76"/>
      <c r="SEL50" s="76"/>
      <c r="SEM50" s="76"/>
      <c r="SEN50" s="76"/>
      <c r="SEO50" s="76"/>
      <c r="SEP50" s="76"/>
      <c r="SEQ50" s="76"/>
      <c r="SER50" s="76"/>
      <c r="SES50" s="76"/>
      <c r="SET50" s="76"/>
      <c r="SEU50" s="76"/>
      <c r="SEV50" s="76"/>
      <c r="SEW50" s="76"/>
      <c r="SEX50" s="76"/>
      <c r="SEY50" s="76"/>
      <c r="SEZ50" s="76"/>
      <c r="SFA50" s="76"/>
      <c r="SFB50" s="76"/>
      <c r="SFC50" s="76"/>
      <c r="SFD50" s="76"/>
      <c r="SFE50" s="76"/>
      <c r="SFF50" s="76"/>
      <c r="SFG50" s="76"/>
      <c r="SFH50" s="76"/>
      <c r="SFI50" s="76"/>
      <c r="SFJ50" s="76"/>
      <c r="SFK50" s="76"/>
      <c r="SFL50" s="76"/>
      <c r="SFM50" s="76"/>
      <c r="SFN50" s="76"/>
      <c r="SFO50" s="76"/>
      <c r="SFP50" s="76"/>
      <c r="SFQ50" s="76"/>
      <c r="SFR50" s="76"/>
      <c r="SFS50" s="76"/>
      <c r="SFT50" s="76"/>
      <c r="SFU50" s="76"/>
      <c r="SFV50" s="76"/>
      <c r="SFW50" s="76"/>
      <c r="SFX50" s="76"/>
      <c r="SFY50" s="76"/>
      <c r="SFZ50" s="76"/>
      <c r="SGA50" s="76"/>
      <c r="SGB50" s="76"/>
      <c r="SGC50" s="76"/>
      <c r="SGD50" s="76"/>
      <c r="SGE50" s="76"/>
      <c r="SGF50" s="76"/>
      <c r="SGG50" s="76"/>
      <c r="SGH50" s="76"/>
      <c r="SGI50" s="76"/>
      <c r="SGJ50" s="76"/>
      <c r="SGK50" s="76"/>
      <c r="SGL50" s="76"/>
      <c r="SGM50" s="76"/>
      <c r="SGN50" s="76"/>
      <c r="SGO50" s="76"/>
      <c r="SGP50" s="76"/>
      <c r="SGQ50" s="76"/>
      <c r="SGR50" s="76"/>
      <c r="SGS50" s="76"/>
      <c r="SGT50" s="76"/>
      <c r="SGU50" s="76"/>
      <c r="SGV50" s="76"/>
      <c r="SGW50" s="76"/>
      <c r="SGX50" s="76"/>
      <c r="SGY50" s="76"/>
      <c r="SGZ50" s="76"/>
      <c r="SHA50" s="76"/>
      <c r="SHB50" s="76"/>
      <c r="SHC50" s="76"/>
      <c r="SHD50" s="76"/>
      <c r="SHE50" s="76"/>
      <c r="SHF50" s="76"/>
      <c r="SHG50" s="76"/>
      <c r="SHH50" s="76"/>
      <c r="SHI50" s="76"/>
      <c r="SHJ50" s="76"/>
      <c r="SHK50" s="76"/>
      <c r="SHL50" s="76"/>
      <c r="SHM50" s="76"/>
      <c r="SHN50" s="76"/>
      <c r="SHO50" s="76"/>
      <c r="SHP50" s="76"/>
      <c r="SHQ50" s="76"/>
      <c r="SHR50" s="76"/>
      <c r="SHS50" s="76"/>
      <c r="SHT50" s="76"/>
      <c r="SHU50" s="76"/>
      <c r="SHV50" s="76"/>
      <c r="SHW50" s="76"/>
      <c r="SHX50" s="76"/>
      <c r="SHY50" s="76"/>
      <c r="SHZ50" s="76"/>
      <c r="SIA50" s="76"/>
      <c r="SIB50" s="76"/>
      <c r="SIC50" s="76"/>
      <c r="SID50" s="76"/>
      <c r="SIE50" s="76"/>
      <c r="SIF50" s="76"/>
      <c r="SIG50" s="76"/>
      <c r="SIH50" s="76"/>
      <c r="SII50" s="76"/>
      <c r="SIJ50" s="76"/>
      <c r="SIK50" s="76"/>
      <c r="SIL50" s="76"/>
      <c r="SIM50" s="76"/>
      <c r="SIN50" s="76"/>
      <c r="SIO50" s="76"/>
      <c r="SIP50" s="76"/>
      <c r="SIQ50" s="76"/>
      <c r="SIR50" s="76"/>
      <c r="SIS50" s="76"/>
      <c r="SIT50" s="76"/>
      <c r="SIU50" s="76"/>
      <c r="SIV50" s="76"/>
      <c r="SIW50" s="76"/>
      <c r="SIX50" s="76"/>
      <c r="SIY50" s="76"/>
      <c r="SIZ50" s="76"/>
      <c r="SJA50" s="76"/>
      <c r="SJB50" s="76"/>
      <c r="SJC50" s="76"/>
      <c r="SJD50" s="76"/>
      <c r="SJE50" s="76"/>
      <c r="SJF50" s="76"/>
      <c r="SJG50" s="76"/>
      <c r="SJH50" s="76"/>
      <c r="SJI50" s="76"/>
      <c r="SJJ50" s="76"/>
      <c r="SJK50" s="76"/>
      <c r="SJL50" s="76"/>
      <c r="SJM50" s="76"/>
      <c r="SJN50" s="76"/>
      <c r="SJO50" s="76"/>
      <c r="SJP50" s="76"/>
      <c r="SJQ50" s="76"/>
      <c r="SJR50" s="76"/>
      <c r="SJS50" s="76"/>
      <c r="SJT50" s="76"/>
      <c r="SJU50" s="76"/>
      <c r="SJV50" s="76"/>
      <c r="SJW50" s="76"/>
      <c r="SJX50" s="76"/>
      <c r="SJY50" s="76"/>
      <c r="SJZ50" s="76"/>
      <c r="SKA50" s="76"/>
      <c r="SKB50" s="76"/>
      <c r="SKC50" s="76"/>
      <c r="SKD50" s="76"/>
      <c r="SKE50" s="76"/>
      <c r="SKF50" s="76"/>
      <c r="SKG50" s="76"/>
      <c r="SKH50" s="76"/>
      <c r="SKI50" s="76"/>
      <c r="SKJ50" s="76"/>
      <c r="SKK50" s="76"/>
      <c r="SKL50" s="76"/>
      <c r="SKM50" s="76"/>
      <c r="SKN50" s="76"/>
      <c r="SKO50" s="76"/>
      <c r="SKP50" s="76"/>
      <c r="SKQ50" s="76"/>
      <c r="SKR50" s="76"/>
      <c r="SKS50" s="76"/>
      <c r="SKT50" s="76"/>
      <c r="SKU50" s="76"/>
      <c r="SKV50" s="76"/>
      <c r="SKW50" s="76"/>
      <c r="SKX50" s="76"/>
      <c r="SKY50" s="76"/>
      <c r="SKZ50" s="76"/>
      <c r="SLA50" s="76"/>
      <c r="SLB50" s="76"/>
      <c r="SLC50" s="76"/>
      <c r="SLD50" s="76"/>
      <c r="SLE50" s="76"/>
      <c r="SLF50" s="76"/>
      <c r="SLG50" s="76"/>
      <c r="SLH50" s="76"/>
      <c r="SLI50" s="76"/>
      <c r="SLJ50" s="76"/>
      <c r="SLK50" s="76"/>
      <c r="SLL50" s="76"/>
      <c r="SLM50" s="76"/>
      <c r="SLN50" s="76"/>
      <c r="SLO50" s="76"/>
      <c r="SLP50" s="76"/>
      <c r="SLQ50" s="76"/>
      <c r="SLR50" s="76"/>
      <c r="SLS50" s="76"/>
      <c r="SLT50" s="76"/>
      <c r="SLU50" s="76"/>
      <c r="SLV50" s="76"/>
      <c r="SLW50" s="76"/>
      <c r="SLX50" s="76"/>
      <c r="SLY50" s="76"/>
      <c r="SLZ50" s="76"/>
      <c r="SMA50" s="76"/>
      <c r="SMB50" s="76"/>
      <c r="SMC50" s="76"/>
      <c r="SMD50" s="76"/>
      <c r="SME50" s="76"/>
      <c r="SMF50" s="76"/>
      <c r="SMG50" s="76"/>
      <c r="SMH50" s="76"/>
      <c r="SMI50" s="76"/>
      <c r="SMJ50" s="76"/>
      <c r="SMK50" s="76"/>
      <c r="SML50" s="76"/>
      <c r="SMM50" s="76"/>
      <c r="SMN50" s="76"/>
      <c r="SMO50" s="76"/>
      <c r="SMP50" s="76"/>
      <c r="SMQ50" s="76"/>
      <c r="SMR50" s="76"/>
      <c r="SMS50" s="76"/>
      <c r="SMT50" s="76"/>
      <c r="SMU50" s="76"/>
      <c r="SMV50" s="76"/>
      <c r="SMW50" s="76"/>
      <c r="SMX50" s="76"/>
      <c r="SMY50" s="76"/>
      <c r="SMZ50" s="76"/>
      <c r="SNA50" s="76"/>
      <c r="SNB50" s="76"/>
      <c r="SNC50" s="76"/>
      <c r="SND50" s="76"/>
      <c r="SNE50" s="76"/>
      <c r="SNF50" s="76"/>
      <c r="SNG50" s="76"/>
      <c r="SNH50" s="76"/>
      <c r="SNI50" s="76"/>
      <c r="SNJ50" s="76"/>
      <c r="SNK50" s="76"/>
      <c r="SNL50" s="76"/>
      <c r="SNM50" s="76"/>
      <c r="SNN50" s="76"/>
      <c r="SNO50" s="76"/>
      <c r="SNP50" s="76"/>
      <c r="SNQ50" s="76"/>
      <c r="SNR50" s="76"/>
      <c r="SNS50" s="76"/>
      <c r="SNT50" s="76"/>
      <c r="SNU50" s="76"/>
      <c r="SNV50" s="76"/>
      <c r="SNW50" s="76"/>
      <c r="SNX50" s="76"/>
      <c r="SNY50" s="76"/>
      <c r="SNZ50" s="76"/>
      <c r="SOA50" s="76"/>
      <c r="SOB50" s="76"/>
      <c r="SOC50" s="76"/>
      <c r="SOD50" s="76"/>
      <c r="SOE50" s="76"/>
      <c r="SOF50" s="76"/>
      <c r="SOG50" s="76"/>
      <c r="SOH50" s="76"/>
      <c r="SOI50" s="76"/>
      <c r="SOJ50" s="76"/>
      <c r="SOK50" s="76"/>
      <c r="SOL50" s="76"/>
      <c r="SOM50" s="76"/>
      <c r="SON50" s="76"/>
      <c r="SOO50" s="76"/>
      <c r="SOP50" s="76"/>
      <c r="SOQ50" s="76"/>
      <c r="SOR50" s="76"/>
      <c r="SOS50" s="76"/>
      <c r="SOT50" s="76"/>
      <c r="SOU50" s="76"/>
      <c r="SOV50" s="76"/>
      <c r="SOW50" s="76"/>
      <c r="SOX50" s="76"/>
      <c r="SOY50" s="76"/>
      <c r="SOZ50" s="76"/>
      <c r="SPA50" s="76"/>
      <c r="SPB50" s="76"/>
      <c r="SPC50" s="76"/>
      <c r="SPD50" s="76"/>
      <c r="SPE50" s="76"/>
      <c r="SPF50" s="76"/>
      <c r="SPG50" s="76"/>
      <c r="SPH50" s="76"/>
      <c r="SPI50" s="76"/>
      <c r="SPJ50" s="76"/>
      <c r="SPK50" s="76"/>
      <c r="SPL50" s="76"/>
      <c r="SPM50" s="76"/>
      <c r="SPN50" s="76"/>
      <c r="SPO50" s="76"/>
      <c r="SPP50" s="76"/>
      <c r="SPQ50" s="76"/>
      <c r="SPR50" s="76"/>
      <c r="SPS50" s="76"/>
      <c r="SPT50" s="76"/>
      <c r="SPU50" s="76"/>
      <c r="SPV50" s="76"/>
      <c r="SPW50" s="76"/>
      <c r="SPX50" s="76"/>
      <c r="SPY50" s="76"/>
      <c r="SPZ50" s="76"/>
      <c r="SQA50" s="76"/>
      <c r="SQB50" s="76"/>
      <c r="SQC50" s="76"/>
      <c r="SQD50" s="76"/>
      <c r="SQE50" s="76"/>
      <c r="SQF50" s="76"/>
      <c r="SQG50" s="76"/>
      <c r="SQH50" s="76"/>
      <c r="SQI50" s="76"/>
      <c r="SQJ50" s="76"/>
      <c r="SQK50" s="76"/>
      <c r="SQL50" s="76"/>
      <c r="SQM50" s="76"/>
      <c r="SQN50" s="76"/>
      <c r="SQO50" s="76"/>
      <c r="SQP50" s="76"/>
      <c r="SQQ50" s="76"/>
      <c r="SQR50" s="76"/>
      <c r="SQS50" s="76"/>
      <c r="SQT50" s="76"/>
      <c r="SQU50" s="76"/>
      <c r="SQV50" s="76"/>
      <c r="SQW50" s="76"/>
      <c r="SQX50" s="76"/>
      <c r="SQY50" s="76"/>
      <c r="SQZ50" s="76"/>
      <c r="SRA50" s="76"/>
      <c r="SRB50" s="76"/>
      <c r="SRC50" s="76"/>
      <c r="SRD50" s="76"/>
      <c r="SRE50" s="76"/>
      <c r="SRF50" s="76"/>
      <c r="SRG50" s="76"/>
      <c r="SRH50" s="76"/>
      <c r="SRI50" s="76"/>
      <c r="SRJ50" s="76"/>
      <c r="SRK50" s="76"/>
      <c r="SRL50" s="76"/>
      <c r="SRM50" s="76"/>
      <c r="SRN50" s="76"/>
      <c r="SRO50" s="76"/>
      <c r="SRP50" s="76"/>
      <c r="SRQ50" s="76"/>
      <c r="SRR50" s="76"/>
      <c r="SRS50" s="76"/>
      <c r="SRT50" s="76"/>
      <c r="SRU50" s="76"/>
      <c r="SRV50" s="76"/>
      <c r="SRW50" s="76"/>
      <c r="SRX50" s="76"/>
      <c r="SRY50" s="76"/>
      <c r="SRZ50" s="76"/>
      <c r="SSA50" s="76"/>
      <c r="SSB50" s="76"/>
      <c r="SSC50" s="76"/>
      <c r="SSD50" s="76"/>
      <c r="SSE50" s="76"/>
      <c r="SSF50" s="76"/>
      <c r="SSG50" s="76"/>
      <c r="SSH50" s="76"/>
      <c r="SSI50" s="76"/>
      <c r="SSJ50" s="76"/>
      <c r="SSK50" s="76"/>
      <c r="SSL50" s="76"/>
      <c r="SSM50" s="76"/>
      <c r="SSN50" s="76"/>
      <c r="SSO50" s="76"/>
      <c r="SSP50" s="76"/>
      <c r="SSQ50" s="76"/>
      <c r="SSR50" s="76"/>
      <c r="SSS50" s="76"/>
      <c r="SST50" s="76"/>
      <c r="SSU50" s="76"/>
      <c r="SSV50" s="76"/>
      <c r="SSW50" s="76"/>
      <c r="SSX50" s="76"/>
      <c r="SSY50" s="76"/>
      <c r="SSZ50" s="76"/>
      <c r="STA50" s="76"/>
      <c r="STB50" s="76"/>
      <c r="STC50" s="76"/>
      <c r="STD50" s="76"/>
      <c r="STE50" s="76"/>
      <c r="STF50" s="76"/>
      <c r="STG50" s="76"/>
      <c r="STH50" s="76"/>
      <c r="STI50" s="76"/>
      <c r="STJ50" s="76"/>
      <c r="STK50" s="76"/>
      <c r="STL50" s="76"/>
      <c r="STM50" s="76"/>
      <c r="STN50" s="76"/>
      <c r="STO50" s="76"/>
      <c r="STP50" s="76"/>
      <c r="STQ50" s="76"/>
      <c r="STR50" s="76"/>
      <c r="STS50" s="76"/>
      <c r="STT50" s="76"/>
      <c r="STU50" s="76"/>
      <c r="STV50" s="76"/>
      <c r="STW50" s="76"/>
      <c r="STX50" s="76"/>
      <c r="STY50" s="76"/>
      <c r="STZ50" s="76"/>
      <c r="SUA50" s="76"/>
      <c r="SUB50" s="76"/>
      <c r="SUC50" s="76"/>
      <c r="SUD50" s="76"/>
      <c r="SUE50" s="76"/>
      <c r="SUF50" s="76"/>
      <c r="SUG50" s="76"/>
      <c r="SUH50" s="76"/>
      <c r="SUI50" s="76"/>
      <c r="SUJ50" s="76"/>
      <c r="SUK50" s="76"/>
      <c r="SUL50" s="76"/>
      <c r="SUM50" s="76"/>
      <c r="SUN50" s="76"/>
      <c r="SUO50" s="76"/>
      <c r="SUP50" s="76"/>
      <c r="SUQ50" s="76"/>
      <c r="SUR50" s="76"/>
      <c r="SUS50" s="76"/>
      <c r="SUT50" s="76"/>
      <c r="SUU50" s="76"/>
      <c r="SUV50" s="76"/>
      <c r="SUW50" s="76"/>
      <c r="SUX50" s="76"/>
      <c r="SUY50" s="76"/>
      <c r="SUZ50" s="76"/>
      <c r="SVA50" s="76"/>
      <c r="SVB50" s="76"/>
      <c r="SVC50" s="76"/>
      <c r="SVD50" s="76"/>
      <c r="SVE50" s="76"/>
      <c r="SVF50" s="76"/>
      <c r="SVG50" s="76"/>
      <c r="SVH50" s="76"/>
      <c r="SVI50" s="76"/>
      <c r="SVJ50" s="76"/>
      <c r="SVK50" s="76"/>
      <c r="SVL50" s="76"/>
      <c r="SVM50" s="76"/>
      <c r="SVN50" s="76"/>
      <c r="SVO50" s="76"/>
      <c r="SVP50" s="76"/>
      <c r="SVQ50" s="76"/>
      <c r="SVR50" s="76"/>
      <c r="SVS50" s="76"/>
      <c r="SVT50" s="76"/>
      <c r="SVU50" s="76"/>
      <c r="SVV50" s="76"/>
      <c r="SVW50" s="76"/>
      <c r="SVX50" s="76"/>
      <c r="SVY50" s="76"/>
      <c r="SVZ50" s="76"/>
      <c r="SWA50" s="76"/>
      <c r="SWB50" s="76"/>
      <c r="SWC50" s="76"/>
      <c r="SWD50" s="76"/>
      <c r="SWE50" s="76"/>
      <c r="SWF50" s="76"/>
      <c r="SWG50" s="76"/>
      <c r="SWH50" s="76"/>
      <c r="SWI50" s="76"/>
      <c r="SWJ50" s="76"/>
      <c r="SWK50" s="76"/>
      <c r="SWL50" s="76"/>
      <c r="SWM50" s="76"/>
      <c r="SWN50" s="76"/>
      <c r="SWO50" s="76"/>
      <c r="SWP50" s="76"/>
      <c r="SWQ50" s="76"/>
      <c r="SWR50" s="76"/>
      <c r="SWS50" s="76"/>
      <c r="SWT50" s="76"/>
      <c r="SWU50" s="76"/>
      <c r="SWV50" s="76"/>
      <c r="SWW50" s="76"/>
      <c r="SWX50" s="76"/>
      <c r="SWY50" s="76"/>
      <c r="SWZ50" s="76"/>
      <c r="SXA50" s="76"/>
      <c r="SXB50" s="76"/>
      <c r="SXC50" s="76"/>
      <c r="SXD50" s="76"/>
      <c r="SXE50" s="76"/>
      <c r="SXF50" s="76"/>
      <c r="SXG50" s="76"/>
      <c r="SXH50" s="76"/>
      <c r="SXI50" s="76"/>
      <c r="SXJ50" s="76"/>
      <c r="SXK50" s="76"/>
      <c r="SXL50" s="76"/>
      <c r="SXM50" s="76"/>
      <c r="SXN50" s="76"/>
      <c r="SXO50" s="76"/>
      <c r="SXP50" s="76"/>
      <c r="SXQ50" s="76"/>
      <c r="SXR50" s="76"/>
      <c r="SXS50" s="76"/>
      <c r="SXT50" s="76"/>
      <c r="SXU50" s="76"/>
      <c r="SXV50" s="76"/>
      <c r="SXW50" s="76"/>
      <c r="SXX50" s="76"/>
      <c r="SXY50" s="76"/>
      <c r="SXZ50" s="76"/>
      <c r="SYA50" s="76"/>
      <c r="SYB50" s="76"/>
      <c r="SYC50" s="76"/>
      <c r="SYD50" s="76"/>
      <c r="SYE50" s="76"/>
      <c r="SYF50" s="76"/>
      <c r="SYG50" s="76"/>
      <c r="SYH50" s="76"/>
      <c r="SYI50" s="76"/>
      <c r="SYJ50" s="76"/>
      <c r="SYK50" s="76"/>
      <c r="SYL50" s="76"/>
      <c r="SYM50" s="76"/>
      <c r="SYN50" s="76"/>
      <c r="SYO50" s="76"/>
      <c r="SYP50" s="76"/>
      <c r="SYQ50" s="76"/>
      <c r="SYR50" s="76"/>
      <c r="SYS50" s="76"/>
      <c r="SYT50" s="76"/>
      <c r="SYU50" s="76"/>
      <c r="SYV50" s="76"/>
      <c r="SYW50" s="76"/>
      <c r="SYX50" s="76"/>
      <c r="SYY50" s="76"/>
      <c r="SYZ50" s="76"/>
      <c r="SZA50" s="76"/>
      <c r="SZB50" s="76"/>
      <c r="SZC50" s="76"/>
      <c r="SZD50" s="76"/>
      <c r="SZE50" s="76"/>
      <c r="SZF50" s="76"/>
      <c r="SZG50" s="76"/>
      <c r="SZH50" s="76"/>
      <c r="SZI50" s="76"/>
      <c r="SZJ50" s="76"/>
      <c r="SZK50" s="76"/>
      <c r="SZL50" s="76"/>
      <c r="SZM50" s="76"/>
      <c r="SZN50" s="76"/>
      <c r="SZO50" s="76"/>
      <c r="SZP50" s="76"/>
      <c r="SZQ50" s="76"/>
      <c r="SZR50" s="76"/>
      <c r="SZS50" s="76"/>
      <c r="SZT50" s="76"/>
      <c r="SZU50" s="76"/>
      <c r="SZV50" s="76"/>
      <c r="SZW50" s="76"/>
      <c r="SZX50" s="76"/>
      <c r="SZY50" s="76"/>
      <c r="SZZ50" s="76"/>
      <c r="TAA50" s="76"/>
      <c r="TAB50" s="76"/>
      <c r="TAC50" s="76"/>
      <c r="TAD50" s="76"/>
      <c r="TAE50" s="76"/>
      <c r="TAF50" s="76"/>
      <c r="TAG50" s="76"/>
      <c r="TAH50" s="76"/>
      <c r="TAI50" s="76"/>
      <c r="TAJ50" s="76"/>
      <c r="TAK50" s="76"/>
      <c r="TAL50" s="76"/>
      <c r="TAM50" s="76"/>
      <c r="TAN50" s="76"/>
      <c r="TAO50" s="76"/>
      <c r="TAP50" s="76"/>
      <c r="TAQ50" s="76"/>
      <c r="TAR50" s="76"/>
      <c r="TAS50" s="76"/>
      <c r="TAT50" s="76"/>
      <c r="TAU50" s="76"/>
      <c r="TAV50" s="76"/>
      <c r="TAW50" s="76"/>
      <c r="TAX50" s="76"/>
      <c r="TAY50" s="76"/>
      <c r="TAZ50" s="76"/>
      <c r="TBA50" s="76"/>
      <c r="TBB50" s="76"/>
      <c r="TBC50" s="76"/>
      <c r="TBD50" s="76"/>
      <c r="TBE50" s="76"/>
      <c r="TBF50" s="76"/>
      <c r="TBG50" s="76"/>
      <c r="TBH50" s="76"/>
      <c r="TBI50" s="76"/>
      <c r="TBJ50" s="76"/>
      <c r="TBK50" s="76"/>
      <c r="TBL50" s="76"/>
      <c r="TBM50" s="76"/>
      <c r="TBN50" s="76"/>
      <c r="TBO50" s="76"/>
      <c r="TBP50" s="76"/>
      <c r="TBQ50" s="76"/>
      <c r="TBR50" s="76"/>
      <c r="TBS50" s="76"/>
      <c r="TBT50" s="76"/>
      <c r="TBU50" s="76"/>
      <c r="TBV50" s="76"/>
      <c r="TBW50" s="76"/>
      <c r="TBX50" s="76"/>
      <c r="TBY50" s="76"/>
      <c r="TBZ50" s="76"/>
      <c r="TCA50" s="76"/>
      <c r="TCB50" s="76"/>
      <c r="TCC50" s="76"/>
      <c r="TCD50" s="76"/>
      <c r="TCE50" s="76"/>
      <c r="TCF50" s="76"/>
      <c r="TCG50" s="76"/>
      <c r="TCH50" s="76"/>
      <c r="TCI50" s="76"/>
      <c r="TCJ50" s="76"/>
      <c r="TCK50" s="76"/>
      <c r="TCL50" s="76"/>
      <c r="TCM50" s="76"/>
      <c r="TCN50" s="76"/>
      <c r="TCO50" s="76"/>
      <c r="TCP50" s="76"/>
      <c r="TCQ50" s="76"/>
      <c r="TCR50" s="76"/>
      <c r="TCS50" s="76"/>
      <c r="TCT50" s="76"/>
      <c r="TCU50" s="76"/>
      <c r="TCV50" s="76"/>
      <c r="TCW50" s="76"/>
      <c r="TCX50" s="76"/>
      <c r="TCY50" s="76"/>
      <c r="TCZ50" s="76"/>
      <c r="TDA50" s="76"/>
      <c r="TDB50" s="76"/>
      <c r="TDC50" s="76"/>
      <c r="TDD50" s="76"/>
      <c r="TDE50" s="76"/>
      <c r="TDF50" s="76"/>
      <c r="TDG50" s="76"/>
      <c r="TDH50" s="76"/>
      <c r="TDI50" s="76"/>
      <c r="TDJ50" s="76"/>
      <c r="TDK50" s="76"/>
      <c r="TDL50" s="76"/>
      <c r="TDM50" s="76"/>
      <c r="TDN50" s="76"/>
      <c r="TDO50" s="76"/>
      <c r="TDP50" s="76"/>
      <c r="TDQ50" s="76"/>
      <c r="TDR50" s="76"/>
      <c r="TDS50" s="76"/>
      <c r="TDT50" s="76"/>
      <c r="TDU50" s="76"/>
      <c r="TDV50" s="76"/>
      <c r="TDW50" s="76"/>
      <c r="TDX50" s="76"/>
      <c r="TDY50" s="76"/>
      <c r="TDZ50" s="76"/>
      <c r="TEA50" s="76"/>
      <c r="TEB50" s="76"/>
      <c r="TEC50" s="76"/>
      <c r="TED50" s="76"/>
      <c r="TEE50" s="76"/>
      <c r="TEF50" s="76"/>
      <c r="TEG50" s="76"/>
      <c r="TEH50" s="76"/>
      <c r="TEI50" s="76"/>
      <c r="TEJ50" s="76"/>
      <c r="TEK50" s="76"/>
      <c r="TEL50" s="76"/>
      <c r="TEM50" s="76"/>
      <c r="TEN50" s="76"/>
      <c r="TEO50" s="76"/>
      <c r="TEP50" s="76"/>
      <c r="TEQ50" s="76"/>
      <c r="TER50" s="76"/>
      <c r="TES50" s="76"/>
      <c r="TET50" s="76"/>
      <c r="TEU50" s="76"/>
      <c r="TEV50" s="76"/>
      <c r="TEW50" s="76"/>
      <c r="TEX50" s="76"/>
      <c r="TEY50" s="76"/>
      <c r="TEZ50" s="76"/>
      <c r="TFA50" s="76"/>
      <c r="TFB50" s="76"/>
      <c r="TFC50" s="76"/>
      <c r="TFD50" s="76"/>
      <c r="TFE50" s="76"/>
      <c r="TFF50" s="76"/>
      <c r="TFG50" s="76"/>
      <c r="TFH50" s="76"/>
      <c r="TFI50" s="76"/>
      <c r="TFJ50" s="76"/>
      <c r="TFK50" s="76"/>
      <c r="TFL50" s="76"/>
      <c r="TFM50" s="76"/>
      <c r="TFN50" s="76"/>
      <c r="TFO50" s="76"/>
      <c r="TFP50" s="76"/>
      <c r="TFQ50" s="76"/>
      <c r="TFR50" s="76"/>
      <c r="TFS50" s="76"/>
      <c r="TFT50" s="76"/>
      <c r="TFU50" s="76"/>
      <c r="TFV50" s="76"/>
      <c r="TFW50" s="76"/>
      <c r="TFX50" s="76"/>
      <c r="TFY50" s="76"/>
      <c r="TFZ50" s="76"/>
      <c r="TGA50" s="76"/>
      <c r="TGB50" s="76"/>
      <c r="TGC50" s="76"/>
      <c r="TGD50" s="76"/>
      <c r="TGE50" s="76"/>
      <c r="TGF50" s="76"/>
      <c r="TGG50" s="76"/>
      <c r="TGH50" s="76"/>
      <c r="TGI50" s="76"/>
      <c r="TGJ50" s="76"/>
      <c r="TGK50" s="76"/>
      <c r="TGL50" s="76"/>
      <c r="TGM50" s="76"/>
      <c r="TGN50" s="76"/>
      <c r="TGO50" s="76"/>
      <c r="TGP50" s="76"/>
      <c r="TGQ50" s="76"/>
      <c r="TGR50" s="76"/>
      <c r="TGS50" s="76"/>
      <c r="TGT50" s="76"/>
      <c r="TGU50" s="76"/>
      <c r="TGV50" s="76"/>
      <c r="TGW50" s="76"/>
      <c r="TGX50" s="76"/>
      <c r="TGY50" s="76"/>
      <c r="TGZ50" s="76"/>
      <c r="THA50" s="76"/>
      <c r="THB50" s="76"/>
      <c r="THC50" s="76"/>
      <c r="THD50" s="76"/>
      <c r="THE50" s="76"/>
      <c r="THF50" s="76"/>
      <c r="THG50" s="76"/>
      <c r="THH50" s="76"/>
      <c r="THI50" s="76"/>
      <c r="THJ50" s="76"/>
      <c r="THK50" s="76"/>
      <c r="THL50" s="76"/>
      <c r="THM50" s="76"/>
      <c r="THN50" s="76"/>
      <c r="THO50" s="76"/>
      <c r="THP50" s="76"/>
      <c r="THQ50" s="76"/>
      <c r="THR50" s="76"/>
      <c r="THS50" s="76"/>
      <c r="THT50" s="76"/>
      <c r="THU50" s="76"/>
      <c r="THV50" s="76"/>
      <c r="THW50" s="76"/>
      <c r="THX50" s="76"/>
      <c r="THY50" s="76"/>
      <c r="THZ50" s="76"/>
      <c r="TIA50" s="76"/>
      <c r="TIB50" s="76"/>
      <c r="TIC50" s="76"/>
      <c r="TID50" s="76"/>
      <c r="TIE50" s="76"/>
      <c r="TIF50" s="76"/>
      <c r="TIG50" s="76"/>
      <c r="TIH50" s="76"/>
      <c r="TII50" s="76"/>
      <c r="TIJ50" s="76"/>
      <c r="TIK50" s="76"/>
      <c r="TIL50" s="76"/>
      <c r="TIM50" s="76"/>
      <c r="TIN50" s="76"/>
      <c r="TIO50" s="76"/>
      <c r="TIP50" s="76"/>
      <c r="TIQ50" s="76"/>
      <c r="TIR50" s="76"/>
      <c r="TIS50" s="76"/>
      <c r="TIT50" s="76"/>
      <c r="TIU50" s="76"/>
      <c r="TIV50" s="76"/>
      <c r="TIW50" s="76"/>
      <c r="TIX50" s="76"/>
      <c r="TIY50" s="76"/>
      <c r="TIZ50" s="76"/>
      <c r="TJA50" s="76"/>
      <c r="TJB50" s="76"/>
      <c r="TJC50" s="76"/>
      <c r="TJD50" s="76"/>
      <c r="TJE50" s="76"/>
      <c r="TJF50" s="76"/>
      <c r="TJG50" s="76"/>
      <c r="TJH50" s="76"/>
      <c r="TJI50" s="76"/>
      <c r="TJJ50" s="76"/>
      <c r="TJK50" s="76"/>
      <c r="TJL50" s="76"/>
      <c r="TJM50" s="76"/>
      <c r="TJN50" s="76"/>
      <c r="TJO50" s="76"/>
      <c r="TJP50" s="76"/>
      <c r="TJQ50" s="76"/>
      <c r="TJR50" s="76"/>
      <c r="TJS50" s="76"/>
      <c r="TJT50" s="76"/>
      <c r="TJU50" s="76"/>
      <c r="TJV50" s="76"/>
      <c r="TJW50" s="76"/>
      <c r="TJX50" s="76"/>
      <c r="TJY50" s="76"/>
      <c r="TJZ50" s="76"/>
      <c r="TKA50" s="76"/>
      <c r="TKB50" s="76"/>
      <c r="TKC50" s="76"/>
      <c r="TKD50" s="76"/>
      <c r="TKE50" s="76"/>
      <c r="TKF50" s="76"/>
      <c r="TKG50" s="76"/>
      <c r="TKH50" s="76"/>
      <c r="TKI50" s="76"/>
      <c r="TKJ50" s="76"/>
      <c r="TKK50" s="76"/>
      <c r="TKL50" s="76"/>
      <c r="TKM50" s="76"/>
      <c r="TKN50" s="76"/>
      <c r="TKO50" s="76"/>
      <c r="TKP50" s="76"/>
      <c r="TKQ50" s="76"/>
      <c r="TKR50" s="76"/>
      <c r="TKS50" s="76"/>
      <c r="TKT50" s="76"/>
      <c r="TKU50" s="76"/>
      <c r="TKV50" s="76"/>
      <c r="TKW50" s="76"/>
      <c r="TKX50" s="76"/>
      <c r="TKY50" s="76"/>
      <c r="TKZ50" s="76"/>
      <c r="TLA50" s="76"/>
      <c r="TLB50" s="76"/>
      <c r="TLC50" s="76"/>
      <c r="TLD50" s="76"/>
      <c r="TLE50" s="76"/>
      <c r="TLF50" s="76"/>
      <c r="TLG50" s="76"/>
      <c r="TLH50" s="76"/>
      <c r="TLI50" s="76"/>
      <c r="TLJ50" s="76"/>
      <c r="TLK50" s="76"/>
      <c r="TLL50" s="76"/>
      <c r="TLM50" s="76"/>
      <c r="TLN50" s="76"/>
      <c r="TLO50" s="76"/>
      <c r="TLP50" s="76"/>
      <c r="TLQ50" s="76"/>
      <c r="TLR50" s="76"/>
      <c r="TLS50" s="76"/>
      <c r="TLT50" s="76"/>
      <c r="TLU50" s="76"/>
      <c r="TLV50" s="76"/>
      <c r="TLW50" s="76"/>
      <c r="TLX50" s="76"/>
      <c r="TLY50" s="76"/>
      <c r="TLZ50" s="76"/>
      <c r="TMA50" s="76"/>
      <c r="TMB50" s="76"/>
      <c r="TMC50" s="76"/>
      <c r="TMD50" s="76"/>
      <c r="TME50" s="76"/>
      <c r="TMF50" s="76"/>
      <c r="TMG50" s="76"/>
      <c r="TMH50" s="76"/>
      <c r="TMI50" s="76"/>
      <c r="TMJ50" s="76"/>
      <c r="TMK50" s="76"/>
      <c r="TML50" s="76"/>
      <c r="TMM50" s="76"/>
      <c r="TMN50" s="76"/>
      <c r="TMO50" s="76"/>
      <c r="TMP50" s="76"/>
      <c r="TMQ50" s="76"/>
      <c r="TMR50" s="76"/>
      <c r="TMS50" s="76"/>
      <c r="TMT50" s="76"/>
      <c r="TMU50" s="76"/>
      <c r="TMV50" s="76"/>
      <c r="TMW50" s="76"/>
      <c r="TMX50" s="76"/>
      <c r="TMY50" s="76"/>
      <c r="TMZ50" s="76"/>
      <c r="TNA50" s="76"/>
      <c r="TNB50" s="76"/>
      <c r="TNC50" s="76"/>
      <c r="TND50" s="76"/>
      <c r="TNE50" s="76"/>
      <c r="TNF50" s="76"/>
      <c r="TNG50" s="76"/>
      <c r="TNH50" s="76"/>
      <c r="TNI50" s="76"/>
      <c r="TNJ50" s="76"/>
      <c r="TNK50" s="76"/>
      <c r="TNL50" s="76"/>
      <c r="TNM50" s="76"/>
      <c r="TNN50" s="76"/>
      <c r="TNO50" s="76"/>
      <c r="TNP50" s="76"/>
      <c r="TNQ50" s="76"/>
      <c r="TNR50" s="76"/>
      <c r="TNS50" s="76"/>
      <c r="TNT50" s="76"/>
      <c r="TNU50" s="76"/>
      <c r="TNV50" s="76"/>
      <c r="TNW50" s="76"/>
      <c r="TNX50" s="76"/>
      <c r="TNY50" s="76"/>
      <c r="TNZ50" s="76"/>
      <c r="TOA50" s="76"/>
      <c r="TOB50" s="76"/>
      <c r="TOC50" s="76"/>
      <c r="TOD50" s="76"/>
      <c r="TOE50" s="76"/>
      <c r="TOF50" s="76"/>
      <c r="TOG50" s="76"/>
      <c r="TOH50" s="76"/>
      <c r="TOI50" s="76"/>
      <c r="TOJ50" s="76"/>
      <c r="TOK50" s="76"/>
      <c r="TOL50" s="76"/>
      <c r="TOM50" s="76"/>
      <c r="TON50" s="76"/>
      <c r="TOO50" s="76"/>
      <c r="TOP50" s="76"/>
      <c r="TOQ50" s="76"/>
      <c r="TOR50" s="76"/>
      <c r="TOS50" s="76"/>
      <c r="TOT50" s="76"/>
      <c r="TOU50" s="76"/>
      <c r="TOV50" s="76"/>
      <c r="TOW50" s="76"/>
      <c r="TOX50" s="76"/>
      <c r="TOY50" s="76"/>
      <c r="TOZ50" s="76"/>
      <c r="TPA50" s="76"/>
      <c r="TPB50" s="76"/>
      <c r="TPC50" s="76"/>
      <c r="TPD50" s="76"/>
      <c r="TPE50" s="76"/>
      <c r="TPF50" s="76"/>
      <c r="TPG50" s="76"/>
      <c r="TPH50" s="76"/>
      <c r="TPI50" s="76"/>
      <c r="TPJ50" s="76"/>
      <c r="TPK50" s="76"/>
      <c r="TPL50" s="76"/>
      <c r="TPM50" s="76"/>
      <c r="TPN50" s="76"/>
      <c r="TPO50" s="76"/>
      <c r="TPP50" s="76"/>
      <c r="TPQ50" s="76"/>
      <c r="TPR50" s="76"/>
      <c r="TPS50" s="76"/>
      <c r="TPT50" s="76"/>
      <c r="TPU50" s="76"/>
      <c r="TPV50" s="76"/>
      <c r="TPW50" s="76"/>
      <c r="TPX50" s="76"/>
      <c r="TPY50" s="76"/>
      <c r="TPZ50" s="76"/>
      <c r="TQA50" s="76"/>
      <c r="TQB50" s="76"/>
      <c r="TQC50" s="76"/>
      <c r="TQD50" s="76"/>
      <c r="TQE50" s="76"/>
      <c r="TQF50" s="76"/>
      <c r="TQG50" s="76"/>
      <c r="TQH50" s="76"/>
      <c r="TQI50" s="76"/>
      <c r="TQJ50" s="76"/>
      <c r="TQK50" s="76"/>
      <c r="TQL50" s="76"/>
      <c r="TQM50" s="76"/>
      <c r="TQN50" s="76"/>
      <c r="TQO50" s="76"/>
      <c r="TQP50" s="76"/>
      <c r="TQQ50" s="76"/>
      <c r="TQR50" s="76"/>
      <c r="TQS50" s="76"/>
      <c r="TQT50" s="76"/>
      <c r="TQU50" s="76"/>
      <c r="TQV50" s="76"/>
      <c r="TQW50" s="76"/>
      <c r="TQX50" s="76"/>
      <c r="TQY50" s="76"/>
      <c r="TQZ50" s="76"/>
      <c r="TRA50" s="76"/>
      <c r="TRB50" s="76"/>
      <c r="TRC50" s="76"/>
      <c r="TRD50" s="76"/>
      <c r="TRE50" s="76"/>
      <c r="TRF50" s="76"/>
      <c r="TRG50" s="76"/>
      <c r="TRH50" s="76"/>
      <c r="TRI50" s="76"/>
      <c r="TRJ50" s="76"/>
      <c r="TRK50" s="76"/>
      <c r="TRL50" s="76"/>
      <c r="TRM50" s="76"/>
      <c r="TRN50" s="76"/>
      <c r="TRO50" s="76"/>
      <c r="TRP50" s="76"/>
      <c r="TRQ50" s="76"/>
      <c r="TRR50" s="76"/>
      <c r="TRS50" s="76"/>
      <c r="TRT50" s="76"/>
      <c r="TRU50" s="76"/>
      <c r="TRV50" s="76"/>
      <c r="TRW50" s="76"/>
      <c r="TRX50" s="76"/>
      <c r="TRY50" s="76"/>
      <c r="TRZ50" s="76"/>
      <c r="TSA50" s="76"/>
      <c r="TSB50" s="76"/>
      <c r="TSC50" s="76"/>
      <c r="TSD50" s="76"/>
      <c r="TSE50" s="76"/>
      <c r="TSF50" s="76"/>
      <c r="TSG50" s="76"/>
      <c r="TSH50" s="76"/>
      <c r="TSI50" s="76"/>
      <c r="TSJ50" s="76"/>
      <c r="TSK50" s="76"/>
      <c r="TSL50" s="76"/>
      <c r="TSM50" s="76"/>
      <c r="TSN50" s="76"/>
      <c r="TSO50" s="76"/>
      <c r="TSP50" s="76"/>
      <c r="TSQ50" s="76"/>
      <c r="TSR50" s="76"/>
      <c r="TSS50" s="76"/>
      <c r="TST50" s="76"/>
      <c r="TSU50" s="76"/>
      <c r="TSV50" s="76"/>
      <c r="TSW50" s="76"/>
      <c r="TSX50" s="76"/>
      <c r="TSY50" s="76"/>
      <c r="TSZ50" s="76"/>
      <c r="TTA50" s="76"/>
      <c r="TTB50" s="76"/>
      <c r="TTC50" s="76"/>
      <c r="TTD50" s="76"/>
      <c r="TTE50" s="76"/>
      <c r="TTF50" s="76"/>
      <c r="TTG50" s="76"/>
      <c r="TTH50" s="76"/>
      <c r="TTI50" s="76"/>
      <c r="TTJ50" s="76"/>
      <c r="TTK50" s="76"/>
      <c r="TTL50" s="76"/>
      <c r="TTM50" s="76"/>
      <c r="TTN50" s="76"/>
      <c r="TTO50" s="76"/>
      <c r="TTP50" s="76"/>
      <c r="TTQ50" s="76"/>
      <c r="TTR50" s="76"/>
      <c r="TTS50" s="76"/>
      <c r="TTT50" s="76"/>
      <c r="TTU50" s="76"/>
      <c r="TTV50" s="76"/>
      <c r="TTW50" s="76"/>
      <c r="TTX50" s="76"/>
      <c r="TTY50" s="76"/>
      <c r="TTZ50" s="76"/>
      <c r="TUA50" s="76"/>
      <c r="TUB50" s="76"/>
      <c r="TUC50" s="76"/>
      <c r="TUD50" s="76"/>
      <c r="TUE50" s="76"/>
      <c r="TUF50" s="76"/>
      <c r="TUG50" s="76"/>
      <c r="TUH50" s="76"/>
      <c r="TUI50" s="76"/>
      <c r="TUJ50" s="76"/>
      <c r="TUK50" s="76"/>
      <c r="TUL50" s="76"/>
      <c r="TUM50" s="76"/>
      <c r="TUN50" s="76"/>
      <c r="TUO50" s="76"/>
      <c r="TUP50" s="76"/>
      <c r="TUQ50" s="76"/>
      <c r="TUR50" s="76"/>
      <c r="TUS50" s="76"/>
      <c r="TUT50" s="76"/>
      <c r="TUU50" s="76"/>
      <c r="TUV50" s="76"/>
      <c r="TUW50" s="76"/>
      <c r="TUX50" s="76"/>
      <c r="TUY50" s="76"/>
      <c r="TUZ50" s="76"/>
      <c r="TVA50" s="76"/>
      <c r="TVB50" s="76"/>
      <c r="TVC50" s="76"/>
      <c r="TVD50" s="76"/>
      <c r="TVE50" s="76"/>
      <c r="TVF50" s="76"/>
      <c r="TVG50" s="76"/>
      <c r="TVH50" s="76"/>
      <c r="TVI50" s="76"/>
      <c r="TVJ50" s="76"/>
      <c r="TVK50" s="76"/>
      <c r="TVL50" s="76"/>
      <c r="TVM50" s="76"/>
      <c r="TVN50" s="76"/>
      <c r="TVO50" s="76"/>
      <c r="TVP50" s="76"/>
      <c r="TVQ50" s="76"/>
      <c r="TVR50" s="76"/>
      <c r="TVS50" s="76"/>
      <c r="TVT50" s="76"/>
      <c r="TVU50" s="76"/>
      <c r="TVV50" s="76"/>
      <c r="TVW50" s="76"/>
      <c r="TVX50" s="76"/>
      <c r="TVY50" s="76"/>
      <c r="TVZ50" s="76"/>
      <c r="TWA50" s="76"/>
      <c r="TWB50" s="76"/>
      <c r="TWC50" s="76"/>
      <c r="TWD50" s="76"/>
      <c r="TWE50" s="76"/>
      <c r="TWF50" s="76"/>
      <c r="TWG50" s="76"/>
      <c r="TWH50" s="76"/>
      <c r="TWI50" s="76"/>
      <c r="TWJ50" s="76"/>
      <c r="TWK50" s="76"/>
      <c r="TWL50" s="76"/>
      <c r="TWM50" s="76"/>
      <c r="TWN50" s="76"/>
      <c r="TWO50" s="76"/>
      <c r="TWP50" s="76"/>
      <c r="TWQ50" s="76"/>
      <c r="TWR50" s="76"/>
      <c r="TWS50" s="76"/>
      <c r="TWT50" s="76"/>
      <c r="TWU50" s="76"/>
      <c r="TWV50" s="76"/>
      <c r="TWW50" s="76"/>
      <c r="TWX50" s="76"/>
      <c r="TWY50" s="76"/>
      <c r="TWZ50" s="76"/>
      <c r="TXA50" s="76"/>
      <c r="TXB50" s="76"/>
      <c r="TXC50" s="76"/>
      <c r="TXD50" s="76"/>
      <c r="TXE50" s="76"/>
      <c r="TXF50" s="76"/>
      <c r="TXG50" s="76"/>
      <c r="TXH50" s="76"/>
      <c r="TXI50" s="76"/>
      <c r="TXJ50" s="76"/>
      <c r="TXK50" s="76"/>
      <c r="TXL50" s="76"/>
      <c r="TXM50" s="76"/>
      <c r="TXN50" s="76"/>
      <c r="TXO50" s="76"/>
      <c r="TXP50" s="76"/>
      <c r="TXQ50" s="76"/>
      <c r="TXR50" s="76"/>
      <c r="TXS50" s="76"/>
      <c r="TXT50" s="76"/>
      <c r="TXU50" s="76"/>
      <c r="TXV50" s="76"/>
      <c r="TXW50" s="76"/>
      <c r="TXX50" s="76"/>
      <c r="TXY50" s="76"/>
      <c r="TXZ50" s="76"/>
      <c r="TYA50" s="76"/>
      <c r="TYB50" s="76"/>
      <c r="TYC50" s="76"/>
      <c r="TYD50" s="76"/>
      <c r="TYE50" s="76"/>
      <c r="TYF50" s="76"/>
      <c r="TYG50" s="76"/>
      <c r="TYH50" s="76"/>
      <c r="TYI50" s="76"/>
      <c r="TYJ50" s="76"/>
      <c r="TYK50" s="76"/>
      <c r="TYL50" s="76"/>
      <c r="TYM50" s="76"/>
      <c r="TYN50" s="76"/>
      <c r="TYO50" s="76"/>
      <c r="TYP50" s="76"/>
      <c r="TYQ50" s="76"/>
      <c r="TYR50" s="76"/>
      <c r="TYS50" s="76"/>
      <c r="TYT50" s="76"/>
      <c r="TYU50" s="76"/>
      <c r="TYV50" s="76"/>
      <c r="TYW50" s="76"/>
      <c r="TYX50" s="76"/>
      <c r="TYY50" s="76"/>
      <c r="TYZ50" s="76"/>
      <c r="TZA50" s="76"/>
      <c r="TZB50" s="76"/>
      <c r="TZC50" s="76"/>
      <c r="TZD50" s="76"/>
      <c r="TZE50" s="76"/>
      <c r="TZF50" s="76"/>
      <c r="TZG50" s="76"/>
      <c r="TZH50" s="76"/>
      <c r="TZI50" s="76"/>
      <c r="TZJ50" s="76"/>
      <c r="TZK50" s="76"/>
      <c r="TZL50" s="76"/>
      <c r="TZM50" s="76"/>
      <c r="TZN50" s="76"/>
      <c r="TZO50" s="76"/>
      <c r="TZP50" s="76"/>
      <c r="TZQ50" s="76"/>
      <c r="TZR50" s="76"/>
      <c r="TZS50" s="76"/>
      <c r="TZT50" s="76"/>
      <c r="TZU50" s="76"/>
      <c r="TZV50" s="76"/>
      <c r="TZW50" s="76"/>
      <c r="TZX50" s="76"/>
      <c r="TZY50" s="76"/>
      <c r="TZZ50" s="76"/>
      <c r="UAA50" s="76"/>
      <c r="UAB50" s="76"/>
      <c r="UAC50" s="76"/>
      <c r="UAD50" s="76"/>
      <c r="UAE50" s="76"/>
      <c r="UAF50" s="76"/>
      <c r="UAG50" s="76"/>
      <c r="UAH50" s="76"/>
      <c r="UAI50" s="76"/>
      <c r="UAJ50" s="76"/>
      <c r="UAK50" s="76"/>
      <c r="UAL50" s="76"/>
      <c r="UAM50" s="76"/>
      <c r="UAN50" s="76"/>
      <c r="UAO50" s="76"/>
      <c r="UAP50" s="76"/>
      <c r="UAQ50" s="76"/>
      <c r="UAR50" s="76"/>
      <c r="UAS50" s="76"/>
      <c r="UAT50" s="76"/>
      <c r="UAU50" s="76"/>
      <c r="UAV50" s="76"/>
      <c r="UAW50" s="76"/>
      <c r="UAX50" s="76"/>
      <c r="UAY50" s="76"/>
      <c r="UAZ50" s="76"/>
      <c r="UBA50" s="76"/>
      <c r="UBB50" s="76"/>
      <c r="UBC50" s="76"/>
      <c r="UBD50" s="76"/>
      <c r="UBE50" s="76"/>
      <c r="UBF50" s="76"/>
      <c r="UBG50" s="76"/>
      <c r="UBH50" s="76"/>
      <c r="UBI50" s="76"/>
      <c r="UBJ50" s="76"/>
      <c r="UBK50" s="76"/>
      <c r="UBL50" s="76"/>
      <c r="UBM50" s="76"/>
      <c r="UBN50" s="76"/>
      <c r="UBO50" s="76"/>
      <c r="UBP50" s="76"/>
      <c r="UBQ50" s="76"/>
      <c r="UBR50" s="76"/>
      <c r="UBS50" s="76"/>
      <c r="UBT50" s="76"/>
      <c r="UBU50" s="76"/>
      <c r="UBV50" s="76"/>
      <c r="UBW50" s="76"/>
      <c r="UBX50" s="76"/>
      <c r="UBY50" s="76"/>
      <c r="UBZ50" s="76"/>
      <c r="UCA50" s="76"/>
      <c r="UCB50" s="76"/>
      <c r="UCC50" s="76"/>
      <c r="UCD50" s="76"/>
      <c r="UCE50" s="76"/>
      <c r="UCF50" s="76"/>
      <c r="UCG50" s="76"/>
      <c r="UCH50" s="76"/>
      <c r="UCI50" s="76"/>
      <c r="UCJ50" s="76"/>
      <c r="UCK50" s="76"/>
      <c r="UCL50" s="76"/>
      <c r="UCM50" s="76"/>
      <c r="UCN50" s="76"/>
      <c r="UCO50" s="76"/>
      <c r="UCP50" s="76"/>
      <c r="UCQ50" s="76"/>
      <c r="UCR50" s="76"/>
      <c r="UCS50" s="76"/>
      <c r="UCT50" s="76"/>
      <c r="UCU50" s="76"/>
      <c r="UCV50" s="76"/>
      <c r="UCW50" s="76"/>
      <c r="UCX50" s="76"/>
      <c r="UCY50" s="76"/>
      <c r="UCZ50" s="76"/>
      <c r="UDA50" s="76"/>
      <c r="UDB50" s="76"/>
      <c r="UDC50" s="76"/>
      <c r="UDD50" s="76"/>
      <c r="UDE50" s="76"/>
      <c r="UDF50" s="76"/>
      <c r="UDG50" s="76"/>
      <c r="UDH50" s="76"/>
      <c r="UDI50" s="76"/>
      <c r="UDJ50" s="76"/>
      <c r="UDK50" s="76"/>
      <c r="UDL50" s="76"/>
      <c r="UDM50" s="76"/>
      <c r="UDN50" s="76"/>
      <c r="UDO50" s="76"/>
      <c r="UDP50" s="76"/>
      <c r="UDQ50" s="76"/>
      <c r="UDR50" s="76"/>
      <c r="UDS50" s="76"/>
      <c r="UDT50" s="76"/>
      <c r="UDU50" s="76"/>
      <c r="UDV50" s="76"/>
      <c r="UDW50" s="76"/>
      <c r="UDX50" s="76"/>
      <c r="UDY50" s="76"/>
      <c r="UDZ50" s="76"/>
      <c r="UEA50" s="76"/>
      <c r="UEB50" s="76"/>
      <c r="UEC50" s="76"/>
      <c r="UED50" s="76"/>
      <c r="UEE50" s="76"/>
      <c r="UEF50" s="76"/>
      <c r="UEG50" s="76"/>
      <c r="UEH50" s="76"/>
      <c r="UEI50" s="76"/>
      <c r="UEJ50" s="76"/>
      <c r="UEK50" s="76"/>
      <c r="UEL50" s="76"/>
      <c r="UEM50" s="76"/>
      <c r="UEN50" s="76"/>
      <c r="UEO50" s="76"/>
      <c r="UEP50" s="76"/>
      <c r="UEQ50" s="76"/>
      <c r="UER50" s="76"/>
      <c r="UES50" s="76"/>
      <c r="UET50" s="76"/>
      <c r="UEU50" s="76"/>
      <c r="UEV50" s="76"/>
      <c r="UEW50" s="76"/>
      <c r="UEX50" s="76"/>
      <c r="UEY50" s="76"/>
      <c r="UEZ50" s="76"/>
      <c r="UFA50" s="76"/>
      <c r="UFB50" s="76"/>
      <c r="UFC50" s="76"/>
      <c r="UFD50" s="76"/>
      <c r="UFE50" s="76"/>
      <c r="UFF50" s="76"/>
      <c r="UFG50" s="76"/>
      <c r="UFH50" s="76"/>
      <c r="UFI50" s="76"/>
      <c r="UFJ50" s="76"/>
      <c r="UFK50" s="76"/>
      <c r="UFL50" s="76"/>
      <c r="UFM50" s="76"/>
      <c r="UFN50" s="76"/>
      <c r="UFO50" s="76"/>
      <c r="UFP50" s="76"/>
      <c r="UFQ50" s="76"/>
      <c r="UFR50" s="76"/>
      <c r="UFS50" s="76"/>
      <c r="UFT50" s="76"/>
      <c r="UFU50" s="76"/>
      <c r="UFV50" s="76"/>
      <c r="UFW50" s="76"/>
      <c r="UFX50" s="76"/>
      <c r="UFY50" s="76"/>
      <c r="UFZ50" s="76"/>
      <c r="UGA50" s="76"/>
      <c r="UGB50" s="76"/>
      <c r="UGC50" s="76"/>
      <c r="UGD50" s="76"/>
      <c r="UGE50" s="76"/>
      <c r="UGF50" s="76"/>
      <c r="UGG50" s="76"/>
      <c r="UGH50" s="76"/>
      <c r="UGI50" s="76"/>
      <c r="UGJ50" s="76"/>
      <c r="UGK50" s="76"/>
      <c r="UGL50" s="76"/>
      <c r="UGM50" s="76"/>
      <c r="UGN50" s="76"/>
      <c r="UGO50" s="76"/>
      <c r="UGP50" s="76"/>
      <c r="UGQ50" s="76"/>
      <c r="UGR50" s="76"/>
      <c r="UGS50" s="76"/>
      <c r="UGT50" s="76"/>
      <c r="UGU50" s="76"/>
      <c r="UGV50" s="76"/>
      <c r="UGW50" s="76"/>
      <c r="UGX50" s="76"/>
      <c r="UGY50" s="76"/>
      <c r="UGZ50" s="76"/>
      <c r="UHA50" s="76"/>
      <c r="UHB50" s="76"/>
      <c r="UHC50" s="76"/>
      <c r="UHD50" s="76"/>
      <c r="UHE50" s="76"/>
      <c r="UHF50" s="76"/>
      <c r="UHG50" s="76"/>
      <c r="UHH50" s="76"/>
      <c r="UHI50" s="76"/>
      <c r="UHJ50" s="76"/>
      <c r="UHK50" s="76"/>
      <c r="UHL50" s="76"/>
      <c r="UHM50" s="76"/>
      <c r="UHN50" s="76"/>
      <c r="UHO50" s="76"/>
      <c r="UHP50" s="76"/>
      <c r="UHQ50" s="76"/>
      <c r="UHR50" s="76"/>
      <c r="UHS50" s="76"/>
      <c r="UHT50" s="76"/>
      <c r="UHU50" s="76"/>
      <c r="UHV50" s="76"/>
      <c r="UHW50" s="76"/>
      <c r="UHX50" s="76"/>
      <c r="UHY50" s="76"/>
      <c r="UHZ50" s="76"/>
      <c r="UIA50" s="76"/>
      <c r="UIB50" s="76"/>
      <c r="UIC50" s="76"/>
      <c r="UID50" s="76"/>
      <c r="UIE50" s="76"/>
      <c r="UIF50" s="76"/>
      <c r="UIG50" s="76"/>
      <c r="UIH50" s="76"/>
      <c r="UII50" s="76"/>
      <c r="UIJ50" s="76"/>
      <c r="UIK50" s="76"/>
      <c r="UIL50" s="76"/>
      <c r="UIM50" s="76"/>
      <c r="UIN50" s="76"/>
      <c r="UIO50" s="76"/>
      <c r="UIP50" s="76"/>
      <c r="UIQ50" s="76"/>
      <c r="UIR50" s="76"/>
      <c r="UIS50" s="76"/>
      <c r="UIT50" s="76"/>
      <c r="UIU50" s="76"/>
      <c r="UIV50" s="76"/>
      <c r="UIW50" s="76"/>
      <c r="UIX50" s="76"/>
      <c r="UIY50" s="76"/>
      <c r="UIZ50" s="76"/>
      <c r="UJA50" s="76"/>
      <c r="UJB50" s="76"/>
      <c r="UJC50" s="76"/>
      <c r="UJD50" s="76"/>
      <c r="UJE50" s="76"/>
      <c r="UJF50" s="76"/>
      <c r="UJG50" s="76"/>
      <c r="UJH50" s="76"/>
      <c r="UJI50" s="76"/>
      <c r="UJJ50" s="76"/>
      <c r="UJK50" s="76"/>
      <c r="UJL50" s="76"/>
      <c r="UJM50" s="76"/>
      <c r="UJN50" s="76"/>
      <c r="UJO50" s="76"/>
      <c r="UJP50" s="76"/>
      <c r="UJQ50" s="76"/>
      <c r="UJR50" s="76"/>
      <c r="UJS50" s="76"/>
      <c r="UJT50" s="76"/>
      <c r="UJU50" s="76"/>
      <c r="UJV50" s="76"/>
      <c r="UJW50" s="76"/>
      <c r="UJX50" s="76"/>
      <c r="UJY50" s="76"/>
      <c r="UJZ50" s="76"/>
      <c r="UKA50" s="76"/>
      <c r="UKB50" s="76"/>
      <c r="UKC50" s="76"/>
      <c r="UKD50" s="76"/>
      <c r="UKE50" s="76"/>
      <c r="UKF50" s="76"/>
      <c r="UKG50" s="76"/>
      <c r="UKH50" s="76"/>
      <c r="UKI50" s="76"/>
      <c r="UKJ50" s="76"/>
      <c r="UKK50" s="76"/>
      <c r="UKL50" s="76"/>
      <c r="UKM50" s="76"/>
      <c r="UKN50" s="76"/>
      <c r="UKO50" s="76"/>
      <c r="UKP50" s="76"/>
      <c r="UKQ50" s="76"/>
      <c r="UKR50" s="76"/>
      <c r="UKS50" s="76"/>
      <c r="UKT50" s="76"/>
      <c r="UKU50" s="76"/>
      <c r="UKV50" s="76"/>
      <c r="UKW50" s="76"/>
      <c r="UKX50" s="76"/>
      <c r="UKY50" s="76"/>
      <c r="UKZ50" s="76"/>
      <c r="ULA50" s="76"/>
      <c r="ULB50" s="76"/>
      <c r="ULC50" s="76"/>
      <c r="ULD50" s="76"/>
      <c r="ULE50" s="76"/>
      <c r="ULF50" s="76"/>
      <c r="ULG50" s="76"/>
      <c r="ULH50" s="76"/>
      <c r="ULI50" s="76"/>
      <c r="ULJ50" s="76"/>
      <c r="ULK50" s="76"/>
      <c r="ULL50" s="76"/>
      <c r="ULM50" s="76"/>
      <c r="ULN50" s="76"/>
      <c r="ULO50" s="76"/>
      <c r="ULP50" s="76"/>
      <c r="ULQ50" s="76"/>
      <c r="ULR50" s="76"/>
      <c r="ULS50" s="76"/>
      <c r="ULT50" s="76"/>
      <c r="ULU50" s="76"/>
      <c r="ULV50" s="76"/>
      <c r="ULW50" s="76"/>
      <c r="ULX50" s="76"/>
      <c r="ULY50" s="76"/>
      <c r="ULZ50" s="76"/>
      <c r="UMA50" s="76"/>
      <c r="UMB50" s="76"/>
      <c r="UMC50" s="76"/>
      <c r="UMD50" s="76"/>
      <c r="UME50" s="76"/>
      <c r="UMF50" s="76"/>
      <c r="UMG50" s="76"/>
      <c r="UMH50" s="76"/>
      <c r="UMI50" s="76"/>
      <c r="UMJ50" s="76"/>
      <c r="UMK50" s="76"/>
      <c r="UML50" s="76"/>
      <c r="UMM50" s="76"/>
      <c r="UMN50" s="76"/>
      <c r="UMO50" s="76"/>
      <c r="UMP50" s="76"/>
      <c r="UMQ50" s="76"/>
      <c r="UMR50" s="76"/>
      <c r="UMS50" s="76"/>
      <c r="UMT50" s="76"/>
      <c r="UMU50" s="76"/>
      <c r="UMV50" s="76"/>
      <c r="UMW50" s="76"/>
      <c r="UMX50" s="76"/>
      <c r="UMY50" s="76"/>
      <c r="UMZ50" s="76"/>
      <c r="UNA50" s="76"/>
      <c r="UNB50" s="76"/>
      <c r="UNC50" s="76"/>
      <c r="UND50" s="76"/>
      <c r="UNE50" s="76"/>
      <c r="UNF50" s="76"/>
      <c r="UNG50" s="76"/>
      <c r="UNH50" s="76"/>
      <c r="UNI50" s="76"/>
      <c r="UNJ50" s="76"/>
      <c r="UNK50" s="76"/>
      <c r="UNL50" s="76"/>
      <c r="UNM50" s="76"/>
      <c r="UNN50" s="76"/>
      <c r="UNO50" s="76"/>
      <c r="UNP50" s="76"/>
      <c r="UNQ50" s="76"/>
      <c r="UNR50" s="76"/>
      <c r="UNS50" s="76"/>
      <c r="UNT50" s="76"/>
      <c r="UNU50" s="76"/>
      <c r="UNV50" s="76"/>
      <c r="UNW50" s="76"/>
      <c r="UNX50" s="76"/>
      <c r="UNY50" s="76"/>
      <c r="UNZ50" s="76"/>
      <c r="UOA50" s="76"/>
      <c r="UOB50" s="76"/>
      <c r="UOC50" s="76"/>
      <c r="UOD50" s="76"/>
      <c r="UOE50" s="76"/>
      <c r="UOF50" s="76"/>
      <c r="UOG50" s="76"/>
      <c r="UOH50" s="76"/>
      <c r="UOI50" s="76"/>
      <c r="UOJ50" s="76"/>
      <c r="UOK50" s="76"/>
      <c r="UOL50" s="76"/>
      <c r="UOM50" s="76"/>
      <c r="UON50" s="76"/>
      <c r="UOO50" s="76"/>
      <c r="UOP50" s="76"/>
      <c r="UOQ50" s="76"/>
      <c r="UOR50" s="76"/>
      <c r="UOS50" s="76"/>
      <c r="UOT50" s="76"/>
      <c r="UOU50" s="76"/>
      <c r="UOV50" s="76"/>
      <c r="UOW50" s="76"/>
      <c r="UOX50" s="76"/>
      <c r="UOY50" s="76"/>
      <c r="UOZ50" s="76"/>
      <c r="UPA50" s="76"/>
      <c r="UPB50" s="76"/>
      <c r="UPC50" s="76"/>
      <c r="UPD50" s="76"/>
      <c r="UPE50" s="76"/>
      <c r="UPF50" s="76"/>
      <c r="UPG50" s="76"/>
      <c r="UPH50" s="76"/>
      <c r="UPI50" s="76"/>
      <c r="UPJ50" s="76"/>
      <c r="UPK50" s="76"/>
      <c r="UPL50" s="76"/>
      <c r="UPM50" s="76"/>
      <c r="UPN50" s="76"/>
      <c r="UPO50" s="76"/>
      <c r="UPP50" s="76"/>
      <c r="UPQ50" s="76"/>
      <c r="UPR50" s="76"/>
      <c r="UPS50" s="76"/>
      <c r="UPT50" s="76"/>
      <c r="UPU50" s="76"/>
      <c r="UPV50" s="76"/>
      <c r="UPW50" s="76"/>
      <c r="UPX50" s="76"/>
      <c r="UPY50" s="76"/>
      <c r="UPZ50" s="76"/>
      <c r="UQA50" s="76"/>
      <c r="UQB50" s="76"/>
      <c r="UQC50" s="76"/>
      <c r="UQD50" s="76"/>
      <c r="UQE50" s="76"/>
      <c r="UQF50" s="76"/>
      <c r="UQG50" s="76"/>
      <c r="UQH50" s="76"/>
      <c r="UQI50" s="76"/>
      <c r="UQJ50" s="76"/>
      <c r="UQK50" s="76"/>
      <c r="UQL50" s="76"/>
      <c r="UQM50" s="76"/>
      <c r="UQN50" s="76"/>
      <c r="UQO50" s="76"/>
      <c r="UQP50" s="76"/>
      <c r="UQQ50" s="76"/>
      <c r="UQR50" s="76"/>
      <c r="UQS50" s="76"/>
      <c r="UQT50" s="76"/>
      <c r="UQU50" s="76"/>
      <c r="UQV50" s="76"/>
      <c r="UQW50" s="76"/>
      <c r="UQX50" s="76"/>
      <c r="UQY50" s="76"/>
      <c r="UQZ50" s="76"/>
      <c r="URA50" s="76"/>
      <c r="URB50" s="76"/>
      <c r="URC50" s="76"/>
      <c r="URD50" s="76"/>
      <c r="URE50" s="76"/>
      <c r="URF50" s="76"/>
      <c r="URG50" s="76"/>
      <c r="URH50" s="76"/>
      <c r="URI50" s="76"/>
      <c r="URJ50" s="76"/>
      <c r="URK50" s="76"/>
      <c r="URL50" s="76"/>
      <c r="URM50" s="76"/>
      <c r="URN50" s="76"/>
      <c r="URO50" s="76"/>
      <c r="URP50" s="76"/>
      <c r="URQ50" s="76"/>
      <c r="URR50" s="76"/>
      <c r="URS50" s="76"/>
      <c r="URT50" s="76"/>
      <c r="URU50" s="76"/>
      <c r="URV50" s="76"/>
      <c r="URW50" s="76"/>
      <c r="URX50" s="76"/>
      <c r="URY50" s="76"/>
      <c r="URZ50" s="76"/>
      <c r="USA50" s="76"/>
      <c r="USB50" s="76"/>
      <c r="USC50" s="76"/>
      <c r="USD50" s="76"/>
      <c r="USE50" s="76"/>
      <c r="USF50" s="76"/>
      <c r="USG50" s="76"/>
      <c r="USH50" s="76"/>
      <c r="USI50" s="76"/>
      <c r="USJ50" s="76"/>
      <c r="USK50" s="76"/>
      <c r="USL50" s="76"/>
      <c r="USM50" s="76"/>
      <c r="USN50" s="76"/>
      <c r="USO50" s="76"/>
      <c r="USP50" s="76"/>
      <c r="USQ50" s="76"/>
      <c r="USR50" s="76"/>
      <c r="USS50" s="76"/>
      <c r="UST50" s="76"/>
      <c r="USU50" s="76"/>
      <c r="USV50" s="76"/>
      <c r="USW50" s="76"/>
      <c r="USX50" s="76"/>
      <c r="USY50" s="76"/>
      <c r="USZ50" s="76"/>
      <c r="UTA50" s="76"/>
      <c r="UTB50" s="76"/>
      <c r="UTC50" s="76"/>
      <c r="UTD50" s="76"/>
      <c r="UTE50" s="76"/>
      <c r="UTF50" s="76"/>
      <c r="UTG50" s="76"/>
      <c r="UTH50" s="76"/>
      <c r="UTI50" s="76"/>
      <c r="UTJ50" s="76"/>
      <c r="UTK50" s="76"/>
      <c r="UTL50" s="76"/>
      <c r="UTM50" s="76"/>
      <c r="UTN50" s="76"/>
      <c r="UTO50" s="76"/>
      <c r="UTP50" s="76"/>
      <c r="UTQ50" s="76"/>
      <c r="UTR50" s="76"/>
      <c r="UTS50" s="76"/>
      <c r="UTT50" s="76"/>
      <c r="UTU50" s="76"/>
      <c r="UTV50" s="76"/>
      <c r="UTW50" s="76"/>
      <c r="UTX50" s="76"/>
      <c r="UTY50" s="76"/>
      <c r="UTZ50" s="76"/>
      <c r="UUA50" s="76"/>
      <c r="UUB50" s="76"/>
      <c r="UUC50" s="76"/>
      <c r="UUD50" s="76"/>
      <c r="UUE50" s="76"/>
      <c r="UUF50" s="76"/>
      <c r="UUG50" s="76"/>
      <c r="UUH50" s="76"/>
      <c r="UUI50" s="76"/>
      <c r="UUJ50" s="76"/>
      <c r="UUK50" s="76"/>
      <c r="UUL50" s="76"/>
      <c r="UUM50" s="76"/>
      <c r="UUN50" s="76"/>
      <c r="UUO50" s="76"/>
      <c r="UUP50" s="76"/>
      <c r="UUQ50" s="76"/>
      <c r="UUR50" s="76"/>
      <c r="UUS50" s="76"/>
      <c r="UUT50" s="76"/>
      <c r="UUU50" s="76"/>
      <c r="UUV50" s="76"/>
      <c r="UUW50" s="76"/>
      <c r="UUX50" s="76"/>
      <c r="UUY50" s="76"/>
      <c r="UUZ50" s="76"/>
      <c r="UVA50" s="76"/>
      <c r="UVB50" s="76"/>
      <c r="UVC50" s="76"/>
      <c r="UVD50" s="76"/>
      <c r="UVE50" s="76"/>
      <c r="UVF50" s="76"/>
      <c r="UVG50" s="76"/>
      <c r="UVH50" s="76"/>
      <c r="UVI50" s="76"/>
      <c r="UVJ50" s="76"/>
      <c r="UVK50" s="76"/>
      <c r="UVL50" s="76"/>
      <c r="UVM50" s="76"/>
      <c r="UVN50" s="76"/>
      <c r="UVO50" s="76"/>
      <c r="UVP50" s="76"/>
      <c r="UVQ50" s="76"/>
      <c r="UVR50" s="76"/>
      <c r="UVS50" s="76"/>
      <c r="UVT50" s="76"/>
      <c r="UVU50" s="76"/>
      <c r="UVV50" s="76"/>
      <c r="UVW50" s="76"/>
      <c r="UVX50" s="76"/>
      <c r="UVY50" s="76"/>
      <c r="UVZ50" s="76"/>
      <c r="UWA50" s="76"/>
      <c r="UWB50" s="76"/>
      <c r="UWC50" s="76"/>
      <c r="UWD50" s="76"/>
      <c r="UWE50" s="76"/>
      <c r="UWF50" s="76"/>
      <c r="UWG50" s="76"/>
      <c r="UWH50" s="76"/>
      <c r="UWI50" s="76"/>
      <c r="UWJ50" s="76"/>
      <c r="UWK50" s="76"/>
      <c r="UWL50" s="76"/>
      <c r="UWM50" s="76"/>
      <c r="UWN50" s="76"/>
      <c r="UWO50" s="76"/>
      <c r="UWP50" s="76"/>
      <c r="UWQ50" s="76"/>
      <c r="UWR50" s="76"/>
      <c r="UWS50" s="76"/>
      <c r="UWT50" s="76"/>
      <c r="UWU50" s="76"/>
      <c r="UWV50" s="76"/>
      <c r="UWW50" s="76"/>
      <c r="UWX50" s="76"/>
      <c r="UWY50" s="76"/>
      <c r="UWZ50" s="76"/>
      <c r="UXA50" s="76"/>
      <c r="UXB50" s="76"/>
      <c r="UXC50" s="76"/>
      <c r="UXD50" s="76"/>
      <c r="UXE50" s="76"/>
      <c r="UXF50" s="76"/>
      <c r="UXG50" s="76"/>
      <c r="UXH50" s="76"/>
      <c r="UXI50" s="76"/>
      <c r="UXJ50" s="76"/>
      <c r="UXK50" s="76"/>
      <c r="UXL50" s="76"/>
      <c r="UXM50" s="76"/>
      <c r="UXN50" s="76"/>
      <c r="UXO50" s="76"/>
      <c r="UXP50" s="76"/>
      <c r="UXQ50" s="76"/>
      <c r="UXR50" s="76"/>
      <c r="UXS50" s="76"/>
      <c r="UXT50" s="76"/>
      <c r="UXU50" s="76"/>
      <c r="UXV50" s="76"/>
      <c r="UXW50" s="76"/>
      <c r="UXX50" s="76"/>
      <c r="UXY50" s="76"/>
      <c r="UXZ50" s="76"/>
      <c r="UYA50" s="76"/>
      <c r="UYB50" s="76"/>
      <c r="UYC50" s="76"/>
      <c r="UYD50" s="76"/>
      <c r="UYE50" s="76"/>
      <c r="UYF50" s="76"/>
      <c r="UYG50" s="76"/>
      <c r="UYH50" s="76"/>
      <c r="UYI50" s="76"/>
      <c r="UYJ50" s="76"/>
      <c r="UYK50" s="76"/>
      <c r="UYL50" s="76"/>
      <c r="UYM50" s="76"/>
      <c r="UYN50" s="76"/>
      <c r="UYO50" s="76"/>
      <c r="UYP50" s="76"/>
      <c r="UYQ50" s="76"/>
      <c r="UYR50" s="76"/>
      <c r="UYS50" s="76"/>
      <c r="UYT50" s="76"/>
      <c r="UYU50" s="76"/>
      <c r="UYV50" s="76"/>
      <c r="UYW50" s="76"/>
      <c r="UYX50" s="76"/>
      <c r="UYY50" s="76"/>
      <c r="UYZ50" s="76"/>
      <c r="UZA50" s="76"/>
      <c r="UZB50" s="76"/>
      <c r="UZC50" s="76"/>
      <c r="UZD50" s="76"/>
      <c r="UZE50" s="76"/>
      <c r="UZF50" s="76"/>
      <c r="UZG50" s="76"/>
      <c r="UZH50" s="76"/>
      <c r="UZI50" s="76"/>
      <c r="UZJ50" s="76"/>
      <c r="UZK50" s="76"/>
      <c r="UZL50" s="76"/>
      <c r="UZM50" s="76"/>
      <c r="UZN50" s="76"/>
      <c r="UZO50" s="76"/>
      <c r="UZP50" s="76"/>
      <c r="UZQ50" s="76"/>
      <c r="UZR50" s="76"/>
      <c r="UZS50" s="76"/>
      <c r="UZT50" s="76"/>
      <c r="UZU50" s="76"/>
      <c r="UZV50" s="76"/>
      <c r="UZW50" s="76"/>
      <c r="UZX50" s="76"/>
      <c r="UZY50" s="76"/>
      <c r="UZZ50" s="76"/>
      <c r="VAA50" s="76"/>
      <c r="VAB50" s="76"/>
      <c r="VAC50" s="76"/>
      <c r="VAD50" s="76"/>
      <c r="VAE50" s="76"/>
      <c r="VAF50" s="76"/>
      <c r="VAG50" s="76"/>
      <c r="VAH50" s="76"/>
      <c r="VAI50" s="76"/>
      <c r="VAJ50" s="76"/>
      <c r="VAK50" s="76"/>
      <c r="VAL50" s="76"/>
      <c r="VAM50" s="76"/>
      <c r="VAN50" s="76"/>
      <c r="VAO50" s="76"/>
      <c r="VAP50" s="76"/>
      <c r="VAQ50" s="76"/>
      <c r="VAR50" s="76"/>
      <c r="VAS50" s="76"/>
      <c r="VAT50" s="76"/>
      <c r="VAU50" s="76"/>
      <c r="VAV50" s="76"/>
      <c r="VAW50" s="76"/>
      <c r="VAX50" s="76"/>
      <c r="VAY50" s="76"/>
      <c r="VAZ50" s="76"/>
      <c r="VBA50" s="76"/>
      <c r="VBB50" s="76"/>
      <c r="VBC50" s="76"/>
      <c r="VBD50" s="76"/>
      <c r="VBE50" s="76"/>
      <c r="VBF50" s="76"/>
      <c r="VBG50" s="76"/>
      <c r="VBH50" s="76"/>
      <c r="VBI50" s="76"/>
      <c r="VBJ50" s="76"/>
      <c r="VBK50" s="76"/>
      <c r="VBL50" s="76"/>
      <c r="VBM50" s="76"/>
      <c r="VBN50" s="76"/>
      <c r="VBO50" s="76"/>
      <c r="VBP50" s="76"/>
      <c r="VBQ50" s="76"/>
      <c r="VBR50" s="76"/>
      <c r="VBS50" s="76"/>
      <c r="VBT50" s="76"/>
      <c r="VBU50" s="76"/>
      <c r="VBV50" s="76"/>
      <c r="VBW50" s="76"/>
      <c r="VBX50" s="76"/>
      <c r="VBY50" s="76"/>
      <c r="VBZ50" s="76"/>
      <c r="VCA50" s="76"/>
      <c r="VCB50" s="76"/>
      <c r="VCC50" s="76"/>
      <c r="VCD50" s="76"/>
      <c r="VCE50" s="76"/>
      <c r="VCF50" s="76"/>
      <c r="VCG50" s="76"/>
      <c r="VCH50" s="76"/>
      <c r="VCI50" s="76"/>
      <c r="VCJ50" s="76"/>
      <c r="VCK50" s="76"/>
      <c r="VCL50" s="76"/>
      <c r="VCM50" s="76"/>
      <c r="VCN50" s="76"/>
      <c r="VCO50" s="76"/>
      <c r="VCP50" s="76"/>
      <c r="VCQ50" s="76"/>
      <c r="VCR50" s="76"/>
      <c r="VCS50" s="76"/>
      <c r="VCT50" s="76"/>
      <c r="VCU50" s="76"/>
      <c r="VCV50" s="76"/>
      <c r="VCW50" s="76"/>
      <c r="VCX50" s="76"/>
      <c r="VCY50" s="76"/>
      <c r="VCZ50" s="76"/>
      <c r="VDA50" s="76"/>
      <c r="VDB50" s="76"/>
      <c r="VDC50" s="76"/>
      <c r="VDD50" s="76"/>
      <c r="VDE50" s="76"/>
      <c r="VDF50" s="76"/>
      <c r="VDG50" s="76"/>
      <c r="VDH50" s="76"/>
      <c r="VDI50" s="76"/>
      <c r="VDJ50" s="76"/>
      <c r="VDK50" s="76"/>
      <c r="VDL50" s="76"/>
      <c r="VDM50" s="76"/>
      <c r="VDN50" s="76"/>
      <c r="VDO50" s="76"/>
      <c r="VDP50" s="76"/>
      <c r="VDQ50" s="76"/>
      <c r="VDR50" s="76"/>
      <c r="VDS50" s="76"/>
      <c r="VDT50" s="76"/>
      <c r="VDU50" s="76"/>
      <c r="VDV50" s="76"/>
      <c r="VDW50" s="76"/>
      <c r="VDX50" s="76"/>
      <c r="VDY50" s="76"/>
      <c r="VDZ50" s="76"/>
      <c r="VEA50" s="76"/>
      <c r="VEB50" s="76"/>
      <c r="VEC50" s="76"/>
      <c r="VED50" s="76"/>
      <c r="VEE50" s="76"/>
      <c r="VEF50" s="76"/>
      <c r="VEG50" s="76"/>
      <c r="VEH50" s="76"/>
      <c r="VEI50" s="76"/>
      <c r="VEJ50" s="76"/>
      <c r="VEK50" s="76"/>
      <c r="VEL50" s="76"/>
      <c r="VEM50" s="76"/>
      <c r="VEN50" s="76"/>
      <c r="VEO50" s="76"/>
      <c r="VEP50" s="76"/>
      <c r="VEQ50" s="76"/>
      <c r="VER50" s="76"/>
      <c r="VES50" s="76"/>
      <c r="VET50" s="76"/>
      <c r="VEU50" s="76"/>
      <c r="VEV50" s="76"/>
      <c r="VEW50" s="76"/>
      <c r="VEX50" s="76"/>
      <c r="VEY50" s="76"/>
      <c r="VEZ50" s="76"/>
      <c r="VFA50" s="76"/>
      <c r="VFB50" s="76"/>
      <c r="VFC50" s="76"/>
      <c r="VFD50" s="76"/>
      <c r="VFE50" s="76"/>
      <c r="VFF50" s="76"/>
      <c r="VFG50" s="76"/>
      <c r="VFH50" s="76"/>
      <c r="VFI50" s="76"/>
      <c r="VFJ50" s="76"/>
      <c r="VFK50" s="76"/>
      <c r="VFL50" s="76"/>
      <c r="VFM50" s="76"/>
      <c r="VFN50" s="76"/>
      <c r="VFO50" s="76"/>
      <c r="VFP50" s="76"/>
      <c r="VFQ50" s="76"/>
      <c r="VFR50" s="76"/>
      <c r="VFS50" s="76"/>
      <c r="VFT50" s="76"/>
      <c r="VFU50" s="76"/>
      <c r="VFV50" s="76"/>
      <c r="VFW50" s="76"/>
      <c r="VFX50" s="76"/>
      <c r="VFY50" s="76"/>
      <c r="VFZ50" s="76"/>
      <c r="VGA50" s="76"/>
      <c r="VGB50" s="76"/>
      <c r="VGC50" s="76"/>
      <c r="VGD50" s="76"/>
      <c r="VGE50" s="76"/>
      <c r="VGF50" s="76"/>
      <c r="VGG50" s="76"/>
      <c r="VGH50" s="76"/>
      <c r="VGI50" s="76"/>
      <c r="VGJ50" s="76"/>
      <c r="VGK50" s="76"/>
      <c r="VGL50" s="76"/>
      <c r="VGM50" s="76"/>
      <c r="VGN50" s="76"/>
      <c r="VGO50" s="76"/>
      <c r="VGP50" s="76"/>
      <c r="VGQ50" s="76"/>
      <c r="VGR50" s="76"/>
      <c r="VGS50" s="76"/>
      <c r="VGT50" s="76"/>
      <c r="VGU50" s="76"/>
      <c r="VGV50" s="76"/>
      <c r="VGW50" s="76"/>
      <c r="VGX50" s="76"/>
      <c r="VGY50" s="76"/>
      <c r="VGZ50" s="76"/>
      <c r="VHA50" s="76"/>
      <c r="VHB50" s="76"/>
      <c r="VHC50" s="76"/>
      <c r="VHD50" s="76"/>
      <c r="VHE50" s="76"/>
      <c r="VHF50" s="76"/>
      <c r="VHG50" s="76"/>
      <c r="VHH50" s="76"/>
      <c r="VHI50" s="76"/>
      <c r="VHJ50" s="76"/>
      <c r="VHK50" s="76"/>
      <c r="VHL50" s="76"/>
      <c r="VHM50" s="76"/>
      <c r="VHN50" s="76"/>
      <c r="VHO50" s="76"/>
      <c r="VHP50" s="76"/>
      <c r="VHQ50" s="76"/>
      <c r="VHR50" s="76"/>
      <c r="VHS50" s="76"/>
      <c r="VHT50" s="76"/>
      <c r="VHU50" s="76"/>
      <c r="VHV50" s="76"/>
      <c r="VHW50" s="76"/>
      <c r="VHX50" s="76"/>
      <c r="VHY50" s="76"/>
      <c r="VHZ50" s="76"/>
      <c r="VIA50" s="76"/>
      <c r="VIB50" s="76"/>
      <c r="VIC50" s="76"/>
      <c r="VID50" s="76"/>
      <c r="VIE50" s="76"/>
      <c r="VIF50" s="76"/>
      <c r="VIG50" s="76"/>
      <c r="VIH50" s="76"/>
      <c r="VII50" s="76"/>
      <c r="VIJ50" s="76"/>
      <c r="VIK50" s="76"/>
      <c r="VIL50" s="76"/>
      <c r="VIM50" s="76"/>
      <c r="VIN50" s="76"/>
      <c r="VIO50" s="76"/>
      <c r="VIP50" s="76"/>
      <c r="VIQ50" s="76"/>
      <c r="VIR50" s="76"/>
      <c r="VIS50" s="76"/>
      <c r="VIT50" s="76"/>
      <c r="VIU50" s="76"/>
      <c r="VIV50" s="76"/>
      <c r="VIW50" s="76"/>
      <c r="VIX50" s="76"/>
      <c r="VIY50" s="76"/>
      <c r="VIZ50" s="76"/>
      <c r="VJA50" s="76"/>
      <c r="VJB50" s="76"/>
      <c r="VJC50" s="76"/>
      <c r="VJD50" s="76"/>
      <c r="VJE50" s="76"/>
      <c r="VJF50" s="76"/>
      <c r="VJG50" s="76"/>
      <c r="VJH50" s="76"/>
      <c r="VJI50" s="76"/>
      <c r="VJJ50" s="76"/>
      <c r="VJK50" s="76"/>
      <c r="VJL50" s="76"/>
      <c r="VJM50" s="76"/>
      <c r="VJN50" s="76"/>
      <c r="VJO50" s="76"/>
      <c r="VJP50" s="76"/>
      <c r="VJQ50" s="76"/>
      <c r="VJR50" s="76"/>
      <c r="VJS50" s="76"/>
      <c r="VJT50" s="76"/>
      <c r="VJU50" s="76"/>
      <c r="VJV50" s="76"/>
      <c r="VJW50" s="76"/>
      <c r="VJX50" s="76"/>
      <c r="VJY50" s="76"/>
      <c r="VJZ50" s="76"/>
      <c r="VKA50" s="76"/>
      <c r="VKB50" s="76"/>
      <c r="VKC50" s="76"/>
      <c r="VKD50" s="76"/>
      <c r="VKE50" s="76"/>
      <c r="VKF50" s="76"/>
      <c r="VKG50" s="76"/>
      <c r="VKH50" s="76"/>
      <c r="VKI50" s="76"/>
      <c r="VKJ50" s="76"/>
      <c r="VKK50" s="76"/>
      <c r="VKL50" s="76"/>
      <c r="VKM50" s="76"/>
      <c r="VKN50" s="76"/>
      <c r="VKO50" s="76"/>
      <c r="VKP50" s="76"/>
      <c r="VKQ50" s="76"/>
      <c r="VKR50" s="76"/>
      <c r="VKS50" s="76"/>
      <c r="VKT50" s="76"/>
      <c r="VKU50" s="76"/>
      <c r="VKV50" s="76"/>
      <c r="VKW50" s="76"/>
      <c r="VKX50" s="76"/>
      <c r="VKY50" s="76"/>
      <c r="VKZ50" s="76"/>
      <c r="VLA50" s="76"/>
      <c r="VLB50" s="76"/>
      <c r="VLC50" s="76"/>
      <c r="VLD50" s="76"/>
      <c r="VLE50" s="76"/>
      <c r="VLF50" s="76"/>
      <c r="VLG50" s="76"/>
      <c r="VLH50" s="76"/>
      <c r="VLI50" s="76"/>
      <c r="VLJ50" s="76"/>
      <c r="VLK50" s="76"/>
      <c r="VLL50" s="76"/>
      <c r="VLM50" s="76"/>
      <c r="VLN50" s="76"/>
      <c r="VLO50" s="76"/>
      <c r="VLP50" s="76"/>
      <c r="VLQ50" s="76"/>
      <c r="VLR50" s="76"/>
      <c r="VLS50" s="76"/>
      <c r="VLT50" s="76"/>
      <c r="VLU50" s="76"/>
      <c r="VLV50" s="76"/>
      <c r="VLW50" s="76"/>
      <c r="VLX50" s="76"/>
      <c r="VLY50" s="76"/>
      <c r="VLZ50" s="76"/>
      <c r="VMA50" s="76"/>
      <c r="VMB50" s="76"/>
      <c r="VMC50" s="76"/>
      <c r="VMD50" s="76"/>
      <c r="VME50" s="76"/>
      <c r="VMF50" s="76"/>
      <c r="VMG50" s="76"/>
      <c r="VMH50" s="76"/>
      <c r="VMI50" s="76"/>
      <c r="VMJ50" s="76"/>
      <c r="VMK50" s="76"/>
      <c r="VML50" s="76"/>
      <c r="VMM50" s="76"/>
      <c r="VMN50" s="76"/>
      <c r="VMO50" s="76"/>
      <c r="VMP50" s="76"/>
      <c r="VMQ50" s="76"/>
      <c r="VMR50" s="76"/>
      <c r="VMS50" s="76"/>
      <c r="VMT50" s="76"/>
      <c r="VMU50" s="76"/>
      <c r="VMV50" s="76"/>
      <c r="VMW50" s="76"/>
      <c r="VMX50" s="76"/>
      <c r="VMY50" s="76"/>
      <c r="VMZ50" s="76"/>
      <c r="VNA50" s="76"/>
      <c r="VNB50" s="76"/>
      <c r="VNC50" s="76"/>
      <c r="VND50" s="76"/>
      <c r="VNE50" s="76"/>
      <c r="VNF50" s="76"/>
      <c r="VNG50" s="76"/>
      <c r="VNH50" s="76"/>
      <c r="VNI50" s="76"/>
      <c r="VNJ50" s="76"/>
      <c r="VNK50" s="76"/>
      <c r="VNL50" s="76"/>
      <c r="VNM50" s="76"/>
      <c r="VNN50" s="76"/>
      <c r="VNO50" s="76"/>
      <c r="VNP50" s="76"/>
      <c r="VNQ50" s="76"/>
      <c r="VNR50" s="76"/>
      <c r="VNS50" s="76"/>
      <c r="VNT50" s="76"/>
      <c r="VNU50" s="76"/>
      <c r="VNV50" s="76"/>
      <c r="VNW50" s="76"/>
      <c r="VNX50" s="76"/>
      <c r="VNY50" s="76"/>
      <c r="VNZ50" s="76"/>
      <c r="VOA50" s="76"/>
      <c r="VOB50" s="76"/>
      <c r="VOC50" s="76"/>
      <c r="VOD50" s="76"/>
      <c r="VOE50" s="76"/>
      <c r="VOF50" s="76"/>
      <c r="VOG50" s="76"/>
      <c r="VOH50" s="76"/>
      <c r="VOI50" s="76"/>
      <c r="VOJ50" s="76"/>
      <c r="VOK50" s="76"/>
      <c r="VOL50" s="76"/>
      <c r="VOM50" s="76"/>
      <c r="VON50" s="76"/>
      <c r="VOO50" s="76"/>
      <c r="VOP50" s="76"/>
      <c r="VOQ50" s="76"/>
      <c r="VOR50" s="76"/>
      <c r="VOS50" s="76"/>
      <c r="VOT50" s="76"/>
      <c r="VOU50" s="76"/>
      <c r="VOV50" s="76"/>
      <c r="VOW50" s="76"/>
      <c r="VOX50" s="76"/>
      <c r="VOY50" s="76"/>
      <c r="VOZ50" s="76"/>
      <c r="VPA50" s="76"/>
      <c r="VPB50" s="76"/>
      <c r="VPC50" s="76"/>
      <c r="VPD50" s="76"/>
      <c r="VPE50" s="76"/>
      <c r="VPF50" s="76"/>
      <c r="VPG50" s="76"/>
      <c r="VPH50" s="76"/>
      <c r="VPI50" s="76"/>
      <c r="VPJ50" s="76"/>
      <c r="VPK50" s="76"/>
      <c r="VPL50" s="76"/>
      <c r="VPM50" s="76"/>
      <c r="VPN50" s="76"/>
      <c r="VPO50" s="76"/>
      <c r="VPP50" s="76"/>
      <c r="VPQ50" s="76"/>
      <c r="VPR50" s="76"/>
      <c r="VPS50" s="76"/>
      <c r="VPT50" s="76"/>
      <c r="VPU50" s="76"/>
      <c r="VPV50" s="76"/>
      <c r="VPW50" s="76"/>
      <c r="VPX50" s="76"/>
      <c r="VPY50" s="76"/>
      <c r="VPZ50" s="76"/>
      <c r="VQA50" s="76"/>
      <c r="VQB50" s="76"/>
      <c r="VQC50" s="76"/>
      <c r="VQD50" s="76"/>
      <c r="VQE50" s="76"/>
      <c r="VQF50" s="76"/>
      <c r="VQG50" s="76"/>
      <c r="VQH50" s="76"/>
      <c r="VQI50" s="76"/>
      <c r="VQJ50" s="76"/>
      <c r="VQK50" s="76"/>
      <c r="VQL50" s="76"/>
      <c r="VQM50" s="76"/>
      <c r="VQN50" s="76"/>
      <c r="VQO50" s="76"/>
      <c r="VQP50" s="76"/>
      <c r="VQQ50" s="76"/>
      <c r="VQR50" s="76"/>
      <c r="VQS50" s="76"/>
      <c r="VQT50" s="76"/>
      <c r="VQU50" s="76"/>
      <c r="VQV50" s="76"/>
      <c r="VQW50" s="76"/>
      <c r="VQX50" s="76"/>
      <c r="VQY50" s="76"/>
      <c r="VQZ50" s="76"/>
      <c r="VRA50" s="76"/>
      <c r="VRB50" s="76"/>
      <c r="VRC50" s="76"/>
      <c r="VRD50" s="76"/>
      <c r="VRE50" s="76"/>
      <c r="VRF50" s="76"/>
      <c r="VRG50" s="76"/>
      <c r="VRH50" s="76"/>
      <c r="VRI50" s="76"/>
      <c r="VRJ50" s="76"/>
      <c r="VRK50" s="76"/>
      <c r="VRL50" s="76"/>
      <c r="VRM50" s="76"/>
      <c r="VRN50" s="76"/>
      <c r="VRO50" s="76"/>
      <c r="VRP50" s="76"/>
      <c r="VRQ50" s="76"/>
      <c r="VRR50" s="76"/>
      <c r="VRS50" s="76"/>
      <c r="VRT50" s="76"/>
      <c r="VRU50" s="76"/>
      <c r="VRV50" s="76"/>
      <c r="VRW50" s="76"/>
      <c r="VRX50" s="76"/>
      <c r="VRY50" s="76"/>
      <c r="VRZ50" s="76"/>
      <c r="VSA50" s="76"/>
      <c r="VSB50" s="76"/>
      <c r="VSC50" s="76"/>
      <c r="VSD50" s="76"/>
      <c r="VSE50" s="76"/>
      <c r="VSF50" s="76"/>
      <c r="VSG50" s="76"/>
      <c r="VSH50" s="76"/>
      <c r="VSI50" s="76"/>
      <c r="VSJ50" s="76"/>
      <c r="VSK50" s="76"/>
      <c r="VSL50" s="76"/>
      <c r="VSM50" s="76"/>
      <c r="VSN50" s="76"/>
      <c r="VSO50" s="76"/>
      <c r="VSP50" s="76"/>
      <c r="VSQ50" s="76"/>
      <c r="VSR50" s="76"/>
      <c r="VSS50" s="76"/>
      <c r="VST50" s="76"/>
      <c r="VSU50" s="76"/>
      <c r="VSV50" s="76"/>
      <c r="VSW50" s="76"/>
      <c r="VSX50" s="76"/>
      <c r="VSY50" s="76"/>
      <c r="VSZ50" s="76"/>
      <c r="VTA50" s="76"/>
      <c r="VTB50" s="76"/>
      <c r="VTC50" s="76"/>
      <c r="VTD50" s="76"/>
      <c r="VTE50" s="76"/>
      <c r="VTF50" s="76"/>
      <c r="VTG50" s="76"/>
      <c r="VTH50" s="76"/>
      <c r="VTI50" s="76"/>
      <c r="VTJ50" s="76"/>
      <c r="VTK50" s="76"/>
      <c r="VTL50" s="76"/>
      <c r="VTM50" s="76"/>
      <c r="VTN50" s="76"/>
      <c r="VTO50" s="76"/>
      <c r="VTP50" s="76"/>
      <c r="VTQ50" s="76"/>
      <c r="VTR50" s="76"/>
      <c r="VTS50" s="76"/>
      <c r="VTT50" s="76"/>
      <c r="VTU50" s="76"/>
      <c r="VTV50" s="76"/>
      <c r="VTW50" s="76"/>
      <c r="VTX50" s="76"/>
      <c r="VTY50" s="76"/>
      <c r="VTZ50" s="76"/>
      <c r="VUA50" s="76"/>
      <c r="VUB50" s="76"/>
      <c r="VUC50" s="76"/>
      <c r="VUD50" s="76"/>
      <c r="VUE50" s="76"/>
      <c r="VUF50" s="76"/>
      <c r="VUG50" s="76"/>
      <c r="VUH50" s="76"/>
      <c r="VUI50" s="76"/>
      <c r="VUJ50" s="76"/>
      <c r="VUK50" s="76"/>
      <c r="VUL50" s="76"/>
      <c r="VUM50" s="76"/>
      <c r="VUN50" s="76"/>
      <c r="VUO50" s="76"/>
      <c r="VUP50" s="76"/>
      <c r="VUQ50" s="76"/>
      <c r="VUR50" s="76"/>
      <c r="VUS50" s="76"/>
      <c r="VUT50" s="76"/>
      <c r="VUU50" s="76"/>
      <c r="VUV50" s="76"/>
      <c r="VUW50" s="76"/>
      <c r="VUX50" s="76"/>
      <c r="VUY50" s="76"/>
      <c r="VUZ50" s="76"/>
      <c r="VVA50" s="76"/>
      <c r="VVB50" s="76"/>
      <c r="VVC50" s="76"/>
      <c r="VVD50" s="76"/>
      <c r="VVE50" s="76"/>
      <c r="VVF50" s="76"/>
      <c r="VVG50" s="76"/>
      <c r="VVH50" s="76"/>
      <c r="VVI50" s="76"/>
      <c r="VVJ50" s="76"/>
      <c r="VVK50" s="76"/>
      <c r="VVL50" s="76"/>
      <c r="VVM50" s="76"/>
      <c r="VVN50" s="76"/>
      <c r="VVO50" s="76"/>
      <c r="VVP50" s="76"/>
      <c r="VVQ50" s="76"/>
      <c r="VVR50" s="76"/>
      <c r="VVS50" s="76"/>
      <c r="VVT50" s="76"/>
      <c r="VVU50" s="76"/>
      <c r="VVV50" s="76"/>
      <c r="VVW50" s="76"/>
      <c r="VVX50" s="76"/>
      <c r="VVY50" s="76"/>
      <c r="VVZ50" s="76"/>
      <c r="VWA50" s="76"/>
      <c r="VWB50" s="76"/>
      <c r="VWC50" s="76"/>
      <c r="VWD50" s="76"/>
      <c r="VWE50" s="76"/>
      <c r="VWF50" s="76"/>
      <c r="VWG50" s="76"/>
      <c r="VWH50" s="76"/>
      <c r="VWI50" s="76"/>
      <c r="VWJ50" s="76"/>
      <c r="VWK50" s="76"/>
      <c r="VWL50" s="76"/>
      <c r="VWM50" s="76"/>
      <c r="VWN50" s="76"/>
      <c r="VWO50" s="76"/>
      <c r="VWP50" s="76"/>
      <c r="VWQ50" s="76"/>
      <c r="VWR50" s="76"/>
      <c r="VWS50" s="76"/>
      <c r="VWT50" s="76"/>
      <c r="VWU50" s="76"/>
      <c r="VWV50" s="76"/>
      <c r="VWW50" s="76"/>
      <c r="VWX50" s="76"/>
      <c r="VWY50" s="76"/>
      <c r="VWZ50" s="76"/>
      <c r="VXA50" s="76"/>
      <c r="VXB50" s="76"/>
      <c r="VXC50" s="76"/>
      <c r="VXD50" s="76"/>
      <c r="VXE50" s="76"/>
      <c r="VXF50" s="76"/>
      <c r="VXG50" s="76"/>
      <c r="VXH50" s="76"/>
      <c r="VXI50" s="76"/>
      <c r="VXJ50" s="76"/>
      <c r="VXK50" s="76"/>
      <c r="VXL50" s="76"/>
      <c r="VXM50" s="76"/>
      <c r="VXN50" s="76"/>
      <c r="VXO50" s="76"/>
      <c r="VXP50" s="76"/>
      <c r="VXQ50" s="76"/>
      <c r="VXR50" s="76"/>
      <c r="VXS50" s="76"/>
      <c r="VXT50" s="76"/>
      <c r="VXU50" s="76"/>
      <c r="VXV50" s="76"/>
      <c r="VXW50" s="76"/>
      <c r="VXX50" s="76"/>
      <c r="VXY50" s="76"/>
      <c r="VXZ50" s="76"/>
      <c r="VYA50" s="76"/>
      <c r="VYB50" s="76"/>
      <c r="VYC50" s="76"/>
      <c r="VYD50" s="76"/>
      <c r="VYE50" s="76"/>
      <c r="VYF50" s="76"/>
      <c r="VYG50" s="76"/>
      <c r="VYH50" s="76"/>
      <c r="VYI50" s="76"/>
      <c r="VYJ50" s="76"/>
      <c r="VYK50" s="76"/>
      <c r="VYL50" s="76"/>
      <c r="VYM50" s="76"/>
      <c r="VYN50" s="76"/>
      <c r="VYO50" s="76"/>
      <c r="VYP50" s="76"/>
      <c r="VYQ50" s="76"/>
      <c r="VYR50" s="76"/>
      <c r="VYS50" s="76"/>
      <c r="VYT50" s="76"/>
      <c r="VYU50" s="76"/>
      <c r="VYV50" s="76"/>
      <c r="VYW50" s="76"/>
      <c r="VYX50" s="76"/>
      <c r="VYY50" s="76"/>
      <c r="VYZ50" s="76"/>
      <c r="VZA50" s="76"/>
      <c r="VZB50" s="76"/>
      <c r="VZC50" s="76"/>
      <c r="VZD50" s="76"/>
      <c r="VZE50" s="76"/>
      <c r="VZF50" s="76"/>
      <c r="VZG50" s="76"/>
      <c r="VZH50" s="76"/>
      <c r="VZI50" s="76"/>
      <c r="VZJ50" s="76"/>
      <c r="VZK50" s="76"/>
      <c r="VZL50" s="76"/>
      <c r="VZM50" s="76"/>
      <c r="VZN50" s="76"/>
      <c r="VZO50" s="76"/>
      <c r="VZP50" s="76"/>
      <c r="VZQ50" s="76"/>
      <c r="VZR50" s="76"/>
      <c r="VZS50" s="76"/>
      <c r="VZT50" s="76"/>
      <c r="VZU50" s="76"/>
      <c r="VZV50" s="76"/>
      <c r="VZW50" s="76"/>
      <c r="VZX50" s="76"/>
      <c r="VZY50" s="76"/>
      <c r="VZZ50" s="76"/>
      <c r="WAA50" s="76"/>
      <c r="WAB50" s="76"/>
      <c r="WAC50" s="76"/>
      <c r="WAD50" s="76"/>
      <c r="WAE50" s="76"/>
      <c r="WAF50" s="76"/>
      <c r="WAG50" s="76"/>
      <c r="WAH50" s="76"/>
      <c r="WAI50" s="76"/>
      <c r="WAJ50" s="76"/>
      <c r="WAK50" s="76"/>
      <c r="WAL50" s="76"/>
      <c r="WAM50" s="76"/>
      <c r="WAN50" s="76"/>
      <c r="WAO50" s="76"/>
      <c r="WAP50" s="76"/>
      <c r="WAQ50" s="76"/>
      <c r="WAR50" s="76"/>
      <c r="WAS50" s="76"/>
      <c r="WAT50" s="76"/>
      <c r="WAU50" s="76"/>
      <c r="WAV50" s="76"/>
      <c r="WAW50" s="76"/>
      <c r="WAX50" s="76"/>
      <c r="WAY50" s="76"/>
      <c r="WAZ50" s="76"/>
      <c r="WBA50" s="76"/>
      <c r="WBB50" s="76"/>
      <c r="WBC50" s="76"/>
      <c r="WBD50" s="76"/>
      <c r="WBE50" s="76"/>
      <c r="WBF50" s="76"/>
      <c r="WBG50" s="76"/>
      <c r="WBH50" s="76"/>
      <c r="WBI50" s="76"/>
      <c r="WBJ50" s="76"/>
      <c r="WBK50" s="76"/>
      <c r="WBL50" s="76"/>
      <c r="WBM50" s="76"/>
      <c r="WBN50" s="76"/>
      <c r="WBO50" s="76"/>
      <c r="WBP50" s="76"/>
      <c r="WBQ50" s="76"/>
      <c r="WBR50" s="76"/>
      <c r="WBS50" s="76"/>
      <c r="WBT50" s="76"/>
      <c r="WBU50" s="76"/>
      <c r="WBV50" s="76"/>
      <c r="WBW50" s="76"/>
      <c r="WBX50" s="76"/>
      <c r="WBY50" s="76"/>
      <c r="WBZ50" s="76"/>
      <c r="WCA50" s="76"/>
      <c r="WCB50" s="76"/>
      <c r="WCC50" s="76"/>
      <c r="WCD50" s="76"/>
      <c r="WCE50" s="76"/>
      <c r="WCF50" s="76"/>
      <c r="WCG50" s="76"/>
      <c r="WCH50" s="76"/>
      <c r="WCI50" s="76"/>
      <c r="WCJ50" s="76"/>
      <c r="WCK50" s="76"/>
      <c r="WCL50" s="76"/>
      <c r="WCM50" s="76"/>
      <c r="WCN50" s="76"/>
      <c r="WCO50" s="76"/>
      <c r="WCP50" s="76"/>
      <c r="WCQ50" s="76"/>
      <c r="WCR50" s="76"/>
      <c r="WCS50" s="76"/>
      <c r="WCT50" s="76"/>
      <c r="WCU50" s="76"/>
      <c r="WCV50" s="76"/>
      <c r="WCW50" s="76"/>
      <c r="WCX50" s="76"/>
      <c r="WCY50" s="76"/>
      <c r="WCZ50" s="76"/>
      <c r="WDA50" s="76"/>
      <c r="WDB50" s="76"/>
      <c r="WDC50" s="76"/>
      <c r="WDD50" s="76"/>
      <c r="WDE50" s="76"/>
      <c r="WDF50" s="76"/>
      <c r="WDG50" s="76"/>
      <c r="WDH50" s="76"/>
      <c r="WDI50" s="76"/>
      <c r="WDJ50" s="76"/>
      <c r="WDK50" s="76"/>
      <c r="WDL50" s="76"/>
      <c r="WDM50" s="76"/>
      <c r="WDN50" s="76"/>
      <c r="WDO50" s="76"/>
      <c r="WDP50" s="76"/>
      <c r="WDQ50" s="76"/>
      <c r="WDR50" s="76"/>
      <c r="WDS50" s="76"/>
      <c r="WDT50" s="76"/>
      <c r="WDU50" s="76"/>
      <c r="WDV50" s="76"/>
      <c r="WDW50" s="76"/>
      <c r="WDX50" s="76"/>
      <c r="WDY50" s="76"/>
      <c r="WDZ50" s="76"/>
      <c r="WEA50" s="76"/>
      <c r="WEB50" s="76"/>
      <c r="WEC50" s="76"/>
      <c r="WED50" s="76"/>
      <c r="WEE50" s="76"/>
      <c r="WEF50" s="76"/>
      <c r="WEG50" s="76"/>
      <c r="WEH50" s="76"/>
      <c r="WEI50" s="76"/>
      <c r="WEJ50" s="76"/>
      <c r="WEK50" s="76"/>
      <c r="WEL50" s="76"/>
      <c r="WEM50" s="76"/>
      <c r="WEN50" s="76"/>
      <c r="WEO50" s="76"/>
      <c r="WEP50" s="76"/>
      <c r="WEQ50" s="76"/>
      <c r="WER50" s="76"/>
      <c r="WES50" s="76"/>
      <c r="WET50" s="76"/>
      <c r="WEU50" s="76"/>
      <c r="WEV50" s="76"/>
      <c r="WEW50" s="76"/>
      <c r="WEX50" s="76"/>
      <c r="WEY50" s="76"/>
      <c r="WEZ50" s="76"/>
      <c r="WFA50" s="76"/>
      <c r="WFB50" s="76"/>
      <c r="WFC50" s="76"/>
      <c r="WFD50" s="76"/>
      <c r="WFE50" s="76"/>
      <c r="WFF50" s="76"/>
      <c r="WFG50" s="76"/>
      <c r="WFH50" s="76"/>
      <c r="WFI50" s="76"/>
      <c r="WFJ50" s="76"/>
      <c r="WFK50" s="76"/>
      <c r="WFL50" s="76"/>
      <c r="WFM50" s="76"/>
      <c r="WFN50" s="76"/>
      <c r="WFO50" s="76"/>
      <c r="WFP50" s="76"/>
      <c r="WFQ50" s="76"/>
      <c r="WFR50" s="76"/>
      <c r="WFS50" s="76"/>
      <c r="WFT50" s="76"/>
      <c r="WFU50" s="76"/>
      <c r="WFV50" s="76"/>
      <c r="WFW50" s="76"/>
      <c r="WFX50" s="76"/>
      <c r="WFY50" s="76"/>
      <c r="WFZ50" s="76"/>
      <c r="WGA50" s="76"/>
      <c r="WGB50" s="76"/>
      <c r="WGC50" s="76"/>
      <c r="WGD50" s="76"/>
      <c r="WGE50" s="76"/>
      <c r="WGF50" s="76"/>
      <c r="WGG50" s="76"/>
      <c r="WGH50" s="76"/>
      <c r="WGI50" s="76"/>
      <c r="WGJ50" s="76"/>
      <c r="WGK50" s="76"/>
      <c r="WGL50" s="76"/>
      <c r="WGM50" s="76"/>
      <c r="WGN50" s="76"/>
      <c r="WGO50" s="76"/>
      <c r="WGP50" s="76"/>
      <c r="WGQ50" s="76"/>
      <c r="WGR50" s="76"/>
      <c r="WGS50" s="76"/>
      <c r="WGT50" s="76"/>
      <c r="WGU50" s="76"/>
      <c r="WGV50" s="76"/>
      <c r="WGW50" s="76"/>
      <c r="WGX50" s="76"/>
      <c r="WGY50" s="76"/>
      <c r="WGZ50" s="76"/>
      <c r="WHA50" s="76"/>
      <c r="WHB50" s="76"/>
      <c r="WHC50" s="76"/>
      <c r="WHD50" s="76"/>
      <c r="WHE50" s="76"/>
      <c r="WHF50" s="76"/>
      <c r="WHG50" s="76"/>
      <c r="WHH50" s="76"/>
      <c r="WHI50" s="76"/>
      <c r="WHJ50" s="76"/>
      <c r="WHK50" s="76"/>
      <c r="WHL50" s="76"/>
      <c r="WHM50" s="76"/>
      <c r="WHN50" s="76"/>
      <c r="WHO50" s="76"/>
      <c r="WHP50" s="76"/>
      <c r="WHQ50" s="76"/>
      <c r="WHR50" s="76"/>
      <c r="WHS50" s="76"/>
      <c r="WHT50" s="76"/>
      <c r="WHU50" s="76"/>
      <c r="WHV50" s="76"/>
      <c r="WHW50" s="76"/>
      <c r="WHX50" s="76"/>
      <c r="WHY50" s="76"/>
      <c r="WHZ50" s="76"/>
      <c r="WIA50" s="76"/>
      <c r="WIB50" s="76"/>
      <c r="WIC50" s="76"/>
      <c r="WID50" s="76"/>
      <c r="WIE50" s="76"/>
      <c r="WIF50" s="76"/>
      <c r="WIG50" s="76"/>
      <c r="WIH50" s="76"/>
      <c r="WII50" s="76"/>
      <c r="WIJ50" s="76"/>
      <c r="WIK50" s="76"/>
      <c r="WIL50" s="76"/>
      <c r="WIM50" s="76"/>
      <c r="WIN50" s="76"/>
      <c r="WIO50" s="76"/>
      <c r="WIP50" s="76"/>
      <c r="WIQ50" s="76"/>
      <c r="WIR50" s="76"/>
      <c r="WIS50" s="76"/>
      <c r="WIT50" s="76"/>
      <c r="WIU50" s="76"/>
      <c r="WIV50" s="76"/>
      <c r="WIW50" s="76"/>
      <c r="WIX50" s="76"/>
      <c r="WIY50" s="76"/>
      <c r="WIZ50" s="76"/>
      <c r="WJA50" s="76"/>
      <c r="WJB50" s="76"/>
      <c r="WJC50" s="76"/>
      <c r="WJD50" s="76"/>
      <c r="WJE50" s="76"/>
      <c r="WJF50" s="76"/>
      <c r="WJG50" s="76"/>
      <c r="WJH50" s="76"/>
      <c r="WJI50" s="76"/>
      <c r="WJJ50" s="76"/>
      <c r="WJK50" s="76"/>
      <c r="WJL50" s="76"/>
      <c r="WJM50" s="76"/>
      <c r="WJN50" s="76"/>
      <c r="WJO50" s="76"/>
      <c r="WJP50" s="76"/>
      <c r="WJQ50" s="76"/>
      <c r="WJR50" s="76"/>
      <c r="WJS50" s="76"/>
      <c r="WJT50" s="76"/>
      <c r="WJU50" s="76"/>
      <c r="WJV50" s="76"/>
      <c r="WJW50" s="76"/>
      <c r="WJX50" s="76"/>
      <c r="WJY50" s="76"/>
      <c r="WJZ50" s="76"/>
      <c r="WKA50" s="76"/>
      <c r="WKB50" s="76"/>
      <c r="WKC50" s="76"/>
      <c r="WKD50" s="76"/>
      <c r="WKE50" s="76"/>
      <c r="WKF50" s="76"/>
      <c r="WKG50" s="76"/>
      <c r="WKH50" s="76"/>
      <c r="WKI50" s="76"/>
      <c r="WKJ50" s="76"/>
      <c r="WKK50" s="76"/>
      <c r="WKL50" s="76"/>
      <c r="WKM50" s="76"/>
      <c r="WKN50" s="76"/>
      <c r="WKO50" s="76"/>
      <c r="WKP50" s="76"/>
      <c r="WKQ50" s="76"/>
      <c r="WKR50" s="76"/>
      <c r="WKS50" s="76"/>
      <c r="WKT50" s="76"/>
      <c r="WKU50" s="76"/>
      <c r="WKV50" s="76"/>
      <c r="WKW50" s="76"/>
      <c r="WKX50" s="76"/>
      <c r="WKY50" s="76"/>
      <c r="WKZ50" s="76"/>
      <c r="WLA50" s="76"/>
      <c r="WLB50" s="76"/>
      <c r="WLC50" s="76"/>
      <c r="WLD50" s="76"/>
      <c r="WLE50" s="76"/>
      <c r="WLF50" s="76"/>
      <c r="WLG50" s="76"/>
      <c r="WLH50" s="76"/>
      <c r="WLI50" s="76"/>
      <c r="WLJ50" s="76"/>
      <c r="WLK50" s="76"/>
      <c r="WLL50" s="76"/>
      <c r="WLM50" s="76"/>
      <c r="WLN50" s="76"/>
      <c r="WLO50" s="76"/>
      <c r="WLP50" s="76"/>
      <c r="WLQ50" s="76"/>
      <c r="WLR50" s="76"/>
      <c r="WLS50" s="76"/>
      <c r="WLT50" s="76"/>
      <c r="WLU50" s="76"/>
      <c r="WLV50" s="76"/>
      <c r="WLW50" s="76"/>
      <c r="WLX50" s="76"/>
      <c r="WLY50" s="76"/>
      <c r="WLZ50" s="76"/>
      <c r="WMA50" s="76"/>
      <c r="WMB50" s="76"/>
      <c r="WMC50" s="76"/>
      <c r="WMD50" s="76"/>
      <c r="WME50" s="76"/>
      <c r="WMF50" s="76"/>
      <c r="WMG50" s="76"/>
      <c r="WMH50" s="76"/>
      <c r="WMI50" s="76"/>
      <c r="WMJ50" s="76"/>
      <c r="WMK50" s="76"/>
      <c r="WML50" s="76"/>
      <c r="WMM50" s="76"/>
      <c r="WMN50" s="76"/>
      <c r="WMO50" s="76"/>
      <c r="WMP50" s="76"/>
      <c r="WMQ50" s="76"/>
      <c r="WMR50" s="76"/>
      <c r="WMS50" s="76"/>
      <c r="WMT50" s="76"/>
      <c r="WMU50" s="76"/>
      <c r="WMV50" s="76"/>
      <c r="WMW50" s="76"/>
      <c r="WMX50" s="76"/>
      <c r="WMY50" s="76"/>
      <c r="WMZ50" s="76"/>
      <c r="WNA50" s="76"/>
      <c r="WNB50" s="76"/>
      <c r="WNC50" s="76"/>
      <c r="WND50" s="76"/>
      <c r="WNE50" s="76"/>
      <c r="WNF50" s="76"/>
      <c r="WNG50" s="76"/>
      <c r="WNH50" s="76"/>
      <c r="WNI50" s="76"/>
      <c r="WNJ50" s="76"/>
      <c r="WNK50" s="76"/>
      <c r="WNL50" s="76"/>
      <c r="WNM50" s="76"/>
      <c r="WNN50" s="76"/>
      <c r="WNO50" s="76"/>
      <c r="WNP50" s="76"/>
      <c r="WNQ50" s="76"/>
      <c r="WNR50" s="76"/>
      <c r="WNS50" s="76"/>
      <c r="WNT50" s="76"/>
      <c r="WNU50" s="76"/>
      <c r="WNV50" s="76"/>
      <c r="WNW50" s="76"/>
      <c r="WNX50" s="76"/>
      <c r="WNY50" s="76"/>
      <c r="WNZ50" s="76"/>
      <c r="WOA50" s="76"/>
      <c r="WOB50" s="76"/>
      <c r="WOC50" s="76"/>
      <c r="WOD50" s="76"/>
      <c r="WOE50" s="76"/>
      <c r="WOF50" s="76"/>
      <c r="WOG50" s="76"/>
      <c r="WOH50" s="76"/>
      <c r="WOI50" s="76"/>
      <c r="WOJ50" s="76"/>
      <c r="WOK50" s="76"/>
      <c r="WOL50" s="76"/>
      <c r="WOM50" s="76"/>
      <c r="WON50" s="76"/>
      <c r="WOO50" s="76"/>
      <c r="WOP50" s="76"/>
      <c r="WOQ50" s="76"/>
      <c r="WOR50" s="76"/>
      <c r="WOS50" s="76"/>
      <c r="WOT50" s="76"/>
      <c r="WOU50" s="76"/>
      <c r="WOV50" s="76"/>
      <c r="WOW50" s="76"/>
      <c r="WOX50" s="76"/>
      <c r="WOY50" s="76"/>
      <c r="WOZ50" s="76"/>
      <c r="WPA50" s="76"/>
      <c r="WPB50" s="76"/>
      <c r="WPC50" s="76"/>
      <c r="WPD50" s="76"/>
      <c r="WPE50" s="76"/>
      <c r="WPF50" s="76"/>
      <c r="WPG50" s="76"/>
      <c r="WPH50" s="76"/>
      <c r="WPI50" s="76"/>
      <c r="WPJ50" s="76"/>
      <c r="WPK50" s="76"/>
      <c r="WPL50" s="76"/>
      <c r="WPM50" s="76"/>
      <c r="WPN50" s="76"/>
      <c r="WPO50" s="76"/>
      <c r="WPP50" s="76"/>
      <c r="WPQ50" s="76"/>
      <c r="WPR50" s="76"/>
      <c r="WPS50" s="76"/>
      <c r="WPT50" s="76"/>
      <c r="WPU50" s="76"/>
      <c r="WPV50" s="76"/>
      <c r="WPW50" s="76"/>
      <c r="WPX50" s="76"/>
      <c r="WPY50" s="76"/>
      <c r="WPZ50" s="76"/>
      <c r="WQA50" s="76"/>
      <c r="WQB50" s="76"/>
      <c r="WQC50" s="76"/>
      <c r="WQD50" s="76"/>
      <c r="WQE50" s="76"/>
      <c r="WQF50" s="76"/>
      <c r="WQG50" s="76"/>
      <c r="WQH50" s="76"/>
      <c r="WQI50" s="76"/>
      <c r="WQJ50" s="76"/>
      <c r="WQK50" s="76"/>
      <c r="WQL50" s="76"/>
      <c r="WQM50" s="76"/>
      <c r="WQN50" s="76"/>
      <c r="WQO50" s="76"/>
      <c r="WQP50" s="76"/>
      <c r="WQQ50" s="76"/>
      <c r="WQR50" s="76"/>
      <c r="WQS50" s="76"/>
      <c r="WQT50" s="76"/>
      <c r="WQU50" s="76"/>
      <c r="WQV50" s="76"/>
      <c r="WQW50" s="76"/>
      <c r="WQX50" s="76"/>
      <c r="WQY50" s="76"/>
      <c r="WQZ50" s="76"/>
      <c r="WRA50" s="76"/>
      <c r="WRB50" s="76"/>
      <c r="WRC50" s="76"/>
      <c r="WRD50" s="76"/>
      <c r="WRE50" s="76"/>
      <c r="WRF50" s="76"/>
      <c r="WRG50" s="76"/>
      <c r="WRH50" s="76"/>
      <c r="WRI50" s="76"/>
      <c r="WRJ50" s="76"/>
      <c r="WRK50" s="76"/>
      <c r="WRL50" s="76"/>
      <c r="WRM50" s="76"/>
      <c r="WRN50" s="76"/>
      <c r="WRO50" s="76"/>
      <c r="WRP50" s="76"/>
      <c r="WRQ50" s="76"/>
      <c r="WRR50" s="76"/>
      <c r="WRS50" s="76"/>
      <c r="WRT50" s="76"/>
      <c r="WRU50" s="76"/>
      <c r="WRV50" s="76"/>
      <c r="WRW50" s="76"/>
      <c r="WRX50" s="76"/>
      <c r="WRY50" s="76"/>
      <c r="WRZ50" s="76"/>
      <c r="WSA50" s="76"/>
      <c r="WSB50" s="76"/>
      <c r="WSC50" s="76"/>
      <c r="WSD50" s="76"/>
      <c r="WSE50" s="76"/>
      <c r="WSF50" s="76"/>
      <c r="WSG50" s="76"/>
      <c r="WSH50" s="76"/>
      <c r="WSI50" s="76"/>
      <c r="WSJ50" s="76"/>
      <c r="WSK50" s="76"/>
      <c r="WSL50" s="76"/>
      <c r="WSM50" s="76"/>
      <c r="WSN50" s="76"/>
      <c r="WSO50" s="76"/>
      <c r="WSP50" s="76"/>
      <c r="WSQ50" s="76"/>
      <c r="WSR50" s="76"/>
      <c r="WSS50" s="76"/>
      <c r="WST50" s="76"/>
      <c r="WSU50" s="76"/>
      <c r="WSV50" s="76"/>
      <c r="WSW50" s="76"/>
      <c r="WSX50" s="76"/>
      <c r="WSY50" s="76"/>
      <c r="WSZ50" s="76"/>
      <c r="WTA50" s="76"/>
      <c r="WTB50" s="76"/>
      <c r="WTC50" s="76"/>
      <c r="WTD50" s="76"/>
      <c r="WTE50" s="76"/>
      <c r="WTF50" s="76"/>
      <c r="WTG50" s="76"/>
      <c r="WTH50" s="76"/>
      <c r="WTI50" s="76"/>
      <c r="WTJ50" s="76"/>
      <c r="WTK50" s="76"/>
      <c r="WTL50" s="76"/>
      <c r="WTM50" s="76"/>
      <c r="WTN50" s="76"/>
      <c r="WTO50" s="76"/>
      <c r="WTP50" s="76"/>
      <c r="WTQ50" s="76"/>
      <c r="WTR50" s="76"/>
      <c r="WTS50" s="76"/>
      <c r="WTT50" s="76"/>
      <c r="WTU50" s="76"/>
      <c r="WTV50" s="76"/>
      <c r="WTW50" s="76"/>
      <c r="WTX50" s="76"/>
      <c r="WTY50" s="76"/>
      <c r="WTZ50" s="76"/>
      <c r="WUA50" s="76"/>
      <c r="WUB50" s="76"/>
      <c r="WUC50" s="76"/>
      <c r="WUD50" s="76"/>
      <c r="WUE50" s="76"/>
      <c r="WUF50" s="76"/>
      <c r="WUG50" s="76"/>
      <c r="WUH50" s="76"/>
      <c r="WUI50" s="76"/>
      <c r="WUJ50" s="76"/>
      <c r="WUK50" s="76"/>
      <c r="WUL50" s="76"/>
      <c r="WUM50" s="76"/>
      <c r="WUN50" s="76"/>
      <c r="WUO50" s="76"/>
      <c r="WUP50" s="76"/>
      <c r="WUQ50" s="76"/>
      <c r="WUR50" s="76"/>
      <c r="WUS50" s="76"/>
      <c r="WUT50" s="76"/>
      <c r="WUU50" s="76"/>
      <c r="WUV50" s="76"/>
      <c r="WUW50" s="76"/>
      <c r="WUX50" s="76"/>
      <c r="WUY50" s="76"/>
      <c r="WUZ50" s="76"/>
      <c r="WVA50" s="76"/>
      <c r="WVB50" s="76"/>
      <c r="WVC50" s="76"/>
      <c r="WVD50" s="76"/>
      <c r="WVE50" s="76"/>
      <c r="WVF50" s="76"/>
      <c r="WVG50" s="76"/>
      <c r="WVH50" s="76"/>
      <c r="WVI50" s="76"/>
      <c r="WVJ50" s="76"/>
      <c r="WVK50" s="76"/>
      <c r="WVL50" s="76"/>
      <c r="WVM50" s="76"/>
      <c r="WVN50" s="76"/>
      <c r="WVO50" s="76"/>
      <c r="WVP50" s="76"/>
      <c r="WVQ50" s="76"/>
      <c r="WVR50" s="76"/>
      <c r="WVS50" s="76"/>
      <c r="WVT50" s="76"/>
      <c r="WVU50" s="76"/>
      <c r="WVV50" s="76"/>
      <c r="WVW50" s="76"/>
      <c r="WVX50" s="76"/>
      <c r="WVY50" s="76"/>
      <c r="WVZ50" s="76"/>
      <c r="WWA50" s="76"/>
      <c r="WWB50" s="76"/>
      <c r="WWC50" s="76"/>
      <c r="WWD50" s="76"/>
      <c r="WWE50" s="76"/>
      <c r="WWF50" s="76"/>
      <c r="WWG50" s="76"/>
      <c r="WWH50" s="76"/>
      <c r="WWI50" s="76"/>
      <c r="WWJ50" s="76"/>
      <c r="WWK50" s="76"/>
      <c r="WWL50" s="76"/>
      <c r="WWM50" s="76"/>
      <c r="WWN50" s="76"/>
      <c r="WWO50" s="76"/>
      <c r="WWP50" s="76"/>
      <c r="WWQ50" s="76"/>
      <c r="WWR50" s="76"/>
      <c r="WWS50" s="76"/>
      <c r="WWT50" s="76"/>
      <c r="WWU50" s="76"/>
      <c r="WWV50" s="76"/>
      <c r="WWW50" s="76"/>
      <c r="WWX50" s="76"/>
      <c r="WWY50" s="76"/>
      <c r="WWZ50" s="76"/>
      <c r="WXA50" s="76"/>
    </row>
    <row r="51" spans="1:16173" s="77" customFormat="1" ht="34" customHeight="1" x14ac:dyDescent="0.55000000000000004">
      <c r="A51" s="76"/>
      <c r="B51" s="76"/>
      <c r="C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  <c r="CC51" s="76"/>
      <c r="CD51" s="76"/>
      <c r="CE51" s="76"/>
      <c r="CF51" s="76"/>
      <c r="CG51" s="76"/>
      <c r="CH51" s="76"/>
      <c r="CI51" s="76"/>
      <c r="CJ51" s="76"/>
      <c r="CK51" s="76"/>
      <c r="CL51" s="76"/>
      <c r="CM51" s="76"/>
      <c r="CN51" s="76"/>
      <c r="CO51" s="76"/>
      <c r="CP51" s="76"/>
      <c r="CQ51" s="76"/>
      <c r="CR51" s="76"/>
      <c r="CS51" s="76"/>
      <c r="CT51" s="76"/>
      <c r="CU51" s="76"/>
      <c r="CV51" s="76"/>
      <c r="CW51" s="76"/>
      <c r="CX51" s="76"/>
      <c r="CY51" s="76"/>
      <c r="CZ51" s="76"/>
      <c r="DA51" s="76"/>
      <c r="DB51" s="76"/>
      <c r="DC51" s="76"/>
      <c r="DD51" s="76"/>
      <c r="DE51" s="76"/>
      <c r="DF51" s="76"/>
      <c r="DG51" s="76"/>
      <c r="DH51" s="76"/>
      <c r="DI51" s="76"/>
      <c r="DJ51" s="76"/>
      <c r="DK51" s="76"/>
      <c r="DL51" s="76"/>
      <c r="DM51" s="76"/>
      <c r="DN51" s="76"/>
      <c r="DO51" s="76"/>
      <c r="DP51" s="76"/>
      <c r="DQ51" s="76"/>
      <c r="DR51" s="76"/>
      <c r="DS51" s="76"/>
      <c r="DT51" s="76"/>
      <c r="DU51" s="76"/>
      <c r="DV51" s="76"/>
      <c r="DW51" s="76"/>
      <c r="DX51" s="76"/>
      <c r="DY51" s="76"/>
      <c r="DZ51" s="76"/>
      <c r="EA51" s="76"/>
      <c r="EB51" s="76"/>
      <c r="EC51" s="76"/>
      <c r="ED51" s="76"/>
      <c r="EE51" s="76"/>
      <c r="EF51" s="76"/>
      <c r="EG51" s="76"/>
      <c r="EH51" s="76"/>
      <c r="EI51" s="76"/>
      <c r="EJ51" s="76"/>
      <c r="EK51" s="76"/>
      <c r="EL51" s="76"/>
      <c r="EM51" s="76"/>
      <c r="EN51" s="76"/>
      <c r="EO51" s="76"/>
      <c r="EP51" s="76"/>
      <c r="EQ51" s="76"/>
      <c r="ER51" s="76"/>
      <c r="ES51" s="76"/>
      <c r="ET51" s="76"/>
      <c r="EU51" s="76"/>
      <c r="EV51" s="76"/>
      <c r="EW51" s="76"/>
      <c r="EX51" s="76"/>
      <c r="EY51" s="76"/>
      <c r="EZ51" s="76"/>
      <c r="FA51" s="76"/>
      <c r="FB51" s="76"/>
      <c r="FC51" s="76"/>
      <c r="FD51" s="76"/>
      <c r="FE51" s="76"/>
      <c r="FF51" s="76"/>
      <c r="FG51" s="76"/>
      <c r="FH51" s="76"/>
      <c r="FI51" s="76"/>
      <c r="FJ51" s="76"/>
      <c r="FK51" s="76"/>
      <c r="FL51" s="76"/>
      <c r="FM51" s="76"/>
      <c r="FN51" s="76"/>
      <c r="FO51" s="76"/>
      <c r="FP51" s="76"/>
      <c r="FQ51" s="76"/>
      <c r="FR51" s="76"/>
      <c r="FS51" s="76"/>
      <c r="FT51" s="76"/>
      <c r="FU51" s="76"/>
      <c r="FV51" s="76"/>
      <c r="FW51" s="76"/>
      <c r="FX51" s="76"/>
      <c r="FY51" s="76"/>
      <c r="FZ51" s="76"/>
      <c r="GA51" s="76"/>
      <c r="GB51" s="76"/>
      <c r="GC51" s="76"/>
      <c r="GD51" s="76"/>
      <c r="GE51" s="76"/>
      <c r="GF51" s="76"/>
      <c r="GG51" s="76"/>
      <c r="GH51" s="76"/>
      <c r="GI51" s="76"/>
      <c r="GJ51" s="76"/>
      <c r="GK51" s="76"/>
      <c r="GL51" s="76"/>
      <c r="GM51" s="76"/>
      <c r="GN51" s="76"/>
      <c r="GO51" s="76"/>
      <c r="GP51" s="76"/>
      <c r="GQ51" s="76"/>
      <c r="GR51" s="76"/>
      <c r="GS51" s="76"/>
      <c r="GT51" s="76"/>
      <c r="GU51" s="76"/>
      <c r="GV51" s="76"/>
      <c r="GW51" s="76"/>
      <c r="GX51" s="76"/>
      <c r="GY51" s="76"/>
      <c r="GZ51" s="76"/>
      <c r="HA51" s="76"/>
      <c r="HB51" s="76"/>
      <c r="HC51" s="76"/>
      <c r="HD51" s="76"/>
      <c r="HE51" s="76"/>
      <c r="HF51" s="76"/>
      <c r="HG51" s="76"/>
      <c r="HH51" s="76"/>
      <c r="HI51" s="76"/>
      <c r="HJ51" s="76"/>
      <c r="HK51" s="76"/>
      <c r="HL51" s="76"/>
      <c r="HM51" s="76"/>
      <c r="HN51" s="76"/>
      <c r="HO51" s="76"/>
      <c r="HP51" s="76"/>
      <c r="HQ51" s="76"/>
      <c r="HR51" s="76"/>
      <c r="HS51" s="76"/>
      <c r="HT51" s="76"/>
      <c r="HU51" s="76"/>
      <c r="HV51" s="76"/>
      <c r="HW51" s="76"/>
      <c r="HX51" s="76"/>
      <c r="HY51" s="76"/>
      <c r="HZ51" s="76"/>
      <c r="IA51" s="76"/>
      <c r="IB51" s="76"/>
      <c r="IC51" s="76"/>
      <c r="ID51" s="76"/>
      <c r="IE51" s="76"/>
      <c r="IF51" s="76"/>
      <c r="IG51" s="76"/>
      <c r="IH51" s="76"/>
      <c r="II51" s="76"/>
      <c r="IJ51" s="76"/>
      <c r="IK51" s="76"/>
      <c r="IL51" s="76"/>
      <c r="IM51" s="76"/>
      <c r="IN51" s="76"/>
      <c r="IO51" s="76"/>
      <c r="IP51" s="76"/>
      <c r="IQ51" s="76"/>
      <c r="IR51" s="76"/>
      <c r="IS51" s="76"/>
      <c r="IT51" s="76"/>
      <c r="IU51" s="76"/>
      <c r="IV51" s="76"/>
      <c r="IW51" s="76"/>
      <c r="IX51" s="76"/>
      <c r="IY51" s="76"/>
      <c r="IZ51" s="76"/>
      <c r="JA51" s="76"/>
      <c r="JB51" s="76"/>
      <c r="JC51" s="76"/>
      <c r="JD51" s="76"/>
      <c r="JE51" s="76"/>
      <c r="JF51" s="76"/>
      <c r="JG51" s="76"/>
      <c r="JH51" s="76"/>
      <c r="JI51" s="76"/>
      <c r="JJ51" s="76"/>
      <c r="JK51" s="76"/>
      <c r="JL51" s="76"/>
      <c r="JM51" s="76"/>
      <c r="JN51" s="76"/>
      <c r="JO51" s="76"/>
      <c r="JP51" s="76"/>
      <c r="JQ51" s="76"/>
      <c r="JR51" s="76"/>
      <c r="JS51" s="76"/>
      <c r="JT51" s="76"/>
      <c r="JU51" s="76"/>
      <c r="JV51" s="76"/>
      <c r="JW51" s="76"/>
      <c r="JX51" s="76"/>
      <c r="JY51" s="76"/>
      <c r="JZ51" s="76"/>
      <c r="KA51" s="76"/>
      <c r="KB51" s="76"/>
      <c r="KC51" s="76"/>
      <c r="KD51" s="76"/>
      <c r="KE51" s="76"/>
      <c r="KF51" s="76"/>
      <c r="KG51" s="76"/>
      <c r="KH51" s="76"/>
      <c r="KI51" s="76"/>
      <c r="KJ51" s="76"/>
      <c r="KK51" s="76"/>
      <c r="KL51" s="76"/>
      <c r="KM51" s="76"/>
      <c r="KN51" s="76"/>
      <c r="KO51" s="76"/>
      <c r="KP51" s="76"/>
      <c r="KQ51" s="76"/>
      <c r="KR51" s="76"/>
      <c r="KS51" s="76"/>
      <c r="KT51" s="76"/>
      <c r="KU51" s="76"/>
      <c r="KV51" s="76"/>
      <c r="KW51" s="76"/>
      <c r="KX51" s="76"/>
      <c r="KY51" s="76"/>
      <c r="KZ51" s="76"/>
      <c r="LA51" s="76"/>
      <c r="LB51" s="76"/>
      <c r="LC51" s="76"/>
      <c r="LD51" s="76"/>
      <c r="LE51" s="76"/>
      <c r="LF51" s="76"/>
      <c r="LG51" s="76"/>
      <c r="LH51" s="76"/>
      <c r="LI51" s="76"/>
      <c r="LJ51" s="76"/>
      <c r="LK51" s="76"/>
      <c r="LL51" s="76"/>
      <c r="LM51" s="76"/>
      <c r="LN51" s="76"/>
      <c r="LO51" s="76"/>
      <c r="LP51" s="76"/>
      <c r="LQ51" s="76"/>
      <c r="LR51" s="76"/>
      <c r="LS51" s="76"/>
      <c r="LT51" s="76"/>
      <c r="LU51" s="76"/>
      <c r="LV51" s="76"/>
      <c r="LW51" s="76"/>
      <c r="LX51" s="76"/>
      <c r="LY51" s="76"/>
      <c r="LZ51" s="76"/>
      <c r="MA51" s="76"/>
      <c r="MB51" s="76"/>
      <c r="MC51" s="76"/>
      <c r="MD51" s="76"/>
      <c r="ME51" s="76"/>
      <c r="MF51" s="76"/>
      <c r="MG51" s="76"/>
      <c r="MH51" s="76"/>
      <c r="MI51" s="76"/>
      <c r="MJ51" s="76"/>
      <c r="MK51" s="76"/>
      <c r="ML51" s="76"/>
      <c r="MM51" s="76"/>
      <c r="MN51" s="76"/>
      <c r="MO51" s="76"/>
      <c r="MP51" s="76"/>
      <c r="MQ51" s="76"/>
      <c r="MR51" s="76"/>
      <c r="MS51" s="76"/>
      <c r="MT51" s="76"/>
      <c r="MU51" s="76"/>
      <c r="MV51" s="76"/>
      <c r="MW51" s="76"/>
      <c r="MX51" s="76"/>
      <c r="MY51" s="76"/>
      <c r="MZ51" s="76"/>
      <c r="NA51" s="76"/>
      <c r="NB51" s="76"/>
      <c r="NC51" s="76"/>
      <c r="ND51" s="76"/>
      <c r="NE51" s="76"/>
      <c r="NF51" s="76"/>
      <c r="NG51" s="76"/>
      <c r="NH51" s="76"/>
      <c r="NI51" s="76"/>
      <c r="NJ51" s="76"/>
      <c r="NK51" s="76"/>
      <c r="NL51" s="76"/>
      <c r="NM51" s="76"/>
      <c r="NN51" s="76"/>
      <c r="NO51" s="76"/>
      <c r="NP51" s="76"/>
      <c r="NQ51" s="76"/>
      <c r="NR51" s="76"/>
      <c r="NS51" s="76"/>
      <c r="NT51" s="76"/>
      <c r="NU51" s="76"/>
      <c r="NV51" s="76"/>
      <c r="NW51" s="76"/>
      <c r="NX51" s="76"/>
      <c r="NY51" s="76"/>
      <c r="NZ51" s="76"/>
      <c r="OA51" s="76"/>
      <c r="OB51" s="76"/>
      <c r="OC51" s="76"/>
      <c r="OD51" s="76"/>
      <c r="OE51" s="76"/>
      <c r="OF51" s="76"/>
      <c r="OG51" s="76"/>
      <c r="OH51" s="76"/>
      <c r="OI51" s="76"/>
      <c r="OJ51" s="76"/>
      <c r="OK51" s="76"/>
      <c r="OL51" s="76"/>
      <c r="OM51" s="76"/>
      <c r="ON51" s="76"/>
      <c r="OO51" s="76"/>
      <c r="OP51" s="76"/>
      <c r="OQ51" s="76"/>
      <c r="OR51" s="76"/>
      <c r="OS51" s="76"/>
      <c r="OT51" s="76"/>
      <c r="OU51" s="76"/>
      <c r="OV51" s="76"/>
      <c r="OW51" s="76"/>
      <c r="OX51" s="76"/>
      <c r="OY51" s="76"/>
      <c r="OZ51" s="76"/>
      <c r="PA51" s="76"/>
      <c r="PB51" s="76"/>
      <c r="PC51" s="76"/>
      <c r="PD51" s="76"/>
      <c r="PE51" s="76"/>
      <c r="PF51" s="76"/>
      <c r="PG51" s="76"/>
      <c r="PH51" s="76"/>
      <c r="PI51" s="76"/>
      <c r="PJ51" s="76"/>
      <c r="PK51" s="76"/>
      <c r="PL51" s="76"/>
      <c r="PM51" s="76"/>
      <c r="PN51" s="76"/>
      <c r="PO51" s="76"/>
      <c r="PP51" s="76"/>
      <c r="PQ51" s="76"/>
      <c r="PR51" s="76"/>
      <c r="PS51" s="76"/>
      <c r="PT51" s="76"/>
      <c r="PU51" s="76"/>
      <c r="PV51" s="76"/>
      <c r="PW51" s="76"/>
      <c r="PX51" s="76"/>
      <c r="PY51" s="76"/>
      <c r="PZ51" s="76"/>
      <c r="QA51" s="76"/>
      <c r="QB51" s="76"/>
      <c r="QC51" s="76"/>
      <c r="QD51" s="76"/>
      <c r="QE51" s="76"/>
      <c r="QF51" s="76"/>
      <c r="QG51" s="76"/>
      <c r="QH51" s="76"/>
      <c r="QI51" s="76"/>
      <c r="QJ51" s="76"/>
      <c r="QK51" s="76"/>
      <c r="QL51" s="76"/>
      <c r="QM51" s="76"/>
      <c r="QN51" s="76"/>
      <c r="QO51" s="76"/>
      <c r="QP51" s="76"/>
      <c r="QQ51" s="76"/>
      <c r="QR51" s="76"/>
      <c r="QS51" s="76"/>
      <c r="QT51" s="76"/>
      <c r="QU51" s="76"/>
      <c r="QV51" s="76"/>
      <c r="QW51" s="76"/>
      <c r="QX51" s="76"/>
      <c r="QY51" s="76"/>
      <c r="QZ51" s="76"/>
      <c r="RA51" s="76"/>
      <c r="RB51" s="76"/>
      <c r="RC51" s="76"/>
      <c r="RD51" s="76"/>
      <c r="RE51" s="76"/>
      <c r="RF51" s="76"/>
      <c r="RG51" s="76"/>
      <c r="RH51" s="76"/>
      <c r="RI51" s="76"/>
      <c r="RJ51" s="76"/>
      <c r="RK51" s="76"/>
      <c r="RL51" s="76"/>
      <c r="RM51" s="76"/>
      <c r="RN51" s="76"/>
      <c r="RO51" s="76"/>
      <c r="RP51" s="76"/>
      <c r="RQ51" s="76"/>
      <c r="RR51" s="76"/>
      <c r="RS51" s="76"/>
      <c r="RT51" s="76"/>
      <c r="RU51" s="76"/>
      <c r="RV51" s="76"/>
      <c r="RW51" s="76"/>
      <c r="RX51" s="76"/>
      <c r="RY51" s="76"/>
      <c r="RZ51" s="76"/>
      <c r="SA51" s="76"/>
      <c r="SB51" s="76"/>
      <c r="SC51" s="76"/>
      <c r="SD51" s="76"/>
      <c r="SE51" s="76"/>
      <c r="SF51" s="76"/>
      <c r="SG51" s="76"/>
      <c r="SH51" s="76"/>
      <c r="SI51" s="76"/>
      <c r="SJ51" s="76"/>
      <c r="SK51" s="76"/>
      <c r="SL51" s="76"/>
      <c r="SM51" s="76"/>
      <c r="SN51" s="76"/>
      <c r="SO51" s="76"/>
      <c r="SP51" s="76"/>
      <c r="SQ51" s="76"/>
      <c r="SR51" s="76"/>
      <c r="SS51" s="76"/>
      <c r="ST51" s="76"/>
      <c r="SU51" s="76"/>
      <c r="SV51" s="76"/>
      <c r="SW51" s="76"/>
      <c r="SX51" s="76"/>
      <c r="SY51" s="76"/>
      <c r="SZ51" s="76"/>
      <c r="TA51" s="76"/>
      <c r="TB51" s="76"/>
      <c r="TC51" s="76"/>
      <c r="TD51" s="76"/>
      <c r="TE51" s="76"/>
      <c r="TF51" s="76"/>
      <c r="TG51" s="76"/>
      <c r="TH51" s="76"/>
      <c r="TI51" s="76"/>
      <c r="TJ51" s="76"/>
      <c r="TK51" s="76"/>
      <c r="TL51" s="76"/>
      <c r="TM51" s="76"/>
      <c r="TN51" s="76"/>
      <c r="TO51" s="76"/>
      <c r="TP51" s="76"/>
      <c r="TQ51" s="76"/>
      <c r="TR51" s="76"/>
      <c r="TS51" s="76"/>
      <c r="TT51" s="76"/>
      <c r="TU51" s="76"/>
      <c r="TV51" s="76"/>
      <c r="TW51" s="76"/>
      <c r="TX51" s="76"/>
      <c r="TY51" s="76"/>
      <c r="TZ51" s="76"/>
      <c r="UA51" s="76"/>
      <c r="UB51" s="76"/>
      <c r="UC51" s="76"/>
      <c r="UD51" s="76"/>
      <c r="UE51" s="76"/>
      <c r="UF51" s="76"/>
      <c r="UG51" s="76"/>
      <c r="UH51" s="76"/>
      <c r="UI51" s="76"/>
      <c r="UJ51" s="76"/>
      <c r="UK51" s="76"/>
      <c r="UL51" s="76"/>
      <c r="UM51" s="76"/>
      <c r="UN51" s="76"/>
      <c r="UO51" s="76"/>
      <c r="UP51" s="76"/>
      <c r="UQ51" s="76"/>
      <c r="UR51" s="76"/>
      <c r="US51" s="76"/>
      <c r="UT51" s="76"/>
      <c r="UU51" s="76"/>
      <c r="UV51" s="76"/>
      <c r="UW51" s="76"/>
      <c r="UX51" s="76"/>
      <c r="UY51" s="76"/>
      <c r="UZ51" s="76"/>
      <c r="VA51" s="76"/>
      <c r="VB51" s="76"/>
      <c r="VC51" s="76"/>
      <c r="VD51" s="76"/>
      <c r="VE51" s="76"/>
      <c r="VF51" s="76"/>
      <c r="VG51" s="76"/>
      <c r="VH51" s="76"/>
      <c r="VI51" s="76"/>
      <c r="VJ51" s="76"/>
      <c r="VK51" s="76"/>
      <c r="VL51" s="76"/>
      <c r="VM51" s="76"/>
      <c r="VN51" s="76"/>
      <c r="VO51" s="76"/>
      <c r="VP51" s="76"/>
      <c r="VQ51" s="76"/>
      <c r="VR51" s="76"/>
      <c r="VS51" s="76"/>
      <c r="VT51" s="76"/>
      <c r="VU51" s="76"/>
      <c r="VV51" s="76"/>
      <c r="VW51" s="76"/>
      <c r="VX51" s="76"/>
      <c r="VY51" s="76"/>
      <c r="VZ51" s="76"/>
      <c r="WA51" s="76"/>
      <c r="WB51" s="76"/>
      <c r="WC51" s="76"/>
      <c r="WD51" s="76"/>
      <c r="WE51" s="76"/>
      <c r="WF51" s="76"/>
      <c r="WG51" s="76"/>
      <c r="WH51" s="76"/>
      <c r="WI51" s="76"/>
      <c r="WJ51" s="76"/>
      <c r="WK51" s="76"/>
      <c r="WL51" s="76"/>
      <c r="WM51" s="76"/>
      <c r="WN51" s="76"/>
      <c r="WO51" s="76"/>
      <c r="WP51" s="76"/>
      <c r="WQ51" s="76"/>
      <c r="WR51" s="76"/>
      <c r="WS51" s="76"/>
      <c r="WT51" s="76"/>
      <c r="WU51" s="76"/>
      <c r="WV51" s="76"/>
      <c r="WW51" s="76"/>
      <c r="WX51" s="76"/>
      <c r="WY51" s="76"/>
      <c r="WZ51" s="76"/>
      <c r="XA51" s="76"/>
      <c r="XB51" s="76"/>
      <c r="XC51" s="76"/>
      <c r="XD51" s="76"/>
      <c r="XE51" s="76"/>
      <c r="XF51" s="76"/>
      <c r="XG51" s="76"/>
      <c r="XH51" s="76"/>
      <c r="XI51" s="76"/>
      <c r="XJ51" s="76"/>
      <c r="XK51" s="76"/>
      <c r="XL51" s="76"/>
      <c r="XM51" s="76"/>
      <c r="XN51" s="76"/>
      <c r="XO51" s="76"/>
      <c r="XP51" s="76"/>
      <c r="XQ51" s="76"/>
      <c r="XR51" s="76"/>
      <c r="XS51" s="76"/>
      <c r="XT51" s="76"/>
      <c r="XU51" s="76"/>
      <c r="XV51" s="76"/>
      <c r="XW51" s="76"/>
      <c r="XX51" s="76"/>
      <c r="XY51" s="76"/>
      <c r="XZ51" s="76"/>
      <c r="YA51" s="76"/>
      <c r="YB51" s="76"/>
      <c r="YC51" s="76"/>
      <c r="YD51" s="76"/>
      <c r="YE51" s="76"/>
      <c r="YF51" s="76"/>
      <c r="YG51" s="76"/>
      <c r="YH51" s="76"/>
      <c r="YI51" s="76"/>
      <c r="YJ51" s="76"/>
      <c r="YK51" s="76"/>
      <c r="YL51" s="76"/>
      <c r="YM51" s="76"/>
      <c r="YN51" s="76"/>
      <c r="YO51" s="76"/>
      <c r="YP51" s="76"/>
      <c r="YQ51" s="76"/>
      <c r="YR51" s="76"/>
      <c r="YS51" s="76"/>
      <c r="YT51" s="76"/>
      <c r="YU51" s="76"/>
      <c r="YV51" s="76"/>
      <c r="YW51" s="76"/>
      <c r="YX51" s="76"/>
      <c r="YY51" s="76"/>
      <c r="YZ51" s="76"/>
      <c r="ZA51" s="76"/>
      <c r="ZB51" s="76"/>
      <c r="ZC51" s="76"/>
      <c r="ZD51" s="76"/>
      <c r="ZE51" s="76"/>
      <c r="ZF51" s="76"/>
      <c r="ZG51" s="76"/>
      <c r="ZH51" s="76"/>
      <c r="ZI51" s="76"/>
      <c r="ZJ51" s="76"/>
      <c r="ZK51" s="76"/>
      <c r="ZL51" s="76"/>
      <c r="ZM51" s="76"/>
      <c r="ZN51" s="76"/>
      <c r="ZO51" s="76"/>
      <c r="ZP51" s="76"/>
      <c r="ZQ51" s="76"/>
      <c r="ZR51" s="76"/>
      <c r="ZS51" s="76"/>
      <c r="ZT51" s="76"/>
      <c r="ZU51" s="76"/>
      <c r="ZV51" s="76"/>
      <c r="ZW51" s="76"/>
      <c r="ZX51" s="76"/>
      <c r="ZY51" s="76"/>
      <c r="ZZ51" s="76"/>
      <c r="AAA51" s="76"/>
      <c r="AAB51" s="76"/>
      <c r="AAC51" s="76"/>
      <c r="AAD51" s="76"/>
      <c r="AAE51" s="76"/>
      <c r="AAF51" s="76"/>
      <c r="AAG51" s="76"/>
      <c r="AAH51" s="76"/>
      <c r="AAI51" s="76"/>
      <c r="AAJ51" s="76"/>
      <c r="AAK51" s="76"/>
      <c r="AAL51" s="76"/>
      <c r="AAM51" s="76"/>
      <c r="AAN51" s="76"/>
      <c r="AAO51" s="76"/>
      <c r="AAP51" s="76"/>
      <c r="AAQ51" s="76"/>
      <c r="AAR51" s="76"/>
      <c r="AAS51" s="76"/>
      <c r="AAT51" s="76"/>
      <c r="AAU51" s="76"/>
      <c r="AAV51" s="76"/>
      <c r="AAW51" s="76"/>
      <c r="AAX51" s="76"/>
      <c r="AAY51" s="76"/>
      <c r="AAZ51" s="76"/>
      <c r="ABA51" s="76"/>
      <c r="ABB51" s="76"/>
      <c r="ABC51" s="76"/>
      <c r="ABD51" s="76"/>
      <c r="ABE51" s="76"/>
      <c r="ABF51" s="76"/>
      <c r="ABG51" s="76"/>
      <c r="ABH51" s="76"/>
      <c r="ABI51" s="76"/>
      <c r="ABJ51" s="76"/>
      <c r="ABK51" s="76"/>
      <c r="ABL51" s="76"/>
      <c r="ABM51" s="76"/>
      <c r="ABN51" s="76"/>
      <c r="ABO51" s="76"/>
      <c r="ABP51" s="76"/>
      <c r="ABQ51" s="76"/>
      <c r="ABR51" s="76"/>
      <c r="ABS51" s="76"/>
      <c r="ABT51" s="76"/>
      <c r="ABU51" s="76"/>
      <c r="ABV51" s="76"/>
      <c r="ABW51" s="76"/>
      <c r="ABX51" s="76"/>
      <c r="ABY51" s="76"/>
      <c r="ABZ51" s="76"/>
      <c r="ACA51" s="76"/>
      <c r="ACB51" s="76"/>
      <c r="ACC51" s="76"/>
      <c r="ACD51" s="76"/>
      <c r="ACE51" s="76"/>
      <c r="ACF51" s="76"/>
      <c r="ACG51" s="76"/>
      <c r="ACH51" s="76"/>
      <c r="ACI51" s="76"/>
      <c r="ACJ51" s="76"/>
      <c r="ACK51" s="76"/>
      <c r="ACL51" s="76"/>
      <c r="ACM51" s="76"/>
      <c r="ACN51" s="76"/>
      <c r="ACO51" s="76"/>
      <c r="ACP51" s="76"/>
      <c r="ACQ51" s="76"/>
      <c r="ACR51" s="76"/>
      <c r="ACS51" s="76"/>
      <c r="ACT51" s="76"/>
      <c r="ACU51" s="76"/>
      <c r="ACV51" s="76"/>
      <c r="ACW51" s="76"/>
      <c r="ACX51" s="76"/>
      <c r="ACY51" s="76"/>
      <c r="ACZ51" s="76"/>
      <c r="ADA51" s="76"/>
      <c r="ADB51" s="76"/>
      <c r="ADC51" s="76"/>
      <c r="ADD51" s="76"/>
      <c r="ADE51" s="76"/>
      <c r="ADF51" s="76"/>
      <c r="ADG51" s="76"/>
      <c r="ADH51" s="76"/>
      <c r="ADI51" s="76"/>
      <c r="ADJ51" s="76"/>
      <c r="ADK51" s="76"/>
      <c r="ADL51" s="76"/>
      <c r="ADM51" s="76"/>
      <c r="ADN51" s="76"/>
      <c r="ADO51" s="76"/>
      <c r="ADP51" s="76"/>
      <c r="ADQ51" s="76"/>
      <c r="ADR51" s="76"/>
      <c r="ADS51" s="76"/>
      <c r="ADT51" s="76"/>
      <c r="ADU51" s="76"/>
      <c r="ADV51" s="76"/>
      <c r="ADW51" s="76"/>
      <c r="ADX51" s="76"/>
      <c r="ADY51" s="76"/>
      <c r="ADZ51" s="76"/>
      <c r="AEA51" s="76"/>
      <c r="AEB51" s="76"/>
      <c r="AEC51" s="76"/>
      <c r="AED51" s="76"/>
      <c r="AEE51" s="76"/>
      <c r="AEF51" s="76"/>
      <c r="AEG51" s="76"/>
      <c r="AEH51" s="76"/>
      <c r="AEI51" s="76"/>
      <c r="AEJ51" s="76"/>
      <c r="AEK51" s="76"/>
      <c r="AEL51" s="76"/>
      <c r="AEM51" s="76"/>
      <c r="AEN51" s="76"/>
      <c r="AEO51" s="76"/>
      <c r="AEP51" s="76"/>
      <c r="AEQ51" s="76"/>
      <c r="AER51" s="76"/>
      <c r="AES51" s="76"/>
      <c r="AET51" s="76"/>
      <c r="AEU51" s="76"/>
      <c r="AEV51" s="76"/>
      <c r="AEW51" s="76"/>
      <c r="AEX51" s="76"/>
      <c r="AEY51" s="76"/>
      <c r="AEZ51" s="76"/>
      <c r="AFA51" s="76"/>
      <c r="AFB51" s="76"/>
      <c r="AFC51" s="76"/>
      <c r="AFD51" s="76"/>
      <c r="AFE51" s="76"/>
      <c r="AFF51" s="76"/>
      <c r="AFG51" s="76"/>
      <c r="AFH51" s="76"/>
      <c r="AFI51" s="76"/>
      <c r="AFJ51" s="76"/>
      <c r="AFK51" s="76"/>
      <c r="AFL51" s="76"/>
      <c r="AFM51" s="76"/>
      <c r="AFN51" s="76"/>
      <c r="AFO51" s="76"/>
      <c r="AFP51" s="76"/>
      <c r="AFQ51" s="76"/>
      <c r="AFR51" s="76"/>
      <c r="AFS51" s="76"/>
      <c r="AFT51" s="76"/>
      <c r="AFU51" s="76"/>
      <c r="AFV51" s="76"/>
      <c r="AFW51" s="76"/>
      <c r="AFX51" s="76"/>
      <c r="AFY51" s="76"/>
      <c r="AFZ51" s="76"/>
      <c r="AGA51" s="76"/>
      <c r="AGB51" s="76"/>
      <c r="AGC51" s="76"/>
      <c r="AGD51" s="76"/>
      <c r="AGE51" s="76"/>
      <c r="AGF51" s="76"/>
      <c r="AGG51" s="76"/>
      <c r="AGH51" s="76"/>
      <c r="AGI51" s="76"/>
      <c r="AGJ51" s="76"/>
      <c r="AGK51" s="76"/>
      <c r="AGL51" s="76"/>
      <c r="AGM51" s="76"/>
      <c r="AGN51" s="76"/>
      <c r="AGO51" s="76"/>
      <c r="AGP51" s="76"/>
      <c r="AGQ51" s="76"/>
      <c r="AGR51" s="76"/>
      <c r="AGS51" s="76"/>
      <c r="AGT51" s="76"/>
      <c r="AGU51" s="76"/>
      <c r="AGV51" s="76"/>
      <c r="AGW51" s="76"/>
      <c r="AGX51" s="76"/>
      <c r="AGY51" s="76"/>
      <c r="AGZ51" s="76"/>
      <c r="AHA51" s="76"/>
      <c r="AHB51" s="76"/>
      <c r="AHC51" s="76"/>
      <c r="AHD51" s="76"/>
      <c r="AHE51" s="76"/>
      <c r="AHF51" s="76"/>
      <c r="AHG51" s="76"/>
      <c r="AHH51" s="76"/>
      <c r="AHI51" s="76"/>
      <c r="AHJ51" s="76"/>
      <c r="AHK51" s="76"/>
      <c r="AHL51" s="76"/>
      <c r="AHM51" s="76"/>
      <c r="AHN51" s="76"/>
      <c r="AHO51" s="76"/>
      <c r="AHP51" s="76"/>
      <c r="AHQ51" s="76"/>
      <c r="AHR51" s="76"/>
      <c r="AHS51" s="76"/>
      <c r="AHT51" s="76"/>
      <c r="AHU51" s="76"/>
      <c r="AHV51" s="76"/>
      <c r="AHW51" s="76"/>
      <c r="AHX51" s="76"/>
      <c r="AHY51" s="76"/>
      <c r="AHZ51" s="76"/>
      <c r="AIA51" s="76"/>
      <c r="AIB51" s="76"/>
      <c r="AIC51" s="76"/>
      <c r="AID51" s="76"/>
      <c r="AIE51" s="76"/>
      <c r="AIF51" s="76"/>
      <c r="AIG51" s="76"/>
      <c r="AIH51" s="76"/>
      <c r="AII51" s="76"/>
      <c r="AIJ51" s="76"/>
      <c r="AIK51" s="76"/>
      <c r="AIL51" s="76"/>
      <c r="AIM51" s="76"/>
      <c r="AIN51" s="76"/>
      <c r="AIO51" s="76"/>
      <c r="AIP51" s="76"/>
      <c r="AIQ51" s="76"/>
      <c r="AIR51" s="76"/>
      <c r="AIS51" s="76"/>
      <c r="AIT51" s="76"/>
      <c r="AIU51" s="76"/>
      <c r="AIV51" s="76"/>
      <c r="AIW51" s="76"/>
      <c r="AIX51" s="76"/>
      <c r="AIY51" s="76"/>
      <c r="AIZ51" s="76"/>
      <c r="AJA51" s="76"/>
      <c r="AJB51" s="76"/>
      <c r="AJC51" s="76"/>
      <c r="AJD51" s="76"/>
      <c r="AJE51" s="76"/>
      <c r="AJF51" s="76"/>
      <c r="AJG51" s="76"/>
      <c r="AJH51" s="76"/>
      <c r="AJI51" s="76"/>
      <c r="AJJ51" s="76"/>
      <c r="AJK51" s="76"/>
      <c r="AJL51" s="76"/>
      <c r="AJM51" s="76"/>
      <c r="AJN51" s="76"/>
      <c r="AJO51" s="76"/>
      <c r="AJP51" s="76"/>
      <c r="AJQ51" s="76"/>
      <c r="AJR51" s="76"/>
      <c r="AJS51" s="76"/>
      <c r="AJT51" s="76"/>
      <c r="AJU51" s="76"/>
      <c r="AJV51" s="76"/>
      <c r="AJW51" s="76"/>
      <c r="AJX51" s="76"/>
      <c r="AJY51" s="76"/>
      <c r="AJZ51" s="76"/>
      <c r="AKA51" s="76"/>
      <c r="AKB51" s="76"/>
      <c r="AKC51" s="76"/>
      <c r="AKD51" s="76"/>
      <c r="AKE51" s="76"/>
      <c r="AKF51" s="76"/>
      <c r="AKG51" s="76"/>
      <c r="AKH51" s="76"/>
      <c r="AKI51" s="76"/>
      <c r="AKJ51" s="76"/>
      <c r="AKK51" s="76"/>
      <c r="AKL51" s="76"/>
      <c r="AKM51" s="76"/>
      <c r="AKN51" s="76"/>
      <c r="AKO51" s="76"/>
      <c r="AKP51" s="76"/>
      <c r="AKQ51" s="76"/>
      <c r="AKR51" s="76"/>
      <c r="AKS51" s="76"/>
      <c r="AKT51" s="76"/>
      <c r="AKU51" s="76"/>
      <c r="AKV51" s="76"/>
      <c r="AKW51" s="76"/>
      <c r="AKX51" s="76"/>
      <c r="AKY51" s="76"/>
      <c r="AKZ51" s="76"/>
      <c r="ALA51" s="76"/>
      <c r="ALB51" s="76"/>
      <c r="ALC51" s="76"/>
      <c r="ALD51" s="76"/>
      <c r="ALE51" s="76"/>
      <c r="ALF51" s="76"/>
      <c r="ALG51" s="76"/>
      <c r="ALH51" s="76"/>
      <c r="ALI51" s="76"/>
      <c r="ALJ51" s="76"/>
      <c r="ALK51" s="76"/>
      <c r="ALL51" s="76"/>
      <c r="ALM51" s="76"/>
      <c r="ALN51" s="76"/>
      <c r="ALO51" s="76"/>
      <c r="ALP51" s="76"/>
      <c r="ALQ51" s="76"/>
      <c r="ALR51" s="76"/>
      <c r="ALS51" s="76"/>
      <c r="ALT51" s="76"/>
      <c r="ALU51" s="76"/>
      <c r="ALV51" s="76"/>
      <c r="ALW51" s="76"/>
      <c r="ALX51" s="76"/>
      <c r="ALY51" s="76"/>
      <c r="ALZ51" s="76"/>
      <c r="AMA51" s="76"/>
      <c r="AMB51" s="76"/>
      <c r="AMC51" s="76"/>
      <c r="AMD51" s="76"/>
      <c r="AME51" s="76"/>
      <c r="AMF51" s="76"/>
      <c r="AMG51" s="76"/>
      <c r="AMH51" s="76"/>
      <c r="AMI51" s="76"/>
      <c r="AMJ51" s="76"/>
      <c r="AMK51" s="76"/>
      <c r="AML51" s="76"/>
      <c r="AMM51" s="76"/>
      <c r="AMN51" s="76"/>
      <c r="AMO51" s="76"/>
      <c r="AMP51" s="76"/>
      <c r="AMQ51" s="76"/>
      <c r="AMR51" s="76"/>
      <c r="AMS51" s="76"/>
      <c r="AMT51" s="76"/>
      <c r="AMU51" s="76"/>
      <c r="AMV51" s="76"/>
      <c r="AMW51" s="76"/>
      <c r="AMX51" s="76"/>
      <c r="AMY51" s="76"/>
      <c r="AMZ51" s="76"/>
      <c r="ANA51" s="76"/>
      <c r="ANB51" s="76"/>
      <c r="ANC51" s="76"/>
      <c r="AND51" s="76"/>
      <c r="ANE51" s="76"/>
      <c r="ANF51" s="76"/>
      <c r="ANG51" s="76"/>
      <c r="ANH51" s="76"/>
      <c r="ANI51" s="76"/>
      <c r="ANJ51" s="76"/>
      <c r="ANK51" s="76"/>
      <c r="ANL51" s="76"/>
      <c r="ANM51" s="76"/>
      <c r="ANN51" s="76"/>
      <c r="ANO51" s="76"/>
      <c r="ANP51" s="76"/>
      <c r="ANQ51" s="76"/>
      <c r="ANR51" s="76"/>
      <c r="ANS51" s="76"/>
      <c r="ANT51" s="76"/>
      <c r="ANU51" s="76"/>
      <c r="ANV51" s="76"/>
      <c r="ANW51" s="76"/>
      <c r="ANX51" s="76"/>
      <c r="ANY51" s="76"/>
      <c r="ANZ51" s="76"/>
      <c r="AOA51" s="76"/>
      <c r="AOB51" s="76"/>
      <c r="AOC51" s="76"/>
      <c r="AOD51" s="76"/>
      <c r="AOE51" s="76"/>
      <c r="AOF51" s="76"/>
      <c r="AOG51" s="76"/>
      <c r="AOH51" s="76"/>
      <c r="AOI51" s="76"/>
      <c r="AOJ51" s="76"/>
      <c r="AOK51" s="76"/>
      <c r="AOL51" s="76"/>
      <c r="AOM51" s="76"/>
      <c r="AON51" s="76"/>
      <c r="AOO51" s="76"/>
      <c r="AOP51" s="76"/>
      <c r="AOQ51" s="76"/>
      <c r="AOR51" s="76"/>
      <c r="AOS51" s="76"/>
      <c r="AOT51" s="76"/>
      <c r="AOU51" s="76"/>
      <c r="AOV51" s="76"/>
      <c r="AOW51" s="76"/>
      <c r="AOX51" s="76"/>
      <c r="AOY51" s="76"/>
      <c r="AOZ51" s="76"/>
      <c r="APA51" s="76"/>
      <c r="APB51" s="76"/>
      <c r="APC51" s="76"/>
      <c r="APD51" s="76"/>
      <c r="APE51" s="76"/>
      <c r="APF51" s="76"/>
      <c r="APG51" s="76"/>
      <c r="APH51" s="76"/>
      <c r="API51" s="76"/>
      <c r="APJ51" s="76"/>
      <c r="APK51" s="76"/>
      <c r="APL51" s="76"/>
      <c r="APM51" s="76"/>
      <c r="APN51" s="76"/>
      <c r="APO51" s="76"/>
      <c r="APP51" s="76"/>
      <c r="APQ51" s="76"/>
      <c r="APR51" s="76"/>
      <c r="APS51" s="76"/>
      <c r="APT51" s="76"/>
      <c r="APU51" s="76"/>
      <c r="APV51" s="76"/>
      <c r="APW51" s="76"/>
      <c r="APX51" s="76"/>
      <c r="APY51" s="76"/>
      <c r="APZ51" s="76"/>
      <c r="AQA51" s="76"/>
      <c r="AQB51" s="76"/>
      <c r="AQC51" s="76"/>
      <c r="AQD51" s="76"/>
      <c r="AQE51" s="76"/>
      <c r="AQF51" s="76"/>
      <c r="AQG51" s="76"/>
      <c r="AQH51" s="76"/>
      <c r="AQI51" s="76"/>
      <c r="AQJ51" s="76"/>
      <c r="AQK51" s="76"/>
      <c r="AQL51" s="76"/>
      <c r="AQM51" s="76"/>
      <c r="AQN51" s="76"/>
      <c r="AQO51" s="76"/>
      <c r="AQP51" s="76"/>
      <c r="AQQ51" s="76"/>
      <c r="AQR51" s="76"/>
      <c r="AQS51" s="76"/>
      <c r="AQT51" s="76"/>
      <c r="AQU51" s="76"/>
      <c r="AQV51" s="76"/>
      <c r="AQW51" s="76"/>
      <c r="AQX51" s="76"/>
      <c r="AQY51" s="76"/>
      <c r="AQZ51" s="76"/>
      <c r="ARA51" s="76"/>
      <c r="ARB51" s="76"/>
      <c r="ARC51" s="76"/>
      <c r="ARD51" s="76"/>
      <c r="ARE51" s="76"/>
      <c r="ARF51" s="76"/>
      <c r="ARG51" s="76"/>
      <c r="ARH51" s="76"/>
      <c r="ARI51" s="76"/>
      <c r="ARJ51" s="76"/>
      <c r="ARK51" s="76"/>
      <c r="ARL51" s="76"/>
      <c r="ARM51" s="76"/>
      <c r="ARN51" s="76"/>
      <c r="ARO51" s="76"/>
      <c r="ARP51" s="76"/>
      <c r="ARQ51" s="76"/>
      <c r="ARR51" s="76"/>
      <c r="ARS51" s="76"/>
      <c r="ART51" s="76"/>
      <c r="ARU51" s="76"/>
      <c r="ARV51" s="76"/>
      <c r="ARW51" s="76"/>
      <c r="ARX51" s="76"/>
      <c r="ARY51" s="76"/>
      <c r="ARZ51" s="76"/>
      <c r="ASA51" s="76"/>
      <c r="ASB51" s="76"/>
      <c r="ASC51" s="76"/>
      <c r="ASD51" s="76"/>
      <c r="ASE51" s="76"/>
      <c r="ASF51" s="76"/>
      <c r="ASG51" s="76"/>
      <c r="ASH51" s="76"/>
      <c r="ASI51" s="76"/>
      <c r="ASJ51" s="76"/>
      <c r="ASK51" s="76"/>
      <c r="ASL51" s="76"/>
      <c r="ASM51" s="76"/>
      <c r="ASN51" s="76"/>
      <c r="ASO51" s="76"/>
      <c r="ASP51" s="76"/>
      <c r="ASQ51" s="76"/>
      <c r="ASR51" s="76"/>
      <c r="ASS51" s="76"/>
      <c r="AST51" s="76"/>
      <c r="ASU51" s="76"/>
      <c r="ASV51" s="76"/>
      <c r="ASW51" s="76"/>
      <c r="ASX51" s="76"/>
      <c r="ASY51" s="76"/>
      <c r="ASZ51" s="76"/>
      <c r="ATA51" s="76"/>
      <c r="ATB51" s="76"/>
      <c r="ATC51" s="76"/>
      <c r="ATD51" s="76"/>
      <c r="ATE51" s="76"/>
      <c r="ATF51" s="76"/>
      <c r="ATG51" s="76"/>
      <c r="ATH51" s="76"/>
      <c r="ATI51" s="76"/>
      <c r="ATJ51" s="76"/>
      <c r="ATK51" s="76"/>
      <c r="ATL51" s="76"/>
      <c r="ATM51" s="76"/>
      <c r="ATN51" s="76"/>
      <c r="ATO51" s="76"/>
      <c r="ATP51" s="76"/>
      <c r="ATQ51" s="76"/>
      <c r="ATR51" s="76"/>
      <c r="ATS51" s="76"/>
      <c r="ATT51" s="76"/>
      <c r="ATU51" s="76"/>
      <c r="ATV51" s="76"/>
      <c r="ATW51" s="76"/>
      <c r="ATX51" s="76"/>
      <c r="ATY51" s="76"/>
      <c r="ATZ51" s="76"/>
      <c r="AUA51" s="76"/>
      <c r="AUB51" s="76"/>
      <c r="AUC51" s="76"/>
      <c r="AUD51" s="76"/>
      <c r="AUE51" s="76"/>
      <c r="AUF51" s="76"/>
      <c r="AUG51" s="76"/>
      <c r="AUH51" s="76"/>
      <c r="AUI51" s="76"/>
      <c r="AUJ51" s="76"/>
      <c r="AUK51" s="76"/>
      <c r="AUL51" s="76"/>
      <c r="AUM51" s="76"/>
      <c r="AUN51" s="76"/>
      <c r="AUO51" s="76"/>
      <c r="AUP51" s="76"/>
      <c r="AUQ51" s="76"/>
      <c r="AUR51" s="76"/>
      <c r="AUS51" s="76"/>
      <c r="AUT51" s="76"/>
      <c r="AUU51" s="76"/>
      <c r="AUV51" s="76"/>
      <c r="AUW51" s="76"/>
      <c r="AUX51" s="76"/>
      <c r="AUY51" s="76"/>
      <c r="AUZ51" s="76"/>
      <c r="AVA51" s="76"/>
      <c r="AVB51" s="76"/>
      <c r="AVC51" s="76"/>
      <c r="AVD51" s="76"/>
      <c r="AVE51" s="76"/>
      <c r="AVF51" s="76"/>
      <c r="AVG51" s="76"/>
      <c r="AVH51" s="76"/>
      <c r="AVI51" s="76"/>
      <c r="AVJ51" s="76"/>
      <c r="AVK51" s="76"/>
      <c r="AVL51" s="76"/>
      <c r="AVM51" s="76"/>
      <c r="AVN51" s="76"/>
      <c r="AVO51" s="76"/>
      <c r="AVP51" s="76"/>
      <c r="AVQ51" s="76"/>
      <c r="AVR51" s="76"/>
      <c r="AVS51" s="76"/>
      <c r="AVT51" s="76"/>
      <c r="AVU51" s="76"/>
      <c r="AVV51" s="76"/>
      <c r="AVW51" s="76"/>
      <c r="AVX51" s="76"/>
      <c r="AVY51" s="76"/>
      <c r="AVZ51" s="76"/>
      <c r="AWA51" s="76"/>
      <c r="AWB51" s="76"/>
      <c r="AWC51" s="76"/>
      <c r="AWD51" s="76"/>
      <c r="AWE51" s="76"/>
      <c r="AWF51" s="76"/>
      <c r="AWG51" s="76"/>
      <c r="AWH51" s="76"/>
      <c r="AWI51" s="76"/>
      <c r="AWJ51" s="76"/>
      <c r="AWK51" s="76"/>
      <c r="AWL51" s="76"/>
      <c r="AWM51" s="76"/>
      <c r="AWN51" s="76"/>
      <c r="AWO51" s="76"/>
      <c r="AWP51" s="76"/>
      <c r="AWQ51" s="76"/>
      <c r="AWR51" s="76"/>
      <c r="AWS51" s="76"/>
      <c r="AWT51" s="76"/>
      <c r="AWU51" s="76"/>
      <c r="AWV51" s="76"/>
      <c r="AWW51" s="76"/>
      <c r="AWX51" s="76"/>
      <c r="AWY51" s="76"/>
      <c r="AWZ51" s="76"/>
      <c r="AXA51" s="76"/>
      <c r="AXB51" s="76"/>
      <c r="AXC51" s="76"/>
      <c r="AXD51" s="76"/>
      <c r="AXE51" s="76"/>
      <c r="AXF51" s="76"/>
      <c r="AXG51" s="76"/>
      <c r="AXH51" s="76"/>
      <c r="AXI51" s="76"/>
      <c r="AXJ51" s="76"/>
      <c r="AXK51" s="76"/>
      <c r="AXL51" s="76"/>
      <c r="AXM51" s="76"/>
      <c r="AXN51" s="76"/>
      <c r="AXO51" s="76"/>
      <c r="AXP51" s="76"/>
      <c r="AXQ51" s="76"/>
      <c r="AXR51" s="76"/>
      <c r="AXS51" s="76"/>
      <c r="AXT51" s="76"/>
      <c r="AXU51" s="76"/>
      <c r="AXV51" s="76"/>
      <c r="AXW51" s="76"/>
      <c r="AXX51" s="76"/>
      <c r="AXY51" s="76"/>
      <c r="AXZ51" s="76"/>
      <c r="AYA51" s="76"/>
      <c r="AYB51" s="76"/>
      <c r="AYC51" s="76"/>
      <c r="AYD51" s="76"/>
      <c r="AYE51" s="76"/>
      <c r="AYF51" s="76"/>
      <c r="AYG51" s="76"/>
      <c r="AYH51" s="76"/>
      <c r="AYI51" s="76"/>
      <c r="AYJ51" s="76"/>
      <c r="AYK51" s="76"/>
      <c r="AYL51" s="76"/>
      <c r="AYM51" s="76"/>
      <c r="AYN51" s="76"/>
      <c r="AYO51" s="76"/>
      <c r="AYP51" s="76"/>
      <c r="AYQ51" s="76"/>
      <c r="AYR51" s="76"/>
      <c r="AYS51" s="76"/>
      <c r="AYT51" s="76"/>
      <c r="AYU51" s="76"/>
      <c r="AYV51" s="76"/>
      <c r="AYW51" s="76"/>
      <c r="AYX51" s="76"/>
      <c r="AYY51" s="76"/>
      <c r="AYZ51" s="76"/>
      <c r="AZA51" s="76"/>
      <c r="AZB51" s="76"/>
      <c r="AZC51" s="76"/>
      <c r="AZD51" s="76"/>
      <c r="AZE51" s="76"/>
      <c r="AZF51" s="76"/>
      <c r="AZG51" s="76"/>
      <c r="AZH51" s="76"/>
      <c r="AZI51" s="76"/>
      <c r="AZJ51" s="76"/>
      <c r="AZK51" s="76"/>
      <c r="AZL51" s="76"/>
      <c r="AZM51" s="76"/>
      <c r="AZN51" s="76"/>
      <c r="AZO51" s="76"/>
      <c r="AZP51" s="76"/>
      <c r="AZQ51" s="76"/>
      <c r="AZR51" s="76"/>
      <c r="AZS51" s="76"/>
      <c r="AZT51" s="76"/>
      <c r="AZU51" s="76"/>
      <c r="AZV51" s="76"/>
      <c r="AZW51" s="76"/>
      <c r="AZX51" s="76"/>
      <c r="AZY51" s="76"/>
      <c r="AZZ51" s="76"/>
      <c r="BAA51" s="76"/>
      <c r="BAB51" s="76"/>
      <c r="BAC51" s="76"/>
      <c r="BAD51" s="76"/>
      <c r="BAE51" s="76"/>
      <c r="BAF51" s="76"/>
      <c r="BAG51" s="76"/>
      <c r="BAH51" s="76"/>
      <c r="BAI51" s="76"/>
      <c r="BAJ51" s="76"/>
      <c r="BAK51" s="76"/>
      <c r="BAL51" s="76"/>
      <c r="BAM51" s="76"/>
      <c r="BAN51" s="76"/>
      <c r="BAO51" s="76"/>
      <c r="BAP51" s="76"/>
      <c r="BAQ51" s="76"/>
      <c r="BAR51" s="76"/>
      <c r="BAS51" s="76"/>
      <c r="BAT51" s="76"/>
      <c r="BAU51" s="76"/>
      <c r="BAV51" s="76"/>
      <c r="BAW51" s="76"/>
      <c r="BAX51" s="76"/>
      <c r="BAY51" s="76"/>
      <c r="BAZ51" s="76"/>
      <c r="BBA51" s="76"/>
      <c r="BBB51" s="76"/>
      <c r="BBC51" s="76"/>
      <c r="BBD51" s="76"/>
      <c r="BBE51" s="76"/>
      <c r="BBF51" s="76"/>
      <c r="BBG51" s="76"/>
      <c r="BBH51" s="76"/>
      <c r="BBI51" s="76"/>
      <c r="BBJ51" s="76"/>
      <c r="BBK51" s="76"/>
      <c r="BBL51" s="76"/>
      <c r="BBM51" s="76"/>
      <c r="BBN51" s="76"/>
      <c r="BBO51" s="76"/>
      <c r="BBP51" s="76"/>
      <c r="BBQ51" s="76"/>
      <c r="BBR51" s="76"/>
      <c r="BBS51" s="76"/>
      <c r="BBT51" s="76"/>
      <c r="BBU51" s="76"/>
      <c r="BBV51" s="76"/>
      <c r="BBW51" s="76"/>
      <c r="BBX51" s="76"/>
      <c r="BBY51" s="76"/>
      <c r="BBZ51" s="76"/>
      <c r="BCA51" s="76"/>
      <c r="BCB51" s="76"/>
      <c r="BCC51" s="76"/>
      <c r="BCD51" s="76"/>
      <c r="BCE51" s="76"/>
      <c r="BCF51" s="76"/>
      <c r="BCG51" s="76"/>
      <c r="BCH51" s="76"/>
      <c r="BCI51" s="76"/>
      <c r="BCJ51" s="76"/>
      <c r="BCK51" s="76"/>
      <c r="BCL51" s="76"/>
      <c r="BCM51" s="76"/>
      <c r="BCN51" s="76"/>
      <c r="BCO51" s="76"/>
      <c r="BCP51" s="76"/>
      <c r="BCQ51" s="76"/>
      <c r="BCR51" s="76"/>
      <c r="BCS51" s="76"/>
      <c r="BCT51" s="76"/>
      <c r="BCU51" s="76"/>
      <c r="BCV51" s="76"/>
      <c r="BCW51" s="76"/>
      <c r="BCX51" s="76"/>
      <c r="BCY51" s="76"/>
      <c r="BCZ51" s="76"/>
      <c r="BDA51" s="76"/>
      <c r="BDB51" s="76"/>
      <c r="BDC51" s="76"/>
      <c r="BDD51" s="76"/>
      <c r="BDE51" s="76"/>
      <c r="BDF51" s="76"/>
      <c r="BDG51" s="76"/>
      <c r="BDH51" s="76"/>
      <c r="BDI51" s="76"/>
      <c r="BDJ51" s="76"/>
      <c r="BDK51" s="76"/>
      <c r="BDL51" s="76"/>
      <c r="BDM51" s="76"/>
      <c r="BDN51" s="76"/>
      <c r="BDO51" s="76"/>
      <c r="BDP51" s="76"/>
      <c r="BDQ51" s="76"/>
      <c r="BDR51" s="76"/>
      <c r="BDS51" s="76"/>
      <c r="BDT51" s="76"/>
      <c r="BDU51" s="76"/>
      <c r="BDV51" s="76"/>
      <c r="BDW51" s="76"/>
      <c r="BDX51" s="76"/>
      <c r="BDY51" s="76"/>
      <c r="BDZ51" s="76"/>
      <c r="BEA51" s="76"/>
      <c r="BEB51" s="76"/>
      <c r="BEC51" s="76"/>
      <c r="BED51" s="76"/>
      <c r="BEE51" s="76"/>
      <c r="BEF51" s="76"/>
      <c r="BEG51" s="76"/>
      <c r="BEH51" s="76"/>
      <c r="BEI51" s="76"/>
      <c r="BEJ51" s="76"/>
      <c r="BEK51" s="76"/>
      <c r="BEL51" s="76"/>
      <c r="BEM51" s="76"/>
      <c r="BEN51" s="76"/>
      <c r="BEO51" s="76"/>
      <c r="BEP51" s="76"/>
      <c r="BEQ51" s="76"/>
      <c r="BER51" s="76"/>
      <c r="BES51" s="76"/>
      <c r="BET51" s="76"/>
      <c r="BEU51" s="76"/>
      <c r="BEV51" s="76"/>
      <c r="BEW51" s="76"/>
      <c r="BEX51" s="76"/>
      <c r="BEY51" s="76"/>
      <c r="BEZ51" s="76"/>
      <c r="BFA51" s="76"/>
      <c r="BFB51" s="76"/>
      <c r="BFC51" s="76"/>
      <c r="BFD51" s="76"/>
      <c r="BFE51" s="76"/>
      <c r="BFF51" s="76"/>
      <c r="BFG51" s="76"/>
      <c r="BFH51" s="76"/>
      <c r="BFI51" s="76"/>
      <c r="BFJ51" s="76"/>
      <c r="BFK51" s="76"/>
      <c r="BFL51" s="76"/>
      <c r="BFM51" s="76"/>
      <c r="BFN51" s="76"/>
      <c r="BFO51" s="76"/>
      <c r="BFP51" s="76"/>
      <c r="BFQ51" s="76"/>
      <c r="BFR51" s="76"/>
      <c r="BFS51" s="76"/>
      <c r="BFT51" s="76"/>
      <c r="BFU51" s="76"/>
      <c r="BFV51" s="76"/>
      <c r="BFW51" s="76"/>
      <c r="BFX51" s="76"/>
      <c r="BFY51" s="76"/>
      <c r="BFZ51" s="76"/>
      <c r="BGA51" s="76"/>
      <c r="BGB51" s="76"/>
      <c r="BGC51" s="76"/>
      <c r="BGD51" s="76"/>
      <c r="BGE51" s="76"/>
      <c r="BGF51" s="76"/>
      <c r="BGG51" s="76"/>
      <c r="BGH51" s="76"/>
      <c r="BGI51" s="76"/>
      <c r="BGJ51" s="76"/>
      <c r="BGK51" s="76"/>
      <c r="BGL51" s="76"/>
      <c r="BGM51" s="76"/>
      <c r="BGN51" s="76"/>
      <c r="BGO51" s="76"/>
      <c r="BGP51" s="76"/>
      <c r="BGQ51" s="76"/>
      <c r="BGR51" s="76"/>
      <c r="BGS51" s="76"/>
      <c r="BGT51" s="76"/>
      <c r="BGU51" s="76"/>
      <c r="BGV51" s="76"/>
      <c r="BGW51" s="76"/>
      <c r="BGX51" s="76"/>
      <c r="BGY51" s="76"/>
      <c r="BGZ51" s="76"/>
      <c r="BHA51" s="76"/>
      <c r="BHB51" s="76"/>
      <c r="BHC51" s="76"/>
      <c r="BHD51" s="76"/>
      <c r="BHE51" s="76"/>
      <c r="BHF51" s="76"/>
      <c r="BHG51" s="76"/>
      <c r="BHH51" s="76"/>
      <c r="BHI51" s="76"/>
      <c r="BHJ51" s="76"/>
      <c r="BHK51" s="76"/>
      <c r="BHL51" s="76"/>
      <c r="BHM51" s="76"/>
      <c r="BHN51" s="76"/>
      <c r="BHO51" s="76"/>
      <c r="BHP51" s="76"/>
      <c r="BHQ51" s="76"/>
      <c r="BHR51" s="76"/>
      <c r="BHS51" s="76"/>
      <c r="BHT51" s="76"/>
      <c r="BHU51" s="76"/>
      <c r="BHV51" s="76"/>
      <c r="BHW51" s="76"/>
      <c r="BHX51" s="76"/>
      <c r="BHY51" s="76"/>
      <c r="BHZ51" s="76"/>
      <c r="BIA51" s="76"/>
      <c r="BIB51" s="76"/>
      <c r="BIC51" s="76"/>
      <c r="BID51" s="76"/>
      <c r="BIE51" s="76"/>
      <c r="BIF51" s="76"/>
      <c r="BIG51" s="76"/>
      <c r="BIH51" s="76"/>
      <c r="BII51" s="76"/>
      <c r="BIJ51" s="76"/>
      <c r="BIK51" s="76"/>
      <c r="BIL51" s="76"/>
      <c r="BIM51" s="76"/>
      <c r="BIN51" s="76"/>
      <c r="BIO51" s="76"/>
      <c r="BIP51" s="76"/>
      <c r="BIQ51" s="76"/>
      <c r="BIR51" s="76"/>
      <c r="BIS51" s="76"/>
      <c r="BIT51" s="76"/>
      <c r="BIU51" s="76"/>
      <c r="BIV51" s="76"/>
      <c r="BIW51" s="76"/>
      <c r="BIX51" s="76"/>
      <c r="BIY51" s="76"/>
      <c r="BIZ51" s="76"/>
      <c r="BJA51" s="76"/>
      <c r="BJB51" s="76"/>
      <c r="BJC51" s="76"/>
      <c r="BJD51" s="76"/>
      <c r="BJE51" s="76"/>
      <c r="BJF51" s="76"/>
      <c r="BJG51" s="76"/>
      <c r="BJH51" s="76"/>
      <c r="BJI51" s="76"/>
      <c r="BJJ51" s="76"/>
      <c r="BJK51" s="76"/>
      <c r="BJL51" s="76"/>
      <c r="BJM51" s="76"/>
      <c r="BJN51" s="76"/>
      <c r="BJO51" s="76"/>
      <c r="BJP51" s="76"/>
      <c r="BJQ51" s="76"/>
      <c r="BJR51" s="76"/>
      <c r="BJS51" s="76"/>
      <c r="BJT51" s="76"/>
      <c r="BJU51" s="76"/>
      <c r="BJV51" s="76"/>
      <c r="BJW51" s="76"/>
      <c r="BJX51" s="76"/>
      <c r="BJY51" s="76"/>
      <c r="BJZ51" s="76"/>
      <c r="BKA51" s="76"/>
      <c r="BKB51" s="76"/>
      <c r="BKC51" s="76"/>
      <c r="BKD51" s="76"/>
      <c r="BKE51" s="76"/>
      <c r="BKF51" s="76"/>
      <c r="BKG51" s="76"/>
      <c r="BKH51" s="76"/>
      <c r="BKI51" s="76"/>
      <c r="BKJ51" s="76"/>
      <c r="BKK51" s="76"/>
      <c r="BKL51" s="76"/>
      <c r="BKM51" s="76"/>
      <c r="BKN51" s="76"/>
      <c r="BKO51" s="76"/>
      <c r="BKP51" s="76"/>
      <c r="BKQ51" s="76"/>
      <c r="BKR51" s="76"/>
      <c r="BKS51" s="76"/>
      <c r="BKT51" s="76"/>
      <c r="BKU51" s="76"/>
      <c r="BKV51" s="76"/>
      <c r="BKW51" s="76"/>
      <c r="BKX51" s="76"/>
      <c r="BKY51" s="76"/>
      <c r="BKZ51" s="76"/>
      <c r="BLA51" s="76"/>
      <c r="BLB51" s="76"/>
      <c r="BLC51" s="76"/>
      <c r="BLD51" s="76"/>
      <c r="BLE51" s="76"/>
      <c r="BLF51" s="76"/>
      <c r="BLG51" s="76"/>
      <c r="BLH51" s="76"/>
      <c r="BLI51" s="76"/>
      <c r="BLJ51" s="76"/>
      <c r="BLK51" s="76"/>
      <c r="BLL51" s="76"/>
      <c r="BLM51" s="76"/>
      <c r="BLN51" s="76"/>
      <c r="BLO51" s="76"/>
      <c r="BLP51" s="76"/>
      <c r="BLQ51" s="76"/>
      <c r="BLR51" s="76"/>
      <c r="BLS51" s="76"/>
      <c r="BLT51" s="76"/>
      <c r="BLU51" s="76"/>
      <c r="BLV51" s="76"/>
      <c r="BLW51" s="76"/>
      <c r="BLX51" s="76"/>
      <c r="BLY51" s="76"/>
      <c r="BLZ51" s="76"/>
      <c r="BMA51" s="76"/>
      <c r="BMB51" s="76"/>
      <c r="BMC51" s="76"/>
      <c r="BMD51" s="76"/>
      <c r="BME51" s="76"/>
      <c r="BMF51" s="76"/>
      <c r="BMG51" s="76"/>
      <c r="BMH51" s="76"/>
      <c r="BMI51" s="76"/>
      <c r="BMJ51" s="76"/>
      <c r="BMK51" s="76"/>
      <c r="BML51" s="76"/>
      <c r="BMM51" s="76"/>
      <c r="BMN51" s="76"/>
      <c r="BMO51" s="76"/>
      <c r="BMP51" s="76"/>
      <c r="BMQ51" s="76"/>
      <c r="BMR51" s="76"/>
      <c r="BMS51" s="76"/>
      <c r="BMT51" s="76"/>
      <c r="BMU51" s="76"/>
      <c r="BMV51" s="76"/>
      <c r="BMW51" s="76"/>
      <c r="BMX51" s="76"/>
      <c r="BMY51" s="76"/>
      <c r="BMZ51" s="76"/>
      <c r="BNA51" s="76"/>
      <c r="BNB51" s="76"/>
      <c r="BNC51" s="76"/>
      <c r="BND51" s="76"/>
      <c r="BNE51" s="76"/>
      <c r="BNF51" s="76"/>
      <c r="BNG51" s="76"/>
      <c r="BNH51" s="76"/>
      <c r="BNI51" s="76"/>
      <c r="BNJ51" s="76"/>
      <c r="BNK51" s="76"/>
      <c r="BNL51" s="76"/>
      <c r="BNM51" s="76"/>
      <c r="BNN51" s="76"/>
      <c r="BNO51" s="76"/>
      <c r="BNP51" s="76"/>
      <c r="BNQ51" s="76"/>
      <c r="BNR51" s="76"/>
      <c r="BNS51" s="76"/>
      <c r="BNT51" s="76"/>
      <c r="BNU51" s="76"/>
      <c r="BNV51" s="76"/>
      <c r="BNW51" s="76"/>
      <c r="BNX51" s="76"/>
      <c r="BNY51" s="76"/>
      <c r="BNZ51" s="76"/>
      <c r="BOA51" s="76"/>
      <c r="BOB51" s="76"/>
      <c r="BOC51" s="76"/>
      <c r="BOD51" s="76"/>
      <c r="BOE51" s="76"/>
      <c r="BOF51" s="76"/>
      <c r="BOG51" s="76"/>
      <c r="BOH51" s="76"/>
      <c r="BOI51" s="76"/>
      <c r="BOJ51" s="76"/>
      <c r="BOK51" s="76"/>
      <c r="BOL51" s="76"/>
      <c r="BOM51" s="76"/>
      <c r="BON51" s="76"/>
      <c r="BOO51" s="76"/>
      <c r="BOP51" s="76"/>
      <c r="BOQ51" s="76"/>
      <c r="BOR51" s="76"/>
      <c r="BOS51" s="76"/>
      <c r="BOT51" s="76"/>
      <c r="BOU51" s="76"/>
      <c r="BOV51" s="76"/>
      <c r="BOW51" s="76"/>
      <c r="BOX51" s="76"/>
      <c r="BOY51" s="76"/>
      <c r="BOZ51" s="76"/>
      <c r="BPA51" s="76"/>
      <c r="BPB51" s="76"/>
      <c r="BPC51" s="76"/>
      <c r="BPD51" s="76"/>
      <c r="BPE51" s="76"/>
      <c r="BPF51" s="76"/>
      <c r="BPG51" s="76"/>
      <c r="BPH51" s="76"/>
      <c r="BPI51" s="76"/>
      <c r="BPJ51" s="76"/>
      <c r="BPK51" s="76"/>
      <c r="BPL51" s="76"/>
      <c r="BPM51" s="76"/>
      <c r="BPN51" s="76"/>
      <c r="BPO51" s="76"/>
      <c r="BPP51" s="76"/>
      <c r="BPQ51" s="76"/>
      <c r="BPR51" s="76"/>
      <c r="BPS51" s="76"/>
      <c r="BPT51" s="76"/>
      <c r="BPU51" s="76"/>
      <c r="BPV51" s="76"/>
      <c r="BPW51" s="76"/>
      <c r="BPX51" s="76"/>
      <c r="BPY51" s="76"/>
      <c r="BPZ51" s="76"/>
      <c r="BQA51" s="76"/>
      <c r="BQB51" s="76"/>
      <c r="BQC51" s="76"/>
      <c r="BQD51" s="76"/>
      <c r="BQE51" s="76"/>
      <c r="BQF51" s="76"/>
      <c r="BQG51" s="76"/>
      <c r="BQH51" s="76"/>
      <c r="BQI51" s="76"/>
      <c r="BQJ51" s="76"/>
      <c r="BQK51" s="76"/>
      <c r="BQL51" s="76"/>
      <c r="BQM51" s="76"/>
      <c r="BQN51" s="76"/>
      <c r="BQO51" s="76"/>
      <c r="BQP51" s="76"/>
      <c r="BQQ51" s="76"/>
      <c r="BQR51" s="76"/>
      <c r="BQS51" s="76"/>
      <c r="BQT51" s="76"/>
      <c r="BQU51" s="76"/>
      <c r="BQV51" s="76"/>
      <c r="BQW51" s="76"/>
      <c r="BQX51" s="76"/>
      <c r="BQY51" s="76"/>
      <c r="BQZ51" s="76"/>
      <c r="BRA51" s="76"/>
      <c r="BRB51" s="76"/>
      <c r="BRC51" s="76"/>
      <c r="BRD51" s="76"/>
      <c r="BRE51" s="76"/>
      <c r="BRF51" s="76"/>
      <c r="BRG51" s="76"/>
      <c r="BRH51" s="76"/>
      <c r="BRI51" s="76"/>
      <c r="BRJ51" s="76"/>
      <c r="BRK51" s="76"/>
      <c r="BRL51" s="76"/>
      <c r="BRM51" s="76"/>
      <c r="BRN51" s="76"/>
      <c r="BRO51" s="76"/>
      <c r="BRP51" s="76"/>
      <c r="BRQ51" s="76"/>
      <c r="BRR51" s="76"/>
      <c r="BRS51" s="76"/>
      <c r="BRT51" s="76"/>
      <c r="BRU51" s="76"/>
      <c r="BRV51" s="76"/>
      <c r="BRW51" s="76"/>
      <c r="BRX51" s="76"/>
      <c r="BRY51" s="76"/>
      <c r="BRZ51" s="76"/>
      <c r="BSA51" s="76"/>
      <c r="BSB51" s="76"/>
      <c r="BSC51" s="76"/>
      <c r="BSD51" s="76"/>
      <c r="BSE51" s="76"/>
      <c r="BSF51" s="76"/>
      <c r="BSG51" s="76"/>
      <c r="BSH51" s="76"/>
      <c r="BSI51" s="76"/>
      <c r="BSJ51" s="76"/>
      <c r="BSK51" s="76"/>
      <c r="BSL51" s="76"/>
      <c r="BSM51" s="76"/>
      <c r="BSN51" s="76"/>
      <c r="BSO51" s="76"/>
      <c r="BSP51" s="76"/>
      <c r="BSQ51" s="76"/>
      <c r="BSR51" s="76"/>
      <c r="BSS51" s="76"/>
      <c r="BST51" s="76"/>
      <c r="BSU51" s="76"/>
      <c r="BSV51" s="76"/>
      <c r="BSW51" s="76"/>
      <c r="BSX51" s="76"/>
      <c r="BSY51" s="76"/>
      <c r="BSZ51" s="76"/>
      <c r="BTA51" s="76"/>
      <c r="BTB51" s="76"/>
      <c r="BTC51" s="76"/>
      <c r="BTD51" s="76"/>
      <c r="BTE51" s="76"/>
      <c r="BTF51" s="76"/>
      <c r="BTG51" s="76"/>
      <c r="BTH51" s="76"/>
      <c r="BTI51" s="76"/>
      <c r="BTJ51" s="76"/>
      <c r="BTK51" s="76"/>
      <c r="BTL51" s="76"/>
      <c r="BTM51" s="76"/>
      <c r="BTN51" s="76"/>
      <c r="BTO51" s="76"/>
      <c r="BTP51" s="76"/>
      <c r="BTQ51" s="76"/>
      <c r="BTR51" s="76"/>
      <c r="BTS51" s="76"/>
      <c r="BTT51" s="76"/>
      <c r="BTU51" s="76"/>
      <c r="BTV51" s="76"/>
      <c r="BTW51" s="76"/>
      <c r="BTX51" s="76"/>
      <c r="BTY51" s="76"/>
      <c r="BTZ51" s="76"/>
      <c r="BUA51" s="76"/>
      <c r="BUB51" s="76"/>
      <c r="BUC51" s="76"/>
      <c r="BUD51" s="76"/>
      <c r="BUE51" s="76"/>
      <c r="BUF51" s="76"/>
      <c r="BUG51" s="76"/>
      <c r="BUH51" s="76"/>
      <c r="BUI51" s="76"/>
      <c r="BUJ51" s="76"/>
      <c r="BUK51" s="76"/>
      <c r="BUL51" s="76"/>
      <c r="BUM51" s="76"/>
      <c r="BUN51" s="76"/>
      <c r="BUO51" s="76"/>
      <c r="BUP51" s="76"/>
      <c r="BUQ51" s="76"/>
      <c r="BUR51" s="76"/>
      <c r="BUS51" s="76"/>
      <c r="BUT51" s="76"/>
      <c r="BUU51" s="76"/>
      <c r="BUV51" s="76"/>
      <c r="BUW51" s="76"/>
      <c r="BUX51" s="76"/>
      <c r="BUY51" s="76"/>
      <c r="BUZ51" s="76"/>
      <c r="BVA51" s="76"/>
      <c r="BVB51" s="76"/>
      <c r="BVC51" s="76"/>
      <c r="BVD51" s="76"/>
      <c r="BVE51" s="76"/>
      <c r="BVF51" s="76"/>
      <c r="BVG51" s="76"/>
      <c r="BVH51" s="76"/>
      <c r="BVI51" s="76"/>
      <c r="BVJ51" s="76"/>
      <c r="BVK51" s="76"/>
      <c r="BVL51" s="76"/>
      <c r="BVM51" s="76"/>
      <c r="BVN51" s="76"/>
      <c r="BVO51" s="76"/>
      <c r="BVP51" s="76"/>
      <c r="BVQ51" s="76"/>
      <c r="BVR51" s="76"/>
      <c r="BVS51" s="76"/>
      <c r="BVT51" s="76"/>
      <c r="BVU51" s="76"/>
      <c r="BVV51" s="76"/>
      <c r="BVW51" s="76"/>
      <c r="BVX51" s="76"/>
      <c r="BVY51" s="76"/>
      <c r="BVZ51" s="76"/>
      <c r="BWA51" s="76"/>
      <c r="BWB51" s="76"/>
      <c r="BWC51" s="76"/>
      <c r="BWD51" s="76"/>
      <c r="BWE51" s="76"/>
      <c r="BWF51" s="76"/>
      <c r="BWG51" s="76"/>
      <c r="BWH51" s="76"/>
      <c r="BWI51" s="76"/>
      <c r="BWJ51" s="76"/>
      <c r="BWK51" s="76"/>
      <c r="BWL51" s="76"/>
      <c r="BWM51" s="76"/>
      <c r="BWN51" s="76"/>
      <c r="BWO51" s="76"/>
      <c r="BWP51" s="76"/>
      <c r="BWQ51" s="76"/>
      <c r="BWR51" s="76"/>
      <c r="BWS51" s="76"/>
      <c r="BWT51" s="76"/>
      <c r="BWU51" s="76"/>
      <c r="BWV51" s="76"/>
      <c r="BWW51" s="76"/>
      <c r="BWX51" s="76"/>
      <c r="BWY51" s="76"/>
      <c r="BWZ51" s="76"/>
      <c r="BXA51" s="76"/>
      <c r="BXB51" s="76"/>
      <c r="BXC51" s="76"/>
      <c r="BXD51" s="76"/>
      <c r="BXE51" s="76"/>
      <c r="BXF51" s="76"/>
      <c r="BXG51" s="76"/>
      <c r="BXH51" s="76"/>
      <c r="BXI51" s="76"/>
      <c r="BXJ51" s="76"/>
      <c r="BXK51" s="76"/>
      <c r="BXL51" s="76"/>
      <c r="BXM51" s="76"/>
      <c r="BXN51" s="76"/>
      <c r="BXO51" s="76"/>
      <c r="BXP51" s="76"/>
      <c r="BXQ51" s="76"/>
      <c r="BXR51" s="76"/>
      <c r="BXS51" s="76"/>
      <c r="BXT51" s="76"/>
      <c r="BXU51" s="76"/>
      <c r="BXV51" s="76"/>
      <c r="BXW51" s="76"/>
      <c r="BXX51" s="76"/>
      <c r="BXY51" s="76"/>
      <c r="BXZ51" s="76"/>
      <c r="BYA51" s="76"/>
      <c r="BYB51" s="76"/>
      <c r="BYC51" s="76"/>
      <c r="BYD51" s="76"/>
      <c r="BYE51" s="76"/>
      <c r="BYF51" s="76"/>
      <c r="BYG51" s="76"/>
      <c r="BYH51" s="76"/>
      <c r="BYI51" s="76"/>
      <c r="BYJ51" s="76"/>
      <c r="BYK51" s="76"/>
      <c r="BYL51" s="76"/>
      <c r="BYM51" s="76"/>
      <c r="BYN51" s="76"/>
      <c r="BYO51" s="76"/>
      <c r="BYP51" s="76"/>
      <c r="BYQ51" s="76"/>
      <c r="BYR51" s="76"/>
      <c r="BYS51" s="76"/>
      <c r="BYT51" s="76"/>
      <c r="BYU51" s="76"/>
      <c r="BYV51" s="76"/>
      <c r="BYW51" s="76"/>
      <c r="BYX51" s="76"/>
      <c r="BYY51" s="76"/>
      <c r="BYZ51" s="76"/>
      <c r="BZA51" s="76"/>
      <c r="BZB51" s="76"/>
      <c r="BZC51" s="76"/>
      <c r="BZD51" s="76"/>
      <c r="BZE51" s="76"/>
      <c r="BZF51" s="76"/>
      <c r="BZG51" s="76"/>
      <c r="BZH51" s="76"/>
      <c r="BZI51" s="76"/>
      <c r="BZJ51" s="76"/>
      <c r="BZK51" s="76"/>
      <c r="BZL51" s="76"/>
      <c r="BZM51" s="76"/>
      <c r="BZN51" s="76"/>
      <c r="BZO51" s="76"/>
      <c r="BZP51" s="76"/>
      <c r="BZQ51" s="76"/>
      <c r="BZR51" s="76"/>
      <c r="BZS51" s="76"/>
      <c r="BZT51" s="76"/>
      <c r="BZU51" s="76"/>
      <c r="BZV51" s="76"/>
      <c r="BZW51" s="76"/>
      <c r="BZX51" s="76"/>
      <c r="BZY51" s="76"/>
      <c r="BZZ51" s="76"/>
      <c r="CAA51" s="76"/>
      <c r="CAB51" s="76"/>
      <c r="CAC51" s="76"/>
      <c r="CAD51" s="76"/>
      <c r="CAE51" s="76"/>
      <c r="CAF51" s="76"/>
      <c r="CAG51" s="76"/>
      <c r="CAH51" s="76"/>
      <c r="CAI51" s="76"/>
      <c r="CAJ51" s="76"/>
      <c r="CAK51" s="76"/>
      <c r="CAL51" s="76"/>
      <c r="CAM51" s="76"/>
      <c r="CAN51" s="76"/>
      <c r="CAO51" s="76"/>
      <c r="CAP51" s="76"/>
      <c r="CAQ51" s="76"/>
      <c r="CAR51" s="76"/>
      <c r="CAS51" s="76"/>
      <c r="CAT51" s="76"/>
      <c r="CAU51" s="76"/>
      <c r="CAV51" s="76"/>
      <c r="CAW51" s="76"/>
      <c r="CAX51" s="76"/>
      <c r="CAY51" s="76"/>
      <c r="CAZ51" s="76"/>
      <c r="CBA51" s="76"/>
      <c r="CBB51" s="76"/>
      <c r="CBC51" s="76"/>
      <c r="CBD51" s="76"/>
      <c r="CBE51" s="76"/>
      <c r="CBF51" s="76"/>
      <c r="CBG51" s="76"/>
      <c r="CBH51" s="76"/>
      <c r="CBI51" s="76"/>
      <c r="CBJ51" s="76"/>
      <c r="CBK51" s="76"/>
      <c r="CBL51" s="76"/>
      <c r="CBM51" s="76"/>
      <c r="CBN51" s="76"/>
      <c r="CBO51" s="76"/>
      <c r="CBP51" s="76"/>
      <c r="CBQ51" s="76"/>
      <c r="CBR51" s="76"/>
      <c r="CBS51" s="76"/>
      <c r="CBT51" s="76"/>
      <c r="CBU51" s="76"/>
      <c r="CBV51" s="76"/>
      <c r="CBW51" s="76"/>
      <c r="CBX51" s="76"/>
      <c r="CBY51" s="76"/>
      <c r="CBZ51" s="76"/>
      <c r="CCA51" s="76"/>
      <c r="CCB51" s="76"/>
      <c r="CCC51" s="76"/>
      <c r="CCD51" s="76"/>
      <c r="CCE51" s="76"/>
      <c r="CCF51" s="76"/>
      <c r="CCG51" s="76"/>
      <c r="CCH51" s="76"/>
      <c r="CCI51" s="76"/>
      <c r="CCJ51" s="76"/>
      <c r="CCK51" s="76"/>
      <c r="CCL51" s="76"/>
      <c r="CCM51" s="76"/>
      <c r="CCN51" s="76"/>
      <c r="CCO51" s="76"/>
      <c r="CCP51" s="76"/>
      <c r="CCQ51" s="76"/>
      <c r="CCR51" s="76"/>
      <c r="CCS51" s="76"/>
      <c r="CCT51" s="76"/>
      <c r="CCU51" s="76"/>
      <c r="CCV51" s="76"/>
      <c r="CCW51" s="76"/>
      <c r="CCX51" s="76"/>
      <c r="CCY51" s="76"/>
      <c r="CCZ51" s="76"/>
      <c r="CDA51" s="76"/>
      <c r="CDB51" s="76"/>
      <c r="CDC51" s="76"/>
      <c r="CDD51" s="76"/>
      <c r="CDE51" s="76"/>
      <c r="CDF51" s="76"/>
      <c r="CDG51" s="76"/>
      <c r="CDH51" s="76"/>
      <c r="CDI51" s="76"/>
      <c r="CDJ51" s="76"/>
      <c r="CDK51" s="76"/>
      <c r="CDL51" s="76"/>
      <c r="CDM51" s="76"/>
      <c r="CDN51" s="76"/>
      <c r="CDO51" s="76"/>
      <c r="CDP51" s="76"/>
      <c r="CDQ51" s="76"/>
      <c r="CDR51" s="76"/>
      <c r="CDS51" s="76"/>
      <c r="CDT51" s="76"/>
      <c r="CDU51" s="76"/>
      <c r="CDV51" s="76"/>
      <c r="CDW51" s="76"/>
      <c r="CDX51" s="76"/>
      <c r="CDY51" s="76"/>
      <c r="CDZ51" s="76"/>
      <c r="CEA51" s="76"/>
      <c r="CEB51" s="76"/>
      <c r="CEC51" s="76"/>
      <c r="CED51" s="76"/>
      <c r="CEE51" s="76"/>
      <c r="CEF51" s="76"/>
      <c r="CEG51" s="76"/>
      <c r="CEH51" s="76"/>
      <c r="CEI51" s="76"/>
      <c r="CEJ51" s="76"/>
      <c r="CEK51" s="76"/>
      <c r="CEL51" s="76"/>
      <c r="CEM51" s="76"/>
      <c r="CEN51" s="76"/>
      <c r="CEO51" s="76"/>
      <c r="CEP51" s="76"/>
      <c r="CEQ51" s="76"/>
      <c r="CER51" s="76"/>
      <c r="CES51" s="76"/>
      <c r="CET51" s="76"/>
      <c r="CEU51" s="76"/>
      <c r="CEV51" s="76"/>
      <c r="CEW51" s="76"/>
      <c r="CEX51" s="76"/>
      <c r="CEY51" s="76"/>
      <c r="CEZ51" s="76"/>
      <c r="CFA51" s="76"/>
      <c r="CFB51" s="76"/>
      <c r="CFC51" s="76"/>
      <c r="CFD51" s="76"/>
      <c r="CFE51" s="76"/>
      <c r="CFF51" s="76"/>
      <c r="CFG51" s="76"/>
      <c r="CFH51" s="76"/>
      <c r="CFI51" s="76"/>
      <c r="CFJ51" s="76"/>
      <c r="CFK51" s="76"/>
      <c r="CFL51" s="76"/>
      <c r="CFM51" s="76"/>
      <c r="CFN51" s="76"/>
      <c r="CFO51" s="76"/>
      <c r="CFP51" s="76"/>
      <c r="CFQ51" s="76"/>
      <c r="CFR51" s="76"/>
      <c r="CFS51" s="76"/>
      <c r="CFT51" s="76"/>
      <c r="CFU51" s="76"/>
      <c r="CFV51" s="76"/>
      <c r="CFW51" s="76"/>
      <c r="CFX51" s="76"/>
      <c r="CFY51" s="76"/>
      <c r="CFZ51" s="76"/>
      <c r="CGA51" s="76"/>
      <c r="CGB51" s="76"/>
      <c r="CGC51" s="76"/>
      <c r="CGD51" s="76"/>
      <c r="CGE51" s="76"/>
      <c r="CGF51" s="76"/>
      <c r="CGG51" s="76"/>
      <c r="CGH51" s="76"/>
      <c r="CGI51" s="76"/>
      <c r="CGJ51" s="76"/>
      <c r="CGK51" s="76"/>
      <c r="CGL51" s="76"/>
      <c r="CGM51" s="76"/>
      <c r="CGN51" s="76"/>
      <c r="CGO51" s="76"/>
      <c r="CGP51" s="76"/>
      <c r="CGQ51" s="76"/>
      <c r="CGR51" s="76"/>
      <c r="CGS51" s="76"/>
      <c r="CGT51" s="76"/>
      <c r="CGU51" s="76"/>
      <c r="CGV51" s="76"/>
      <c r="CGW51" s="76"/>
      <c r="CGX51" s="76"/>
      <c r="CGY51" s="76"/>
      <c r="CGZ51" s="76"/>
      <c r="CHA51" s="76"/>
      <c r="CHB51" s="76"/>
      <c r="CHC51" s="76"/>
      <c r="CHD51" s="76"/>
      <c r="CHE51" s="76"/>
      <c r="CHF51" s="76"/>
      <c r="CHG51" s="76"/>
      <c r="CHH51" s="76"/>
      <c r="CHI51" s="76"/>
      <c r="CHJ51" s="76"/>
      <c r="CHK51" s="76"/>
      <c r="CHL51" s="76"/>
      <c r="CHM51" s="76"/>
      <c r="CHN51" s="76"/>
      <c r="CHO51" s="76"/>
      <c r="CHP51" s="76"/>
      <c r="CHQ51" s="76"/>
      <c r="CHR51" s="76"/>
      <c r="CHS51" s="76"/>
      <c r="CHT51" s="76"/>
      <c r="CHU51" s="76"/>
      <c r="CHV51" s="76"/>
      <c r="CHW51" s="76"/>
      <c r="CHX51" s="76"/>
      <c r="CHY51" s="76"/>
      <c r="CHZ51" s="76"/>
      <c r="CIA51" s="76"/>
      <c r="CIB51" s="76"/>
      <c r="CIC51" s="76"/>
      <c r="CID51" s="76"/>
      <c r="CIE51" s="76"/>
      <c r="CIF51" s="76"/>
      <c r="CIG51" s="76"/>
      <c r="CIH51" s="76"/>
      <c r="CII51" s="76"/>
      <c r="CIJ51" s="76"/>
      <c r="CIK51" s="76"/>
      <c r="CIL51" s="76"/>
      <c r="CIM51" s="76"/>
      <c r="CIN51" s="76"/>
      <c r="CIO51" s="76"/>
      <c r="CIP51" s="76"/>
      <c r="CIQ51" s="76"/>
      <c r="CIR51" s="76"/>
      <c r="CIS51" s="76"/>
      <c r="CIT51" s="76"/>
      <c r="CIU51" s="76"/>
      <c r="CIV51" s="76"/>
      <c r="CIW51" s="76"/>
      <c r="CIX51" s="76"/>
      <c r="CIY51" s="76"/>
      <c r="CIZ51" s="76"/>
      <c r="CJA51" s="76"/>
      <c r="CJB51" s="76"/>
      <c r="CJC51" s="76"/>
      <c r="CJD51" s="76"/>
      <c r="CJE51" s="76"/>
      <c r="CJF51" s="76"/>
      <c r="CJG51" s="76"/>
      <c r="CJH51" s="76"/>
      <c r="CJI51" s="76"/>
      <c r="CJJ51" s="76"/>
      <c r="CJK51" s="76"/>
      <c r="CJL51" s="76"/>
      <c r="CJM51" s="76"/>
      <c r="CJN51" s="76"/>
      <c r="CJO51" s="76"/>
      <c r="CJP51" s="76"/>
      <c r="CJQ51" s="76"/>
      <c r="CJR51" s="76"/>
      <c r="CJS51" s="76"/>
      <c r="CJT51" s="76"/>
      <c r="CJU51" s="76"/>
      <c r="CJV51" s="76"/>
      <c r="CJW51" s="76"/>
      <c r="CJX51" s="76"/>
      <c r="CJY51" s="76"/>
      <c r="CJZ51" s="76"/>
      <c r="CKA51" s="76"/>
      <c r="CKB51" s="76"/>
      <c r="CKC51" s="76"/>
      <c r="CKD51" s="76"/>
      <c r="CKE51" s="76"/>
      <c r="CKF51" s="76"/>
      <c r="CKG51" s="76"/>
      <c r="CKH51" s="76"/>
      <c r="CKI51" s="76"/>
      <c r="CKJ51" s="76"/>
      <c r="CKK51" s="76"/>
      <c r="CKL51" s="76"/>
      <c r="CKM51" s="76"/>
      <c r="CKN51" s="76"/>
      <c r="CKO51" s="76"/>
      <c r="CKP51" s="76"/>
      <c r="CKQ51" s="76"/>
      <c r="CKR51" s="76"/>
      <c r="CKS51" s="76"/>
      <c r="CKT51" s="76"/>
      <c r="CKU51" s="76"/>
      <c r="CKV51" s="76"/>
      <c r="CKW51" s="76"/>
      <c r="CKX51" s="76"/>
      <c r="CKY51" s="76"/>
      <c r="CKZ51" s="76"/>
      <c r="CLA51" s="76"/>
      <c r="CLB51" s="76"/>
      <c r="CLC51" s="76"/>
      <c r="CLD51" s="76"/>
      <c r="CLE51" s="76"/>
      <c r="CLF51" s="76"/>
      <c r="CLG51" s="76"/>
      <c r="CLH51" s="76"/>
      <c r="CLI51" s="76"/>
      <c r="CLJ51" s="76"/>
      <c r="CLK51" s="76"/>
      <c r="CLL51" s="76"/>
      <c r="CLM51" s="76"/>
      <c r="CLN51" s="76"/>
      <c r="CLO51" s="76"/>
      <c r="CLP51" s="76"/>
      <c r="CLQ51" s="76"/>
      <c r="CLR51" s="76"/>
      <c r="CLS51" s="76"/>
      <c r="CLT51" s="76"/>
      <c r="CLU51" s="76"/>
      <c r="CLV51" s="76"/>
      <c r="CLW51" s="76"/>
      <c r="CLX51" s="76"/>
      <c r="CLY51" s="76"/>
      <c r="CLZ51" s="76"/>
      <c r="CMA51" s="76"/>
      <c r="CMB51" s="76"/>
      <c r="CMC51" s="76"/>
      <c r="CMD51" s="76"/>
      <c r="CME51" s="76"/>
      <c r="CMF51" s="76"/>
      <c r="CMG51" s="76"/>
      <c r="CMH51" s="76"/>
      <c r="CMI51" s="76"/>
      <c r="CMJ51" s="76"/>
      <c r="CMK51" s="76"/>
      <c r="CML51" s="76"/>
      <c r="CMM51" s="76"/>
      <c r="CMN51" s="76"/>
      <c r="CMO51" s="76"/>
      <c r="CMP51" s="76"/>
      <c r="CMQ51" s="76"/>
      <c r="CMR51" s="76"/>
      <c r="CMS51" s="76"/>
      <c r="CMT51" s="76"/>
      <c r="CMU51" s="76"/>
      <c r="CMV51" s="76"/>
      <c r="CMW51" s="76"/>
      <c r="CMX51" s="76"/>
      <c r="CMY51" s="76"/>
      <c r="CMZ51" s="76"/>
      <c r="CNA51" s="76"/>
      <c r="CNB51" s="76"/>
      <c r="CNC51" s="76"/>
      <c r="CND51" s="76"/>
      <c r="CNE51" s="76"/>
      <c r="CNF51" s="76"/>
      <c r="CNG51" s="76"/>
      <c r="CNH51" s="76"/>
      <c r="CNI51" s="76"/>
      <c r="CNJ51" s="76"/>
      <c r="CNK51" s="76"/>
      <c r="CNL51" s="76"/>
      <c r="CNM51" s="76"/>
      <c r="CNN51" s="76"/>
      <c r="CNO51" s="76"/>
      <c r="CNP51" s="76"/>
      <c r="CNQ51" s="76"/>
      <c r="CNR51" s="76"/>
      <c r="CNS51" s="76"/>
      <c r="CNT51" s="76"/>
      <c r="CNU51" s="76"/>
      <c r="CNV51" s="76"/>
      <c r="CNW51" s="76"/>
      <c r="CNX51" s="76"/>
      <c r="CNY51" s="76"/>
      <c r="CNZ51" s="76"/>
      <c r="COA51" s="76"/>
      <c r="COB51" s="76"/>
      <c r="COC51" s="76"/>
      <c r="COD51" s="76"/>
      <c r="COE51" s="76"/>
      <c r="COF51" s="76"/>
      <c r="COG51" s="76"/>
      <c r="COH51" s="76"/>
      <c r="COI51" s="76"/>
      <c r="COJ51" s="76"/>
      <c r="COK51" s="76"/>
      <c r="COL51" s="76"/>
      <c r="COM51" s="76"/>
      <c r="CON51" s="76"/>
      <c r="COO51" s="76"/>
      <c r="COP51" s="76"/>
      <c r="COQ51" s="76"/>
      <c r="COR51" s="76"/>
      <c r="COS51" s="76"/>
      <c r="COT51" s="76"/>
      <c r="COU51" s="76"/>
      <c r="COV51" s="76"/>
      <c r="COW51" s="76"/>
      <c r="COX51" s="76"/>
      <c r="COY51" s="76"/>
      <c r="COZ51" s="76"/>
      <c r="CPA51" s="76"/>
      <c r="CPB51" s="76"/>
      <c r="CPC51" s="76"/>
      <c r="CPD51" s="76"/>
      <c r="CPE51" s="76"/>
      <c r="CPF51" s="76"/>
      <c r="CPG51" s="76"/>
      <c r="CPH51" s="76"/>
      <c r="CPI51" s="76"/>
      <c r="CPJ51" s="76"/>
      <c r="CPK51" s="76"/>
      <c r="CPL51" s="76"/>
      <c r="CPM51" s="76"/>
      <c r="CPN51" s="76"/>
      <c r="CPO51" s="76"/>
      <c r="CPP51" s="76"/>
      <c r="CPQ51" s="76"/>
      <c r="CPR51" s="76"/>
      <c r="CPS51" s="76"/>
      <c r="CPT51" s="76"/>
      <c r="CPU51" s="76"/>
      <c r="CPV51" s="76"/>
      <c r="CPW51" s="76"/>
      <c r="CPX51" s="76"/>
      <c r="CPY51" s="76"/>
      <c r="CPZ51" s="76"/>
      <c r="CQA51" s="76"/>
      <c r="CQB51" s="76"/>
      <c r="CQC51" s="76"/>
      <c r="CQD51" s="76"/>
      <c r="CQE51" s="76"/>
      <c r="CQF51" s="76"/>
      <c r="CQG51" s="76"/>
      <c r="CQH51" s="76"/>
      <c r="CQI51" s="76"/>
      <c r="CQJ51" s="76"/>
      <c r="CQK51" s="76"/>
      <c r="CQL51" s="76"/>
      <c r="CQM51" s="76"/>
      <c r="CQN51" s="76"/>
      <c r="CQO51" s="76"/>
      <c r="CQP51" s="76"/>
      <c r="CQQ51" s="76"/>
      <c r="CQR51" s="76"/>
      <c r="CQS51" s="76"/>
      <c r="CQT51" s="76"/>
      <c r="CQU51" s="76"/>
      <c r="CQV51" s="76"/>
      <c r="CQW51" s="76"/>
      <c r="CQX51" s="76"/>
      <c r="CQY51" s="76"/>
      <c r="CQZ51" s="76"/>
      <c r="CRA51" s="76"/>
      <c r="CRB51" s="76"/>
      <c r="CRC51" s="76"/>
      <c r="CRD51" s="76"/>
      <c r="CRE51" s="76"/>
      <c r="CRF51" s="76"/>
      <c r="CRG51" s="76"/>
      <c r="CRH51" s="76"/>
      <c r="CRI51" s="76"/>
      <c r="CRJ51" s="76"/>
      <c r="CRK51" s="76"/>
      <c r="CRL51" s="76"/>
      <c r="CRM51" s="76"/>
      <c r="CRN51" s="76"/>
      <c r="CRO51" s="76"/>
      <c r="CRP51" s="76"/>
      <c r="CRQ51" s="76"/>
      <c r="CRR51" s="76"/>
      <c r="CRS51" s="76"/>
      <c r="CRT51" s="76"/>
      <c r="CRU51" s="76"/>
      <c r="CRV51" s="76"/>
      <c r="CRW51" s="76"/>
      <c r="CRX51" s="76"/>
      <c r="CRY51" s="76"/>
      <c r="CRZ51" s="76"/>
      <c r="CSA51" s="76"/>
      <c r="CSB51" s="76"/>
      <c r="CSC51" s="76"/>
      <c r="CSD51" s="76"/>
      <c r="CSE51" s="76"/>
      <c r="CSF51" s="76"/>
      <c r="CSG51" s="76"/>
      <c r="CSH51" s="76"/>
      <c r="CSI51" s="76"/>
      <c r="CSJ51" s="76"/>
      <c r="CSK51" s="76"/>
      <c r="CSL51" s="76"/>
      <c r="CSM51" s="76"/>
      <c r="CSN51" s="76"/>
      <c r="CSO51" s="76"/>
      <c r="CSP51" s="76"/>
      <c r="CSQ51" s="76"/>
      <c r="CSR51" s="76"/>
      <c r="CSS51" s="76"/>
      <c r="CST51" s="76"/>
      <c r="CSU51" s="76"/>
      <c r="CSV51" s="76"/>
      <c r="CSW51" s="76"/>
      <c r="CSX51" s="76"/>
      <c r="CSY51" s="76"/>
      <c r="CSZ51" s="76"/>
      <c r="CTA51" s="76"/>
      <c r="CTB51" s="76"/>
      <c r="CTC51" s="76"/>
      <c r="CTD51" s="76"/>
      <c r="CTE51" s="76"/>
      <c r="CTF51" s="76"/>
      <c r="CTG51" s="76"/>
      <c r="CTH51" s="76"/>
      <c r="CTI51" s="76"/>
      <c r="CTJ51" s="76"/>
      <c r="CTK51" s="76"/>
      <c r="CTL51" s="76"/>
      <c r="CTM51" s="76"/>
      <c r="CTN51" s="76"/>
      <c r="CTO51" s="76"/>
      <c r="CTP51" s="76"/>
      <c r="CTQ51" s="76"/>
      <c r="CTR51" s="76"/>
      <c r="CTS51" s="76"/>
      <c r="CTT51" s="76"/>
      <c r="CTU51" s="76"/>
      <c r="CTV51" s="76"/>
      <c r="CTW51" s="76"/>
      <c r="CTX51" s="76"/>
      <c r="CTY51" s="76"/>
      <c r="CTZ51" s="76"/>
      <c r="CUA51" s="76"/>
      <c r="CUB51" s="76"/>
      <c r="CUC51" s="76"/>
      <c r="CUD51" s="76"/>
      <c r="CUE51" s="76"/>
      <c r="CUF51" s="76"/>
      <c r="CUG51" s="76"/>
      <c r="CUH51" s="76"/>
      <c r="CUI51" s="76"/>
      <c r="CUJ51" s="76"/>
      <c r="CUK51" s="76"/>
      <c r="CUL51" s="76"/>
      <c r="CUM51" s="76"/>
      <c r="CUN51" s="76"/>
      <c r="CUO51" s="76"/>
      <c r="CUP51" s="76"/>
      <c r="CUQ51" s="76"/>
      <c r="CUR51" s="76"/>
      <c r="CUS51" s="76"/>
      <c r="CUT51" s="76"/>
      <c r="CUU51" s="76"/>
      <c r="CUV51" s="76"/>
      <c r="CUW51" s="76"/>
      <c r="CUX51" s="76"/>
      <c r="CUY51" s="76"/>
      <c r="CUZ51" s="76"/>
      <c r="CVA51" s="76"/>
      <c r="CVB51" s="76"/>
      <c r="CVC51" s="76"/>
      <c r="CVD51" s="76"/>
      <c r="CVE51" s="76"/>
      <c r="CVF51" s="76"/>
      <c r="CVG51" s="76"/>
      <c r="CVH51" s="76"/>
      <c r="CVI51" s="76"/>
      <c r="CVJ51" s="76"/>
      <c r="CVK51" s="76"/>
      <c r="CVL51" s="76"/>
      <c r="CVM51" s="76"/>
      <c r="CVN51" s="76"/>
      <c r="CVO51" s="76"/>
      <c r="CVP51" s="76"/>
      <c r="CVQ51" s="76"/>
      <c r="CVR51" s="76"/>
      <c r="CVS51" s="76"/>
      <c r="CVT51" s="76"/>
      <c r="CVU51" s="76"/>
      <c r="CVV51" s="76"/>
      <c r="CVW51" s="76"/>
      <c r="CVX51" s="76"/>
      <c r="CVY51" s="76"/>
      <c r="CVZ51" s="76"/>
      <c r="CWA51" s="76"/>
      <c r="CWB51" s="76"/>
      <c r="CWC51" s="76"/>
      <c r="CWD51" s="76"/>
      <c r="CWE51" s="76"/>
      <c r="CWF51" s="76"/>
      <c r="CWG51" s="76"/>
      <c r="CWH51" s="76"/>
      <c r="CWI51" s="76"/>
      <c r="CWJ51" s="76"/>
      <c r="CWK51" s="76"/>
      <c r="CWL51" s="76"/>
      <c r="CWM51" s="76"/>
      <c r="CWN51" s="76"/>
      <c r="CWO51" s="76"/>
      <c r="CWP51" s="76"/>
      <c r="CWQ51" s="76"/>
      <c r="CWR51" s="76"/>
      <c r="CWS51" s="76"/>
      <c r="CWT51" s="76"/>
      <c r="CWU51" s="76"/>
      <c r="CWV51" s="76"/>
      <c r="CWW51" s="76"/>
      <c r="CWX51" s="76"/>
      <c r="CWY51" s="76"/>
      <c r="CWZ51" s="76"/>
      <c r="CXA51" s="76"/>
      <c r="CXB51" s="76"/>
      <c r="CXC51" s="76"/>
      <c r="CXD51" s="76"/>
      <c r="CXE51" s="76"/>
      <c r="CXF51" s="76"/>
      <c r="CXG51" s="76"/>
      <c r="CXH51" s="76"/>
      <c r="CXI51" s="76"/>
      <c r="CXJ51" s="76"/>
      <c r="CXK51" s="76"/>
      <c r="CXL51" s="76"/>
      <c r="CXM51" s="76"/>
      <c r="CXN51" s="76"/>
      <c r="CXO51" s="76"/>
      <c r="CXP51" s="76"/>
      <c r="CXQ51" s="76"/>
      <c r="CXR51" s="76"/>
      <c r="CXS51" s="76"/>
      <c r="CXT51" s="76"/>
      <c r="CXU51" s="76"/>
      <c r="CXV51" s="76"/>
      <c r="CXW51" s="76"/>
      <c r="CXX51" s="76"/>
      <c r="CXY51" s="76"/>
      <c r="CXZ51" s="76"/>
      <c r="CYA51" s="76"/>
      <c r="CYB51" s="76"/>
      <c r="CYC51" s="76"/>
      <c r="CYD51" s="76"/>
      <c r="CYE51" s="76"/>
      <c r="CYF51" s="76"/>
      <c r="CYG51" s="76"/>
      <c r="CYH51" s="76"/>
      <c r="CYI51" s="76"/>
      <c r="CYJ51" s="76"/>
      <c r="CYK51" s="76"/>
      <c r="CYL51" s="76"/>
      <c r="CYM51" s="76"/>
      <c r="CYN51" s="76"/>
      <c r="CYO51" s="76"/>
      <c r="CYP51" s="76"/>
      <c r="CYQ51" s="76"/>
      <c r="CYR51" s="76"/>
      <c r="CYS51" s="76"/>
      <c r="CYT51" s="76"/>
      <c r="CYU51" s="76"/>
      <c r="CYV51" s="76"/>
      <c r="CYW51" s="76"/>
      <c r="CYX51" s="76"/>
      <c r="CYY51" s="76"/>
      <c r="CYZ51" s="76"/>
      <c r="CZA51" s="76"/>
      <c r="CZB51" s="76"/>
      <c r="CZC51" s="76"/>
      <c r="CZD51" s="76"/>
      <c r="CZE51" s="76"/>
      <c r="CZF51" s="76"/>
      <c r="CZG51" s="76"/>
      <c r="CZH51" s="76"/>
      <c r="CZI51" s="76"/>
      <c r="CZJ51" s="76"/>
      <c r="CZK51" s="76"/>
      <c r="CZL51" s="76"/>
      <c r="CZM51" s="76"/>
      <c r="CZN51" s="76"/>
      <c r="CZO51" s="76"/>
      <c r="CZP51" s="76"/>
      <c r="CZQ51" s="76"/>
      <c r="CZR51" s="76"/>
      <c r="CZS51" s="76"/>
      <c r="CZT51" s="76"/>
      <c r="CZU51" s="76"/>
      <c r="CZV51" s="76"/>
      <c r="CZW51" s="76"/>
      <c r="CZX51" s="76"/>
      <c r="CZY51" s="76"/>
      <c r="CZZ51" s="76"/>
      <c r="DAA51" s="76"/>
      <c r="DAB51" s="76"/>
      <c r="DAC51" s="76"/>
      <c r="DAD51" s="76"/>
      <c r="DAE51" s="76"/>
      <c r="DAF51" s="76"/>
      <c r="DAG51" s="76"/>
      <c r="DAH51" s="76"/>
      <c r="DAI51" s="76"/>
      <c r="DAJ51" s="76"/>
      <c r="DAK51" s="76"/>
      <c r="DAL51" s="76"/>
      <c r="DAM51" s="76"/>
      <c r="DAN51" s="76"/>
      <c r="DAO51" s="76"/>
      <c r="DAP51" s="76"/>
      <c r="DAQ51" s="76"/>
      <c r="DAR51" s="76"/>
      <c r="DAS51" s="76"/>
      <c r="DAT51" s="76"/>
      <c r="DAU51" s="76"/>
      <c r="DAV51" s="76"/>
      <c r="DAW51" s="76"/>
      <c r="DAX51" s="76"/>
      <c r="DAY51" s="76"/>
      <c r="DAZ51" s="76"/>
      <c r="DBA51" s="76"/>
      <c r="DBB51" s="76"/>
      <c r="DBC51" s="76"/>
      <c r="DBD51" s="76"/>
      <c r="DBE51" s="76"/>
      <c r="DBF51" s="76"/>
      <c r="DBG51" s="76"/>
      <c r="DBH51" s="76"/>
      <c r="DBI51" s="76"/>
      <c r="DBJ51" s="76"/>
      <c r="DBK51" s="76"/>
      <c r="DBL51" s="76"/>
      <c r="DBM51" s="76"/>
      <c r="DBN51" s="76"/>
      <c r="DBO51" s="76"/>
      <c r="DBP51" s="76"/>
      <c r="DBQ51" s="76"/>
      <c r="DBR51" s="76"/>
      <c r="DBS51" s="76"/>
      <c r="DBT51" s="76"/>
      <c r="DBU51" s="76"/>
      <c r="DBV51" s="76"/>
      <c r="DBW51" s="76"/>
      <c r="DBX51" s="76"/>
      <c r="DBY51" s="76"/>
      <c r="DBZ51" s="76"/>
      <c r="DCA51" s="76"/>
      <c r="DCB51" s="76"/>
      <c r="DCC51" s="76"/>
      <c r="DCD51" s="76"/>
      <c r="DCE51" s="76"/>
      <c r="DCF51" s="76"/>
      <c r="DCG51" s="76"/>
      <c r="DCH51" s="76"/>
      <c r="DCI51" s="76"/>
      <c r="DCJ51" s="76"/>
      <c r="DCK51" s="76"/>
      <c r="DCL51" s="76"/>
      <c r="DCM51" s="76"/>
      <c r="DCN51" s="76"/>
      <c r="DCO51" s="76"/>
      <c r="DCP51" s="76"/>
      <c r="DCQ51" s="76"/>
      <c r="DCR51" s="76"/>
      <c r="DCS51" s="76"/>
      <c r="DCT51" s="76"/>
      <c r="DCU51" s="76"/>
      <c r="DCV51" s="76"/>
      <c r="DCW51" s="76"/>
      <c r="DCX51" s="76"/>
      <c r="DCY51" s="76"/>
      <c r="DCZ51" s="76"/>
      <c r="DDA51" s="76"/>
      <c r="DDB51" s="76"/>
      <c r="DDC51" s="76"/>
      <c r="DDD51" s="76"/>
      <c r="DDE51" s="76"/>
      <c r="DDF51" s="76"/>
      <c r="DDG51" s="76"/>
      <c r="DDH51" s="76"/>
      <c r="DDI51" s="76"/>
      <c r="DDJ51" s="76"/>
      <c r="DDK51" s="76"/>
      <c r="DDL51" s="76"/>
      <c r="DDM51" s="76"/>
      <c r="DDN51" s="76"/>
      <c r="DDO51" s="76"/>
      <c r="DDP51" s="76"/>
      <c r="DDQ51" s="76"/>
      <c r="DDR51" s="76"/>
      <c r="DDS51" s="76"/>
      <c r="DDT51" s="76"/>
      <c r="DDU51" s="76"/>
      <c r="DDV51" s="76"/>
      <c r="DDW51" s="76"/>
      <c r="DDX51" s="76"/>
      <c r="DDY51" s="76"/>
      <c r="DDZ51" s="76"/>
      <c r="DEA51" s="76"/>
      <c r="DEB51" s="76"/>
      <c r="DEC51" s="76"/>
      <c r="DED51" s="76"/>
      <c r="DEE51" s="76"/>
      <c r="DEF51" s="76"/>
      <c r="DEG51" s="76"/>
      <c r="DEH51" s="76"/>
      <c r="DEI51" s="76"/>
      <c r="DEJ51" s="76"/>
      <c r="DEK51" s="76"/>
      <c r="DEL51" s="76"/>
      <c r="DEM51" s="76"/>
      <c r="DEN51" s="76"/>
      <c r="DEO51" s="76"/>
      <c r="DEP51" s="76"/>
      <c r="DEQ51" s="76"/>
      <c r="DER51" s="76"/>
      <c r="DES51" s="76"/>
      <c r="DET51" s="76"/>
      <c r="DEU51" s="76"/>
      <c r="DEV51" s="76"/>
      <c r="DEW51" s="76"/>
      <c r="DEX51" s="76"/>
      <c r="DEY51" s="76"/>
      <c r="DEZ51" s="76"/>
      <c r="DFA51" s="76"/>
      <c r="DFB51" s="76"/>
      <c r="DFC51" s="76"/>
      <c r="DFD51" s="76"/>
      <c r="DFE51" s="76"/>
      <c r="DFF51" s="76"/>
      <c r="DFG51" s="76"/>
      <c r="DFH51" s="76"/>
      <c r="DFI51" s="76"/>
      <c r="DFJ51" s="76"/>
      <c r="DFK51" s="76"/>
      <c r="DFL51" s="76"/>
      <c r="DFM51" s="76"/>
      <c r="DFN51" s="76"/>
      <c r="DFO51" s="76"/>
      <c r="DFP51" s="76"/>
      <c r="DFQ51" s="76"/>
      <c r="DFR51" s="76"/>
      <c r="DFS51" s="76"/>
      <c r="DFT51" s="76"/>
      <c r="DFU51" s="76"/>
      <c r="DFV51" s="76"/>
      <c r="DFW51" s="76"/>
      <c r="DFX51" s="76"/>
      <c r="DFY51" s="76"/>
      <c r="DFZ51" s="76"/>
      <c r="DGA51" s="76"/>
      <c r="DGB51" s="76"/>
      <c r="DGC51" s="76"/>
      <c r="DGD51" s="76"/>
      <c r="DGE51" s="76"/>
      <c r="DGF51" s="76"/>
      <c r="DGG51" s="76"/>
      <c r="DGH51" s="76"/>
      <c r="DGI51" s="76"/>
      <c r="DGJ51" s="76"/>
      <c r="DGK51" s="76"/>
      <c r="DGL51" s="76"/>
      <c r="DGM51" s="76"/>
      <c r="DGN51" s="76"/>
      <c r="DGO51" s="76"/>
      <c r="DGP51" s="76"/>
      <c r="DGQ51" s="76"/>
      <c r="DGR51" s="76"/>
      <c r="DGS51" s="76"/>
      <c r="DGT51" s="76"/>
      <c r="DGU51" s="76"/>
      <c r="DGV51" s="76"/>
      <c r="DGW51" s="76"/>
      <c r="DGX51" s="76"/>
      <c r="DGY51" s="76"/>
      <c r="DGZ51" s="76"/>
      <c r="DHA51" s="76"/>
      <c r="DHB51" s="76"/>
      <c r="DHC51" s="76"/>
      <c r="DHD51" s="76"/>
      <c r="DHE51" s="76"/>
      <c r="DHF51" s="76"/>
      <c r="DHG51" s="76"/>
      <c r="DHH51" s="76"/>
      <c r="DHI51" s="76"/>
      <c r="DHJ51" s="76"/>
      <c r="DHK51" s="76"/>
      <c r="DHL51" s="76"/>
      <c r="DHM51" s="76"/>
      <c r="DHN51" s="76"/>
      <c r="DHO51" s="76"/>
      <c r="DHP51" s="76"/>
      <c r="DHQ51" s="76"/>
      <c r="DHR51" s="76"/>
      <c r="DHS51" s="76"/>
      <c r="DHT51" s="76"/>
      <c r="DHU51" s="76"/>
      <c r="DHV51" s="76"/>
      <c r="DHW51" s="76"/>
      <c r="DHX51" s="76"/>
      <c r="DHY51" s="76"/>
      <c r="DHZ51" s="76"/>
      <c r="DIA51" s="76"/>
      <c r="DIB51" s="76"/>
      <c r="DIC51" s="76"/>
      <c r="DID51" s="76"/>
      <c r="DIE51" s="76"/>
      <c r="DIF51" s="76"/>
      <c r="DIG51" s="76"/>
      <c r="DIH51" s="76"/>
      <c r="DII51" s="76"/>
      <c r="DIJ51" s="76"/>
      <c r="DIK51" s="76"/>
      <c r="DIL51" s="76"/>
      <c r="DIM51" s="76"/>
      <c r="DIN51" s="76"/>
      <c r="DIO51" s="76"/>
      <c r="DIP51" s="76"/>
      <c r="DIQ51" s="76"/>
      <c r="DIR51" s="76"/>
      <c r="DIS51" s="76"/>
      <c r="DIT51" s="76"/>
      <c r="DIU51" s="76"/>
      <c r="DIV51" s="76"/>
      <c r="DIW51" s="76"/>
      <c r="DIX51" s="76"/>
      <c r="DIY51" s="76"/>
      <c r="DIZ51" s="76"/>
      <c r="DJA51" s="76"/>
      <c r="DJB51" s="76"/>
      <c r="DJC51" s="76"/>
      <c r="DJD51" s="76"/>
      <c r="DJE51" s="76"/>
      <c r="DJF51" s="76"/>
      <c r="DJG51" s="76"/>
      <c r="DJH51" s="76"/>
      <c r="DJI51" s="76"/>
      <c r="DJJ51" s="76"/>
      <c r="DJK51" s="76"/>
      <c r="DJL51" s="76"/>
      <c r="DJM51" s="76"/>
      <c r="DJN51" s="76"/>
      <c r="DJO51" s="76"/>
      <c r="DJP51" s="76"/>
      <c r="DJQ51" s="76"/>
      <c r="DJR51" s="76"/>
      <c r="DJS51" s="76"/>
      <c r="DJT51" s="76"/>
      <c r="DJU51" s="76"/>
      <c r="DJV51" s="76"/>
      <c r="DJW51" s="76"/>
      <c r="DJX51" s="76"/>
      <c r="DJY51" s="76"/>
      <c r="DJZ51" s="76"/>
      <c r="DKA51" s="76"/>
      <c r="DKB51" s="76"/>
      <c r="DKC51" s="76"/>
      <c r="DKD51" s="76"/>
      <c r="DKE51" s="76"/>
      <c r="DKF51" s="76"/>
      <c r="DKG51" s="76"/>
      <c r="DKH51" s="76"/>
      <c r="DKI51" s="76"/>
      <c r="DKJ51" s="76"/>
      <c r="DKK51" s="76"/>
      <c r="DKL51" s="76"/>
      <c r="DKM51" s="76"/>
      <c r="DKN51" s="76"/>
      <c r="DKO51" s="76"/>
      <c r="DKP51" s="76"/>
      <c r="DKQ51" s="76"/>
      <c r="DKR51" s="76"/>
      <c r="DKS51" s="76"/>
      <c r="DKT51" s="76"/>
      <c r="DKU51" s="76"/>
      <c r="DKV51" s="76"/>
      <c r="DKW51" s="76"/>
      <c r="DKX51" s="76"/>
      <c r="DKY51" s="76"/>
      <c r="DKZ51" s="76"/>
      <c r="DLA51" s="76"/>
      <c r="DLB51" s="76"/>
      <c r="DLC51" s="76"/>
      <c r="DLD51" s="76"/>
      <c r="DLE51" s="76"/>
      <c r="DLF51" s="76"/>
      <c r="DLG51" s="76"/>
      <c r="DLH51" s="76"/>
      <c r="DLI51" s="76"/>
      <c r="DLJ51" s="76"/>
      <c r="DLK51" s="76"/>
      <c r="DLL51" s="76"/>
      <c r="DLM51" s="76"/>
      <c r="DLN51" s="76"/>
      <c r="DLO51" s="76"/>
      <c r="DLP51" s="76"/>
      <c r="DLQ51" s="76"/>
      <c r="DLR51" s="76"/>
      <c r="DLS51" s="76"/>
      <c r="DLT51" s="76"/>
      <c r="DLU51" s="76"/>
      <c r="DLV51" s="76"/>
      <c r="DLW51" s="76"/>
      <c r="DLX51" s="76"/>
      <c r="DLY51" s="76"/>
      <c r="DLZ51" s="76"/>
      <c r="DMA51" s="76"/>
      <c r="DMB51" s="76"/>
      <c r="DMC51" s="76"/>
      <c r="DMD51" s="76"/>
      <c r="DME51" s="76"/>
      <c r="DMF51" s="76"/>
      <c r="DMG51" s="76"/>
      <c r="DMH51" s="76"/>
      <c r="DMI51" s="76"/>
      <c r="DMJ51" s="76"/>
      <c r="DMK51" s="76"/>
      <c r="DML51" s="76"/>
      <c r="DMM51" s="76"/>
      <c r="DMN51" s="76"/>
      <c r="DMO51" s="76"/>
      <c r="DMP51" s="76"/>
      <c r="DMQ51" s="76"/>
      <c r="DMR51" s="76"/>
      <c r="DMS51" s="76"/>
      <c r="DMT51" s="76"/>
      <c r="DMU51" s="76"/>
      <c r="DMV51" s="76"/>
      <c r="DMW51" s="76"/>
      <c r="DMX51" s="76"/>
      <c r="DMY51" s="76"/>
      <c r="DMZ51" s="76"/>
      <c r="DNA51" s="76"/>
      <c r="DNB51" s="76"/>
      <c r="DNC51" s="76"/>
      <c r="DND51" s="76"/>
      <c r="DNE51" s="76"/>
      <c r="DNF51" s="76"/>
      <c r="DNG51" s="76"/>
      <c r="DNH51" s="76"/>
      <c r="DNI51" s="76"/>
      <c r="DNJ51" s="76"/>
      <c r="DNK51" s="76"/>
      <c r="DNL51" s="76"/>
      <c r="DNM51" s="76"/>
      <c r="DNN51" s="76"/>
      <c r="DNO51" s="76"/>
      <c r="DNP51" s="76"/>
      <c r="DNQ51" s="76"/>
      <c r="DNR51" s="76"/>
      <c r="DNS51" s="76"/>
      <c r="DNT51" s="76"/>
      <c r="DNU51" s="76"/>
      <c r="DNV51" s="76"/>
      <c r="DNW51" s="76"/>
      <c r="DNX51" s="76"/>
      <c r="DNY51" s="76"/>
      <c r="DNZ51" s="76"/>
      <c r="DOA51" s="76"/>
      <c r="DOB51" s="76"/>
      <c r="DOC51" s="76"/>
      <c r="DOD51" s="76"/>
      <c r="DOE51" s="76"/>
      <c r="DOF51" s="76"/>
      <c r="DOG51" s="76"/>
      <c r="DOH51" s="76"/>
      <c r="DOI51" s="76"/>
      <c r="DOJ51" s="76"/>
      <c r="DOK51" s="76"/>
      <c r="DOL51" s="76"/>
      <c r="DOM51" s="76"/>
      <c r="DON51" s="76"/>
      <c r="DOO51" s="76"/>
      <c r="DOP51" s="76"/>
      <c r="DOQ51" s="76"/>
      <c r="DOR51" s="76"/>
      <c r="DOS51" s="76"/>
      <c r="DOT51" s="76"/>
      <c r="DOU51" s="76"/>
      <c r="DOV51" s="76"/>
      <c r="DOW51" s="76"/>
      <c r="DOX51" s="76"/>
      <c r="DOY51" s="76"/>
      <c r="DOZ51" s="76"/>
      <c r="DPA51" s="76"/>
      <c r="DPB51" s="76"/>
      <c r="DPC51" s="76"/>
      <c r="DPD51" s="76"/>
      <c r="DPE51" s="76"/>
      <c r="DPF51" s="76"/>
      <c r="DPG51" s="76"/>
      <c r="DPH51" s="76"/>
      <c r="DPI51" s="76"/>
      <c r="DPJ51" s="76"/>
      <c r="DPK51" s="76"/>
      <c r="DPL51" s="76"/>
      <c r="DPM51" s="76"/>
      <c r="DPN51" s="76"/>
      <c r="DPO51" s="76"/>
      <c r="DPP51" s="76"/>
      <c r="DPQ51" s="76"/>
      <c r="DPR51" s="76"/>
      <c r="DPS51" s="76"/>
      <c r="DPT51" s="76"/>
      <c r="DPU51" s="76"/>
      <c r="DPV51" s="76"/>
      <c r="DPW51" s="76"/>
      <c r="DPX51" s="76"/>
      <c r="DPY51" s="76"/>
      <c r="DPZ51" s="76"/>
      <c r="DQA51" s="76"/>
      <c r="DQB51" s="76"/>
      <c r="DQC51" s="76"/>
      <c r="DQD51" s="76"/>
      <c r="DQE51" s="76"/>
      <c r="DQF51" s="76"/>
      <c r="DQG51" s="76"/>
      <c r="DQH51" s="76"/>
      <c r="DQI51" s="76"/>
      <c r="DQJ51" s="76"/>
      <c r="DQK51" s="76"/>
      <c r="DQL51" s="76"/>
      <c r="DQM51" s="76"/>
      <c r="DQN51" s="76"/>
      <c r="DQO51" s="76"/>
      <c r="DQP51" s="76"/>
      <c r="DQQ51" s="76"/>
      <c r="DQR51" s="76"/>
      <c r="DQS51" s="76"/>
      <c r="DQT51" s="76"/>
      <c r="DQU51" s="76"/>
      <c r="DQV51" s="76"/>
      <c r="DQW51" s="76"/>
      <c r="DQX51" s="76"/>
      <c r="DQY51" s="76"/>
      <c r="DQZ51" s="76"/>
      <c r="DRA51" s="76"/>
      <c r="DRB51" s="76"/>
      <c r="DRC51" s="76"/>
      <c r="DRD51" s="76"/>
      <c r="DRE51" s="76"/>
      <c r="DRF51" s="76"/>
      <c r="DRG51" s="76"/>
      <c r="DRH51" s="76"/>
      <c r="DRI51" s="76"/>
      <c r="DRJ51" s="76"/>
      <c r="DRK51" s="76"/>
      <c r="DRL51" s="76"/>
      <c r="DRM51" s="76"/>
      <c r="DRN51" s="76"/>
      <c r="DRO51" s="76"/>
      <c r="DRP51" s="76"/>
      <c r="DRQ51" s="76"/>
      <c r="DRR51" s="76"/>
      <c r="DRS51" s="76"/>
      <c r="DRT51" s="76"/>
      <c r="DRU51" s="76"/>
      <c r="DRV51" s="76"/>
      <c r="DRW51" s="76"/>
      <c r="DRX51" s="76"/>
      <c r="DRY51" s="76"/>
      <c r="DRZ51" s="76"/>
      <c r="DSA51" s="76"/>
      <c r="DSB51" s="76"/>
      <c r="DSC51" s="76"/>
      <c r="DSD51" s="76"/>
      <c r="DSE51" s="76"/>
      <c r="DSF51" s="76"/>
      <c r="DSG51" s="76"/>
      <c r="DSH51" s="76"/>
      <c r="DSI51" s="76"/>
      <c r="DSJ51" s="76"/>
      <c r="DSK51" s="76"/>
      <c r="DSL51" s="76"/>
      <c r="DSM51" s="76"/>
      <c r="DSN51" s="76"/>
      <c r="DSO51" s="76"/>
      <c r="DSP51" s="76"/>
      <c r="DSQ51" s="76"/>
      <c r="DSR51" s="76"/>
      <c r="DSS51" s="76"/>
      <c r="DST51" s="76"/>
      <c r="DSU51" s="76"/>
      <c r="DSV51" s="76"/>
      <c r="DSW51" s="76"/>
      <c r="DSX51" s="76"/>
      <c r="DSY51" s="76"/>
      <c r="DSZ51" s="76"/>
      <c r="DTA51" s="76"/>
      <c r="DTB51" s="76"/>
      <c r="DTC51" s="76"/>
      <c r="DTD51" s="76"/>
      <c r="DTE51" s="76"/>
      <c r="DTF51" s="76"/>
      <c r="DTG51" s="76"/>
      <c r="DTH51" s="76"/>
      <c r="DTI51" s="76"/>
      <c r="DTJ51" s="76"/>
      <c r="DTK51" s="76"/>
      <c r="DTL51" s="76"/>
      <c r="DTM51" s="76"/>
      <c r="DTN51" s="76"/>
      <c r="DTO51" s="76"/>
      <c r="DTP51" s="76"/>
      <c r="DTQ51" s="76"/>
      <c r="DTR51" s="76"/>
      <c r="DTS51" s="76"/>
      <c r="DTT51" s="76"/>
      <c r="DTU51" s="76"/>
      <c r="DTV51" s="76"/>
      <c r="DTW51" s="76"/>
      <c r="DTX51" s="76"/>
      <c r="DTY51" s="76"/>
      <c r="DTZ51" s="76"/>
      <c r="DUA51" s="76"/>
      <c r="DUB51" s="76"/>
      <c r="DUC51" s="76"/>
      <c r="DUD51" s="76"/>
      <c r="DUE51" s="76"/>
      <c r="DUF51" s="76"/>
      <c r="DUG51" s="76"/>
      <c r="DUH51" s="76"/>
      <c r="DUI51" s="76"/>
      <c r="DUJ51" s="76"/>
      <c r="DUK51" s="76"/>
      <c r="DUL51" s="76"/>
      <c r="DUM51" s="76"/>
      <c r="DUN51" s="76"/>
      <c r="DUO51" s="76"/>
      <c r="DUP51" s="76"/>
      <c r="DUQ51" s="76"/>
      <c r="DUR51" s="76"/>
      <c r="DUS51" s="76"/>
      <c r="DUT51" s="76"/>
      <c r="DUU51" s="76"/>
      <c r="DUV51" s="76"/>
      <c r="DUW51" s="76"/>
      <c r="DUX51" s="76"/>
      <c r="DUY51" s="76"/>
      <c r="DUZ51" s="76"/>
      <c r="DVA51" s="76"/>
      <c r="DVB51" s="76"/>
      <c r="DVC51" s="76"/>
      <c r="DVD51" s="76"/>
      <c r="DVE51" s="76"/>
      <c r="DVF51" s="76"/>
      <c r="DVG51" s="76"/>
      <c r="DVH51" s="76"/>
      <c r="DVI51" s="76"/>
      <c r="DVJ51" s="76"/>
      <c r="DVK51" s="76"/>
      <c r="DVL51" s="76"/>
      <c r="DVM51" s="76"/>
      <c r="DVN51" s="76"/>
      <c r="DVO51" s="76"/>
      <c r="DVP51" s="76"/>
      <c r="DVQ51" s="76"/>
      <c r="DVR51" s="76"/>
      <c r="DVS51" s="76"/>
      <c r="DVT51" s="76"/>
      <c r="DVU51" s="76"/>
      <c r="DVV51" s="76"/>
      <c r="DVW51" s="76"/>
      <c r="DVX51" s="76"/>
      <c r="DVY51" s="76"/>
      <c r="DVZ51" s="76"/>
      <c r="DWA51" s="76"/>
      <c r="DWB51" s="76"/>
      <c r="DWC51" s="76"/>
      <c r="DWD51" s="76"/>
      <c r="DWE51" s="76"/>
      <c r="DWF51" s="76"/>
      <c r="DWG51" s="76"/>
      <c r="DWH51" s="76"/>
      <c r="DWI51" s="76"/>
      <c r="DWJ51" s="76"/>
      <c r="DWK51" s="76"/>
      <c r="DWL51" s="76"/>
      <c r="DWM51" s="76"/>
      <c r="DWN51" s="76"/>
      <c r="DWO51" s="76"/>
      <c r="DWP51" s="76"/>
      <c r="DWQ51" s="76"/>
      <c r="DWR51" s="76"/>
      <c r="DWS51" s="76"/>
      <c r="DWT51" s="76"/>
      <c r="DWU51" s="76"/>
      <c r="DWV51" s="76"/>
      <c r="DWW51" s="76"/>
      <c r="DWX51" s="76"/>
      <c r="DWY51" s="76"/>
      <c r="DWZ51" s="76"/>
      <c r="DXA51" s="76"/>
      <c r="DXB51" s="76"/>
      <c r="DXC51" s="76"/>
      <c r="DXD51" s="76"/>
      <c r="DXE51" s="76"/>
      <c r="DXF51" s="76"/>
      <c r="DXG51" s="76"/>
      <c r="DXH51" s="76"/>
      <c r="DXI51" s="76"/>
      <c r="DXJ51" s="76"/>
      <c r="DXK51" s="76"/>
      <c r="DXL51" s="76"/>
      <c r="DXM51" s="76"/>
      <c r="DXN51" s="76"/>
      <c r="DXO51" s="76"/>
      <c r="DXP51" s="76"/>
      <c r="DXQ51" s="76"/>
      <c r="DXR51" s="76"/>
      <c r="DXS51" s="76"/>
      <c r="DXT51" s="76"/>
      <c r="DXU51" s="76"/>
      <c r="DXV51" s="76"/>
      <c r="DXW51" s="76"/>
      <c r="DXX51" s="76"/>
      <c r="DXY51" s="76"/>
      <c r="DXZ51" s="76"/>
      <c r="DYA51" s="76"/>
      <c r="DYB51" s="76"/>
      <c r="DYC51" s="76"/>
      <c r="DYD51" s="76"/>
      <c r="DYE51" s="76"/>
      <c r="DYF51" s="76"/>
      <c r="DYG51" s="76"/>
      <c r="DYH51" s="76"/>
      <c r="DYI51" s="76"/>
      <c r="DYJ51" s="76"/>
      <c r="DYK51" s="76"/>
      <c r="DYL51" s="76"/>
      <c r="DYM51" s="76"/>
      <c r="DYN51" s="76"/>
      <c r="DYO51" s="76"/>
      <c r="DYP51" s="76"/>
      <c r="DYQ51" s="76"/>
      <c r="DYR51" s="76"/>
      <c r="DYS51" s="76"/>
      <c r="DYT51" s="76"/>
      <c r="DYU51" s="76"/>
      <c r="DYV51" s="76"/>
      <c r="DYW51" s="76"/>
      <c r="DYX51" s="76"/>
      <c r="DYY51" s="76"/>
      <c r="DYZ51" s="76"/>
      <c r="DZA51" s="76"/>
      <c r="DZB51" s="76"/>
      <c r="DZC51" s="76"/>
      <c r="DZD51" s="76"/>
      <c r="DZE51" s="76"/>
      <c r="DZF51" s="76"/>
      <c r="DZG51" s="76"/>
      <c r="DZH51" s="76"/>
      <c r="DZI51" s="76"/>
      <c r="DZJ51" s="76"/>
      <c r="DZK51" s="76"/>
      <c r="DZL51" s="76"/>
      <c r="DZM51" s="76"/>
      <c r="DZN51" s="76"/>
      <c r="DZO51" s="76"/>
      <c r="DZP51" s="76"/>
      <c r="DZQ51" s="76"/>
      <c r="DZR51" s="76"/>
      <c r="DZS51" s="76"/>
      <c r="DZT51" s="76"/>
      <c r="DZU51" s="76"/>
      <c r="DZV51" s="76"/>
      <c r="DZW51" s="76"/>
      <c r="DZX51" s="76"/>
      <c r="DZY51" s="76"/>
      <c r="DZZ51" s="76"/>
      <c r="EAA51" s="76"/>
      <c r="EAB51" s="76"/>
      <c r="EAC51" s="76"/>
      <c r="EAD51" s="76"/>
      <c r="EAE51" s="76"/>
      <c r="EAF51" s="76"/>
      <c r="EAG51" s="76"/>
      <c r="EAH51" s="76"/>
      <c r="EAI51" s="76"/>
      <c r="EAJ51" s="76"/>
      <c r="EAK51" s="76"/>
      <c r="EAL51" s="76"/>
      <c r="EAM51" s="76"/>
      <c r="EAN51" s="76"/>
      <c r="EAO51" s="76"/>
      <c r="EAP51" s="76"/>
      <c r="EAQ51" s="76"/>
      <c r="EAR51" s="76"/>
      <c r="EAS51" s="76"/>
      <c r="EAT51" s="76"/>
      <c r="EAU51" s="76"/>
      <c r="EAV51" s="76"/>
      <c r="EAW51" s="76"/>
      <c r="EAX51" s="76"/>
      <c r="EAY51" s="76"/>
      <c r="EAZ51" s="76"/>
      <c r="EBA51" s="76"/>
      <c r="EBB51" s="76"/>
      <c r="EBC51" s="76"/>
      <c r="EBD51" s="76"/>
      <c r="EBE51" s="76"/>
      <c r="EBF51" s="76"/>
      <c r="EBG51" s="76"/>
      <c r="EBH51" s="76"/>
      <c r="EBI51" s="76"/>
      <c r="EBJ51" s="76"/>
      <c r="EBK51" s="76"/>
      <c r="EBL51" s="76"/>
      <c r="EBM51" s="76"/>
      <c r="EBN51" s="76"/>
      <c r="EBO51" s="76"/>
      <c r="EBP51" s="76"/>
      <c r="EBQ51" s="76"/>
      <c r="EBR51" s="76"/>
      <c r="EBS51" s="76"/>
      <c r="EBT51" s="76"/>
      <c r="EBU51" s="76"/>
      <c r="EBV51" s="76"/>
      <c r="EBW51" s="76"/>
      <c r="EBX51" s="76"/>
      <c r="EBY51" s="76"/>
      <c r="EBZ51" s="76"/>
      <c r="ECA51" s="76"/>
      <c r="ECB51" s="76"/>
      <c r="ECC51" s="76"/>
      <c r="ECD51" s="76"/>
      <c r="ECE51" s="76"/>
      <c r="ECF51" s="76"/>
      <c r="ECG51" s="76"/>
      <c r="ECH51" s="76"/>
      <c r="ECI51" s="76"/>
      <c r="ECJ51" s="76"/>
      <c r="ECK51" s="76"/>
      <c r="ECL51" s="76"/>
      <c r="ECM51" s="76"/>
      <c r="ECN51" s="76"/>
      <c r="ECO51" s="76"/>
      <c r="ECP51" s="76"/>
      <c r="ECQ51" s="76"/>
      <c r="ECR51" s="76"/>
      <c r="ECS51" s="76"/>
      <c r="ECT51" s="76"/>
      <c r="ECU51" s="76"/>
      <c r="ECV51" s="76"/>
      <c r="ECW51" s="76"/>
      <c r="ECX51" s="76"/>
      <c r="ECY51" s="76"/>
      <c r="ECZ51" s="76"/>
      <c r="EDA51" s="76"/>
      <c r="EDB51" s="76"/>
      <c r="EDC51" s="76"/>
      <c r="EDD51" s="76"/>
      <c r="EDE51" s="76"/>
      <c r="EDF51" s="76"/>
      <c r="EDG51" s="76"/>
      <c r="EDH51" s="76"/>
      <c r="EDI51" s="76"/>
      <c r="EDJ51" s="76"/>
      <c r="EDK51" s="76"/>
      <c r="EDL51" s="76"/>
      <c r="EDM51" s="76"/>
      <c r="EDN51" s="76"/>
      <c r="EDO51" s="76"/>
      <c r="EDP51" s="76"/>
      <c r="EDQ51" s="76"/>
      <c r="EDR51" s="76"/>
      <c r="EDS51" s="76"/>
      <c r="EDT51" s="76"/>
      <c r="EDU51" s="76"/>
      <c r="EDV51" s="76"/>
      <c r="EDW51" s="76"/>
      <c r="EDX51" s="76"/>
      <c r="EDY51" s="76"/>
      <c r="EDZ51" s="76"/>
      <c r="EEA51" s="76"/>
      <c r="EEB51" s="76"/>
      <c r="EEC51" s="76"/>
      <c r="EED51" s="76"/>
      <c r="EEE51" s="76"/>
      <c r="EEF51" s="76"/>
      <c r="EEG51" s="76"/>
      <c r="EEH51" s="76"/>
      <c r="EEI51" s="76"/>
      <c r="EEJ51" s="76"/>
      <c r="EEK51" s="76"/>
      <c r="EEL51" s="76"/>
      <c r="EEM51" s="76"/>
      <c r="EEN51" s="76"/>
      <c r="EEO51" s="76"/>
      <c r="EEP51" s="76"/>
      <c r="EEQ51" s="76"/>
      <c r="EER51" s="76"/>
      <c r="EES51" s="76"/>
      <c r="EET51" s="76"/>
      <c r="EEU51" s="76"/>
      <c r="EEV51" s="76"/>
      <c r="EEW51" s="76"/>
      <c r="EEX51" s="76"/>
      <c r="EEY51" s="76"/>
      <c r="EEZ51" s="76"/>
      <c r="EFA51" s="76"/>
      <c r="EFB51" s="76"/>
      <c r="EFC51" s="76"/>
      <c r="EFD51" s="76"/>
      <c r="EFE51" s="76"/>
      <c r="EFF51" s="76"/>
      <c r="EFG51" s="76"/>
      <c r="EFH51" s="76"/>
      <c r="EFI51" s="76"/>
      <c r="EFJ51" s="76"/>
      <c r="EFK51" s="76"/>
      <c r="EFL51" s="76"/>
      <c r="EFM51" s="76"/>
      <c r="EFN51" s="76"/>
      <c r="EFO51" s="76"/>
      <c r="EFP51" s="76"/>
      <c r="EFQ51" s="76"/>
      <c r="EFR51" s="76"/>
      <c r="EFS51" s="76"/>
      <c r="EFT51" s="76"/>
      <c r="EFU51" s="76"/>
      <c r="EFV51" s="76"/>
      <c r="EFW51" s="76"/>
      <c r="EFX51" s="76"/>
      <c r="EFY51" s="76"/>
      <c r="EFZ51" s="76"/>
      <c r="EGA51" s="76"/>
      <c r="EGB51" s="76"/>
      <c r="EGC51" s="76"/>
      <c r="EGD51" s="76"/>
      <c r="EGE51" s="76"/>
      <c r="EGF51" s="76"/>
      <c r="EGG51" s="76"/>
      <c r="EGH51" s="76"/>
      <c r="EGI51" s="76"/>
      <c r="EGJ51" s="76"/>
      <c r="EGK51" s="76"/>
      <c r="EGL51" s="76"/>
      <c r="EGM51" s="76"/>
      <c r="EGN51" s="76"/>
      <c r="EGO51" s="76"/>
      <c r="EGP51" s="76"/>
      <c r="EGQ51" s="76"/>
      <c r="EGR51" s="76"/>
      <c r="EGS51" s="76"/>
      <c r="EGT51" s="76"/>
      <c r="EGU51" s="76"/>
      <c r="EGV51" s="76"/>
      <c r="EGW51" s="76"/>
      <c r="EGX51" s="76"/>
      <c r="EGY51" s="76"/>
      <c r="EGZ51" s="76"/>
      <c r="EHA51" s="76"/>
      <c r="EHB51" s="76"/>
      <c r="EHC51" s="76"/>
      <c r="EHD51" s="76"/>
      <c r="EHE51" s="76"/>
      <c r="EHF51" s="76"/>
      <c r="EHG51" s="76"/>
      <c r="EHH51" s="76"/>
      <c r="EHI51" s="76"/>
      <c r="EHJ51" s="76"/>
      <c r="EHK51" s="76"/>
      <c r="EHL51" s="76"/>
      <c r="EHM51" s="76"/>
      <c r="EHN51" s="76"/>
      <c r="EHO51" s="76"/>
      <c r="EHP51" s="76"/>
      <c r="EHQ51" s="76"/>
      <c r="EHR51" s="76"/>
      <c r="EHS51" s="76"/>
      <c r="EHT51" s="76"/>
      <c r="EHU51" s="76"/>
      <c r="EHV51" s="76"/>
      <c r="EHW51" s="76"/>
      <c r="EHX51" s="76"/>
      <c r="EHY51" s="76"/>
      <c r="EHZ51" s="76"/>
      <c r="EIA51" s="76"/>
      <c r="EIB51" s="76"/>
      <c r="EIC51" s="76"/>
      <c r="EID51" s="76"/>
      <c r="EIE51" s="76"/>
      <c r="EIF51" s="76"/>
      <c r="EIG51" s="76"/>
      <c r="EIH51" s="76"/>
      <c r="EII51" s="76"/>
      <c r="EIJ51" s="76"/>
      <c r="EIK51" s="76"/>
      <c r="EIL51" s="76"/>
      <c r="EIM51" s="76"/>
      <c r="EIN51" s="76"/>
      <c r="EIO51" s="76"/>
      <c r="EIP51" s="76"/>
      <c r="EIQ51" s="76"/>
      <c r="EIR51" s="76"/>
      <c r="EIS51" s="76"/>
      <c r="EIT51" s="76"/>
      <c r="EIU51" s="76"/>
      <c r="EIV51" s="76"/>
      <c r="EIW51" s="76"/>
      <c r="EIX51" s="76"/>
      <c r="EIY51" s="76"/>
      <c r="EIZ51" s="76"/>
      <c r="EJA51" s="76"/>
      <c r="EJB51" s="76"/>
      <c r="EJC51" s="76"/>
      <c r="EJD51" s="76"/>
      <c r="EJE51" s="76"/>
      <c r="EJF51" s="76"/>
      <c r="EJG51" s="76"/>
      <c r="EJH51" s="76"/>
      <c r="EJI51" s="76"/>
      <c r="EJJ51" s="76"/>
      <c r="EJK51" s="76"/>
      <c r="EJL51" s="76"/>
      <c r="EJM51" s="76"/>
      <c r="EJN51" s="76"/>
      <c r="EJO51" s="76"/>
      <c r="EJP51" s="76"/>
      <c r="EJQ51" s="76"/>
      <c r="EJR51" s="76"/>
      <c r="EJS51" s="76"/>
      <c r="EJT51" s="76"/>
      <c r="EJU51" s="76"/>
      <c r="EJV51" s="76"/>
      <c r="EJW51" s="76"/>
      <c r="EJX51" s="76"/>
      <c r="EJY51" s="76"/>
      <c r="EJZ51" s="76"/>
      <c r="EKA51" s="76"/>
      <c r="EKB51" s="76"/>
      <c r="EKC51" s="76"/>
      <c r="EKD51" s="76"/>
      <c r="EKE51" s="76"/>
      <c r="EKF51" s="76"/>
      <c r="EKG51" s="76"/>
      <c r="EKH51" s="76"/>
      <c r="EKI51" s="76"/>
      <c r="EKJ51" s="76"/>
      <c r="EKK51" s="76"/>
      <c r="EKL51" s="76"/>
      <c r="EKM51" s="76"/>
      <c r="EKN51" s="76"/>
      <c r="EKO51" s="76"/>
      <c r="EKP51" s="76"/>
      <c r="EKQ51" s="76"/>
      <c r="EKR51" s="76"/>
      <c r="EKS51" s="76"/>
      <c r="EKT51" s="76"/>
      <c r="EKU51" s="76"/>
      <c r="EKV51" s="76"/>
      <c r="EKW51" s="76"/>
      <c r="EKX51" s="76"/>
      <c r="EKY51" s="76"/>
      <c r="EKZ51" s="76"/>
      <c r="ELA51" s="76"/>
      <c r="ELB51" s="76"/>
      <c r="ELC51" s="76"/>
      <c r="ELD51" s="76"/>
      <c r="ELE51" s="76"/>
      <c r="ELF51" s="76"/>
      <c r="ELG51" s="76"/>
      <c r="ELH51" s="76"/>
      <c r="ELI51" s="76"/>
      <c r="ELJ51" s="76"/>
      <c r="ELK51" s="76"/>
      <c r="ELL51" s="76"/>
      <c r="ELM51" s="76"/>
      <c r="ELN51" s="76"/>
      <c r="ELO51" s="76"/>
      <c r="ELP51" s="76"/>
      <c r="ELQ51" s="76"/>
      <c r="ELR51" s="76"/>
      <c r="ELS51" s="76"/>
      <c r="ELT51" s="76"/>
      <c r="ELU51" s="76"/>
      <c r="ELV51" s="76"/>
      <c r="ELW51" s="76"/>
      <c r="ELX51" s="76"/>
      <c r="ELY51" s="76"/>
      <c r="ELZ51" s="76"/>
      <c r="EMA51" s="76"/>
      <c r="EMB51" s="76"/>
      <c r="EMC51" s="76"/>
      <c r="EMD51" s="76"/>
      <c r="EME51" s="76"/>
      <c r="EMF51" s="76"/>
      <c r="EMG51" s="76"/>
      <c r="EMH51" s="76"/>
      <c r="EMI51" s="76"/>
      <c r="EMJ51" s="76"/>
      <c r="EMK51" s="76"/>
      <c r="EML51" s="76"/>
      <c r="EMM51" s="76"/>
      <c r="EMN51" s="76"/>
      <c r="EMO51" s="76"/>
      <c r="EMP51" s="76"/>
      <c r="EMQ51" s="76"/>
      <c r="EMR51" s="76"/>
      <c r="EMS51" s="76"/>
      <c r="EMT51" s="76"/>
      <c r="EMU51" s="76"/>
      <c r="EMV51" s="76"/>
      <c r="EMW51" s="76"/>
      <c r="EMX51" s="76"/>
      <c r="EMY51" s="76"/>
      <c r="EMZ51" s="76"/>
      <c r="ENA51" s="76"/>
      <c r="ENB51" s="76"/>
      <c r="ENC51" s="76"/>
      <c r="END51" s="76"/>
      <c r="ENE51" s="76"/>
      <c r="ENF51" s="76"/>
      <c r="ENG51" s="76"/>
      <c r="ENH51" s="76"/>
      <c r="ENI51" s="76"/>
      <c r="ENJ51" s="76"/>
      <c r="ENK51" s="76"/>
      <c r="ENL51" s="76"/>
      <c r="ENM51" s="76"/>
      <c r="ENN51" s="76"/>
      <c r="ENO51" s="76"/>
      <c r="ENP51" s="76"/>
      <c r="ENQ51" s="76"/>
      <c r="ENR51" s="76"/>
      <c r="ENS51" s="76"/>
      <c r="ENT51" s="76"/>
      <c r="ENU51" s="76"/>
      <c r="ENV51" s="76"/>
      <c r="ENW51" s="76"/>
      <c r="ENX51" s="76"/>
      <c r="ENY51" s="76"/>
      <c r="ENZ51" s="76"/>
      <c r="EOA51" s="76"/>
      <c r="EOB51" s="76"/>
      <c r="EOC51" s="76"/>
      <c r="EOD51" s="76"/>
      <c r="EOE51" s="76"/>
      <c r="EOF51" s="76"/>
      <c r="EOG51" s="76"/>
      <c r="EOH51" s="76"/>
      <c r="EOI51" s="76"/>
      <c r="EOJ51" s="76"/>
      <c r="EOK51" s="76"/>
      <c r="EOL51" s="76"/>
      <c r="EOM51" s="76"/>
      <c r="EON51" s="76"/>
      <c r="EOO51" s="76"/>
      <c r="EOP51" s="76"/>
      <c r="EOQ51" s="76"/>
      <c r="EOR51" s="76"/>
      <c r="EOS51" s="76"/>
      <c r="EOT51" s="76"/>
      <c r="EOU51" s="76"/>
      <c r="EOV51" s="76"/>
      <c r="EOW51" s="76"/>
      <c r="EOX51" s="76"/>
      <c r="EOY51" s="76"/>
      <c r="EOZ51" s="76"/>
      <c r="EPA51" s="76"/>
      <c r="EPB51" s="76"/>
      <c r="EPC51" s="76"/>
      <c r="EPD51" s="76"/>
      <c r="EPE51" s="76"/>
      <c r="EPF51" s="76"/>
      <c r="EPG51" s="76"/>
      <c r="EPH51" s="76"/>
      <c r="EPI51" s="76"/>
      <c r="EPJ51" s="76"/>
      <c r="EPK51" s="76"/>
      <c r="EPL51" s="76"/>
      <c r="EPM51" s="76"/>
      <c r="EPN51" s="76"/>
      <c r="EPO51" s="76"/>
      <c r="EPP51" s="76"/>
      <c r="EPQ51" s="76"/>
      <c r="EPR51" s="76"/>
      <c r="EPS51" s="76"/>
      <c r="EPT51" s="76"/>
      <c r="EPU51" s="76"/>
      <c r="EPV51" s="76"/>
      <c r="EPW51" s="76"/>
      <c r="EPX51" s="76"/>
      <c r="EPY51" s="76"/>
      <c r="EPZ51" s="76"/>
      <c r="EQA51" s="76"/>
      <c r="EQB51" s="76"/>
      <c r="EQC51" s="76"/>
      <c r="EQD51" s="76"/>
      <c r="EQE51" s="76"/>
      <c r="EQF51" s="76"/>
      <c r="EQG51" s="76"/>
      <c r="EQH51" s="76"/>
      <c r="EQI51" s="76"/>
      <c r="EQJ51" s="76"/>
      <c r="EQK51" s="76"/>
      <c r="EQL51" s="76"/>
      <c r="EQM51" s="76"/>
      <c r="EQN51" s="76"/>
      <c r="EQO51" s="76"/>
      <c r="EQP51" s="76"/>
      <c r="EQQ51" s="76"/>
      <c r="EQR51" s="76"/>
      <c r="EQS51" s="76"/>
      <c r="EQT51" s="76"/>
      <c r="EQU51" s="76"/>
      <c r="EQV51" s="76"/>
      <c r="EQW51" s="76"/>
      <c r="EQX51" s="76"/>
      <c r="EQY51" s="76"/>
      <c r="EQZ51" s="76"/>
      <c r="ERA51" s="76"/>
      <c r="ERB51" s="76"/>
      <c r="ERC51" s="76"/>
      <c r="ERD51" s="76"/>
      <c r="ERE51" s="76"/>
      <c r="ERF51" s="76"/>
      <c r="ERG51" s="76"/>
      <c r="ERH51" s="76"/>
      <c r="ERI51" s="76"/>
      <c r="ERJ51" s="76"/>
      <c r="ERK51" s="76"/>
      <c r="ERL51" s="76"/>
      <c r="ERM51" s="76"/>
      <c r="ERN51" s="76"/>
      <c r="ERO51" s="76"/>
      <c r="ERP51" s="76"/>
      <c r="ERQ51" s="76"/>
      <c r="ERR51" s="76"/>
      <c r="ERS51" s="76"/>
      <c r="ERT51" s="76"/>
      <c r="ERU51" s="76"/>
      <c r="ERV51" s="76"/>
      <c r="ERW51" s="76"/>
      <c r="ERX51" s="76"/>
      <c r="ERY51" s="76"/>
      <c r="ERZ51" s="76"/>
      <c r="ESA51" s="76"/>
      <c r="ESB51" s="76"/>
      <c r="ESC51" s="76"/>
      <c r="ESD51" s="76"/>
      <c r="ESE51" s="76"/>
      <c r="ESF51" s="76"/>
      <c r="ESG51" s="76"/>
      <c r="ESH51" s="76"/>
      <c r="ESI51" s="76"/>
      <c r="ESJ51" s="76"/>
      <c r="ESK51" s="76"/>
      <c r="ESL51" s="76"/>
      <c r="ESM51" s="76"/>
      <c r="ESN51" s="76"/>
      <c r="ESO51" s="76"/>
      <c r="ESP51" s="76"/>
      <c r="ESQ51" s="76"/>
      <c r="ESR51" s="76"/>
      <c r="ESS51" s="76"/>
      <c r="EST51" s="76"/>
      <c r="ESU51" s="76"/>
      <c r="ESV51" s="76"/>
      <c r="ESW51" s="76"/>
      <c r="ESX51" s="76"/>
      <c r="ESY51" s="76"/>
      <c r="ESZ51" s="76"/>
      <c r="ETA51" s="76"/>
      <c r="ETB51" s="76"/>
      <c r="ETC51" s="76"/>
      <c r="ETD51" s="76"/>
      <c r="ETE51" s="76"/>
      <c r="ETF51" s="76"/>
      <c r="ETG51" s="76"/>
      <c r="ETH51" s="76"/>
      <c r="ETI51" s="76"/>
      <c r="ETJ51" s="76"/>
      <c r="ETK51" s="76"/>
      <c r="ETL51" s="76"/>
      <c r="ETM51" s="76"/>
      <c r="ETN51" s="76"/>
      <c r="ETO51" s="76"/>
      <c r="ETP51" s="76"/>
      <c r="ETQ51" s="76"/>
      <c r="ETR51" s="76"/>
      <c r="ETS51" s="76"/>
      <c r="ETT51" s="76"/>
      <c r="ETU51" s="76"/>
      <c r="ETV51" s="76"/>
      <c r="ETW51" s="76"/>
      <c r="ETX51" s="76"/>
      <c r="ETY51" s="76"/>
      <c r="ETZ51" s="76"/>
      <c r="EUA51" s="76"/>
      <c r="EUB51" s="76"/>
      <c r="EUC51" s="76"/>
      <c r="EUD51" s="76"/>
      <c r="EUE51" s="76"/>
      <c r="EUF51" s="76"/>
      <c r="EUG51" s="76"/>
      <c r="EUH51" s="76"/>
      <c r="EUI51" s="76"/>
      <c r="EUJ51" s="76"/>
      <c r="EUK51" s="76"/>
      <c r="EUL51" s="76"/>
      <c r="EUM51" s="76"/>
      <c r="EUN51" s="76"/>
      <c r="EUO51" s="76"/>
      <c r="EUP51" s="76"/>
      <c r="EUQ51" s="76"/>
      <c r="EUR51" s="76"/>
      <c r="EUS51" s="76"/>
      <c r="EUT51" s="76"/>
      <c r="EUU51" s="76"/>
      <c r="EUV51" s="76"/>
      <c r="EUW51" s="76"/>
      <c r="EUX51" s="76"/>
      <c r="EUY51" s="76"/>
      <c r="EUZ51" s="76"/>
      <c r="EVA51" s="76"/>
      <c r="EVB51" s="76"/>
      <c r="EVC51" s="76"/>
      <c r="EVD51" s="76"/>
      <c r="EVE51" s="76"/>
      <c r="EVF51" s="76"/>
      <c r="EVG51" s="76"/>
      <c r="EVH51" s="76"/>
      <c r="EVI51" s="76"/>
      <c r="EVJ51" s="76"/>
      <c r="EVK51" s="76"/>
      <c r="EVL51" s="76"/>
      <c r="EVM51" s="76"/>
      <c r="EVN51" s="76"/>
      <c r="EVO51" s="76"/>
      <c r="EVP51" s="76"/>
      <c r="EVQ51" s="76"/>
      <c r="EVR51" s="76"/>
      <c r="EVS51" s="76"/>
      <c r="EVT51" s="76"/>
      <c r="EVU51" s="76"/>
      <c r="EVV51" s="76"/>
      <c r="EVW51" s="76"/>
      <c r="EVX51" s="76"/>
      <c r="EVY51" s="76"/>
      <c r="EVZ51" s="76"/>
      <c r="EWA51" s="76"/>
      <c r="EWB51" s="76"/>
      <c r="EWC51" s="76"/>
      <c r="EWD51" s="76"/>
      <c r="EWE51" s="76"/>
      <c r="EWF51" s="76"/>
      <c r="EWG51" s="76"/>
      <c r="EWH51" s="76"/>
      <c r="EWI51" s="76"/>
      <c r="EWJ51" s="76"/>
      <c r="EWK51" s="76"/>
      <c r="EWL51" s="76"/>
      <c r="EWM51" s="76"/>
      <c r="EWN51" s="76"/>
      <c r="EWO51" s="76"/>
      <c r="EWP51" s="76"/>
      <c r="EWQ51" s="76"/>
      <c r="EWR51" s="76"/>
      <c r="EWS51" s="76"/>
      <c r="EWT51" s="76"/>
      <c r="EWU51" s="76"/>
      <c r="EWV51" s="76"/>
      <c r="EWW51" s="76"/>
      <c r="EWX51" s="76"/>
      <c r="EWY51" s="76"/>
      <c r="EWZ51" s="76"/>
      <c r="EXA51" s="76"/>
      <c r="EXB51" s="76"/>
      <c r="EXC51" s="76"/>
      <c r="EXD51" s="76"/>
      <c r="EXE51" s="76"/>
      <c r="EXF51" s="76"/>
      <c r="EXG51" s="76"/>
      <c r="EXH51" s="76"/>
      <c r="EXI51" s="76"/>
      <c r="EXJ51" s="76"/>
      <c r="EXK51" s="76"/>
      <c r="EXL51" s="76"/>
      <c r="EXM51" s="76"/>
      <c r="EXN51" s="76"/>
      <c r="EXO51" s="76"/>
      <c r="EXP51" s="76"/>
      <c r="EXQ51" s="76"/>
      <c r="EXR51" s="76"/>
      <c r="EXS51" s="76"/>
      <c r="EXT51" s="76"/>
      <c r="EXU51" s="76"/>
      <c r="EXV51" s="76"/>
      <c r="EXW51" s="76"/>
      <c r="EXX51" s="76"/>
      <c r="EXY51" s="76"/>
      <c r="EXZ51" s="76"/>
      <c r="EYA51" s="76"/>
      <c r="EYB51" s="76"/>
      <c r="EYC51" s="76"/>
      <c r="EYD51" s="76"/>
      <c r="EYE51" s="76"/>
      <c r="EYF51" s="76"/>
      <c r="EYG51" s="76"/>
      <c r="EYH51" s="76"/>
      <c r="EYI51" s="76"/>
      <c r="EYJ51" s="76"/>
      <c r="EYK51" s="76"/>
      <c r="EYL51" s="76"/>
      <c r="EYM51" s="76"/>
      <c r="EYN51" s="76"/>
      <c r="EYO51" s="76"/>
      <c r="EYP51" s="76"/>
      <c r="EYQ51" s="76"/>
      <c r="EYR51" s="76"/>
      <c r="EYS51" s="76"/>
      <c r="EYT51" s="76"/>
      <c r="EYU51" s="76"/>
      <c r="EYV51" s="76"/>
      <c r="EYW51" s="76"/>
      <c r="EYX51" s="76"/>
      <c r="EYY51" s="76"/>
      <c r="EYZ51" s="76"/>
      <c r="EZA51" s="76"/>
      <c r="EZB51" s="76"/>
      <c r="EZC51" s="76"/>
      <c r="EZD51" s="76"/>
      <c r="EZE51" s="76"/>
      <c r="EZF51" s="76"/>
      <c r="EZG51" s="76"/>
      <c r="EZH51" s="76"/>
      <c r="EZI51" s="76"/>
      <c r="EZJ51" s="76"/>
      <c r="EZK51" s="76"/>
      <c r="EZL51" s="76"/>
      <c r="EZM51" s="76"/>
      <c r="EZN51" s="76"/>
      <c r="EZO51" s="76"/>
      <c r="EZP51" s="76"/>
      <c r="EZQ51" s="76"/>
      <c r="EZR51" s="76"/>
      <c r="EZS51" s="76"/>
      <c r="EZT51" s="76"/>
      <c r="EZU51" s="76"/>
      <c r="EZV51" s="76"/>
      <c r="EZW51" s="76"/>
      <c r="EZX51" s="76"/>
      <c r="EZY51" s="76"/>
      <c r="EZZ51" s="76"/>
      <c r="FAA51" s="76"/>
      <c r="FAB51" s="76"/>
      <c r="FAC51" s="76"/>
      <c r="FAD51" s="76"/>
      <c r="FAE51" s="76"/>
      <c r="FAF51" s="76"/>
      <c r="FAG51" s="76"/>
      <c r="FAH51" s="76"/>
      <c r="FAI51" s="76"/>
      <c r="FAJ51" s="76"/>
      <c r="FAK51" s="76"/>
      <c r="FAL51" s="76"/>
      <c r="FAM51" s="76"/>
      <c r="FAN51" s="76"/>
      <c r="FAO51" s="76"/>
      <c r="FAP51" s="76"/>
      <c r="FAQ51" s="76"/>
      <c r="FAR51" s="76"/>
      <c r="FAS51" s="76"/>
      <c r="FAT51" s="76"/>
      <c r="FAU51" s="76"/>
      <c r="FAV51" s="76"/>
      <c r="FAW51" s="76"/>
      <c r="FAX51" s="76"/>
      <c r="FAY51" s="76"/>
      <c r="FAZ51" s="76"/>
      <c r="FBA51" s="76"/>
      <c r="FBB51" s="76"/>
      <c r="FBC51" s="76"/>
      <c r="FBD51" s="76"/>
      <c r="FBE51" s="76"/>
      <c r="FBF51" s="76"/>
      <c r="FBG51" s="76"/>
      <c r="FBH51" s="76"/>
      <c r="FBI51" s="76"/>
      <c r="FBJ51" s="76"/>
      <c r="FBK51" s="76"/>
      <c r="FBL51" s="76"/>
      <c r="FBM51" s="76"/>
      <c r="FBN51" s="76"/>
      <c r="FBO51" s="76"/>
      <c r="FBP51" s="76"/>
      <c r="FBQ51" s="76"/>
      <c r="FBR51" s="76"/>
      <c r="FBS51" s="76"/>
      <c r="FBT51" s="76"/>
      <c r="FBU51" s="76"/>
      <c r="FBV51" s="76"/>
      <c r="FBW51" s="76"/>
      <c r="FBX51" s="76"/>
      <c r="FBY51" s="76"/>
      <c r="FBZ51" s="76"/>
      <c r="FCA51" s="76"/>
      <c r="FCB51" s="76"/>
      <c r="FCC51" s="76"/>
      <c r="FCD51" s="76"/>
      <c r="FCE51" s="76"/>
      <c r="FCF51" s="76"/>
      <c r="FCG51" s="76"/>
      <c r="FCH51" s="76"/>
      <c r="FCI51" s="76"/>
      <c r="FCJ51" s="76"/>
      <c r="FCK51" s="76"/>
      <c r="FCL51" s="76"/>
      <c r="FCM51" s="76"/>
      <c r="FCN51" s="76"/>
      <c r="FCO51" s="76"/>
      <c r="FCP51" s="76"/>
      <c r="FCQ51" s="76"/>
      <c r="FCR51" s="76"/>
      <c r="FCS51" s="76"/>
      <c r="FCT51" s="76"/>
      <c r="FCU51" s="76"/>
      <c r="FCV51" s="76"/>
      <c r="FCW51" s="76"/>
      <c r="FCX51" s="76"/>
      <c r="FCY51" s="76"/>
      <c r="FCZ51" s="76"/>
      <c r="FDA51" s="76"/>
      <c r="FDB51" s="76"/>
      <c r="FDC51" s="76"/>
      <c r="FDD51" s="76"/>
      <c r="FDE51" s="76"/>
      <c r="FDF51" s="76"/>
      <c r="FDG51" s="76"/>
      <c r="FDH51" s="76"/>
      <c r="FDI51" s="76"/>
      <c r="FDJ51" s="76"/>
      <c r="FDK51" s="76"/>
      <c r="FDL51" s="76"/>
      <c r="FDM51" s="76"/>
      <c r="FDN51" s="76"/>
      <c r="FDO51" s="76"/>
      <c r="FDP51" s="76"/>
      <c r="FDQ51" s="76"/>
      <c r="FDR51" s="76"/>
      <c r="FDS51" s="76"/>
      <c r="FDT51" s="76"/>
      <c r="FDU51" s="76"/>
      <c r="FDV51" s="76"/>
      <c r="FDW51" s="76"/>
      <c r="FDX51" s="76"/>
      <c r="FDY51" s="76"/>
      <c r="FDZ51" s="76"/>
      <c r="FEA51" s="76"/>
      <c r="FEB51" s="76"/>
      <c r="FEC51" s="76"/>
      <c r="FED51" s="76"/>
      <c r="FEE51" s="76"/>
      <c r="FEF51" s="76"/>
      <c r="FEG51" s="76"/>
      <c r="FEH51" s="76"/>
      <c r="FEI51" s="76"/>
      <c r="FEJ51" s="76"/>
      <c r="FEK51" s="76"/>
      <c r="FEL51" s="76"/>
      <c r="FEM51" s="76"/>
      <c r="FEN51" s="76"/>
      <c r="FEO51" s="76"/>
      <c r="FEP51" s="76"/>
      <c r="FEQ51" s="76"/>
      <c r="FER51" s="76"/>
      <c r="FES51" s="76"/>
      <c r="FET51" s="76"/>
      <c r="FEU51" s="76"/>
      <c r="FEV51" s="76"/>
      <c r="FEW51" s="76"/>
      <c r="FEX51" s="76"/>
      <c r="FEY51" s="76"/>
      <c r="FEZ51" s="76"/>
      <c r="FFA51" s="76"/>
      <c r="FFB51" s="76"/>
      <c r="FFC51" s="76"/>
      <c r="FFD51" s="76"/>
      <c r="FFE51" s="76"/>
      <c r="FFF51" s="76"/>
      <c r="FFG51" s="76"/>
      <c r="FFH51" s="76"/>
      <c r="FFI51" s="76"/>
      <c r="FFJ51" s="76"/>
      <c r="FFK51" s="76"/>
      <c r="FFL51" s="76"/>
      <c r="FFM51" s="76"/>
      <c r="FFN51" s="76"/>
      <c r="FFO51" s="76"/>
      <c r="FFP51" s="76"/>
      <c r="FFQ51" s="76"/>
      <c r="FFR51" s="76"/>
      <c r="FFS51" s="76"/>
      <c r="FFT51" s="76"/>
      <c r="FFU51" s="76"/>
      <c r="FFV51" s="76"/>
      <c r="FFW51" s="76"/>
      <c r="FFX51" s="76"/>
      <c r="FFY51" s="76"/>
      <c r="FFZ51" s="76"/>
      <c r="FGA51" s="76"/>
      <c r="FGB51" s="76"/>
      <c r="FGC51" s="76"/>
      <c r="FGD51" s="76"/>
      <c r="FGE51" s="76"/>
      <c r="FGF51" s="76"/>
      <c r="FGG51" s="76"/>
      <c r="FGH51" s="76"/>
      <c r="FGI51" s="76"/>
      <c r="FGJ51" s="76"/>
      <c r="FGK51" s="76"/>
      <c r="FGL51" s="76"/>
      <c r="FGM51" s="76"/>
      <c r="FGN51" s="76"/>
      <c r="FGO51" s="76"/>
      <c r="FGP51" s="76"/>
      <c r="FGQ51" s="76"/>
      <c r="FGR51" s="76"/>
      <c r="FGS51" s="76"/>
      <c r="FGT51" s="76"/>
      <c r="FGU51" s="76"/>
      <c r="FGV51" s="76"/>
      <c r="FGW51" s="76"/>
      <c r="FGX51" s="76"/>
      <c r="FGY51" s="76"/>
      <c r="FGZ51" s="76"/>
      <c r="FHA51" s="76"/>
      <c r="FHB51" s="76"/>
      <c r="FHC51" s="76"/>
      <c r="FHD51" s="76"/>
      <c r="FHE51" s="76"/>
      <c r="FHF51" s="76"/>
      <c r="FHG51" s="76"/>
      <c r="FHH51" s="76"/>
      <c r="FHI51" s="76"/>
      <c r="FHJ51" s="76"/>
      <c r="FHK51" s="76"/>
      <c r="FHL51" s="76"/>
      <c r="FHM51" s="76"/>
      <c r="FHN51" s="76"/>
      <c r="FHO51" s="76"/>
      <c r="FHP51" s="76"/>
      <c r="FHQ51" s="76"/>
      <c r="FHR51" s="76"/>
      <c r="FHS51" s="76"/>
      <c r="FHT51" s="76"/>
      <c r="FHU51" s="76"/>
      <c r="FHV51" s="76"/>
      <c r="FHW51" s="76"/>
      <c r="FHX51" s="76"/>
      <c r="FHY51" s="76"/>
      <c r="FHZ51" s="76"/>
      <c r="FIA51" s="76"/>
      <c r="FIB51" s="76"/>
      <c r="FIC51" s="76"/>
      <c r="FID51" s="76"/>
      <c r="FIE51" s="76"/>
      <c r="FIF51" s="76"/>
      <c r="FIG51" s="76"/>
      <c r="FIH51" s="76"/>
      <c r="FII51" s="76"/>
      <c r="FIJ51" s="76"/>
      <c r="FIK51" s="76"/>
      <c r="FIL51" s="76"/>
      <c r="FIM51" s="76"/>
      <c r="FIN51" s="76"/>
      <c r="FIO51" s="76"/>
      <c r="FIP51" s="76"/>
      <c r="FIQ51" s="76"/>
      <c r="FIR51" s="76"/>
      <c r="FIS51" s="76"/>
      <c r="FIT51" s="76"/>
      <c r="FIU51" s="76"/>
      <c r="FIV51" s="76"/>
      <c r="FIW51" s="76"/>
      <c r="FIX51" s="76"/>
      <c r="FIY51" s="76"/>
      <c r="FIZ51" s="76"/>
      <c r="FJA51" s="76"/>
      <c r="FJB51" s="76"/>
      <c r="FJC51" s="76"/>
      <c r="FJD51" s="76"/>
      <c r="FJE51" s="76"/>
      <c r="FJF51" s="76"/>
      <c r="FJG51" s="76"/>
      <c r="FJH51" s="76"/>
      <c r="FJI51" s="76"/>
      <c r="FJJ51" s="76"/>
      <c r="FJK51" s="76"/>
      <c r="FJL51" s="76"/>
      <c r="FJM51" s="76"/>
      <c r="FJN51" s="76"/>
      <c r="FJO51" s="76"/>
      <c r="FJP51" s="76"/>
      <c r="FJQ51" s="76"/>
      <c r="FJR51" s="76"/>
      <c r="FJS51" s="76"/>
      <c r="FJT51" s="76"/>
      <c r="FJU51" s="76"/>
      <c r="FJV51" s="76"/>
      <c r="FJW51" s="76"/>
      <c r="FJX51" s="76"/>
      <c r="FJY51" s="76"/>
      <c r="FJZ51" s="76"/>
      <c r="FKA51" s="76"/>
      <c r="FKB51" s="76"/>
      <c r="FKC51" s="76"/>
      <c r="FKD51" s="76"/>
      <c r="FKE51" s="76"/>
      <c r="FKF51" s="76"/>
      <c r="FKG51" s="76"/>
      <c r="FKH51" s="76"/>
      <c r="FKI51" s="76"/>
      <c r="FKJ51" s="76"/>
      <c r="FKK51" s="76"/>
      <c r="FKL51" s="76"/>
      <c r="FKM51" s="76"/>
      <c r="FKN51" s="76"/>
      <c r="FKO51" s="76"/>
      <c r="FKP51" s="76"/>
      <c r="FKQ51" s="76"/>
      <c r="FKR51" s="76"/>
      <c r="FKS51" s="76"/>
      <c r="FKT51" s="76"/>
      <c r="FKU51" s="76"/>
      <c r="FKV51" s="76"/>
      <c r="FKW51" s="76"/>
      <c r="FKX51" s="76"/>
      <c r="FKY51" s="76"/>
      <c r="FKZ51" s="76"/>
      <c r="FLA51" s="76"/>
      <c r="FLB51" s="76"/>
      <c r="FLC51" s="76"/>
      <c r="FLD51" s="76"/>
      <c r="FLE51" s="76"/>
      <c r="FLF51" s="76"/>
      <c r="FLG51" s="76"/>
      <c r="FLH51" s="76"/>
      <c r="FLI51" s="76"/>
      <c r="FLJ51" s="76"/>
      <c r="FLK51" s="76"/>
      <c r="FLL51" s="76"/>
      <c r="FLM51" s="76"/>
      <c r="FLN51" s="76"/>
      <c r="FLO51" s="76"/>
      <c r="FLP51" s="76"/>
      <c r="FLQ51" s="76"/>
      <c r="FLR51" s="76"/>
      <c r="FLS51" s="76"/>
      <c r="FLT51" s="76"/>
      <c r="FLU51" s="76"/>
      <c r="FLV51" s="76"/>
      <c r="FLW51" s="76"/>
      <c r="FLX51" s="76"/>
      <c r="FLY51" s="76"/>
      <c r="FLZ51" s="76"/>
      <c r="FMA51" s="76"/>
      <c r="FMB51" s="76"/>
      <c r="FMC51" s="76"/>
      <c r="FMD51" s="76"/>
      <c r="FME51" s="76"/>
      <c r="FMF51" s="76"/>
      <c r="FMG51" s="76"/>
      <c r="FMH51" s="76"/>
      <c r="FMI51" s="76"/>
      <c r="FMJ51" s="76"/>
      <c r="FMK51" s="76"/>
      <c r="FML51" s="76"/>
      <c r="FMM51" s="76"/>
      <c r="FMN51" s="76"/>
      <c r="FMO51" s="76"/>
      <c r="FMP51" s="76"/>
      <c r="FMQ51" s="76"/>
      <c r="FMR51" s="76"/>
      <c r="FMS51" s="76"/>
      <c r="FMT51" s="76"/>
      <c r="FMU51" s="76"/>
      <c r="FMV51" s="76"/>
      <c r="FMW51" s="76"/>
      <c r="FMX51" s="76"/>
      <c r="FMY51" s="76"/>
      <c r="FMZ51" s="76"/>
      <c r="FNA51" s="76"/>
      <c r="FNB51" s="76"/>
      <c r="FNC51" s="76"/>
      <c r="FND51" s="76"/>
      <c r="FNE51" s="76"/>
      <c r="FNF51" s="76"/>
      <c r="FNG51" s="76"/>
      <c r="FNH51" s="76"/>
      <c r="FNI51" s="76"/>
      <c r="FNJ51" s="76"/>
      <c r="FNK51" s="76"/>
      <c r="FNL51" s="76"/>
      <c r="FNM51" s="76"/>
      <c r="FNN51" s="76"/>
      <c r="FNO51" s="76"/>
      <c r="FNP51" s="76"/>
      <c r="FNQ51" s="76"/>
      <c r="FNR51" s="76"/>
      <c r="FNS51" s="76"/>
      <c r="FNT51" s="76"/>
      <c r="FNU51" s="76"/>
      <c r="FNV51" s="76"/>
      <c r="FNW51" s="76"/>
      <c r="FNX51" s="76"/>
      <c r="FNY51" s="76"/>
      <c r="FNZ51" s="76"/>
      <c r="FOA51" s="76"/>
      <c r="FOB51" s="76"/>
      <c r="FOC51" s="76"/>
      <c r="FOD51" s="76"/>
      <c r="FOE51" s="76"/>
      <c r="FOF51" s="76"/>
      <c r="FOG51" s="76"/>
      <c r="FOH51" s="76"/>
      <c r="FOI51" s="76"/>
      <c r="FOJ51" s="76"/>
      <c r="FOK51" s="76"/>
      <c r="FOL51" s="76"/>
      <c r="FOM51" s="76"/>
      <c r="FON51" s="76"/>
      <c r="FOO51" s="76"/>
      <c r="FOP51" s="76"/>
      <c r="FOQ51" s="76"/>
      <c r="FOR51" s="76"/>
      <c r="FOS51" s="76"/>
      <c r="FOT51" s="76"/>
      <c r="FOU51" s="76"/>
      <c r="FOV51" s="76"/>
      <c r="FOW51" s="76"/>
      <c r="FOX51" s="76"/>
      <c r="FOY51" s="76"/>
      <c r="FOZ51" s="76"/>
      <c r="FPA51" s="76"/>
      <c r="FPB51" s="76"/>
      <c r="FPC51" s="76"/>
      <c r="FPD51" s="76"/>
      <c r="FPE51" s="76"/>
      <c r="FPF51" s="76"/>
      <c r="FPG51" s="76"/>
      <c r="FPH51" s="76"/>
      <c r="FPI51" s="76"/>
      <c r="FPJ51" s="76"/>
      <c r="FPK51" s="76"/>
      <c r="FPL51" s="76"/>
      <c r="FPM51" s="76"/>
      <c r="FPN51" s="76"/>
      <c r="FPO51" s="76"/>
      <c r="FPP51" s="76"/>
      <c r="FPQ51" s="76"/>
      <c r="FPR51" s="76"/>
      <c r="FPS51" s="76"/>
      <c r="FPT51" s="76"/>
      <c r="FPU51" s="76"/>
      <c r="FPV51" s="76"/>
      <c r="FPW51" s="76"/>
      <c r="FPX51" s="76"/>
      <c r="FPY51" s="76"/>
      <c r="FPZ51" s="76"/>
      <c r="FQA51" s="76"/>
      <c r="FQB51" s="76"/>
      <c r="FQC51" s="76"/>
      <c r="FQD51" s="76"/>
      <c r="FQE51" s="76"/>
      <c r="FQF51" s="76"/>
      <c r="FQG51" s="76"/>
      <c r="FQH51" s="76"/>
      <c r="FQI51" s="76"/>
      <c r="FQJ51" s="76"/>
      <c r="FQK51" s="76"/>
      <c r="FQL51" s="76"/>
      <c r="FQM51" s="76"/>
      <c r="FQN51" s="76"/>
      <c r="FQO51" s="76"/>
      <c r="FQP51" s="76"/>
      <c r="FQQ51" s="76"/>
      <c r="FQR51" s="76"/>
      <c r="FQS51" s="76"/>
      <c r="FQT51" s="76"/>
      <c r="FQU51" s="76"/>
      <c r="FQV51" s="76"/>
      <c r="FQW51" s="76"/>
      <c r="FQX51" s="76"/>
      <c r="FQY51" s="76"/>
      <c r="FQZ51" s="76"/>
      <c r="FRA51" s="76"/>
      <c r="FRB51" s="76"/>
      <c r="FRC51" s="76"/>
      <c r="FRD51" s="76"/>
      <c r="FRE51" s="76"/>
      <c r="FRF51" s="76"/>
      <c r="FRG51" s="76"/>
      <c r="FRH51" s="76"/>
      <c r="FRI51" s="76"/>
      <c r="FRJ51" s="76"/>
      <c r="FRK51" s="76"/>
      <c r="FRL51" s="76"/>
      <c r="FRM51" s="76"/>
      <c r="FRN51" s="76"/>
      <c r="FRO51" s="76"/>
      <c r="FRP51" s="76"/>
      <c r="FRQ51" s="76"/>
      <c r="FRR51" s="76"/>
      <c r="FRS51" s="76"/>
      <c r="FRT51" s="76"/>
      <c r="FRU51" s="76"/>
      <c r="FRV51" s="76"/>
      <c r="FRW51" s="76"/>
      <c r="FRX51" s="76"/>
      <c r="FRY51" s="76"/>
      <c r="FRZ51" s="76"/>
      <c r="FSA51" s="76"/>
      <c r="FSB51" s="76"/>
      <c r="FSC51" s="76"/>
      <c r="FSD51" s="76"/>
      <c r="FSE51" s="76"/>
      <c r="FSF51" s="76"/>
      <c r="FSG51" s="76"/>
      <c r="FSH51" s="76"/>
      <c r="FSI51" s="76"/>
      <c r="FSJ51" s="76"/>
      <c r="FSK51" s="76"/>
      <c r="FSL51" s="76"/>
      <c r="FSM51" s="76"/>
      <c r="FSN51" s="76"/>
      <c r="FSO51" s="76"/>
      <c r="FSP51" s="76"/>
      <c r="FSQ51" s="76"/>
      <c r="FSR51" s="76"/>
      <c r="FSS51" s="76"/>
      <c r="FST51" s="76"/>
      <c r="FSU51" s="76"/>
      <c r="FSV51" s="76"/>
      <c r="FSW51" s="76"/>
      <c r="FSX51" s="76"/>
      <c r="FSY51" s="76"/>
      <c r="FSZ51" s="76"/>
      <c r="FTA51" s="76"/>
      <c r="FTB51" s="76"/>
      <c r="FTC51" s="76"/>
      <c r="FTD51" s="76"/>
      <c r="FTE51" s="76"/>
      <c r="FTF51" s="76"/>
      <c r="FTG51" s="76"/>
      <c r="FTH51" s="76"/>
      <c r="FTI51" s="76"/>
      <c r="FTJ51" s="76"/>
      <c r="FTK51" s="76"/>
      <c r="FTL51" s="76"/>
      <c r="FTM51" s="76"/>
      <c r="FTN51" s="76"/>
      <c r="FTO51" s="76"/>
      <c r="FTP51" s="76"/>
      <c r="FTQ51" s="76"/>
      <c r="FTR51" s="76"/>
      <c r="FTS51" s="76"/>
      <c r="FTT51" s="76"/>
      <c r="FTU51" s="76"/>
      <c r="FTV51" s="76"/>
      <c r="FTW51" s="76"/>
      <c r="FTX51" s="76"/>
      <c r="FTY51" s="76"/>
      <c r="FTZ51" s="76"/>
      <c r="FUA51" s="76"/>
      <c r="FUB51" s="76"/>
      <c r="FUC51" s="76"/>
      <c r="FUD51" s="76"/>
      <c r="FUE51" s="76"/>
      <c r="FUF51" s="76"/>
      <c r="FUG51" s="76"/>
      <c r="FUH51" s="76"/>
      <c r="FUI51" s="76"/>
      <c r="FUJ51" s="76"/>
      <c r="FUK51" s="76"/>
      <c r="FUL51" s="76"/>
      <c r="FUM51" s="76"/>
      <c r="FUN51" s="76"/>
      <c r="FUO51" s="76"/>
      <c r="FUP51" s="76"/>
      <c r="FUQ51" s="76"/>
      <c r="FUR51" s="76"/>
      <c r="FUS51" s="76"/>
      <c r="FUT51" s="76"/>
      <c r="FUU51" s="76"/>
      <c r="FUV51" s="76"/>
      <c r="FUW51" s="76"/>
      <c r="FUX51" s="76"/>
      <c r="FUY51" s="76"/>
      <c r="FUZ51" s="76"/>
      <c r="FVA51" s="76"/>
      <c r="FVB51" s="76"/>
      <c r="FVC51" s="76"/>
      <c r="FVD51" s="76"/>
      <c r="FVE51" s="76"/>
      <c r="FVF51" s="76"/>
      <c r="FVG51" s="76"/>
      <c r="FVH51" s="76"/>
      <c r="FVI51" s="76"/>
      <c r="FVJ51" s="76"/>
      <c r="FVK51" s="76"/>
      <c r="FVL51" s="76"/>
      <c r="FVM51" s="76"/>
      <c r="FVN51" s="76"/>
      <c r="FVO51" s="76"/>
      <c r="FVP51" s="76"/>
      <c r="FVQ51" s="76"/>
      <c r="FVR51" s="76"/>
      <c r="FVS51" s="76"/>
      <c r="FVT51" s="76"/>
      <c r="FVU51" s="76"/>
      <c r="FVV51" s="76"/>
      <c r="FVW51" s="76"/>
      <c r="FVX51" s="76"/>
      <c r="FVY51" s="76"/>
      <c r="FVZ51" s="76"/>
      <c r="FWA51" s="76"/>
      <c r="FWB51" s="76"/>
      <c r="FWC51" s="76"/>
      <c r="FWD51" s="76"/>
      <c r="FWE51" s="76"/>
      <c r="FWF51" s="76"/>
      <c r="FWG51" s="76"/>
      <c r="FWH51" s="76"/>
      <c r="FWI51" s="76"/>
      <c r="FWJ51" s="76"/>
      <c r="FWK51" s="76"/>
      <c r="FWL51" s="76"/>
      <c r="FWM51" s="76"/>
      <c r="FWN51" s="76"/>
      <c r="FWO51" s="76"/>
      <c r="FWP51" s="76"/>
      <c r="FWQ51" s="76"/>
      <c r="FWR51" s="76"/>
      <c r="FWS51" s="76"/>
      <c r="FWT51" s="76"/>
      <c r="FWU51" s="76"/>
      <c r="FWV51" s="76"/>
      <c r="FWW51" s="76"/>
      <c r="FWX51" s="76"/>
      <c r="FWY51" s="76"/>
      <c r="FWZ51" s="76"/>
      <c r="FXA51" s="76"/>
      <c r="FXB51" s="76"/>
      <c r="FXC51" s="76"/>
      <c r="FXD51" s="76"/>
      <c r="FXE51" s="76"/>
      <c r="FXF51" s="76"/>
      <c r="FXG51" s="76"/>
      <c r="FXH51" s="76"/>
      <c r="FXI51" s="76"/>
      <c r="FXJ51" s="76"/>
      <c r="FXK51" s="76"/>
      <c r="FXL51" s="76"/>
      <c r="FXM51" s="76"/>
      <c r="FXN51" s="76"/>
      <c r="FXO51" s="76"/>
      <c r="FXP51" s="76"/>
      <c r="FXQ51" s="76"/>
      <c r="FXR51" s="76"/>
      <c r="FXS51" s="76"/>
      <c r="FXT51" s="76"/>
      <c r="FXU51" s="76"/>
      <c r="FXV51" s="76"/>
      <c r="FXW51" s="76"/>
      <c r="FXX51" s="76"/>
      <c r="FXY51" s="76"/>
      <c r="FXZ51" s="76"/>
      <c r="FYA51" s="76"/>
      <c r="FYB51" s="76"/>
      <c r="FYC51" s="76"/>
      <c r="FYD51" s="76"/>
      <c r="FYE51" s="76"/>
      <c r="FYF51" s="76"/>
      <c r="FYG51" s="76"/>
      <c r="FYH51" s="76"/>
      <c r="FYI51" s="76"/>
      <c r="FYJ51" s="76"/>
      <c r="FYK51" s="76"/>
      <c r="FYL51" s="76"/>
      <c r="FYM51" s="76"/>
      <c r="FYN51" s="76"/>
      <c r="FYO51" s="76"/>
      <c r="FYP51" s="76"/>
      <c r="FYQ51" s="76"/>
      <c r="FYR51" s="76"/>
      <c r="FYS51" s="76"/>
      <c r="FYT51" s="76"/>
      <c r="FYU51" s="76"/>
      <c r="FYV51" s="76"/>
      <c r="FYW51" s="76"/>
      <c r="FYX51" s="76"/>
      <c r="FYY51" s="76"/>
      <c r="FYZ51" s="76"/>
      <c r="FZA51" s="76"/>
      <c r="FZB51" s="76"/>
      <c r="FZC51" s="76"/>
      <c r="FZD51" s="76"/>
      <c r="FZE51" s="76"/>
      <c r="FZF51" s="76"/>
      <c r="FZG51" s="76"/>
      <c r="FZH51" s="76"/>
      <c r="FZI51" s="76"/>
      <c r="FZJ51" s="76"/>
      <c r="FZK51" s="76"/>
      <c r="FZL51" s="76"/>
      <c r="FZM51" s="76"/>
      <c r="FZN51" s="76"/>
      <c r="FZO51" s="76"/>
      <c r="FZP51" s="76"/>
      <c r="FZQ51" s="76"/>
      <c r="FZR51" s="76"/>
      <c r="FZS51" s="76"/>
      <c r="FZT51" s="76"/>
      <c r="FZU51" s="76"/>
      <c r="FZV51" s="76"/>
      <c r="FZW51" s="76"/>
      <c r="FZX51" s="76"/>
      <c r="FZY51" s="76"/>
      <c r="FZZ51" s="76"/>
      <c r="GAA51" s="76"/>
      <c r="GAB51" s="76"/>
      <c r="GAC51" s="76"/>
      <c r="GAD51" s="76"/>
      <c r="GAE51" s="76"/>
      <c r="GAF51" s="76"/>
      <c r="GAG51" s="76"/>
      <c r="GAH51" s="76"/>
      <c r="GAI51" s="76"/>
      <c r="GAJ51" s="76"/>
      <c r="GAK51" s="76"/>
      <c r="GAL51" s="76"/>
      <c r="GAM51" s="76"/>
      <c r="GAN51" s="76"/>
      <c r="GAO51" s="76"/>
      <c r="GAP51" s="76"/>
      <c r="GAQ51" s="76"/>
      <c r="GAR51" s="76"/>
      <c r="GAS51" s="76"/>
      <c r="GAT51" s="76"/>
      <c r="GAU51" s="76"/>
      <c r="GAV51" s="76"/>
      <c r="GAW51" s="76"/>
      <c r="GAX51" s="76"/>
      <c r="GAY51" s="76"/>
      <c r="GAZ51" s="76"/>
      <c r="GBA51" s="76"/>
      <c r="GBB51" s="76"/>
      <c r="GBC51" s="76"/>
      <c r="GBD51" s="76"/>
      <c r="GBE51" s="76"/>
      <c r="GBF51" s="76"/>
      <c r="GBG51" s="76"/>
      <c r="GBH51" s="76"/>
      <c r="GBI51" s="76"/>
      <c r="GBJ51" s="76"/>
      <c r="GBK51" s="76"/>
      <c r="GBL51" s="76"/>
      <c r="GBM51" s="76"/>
      <c r="GBN51" s="76"/>
      <c r="GBO51" s="76"/>
      <c r="GBP51" s="76"/>
      <c r="GBQ51" s="76"/>
      <c r="GBR51" s="76"/>
      <c r="GBS51" s="76"/>
      <c r="GBT51" s="76"/>
      <c r="GBU51" s="76"/>
      <c r="GBV51" s="76"/>
      <c r="GBW51" s="76"/>
      <c r="GBX51" s="76"/>
      <c r="GBY51" s="76"/>
      <c r="GBZ51" s="76"/>
      <c r="GCA51" s="76"/>
      <c r="GCB51" s="76"/>
      <c r="GCC51" s="76"/>
      <c r="GCD51" s="76"/>
      <c r="GCE51" s="76"/>
      <c r="GCF51" s="76"/>
      <c r="GCG51" s="76"/>
      <c r="GCH51" s="76"/>
      <c r="GCI51" s="76"/>
      <c r="GCJ51" s="76"/>
      <c r="GCK51" s="76"/>
      <c r="GCL51" s="76"/>
      <c r="GCM51" s="76"/>
      <c r="GCN51" s="76"/>
      <c r="GCO51" s="76"/>
      <c r="GCP51" s="76"/>
      <c r="GCQ51" s="76"/>
      <c r="GCR51" s="76"/>
      <c r="GCS51" s="76"/>
      <c r="GCT51" s="76"/>
      <c r="GCU51" s="76"/>
      <c r="GCV51" s="76"/>
      <c r="GCW51" s="76"/>
      <c r="GCX51" s="76"/>
      <c r="GCY51" s="76"/>
      <c r="GCZ51" s="76"/>
      <c r="GDA51" s="76"/>
      <c r="GDB51" s="76"/>
      <c r="GDC51" s="76"/>
      <c r="GDD51" s="76"/>
      <c r="GDE51" s="76"/>
      <c r="GDF51" s="76"/>
      <c r="GDG51" s="76"/>
      <c r="GDH51" s="76"/>
      <c r="GDI51" s="76"/>
      <c r="GDJ51" s="76"/>
      <c r="GDK51" s="76"/>
      <c r="GDL51" s="76"/>
      <c r="GDM51" s="76"/>
      <c r="GDN51" s="76"/>
      <c r="GDO51" s="76"/>
      <c r="GDP51" s="76"/>
      <c r="GDQ51" s="76"/>
      <c r="GDR51" s="76"/>
      <c r="GDS51" s="76"/>
      <c r="GDT51" s="76"/>
      <c r="GDU51" s="76"/>
      <c r="GDV51" s="76"/>
      <c r="GDW51" s="76"/>
      <c r="GDX51" s="76"/>
      <c r="GDY51" s="76"/>
      <c r="GDZ51" s="76"/>
      <c r="GEA51" s="76"/>
      <c r="GEB51" s="76"/>
      <c r="GEC51" s="76"/>
      <c r="GED51" s="76"/>
      <c r="GEE51" s="76"/>
      <c r="GEF51" s="76"/>
      <c r="GEG51" s="76"/>
      <c r="GEH51" s="76"/>
      <c r="GEI51" s="76"/>
      <c r="GEJ51" s="76"/>
      <c r="GEK51" s="76"/>
      <c r="GEL51" s="76"/>
      <c r="GEM51" s="76"/>
      <c r="GEN51" s="76"/>
      <c r="GEO51" s="76"/>
      <c r="GEP51" s="76"/>
      <c r="GEQ51" s="76"/>
      <c r="GER51" s="76"/>
      <c r="GES51" s="76"/>
      <c r="GET51" s="76"/>
      <c r="GEU51" s="76"/>
      <c r="GEV51" s="76"/>
      <c r="GEW51" s="76"/>
      <c r="GEX51" s="76"/>
      <c r="GEY51" s="76"/>
      <c r="GEZ51" s="76"/>
      <c r="GFA51" s="76"/>
      <c r="GFB51" s="76"/>
      <c r="GFC51" s="76"/>
      <c r="GFD51" s="76"/>
      <c r="GFE51" s="76"/>
      <c r="GFF51" s="76"/>
      <c r="GFG51" s="76"/>
      <c r="GFH51" s="76"/>
      <c r="GFI51" s="76"/>
      <c r="GFJ51" s="76"/>
      <c r="GFK51" s="76"/>
      <c r="GFL51" s="76"/>
      <c r="GFM51" s="76"/>
      <c r="GFN51" s="76"/>
      <c r="GFO51" s="76"/>
      <c r="GFP51" s="76"/>
      <c r="GFQ51" s="76"/>
      <c r="GFR51" s="76"/>
      <c r="GFS51" s="76"/>
      <c r="GFT51" s="76"/>
      <c r="GFU51" s="76"/>
      <c r="GFV51" s="76"/>
      <c r="GFW51" s="76"/>
      <c r="GFX51" s="76"/>
      <c r="GFY51" s="76"/>
      <c r="GFZ51" s="76"/>
      <c r="GGA51" s="76"/>
      <c r="GGB51" s="76"/>
      <c r="GGC51" s="76"/>
      <c r="GGD51" s="76"/>
      <c r="GGE51" s="76"/>
      <c r="GGF51" s="76"/>
      <c r="GGG51" s="76"/>
      <c r="GGH51" s="76"/>
      <c r="GGI51" s="76"/>
      <c r="GGJ51" s="76"/>
      <c r="GGK51" s="76"/>
      <c r="GGL51" s="76"/>
      <c r="GGM51" s="76"/>
      <c r="GGN51" s="76"/>
      <c r="GGO51" s="76"/>
      <c r="GGP51" s="76"/>
      <c r="GGQ51" s="76"/>
      <c r="GGR51" s="76"/>
      <c r="GGS51" s="76"/>
      <c r="GGT51" s="76"/>
      <c r="GGU51" s="76"/>
      <c r="GGV51" s="76"/>
      <c r="GGW51" s="76"/>
      <c r="GGX51" s="76"/>
      <c r="GGY51" s="76"/>
      <c r="GGZ51" s="76"/>
      <c r="GHA51" s="76"/>
      <c r="GHB51" s="76"/>
      <c r="GHC51" s="76"/>
      <c r="GHD51" s="76"/>
      <c r="GHE51" s="76"/>
      <c r="GHF51" s="76"/>
      <c r="GHG51" s="76"/>
      <c r="GHH51" s="76"/>
      <c r="GHI51" s="76"/>
      <c r="GHJ51" s="76"/>
      <c r="GHK51" s="76"/>
      <c r="GHL51" s="76"/>
      <c r="GHM51" s="76"/>
      <c r="GHN51" s="76"/>
      <c r="GHO51" s="76"/>
      <c r="GHP51" s="76"/>
      <c r="GHQ51" s="76"/>
      <c r="GHR51" s="76"/>
      <c r="GHS51" s="76"/>
      <c r="GHT51" s="76"/>
      <c r="GHU51" s="76"/>
      <c r="GHV51" s="76"/>
      <c r="GHW51" s="76"/>
      <c r="GHX51" s="76"/>
      <c r="GHY51" s="76"/>
      <c r="GHZ51" s="76"/>
      <c r="GIA51" s="76"/>
      <c r="GIB51" s="76"/>
      <c r="GIC51" s="76"/>
      <c r="GID51" s="76"/>
      <c r="GIE51" s="76"/>
      <c r="GIF51" s="76"/>
      <c r="GIG51" s="76"/>
      <c r="GIH51" s="76"/>
      <c r="GII51" s="76"/>
      <c r="GIJ51" s="76"/>
      <c r="GIK51" s="76"/>
      <c r="GIL51" s="76"/>
      <c r="GIM51" s="76"/>
      <c r="GIN51" s="76"/>
      <c r="GIO51" s="76"/>
      <c r="GIP51" s="76"/>
      <c r="GIQ51" s="76"/>
      <c r="GIR51" s="76"/>
      <c r="GIS51" s="76"/>
      <c r="GIT51" s="76"/>
      <c r="GIU51" s="76"/>
      <c r="GIV51" s="76"/>
      <c r="GIW51" s="76"/>
      <c r="GIX51" s="76"/>
      <c r="GIY51" s="76"/>
      <c r="GIZ51" s="76"/>
      <c r="GJA51" s="76"/>
      <c r="GJB51" s="76"/>
      <c r="GJC51" s="76"/>
      <c r="GJD51" s="76"/>
      <c r="GJE51" s="76"/>
      <c r="GJF51" s="76"/>
      <c r="GJG51" s="76"/>
      <c r="GJH51" s="76"/>
      <c r="GJI51" s="76"/>
      <c r="GJJ51" s="76"/>
      <c r="GJK51" s="76"/>
      <c r="GJL51" s="76"/>
      <c r="GJM51" s="76"/>
      <c r="GJN51" s="76"/>
      <c r="GJO51" s="76"/>
      <c r="GJP51" s="76"/>
      <c r="GJQ51" s="76"/>
      <c r="GJR51" s="76"/>
      <c r="GJS51" s="76"/>
      <c r="GJT51" s="76"/>
      <c r="GJU51" s="76"/>
      <c r="GJV51" s="76"/>
      <c r="GJW51" s="76"/>
      <c r="GJX51" s="76"/>
      <c r="GJY51" s="76"/>
      <c r="GJZ51" s="76"/>
      <c r="GKA51" s="76"/>
      <c r="GKB51" s="76"/>
      <c r="GKC51" s="76"/>
      <c r="GKD51" s="76"/>
      <c r="GKE51" s="76"/>
      <c r="GKF51" s="76"/>
      <c r="GKG51" s="76"/>
      <c r="GKH51" s="76"/>
      <c r="GKI51" s="76"/>
      <c r="GKJ51" s="76"/>
      <c r="GKK51" s="76"/>
      <c r="GKL51" s="76"/>
      <c r="GKM51" s="76"/>
      <c r="GKN51" s="76"/>
      <c r="GKO51" s="76"/>
      <c r="GKP51" s="76"/>
      <c r="GKQ51" s="76"/>
      <c r="GKR51" s="76"/>
      <c r="GKS51" s="76"/>
      <c r="GKT51" s="76"/>
      <c r="GKU51" s="76"/>
      <c r="GKV51" s="76"/>
      <c r="GKW51" s="76"/>
      <c r="GKX51" s="76"/>
      <c r="GKY51" s="76"/>
      <c r="GKZ51" s="76"/>
      <c r="GLA51" s="76"/>
      <c r="GLB51" s="76"/>
      <c r="GLC51" s="76"/>
      <c r="GLD51" s="76"/>
      <c r="GLE51" s="76"/>
      <c r="GLF51" s="76"/>
      <c r="GLG51" s="76"/>
      <c r="GLH51" s="76"/>
      <c r="GLI51" s="76"/>
      <c r="GLJ51" s="76"/>
      <c r="GLK51" s="76"/>
      <c r="GLL51" s="76"/>
      <c r="GLM51" s="76"/>
      <c r="GLN51" s="76"/>
      <c r="GLO51" s="76"/>
      <c r="GLP51" s="76"/>
      <c r="GLQ51" s="76"/>
      <c r="GLR51" s="76"/>
      <c r="GLS51" s="76"/>
      <c r="GLT51" s="76"/>
      <c r="GLU51" s="76"/>
      <c r="GLV51" s="76"/>
      <c r="GLW51" s="76"/>
      <c r="GLX51" s="76"/>
      <c r="GLY51" s="76"/>
      <c r="GLZ51" s="76"/>
      <c r="GMA51" s="76"/>
      <c r="GMB51" s="76"/>
      <c r="GMC51" s="76"/>
      <c r="GMD51" s="76"/>
      <c r="GME51" s="76"/>
      <c r="GMF51" s="76"/>
      <c r="GMG51" s="76"/>
      <c r="GMH51" s="76"/>
      <c r="GMI51" s="76"/>
      <c r="GMJ51" s="76"/>
      <c r="GMK51" s="76"/>
      <c r="GML51" s="76"/>
      <c r="GMM51" s="76"/>
      <c r="GMN51" s="76"/>
      <c r="GMO51" s="76"/>
      <c r="GMP51" s="76"/>
      <c r="GMQ51" s="76"/>
      <c r="GMR51" s="76"/>
      <c r="GMS51" s="76"/>
      <c r="GMT51" s="76"/>
      <c r="GMU51" s="76"/>
      <c r="GMV51" s="76"/>
      <c r="GMW51" s="76"/>
      <c r="GMX51" s="76"/>
      <c r="GMY51" s="76"/>
      <c r="GMZ51" s="76"/>
      <c r="GNA51" s="76"/>
      <c r="GNB51" s="76"/>
      <c r="GNC51" s="76"/>
      <c r="GND51" s="76"/>
      <c r="GNE51" s="76"/>
      <c r="GNF51" s="76"/>
      <c r="GNG51" s="76"/>
      <c r="GNH51" s="76"/>
      <c r="GNI51" s="76"/>
      <c r="GNJ51" s="76"/>
      <c r="GNK51" s="76"/>
      <c r="GNL51" s="76"/>
      <c r="GNM51" s="76"/>
      <c r="GNN51" s="76"/>
      <c r="GNO51" s="76"/>
      <c r="GNP51" s="76"/>
      <c r="GNQ51" s="76"/>
      <c r="GNR51" s="76"/>
      <c r="GNS51" s="76"/>
      <c r="GNT51" s="76"/>
      <c r="GNU51" s="76"/>
      <c r="GNV51" s="76"/>
      <c r="GNW51" s="76"/>
      <c r="GNX51" s="76"/>
      <c r="GNY51" s="76"/>
      <c r="GNZ51" s="76"/>
      <c r="GOA51" s="76"/>
      <c r="GOB51" s="76"/>
      <c r="GOC51" s="76"/>
      <c r="GOD51" s="76"/>
      <c r="GOE51" s="76"/>
      <c r="GOF51" s="76"/>
      <c r="GOG51" s="76"/>
      <c r="GOH51" s="76"/>
      <c r="GOI51" s="76"/>
      <c r="GOJ51" s="76"/>
      <c r="GOK51" s="76"/>
      <c r="GOL51" s="76"/>
      <c r="GOM51" s="76"/>
      <c r="GON51" s="76"/>
      <c r="GOO51" s="76"/>
      <c r="GOP51" s="76"/>
      <c r="GOQ51" s="76"/>
      <c r="GOR51" s="76"/>
      <c r="GOS51" s="76"/>
      <c r="GOT51" s="76"/>
      <c r="GOU51" s="76"/>
      <c r="GOV51" s="76"/>
      <c r="GOW51" s="76"/>
      <c r="GOX51" s="76"/>
      <c r="GOY51" s="76"/>
      <c r="GOZ51" s="76"/>
      <c r="GPA51" s="76"/>
      <c r="GPB51" s="76"/>
      <c r="GPC51" s="76"/>
      <c r="GPD51" s="76"/>
      <c r="GPE51" s="76"/>
      <c r="GPF51" s="76"/>
      <c r="GPG51" s="76"/>
      <c r="GPH51" s="76"/>
      <c r="GPI51" s="76"/>
      <c r="GPJ51" s="76"/>
      <c r="GPK51" s="76"/>
      <c r="GPL51" s="76"/>
      <c r="GPM51" s="76"/>
      <c r="GPN51" s="76"/>
      <c r="GPO51" s="76"/>
      <c r="GPP51" s="76"/>
      <c r="GPQ51" s="76"/>
      <c r="GPR51" s="76"/>
      <c r="GPS51" s="76"/>
      <c r="GPT51" s="76"/>
      <c r="GPU51" s="76"/>
      <c r="GPV51" s="76"/>
      <c r="GPW51" s="76"/>
      <c r="GPX51" s="76"/>
      <c r="GPY51" s="76"/>
      <c r="GPZ51" s="76"/>
      <c r="GQA51" s="76"/>
      <c r="GQB51" s="76"/>
      <c r="GQC51" s="76"/>
      <c r="GQD51" s="76"/>
      <c r="GQE51" s="76"/>
      <c r="GQF51" s="76"/>
      <c r="GQG51" s="76"/>
      <c r="GQH51" s="76"/>
      <c r="GQI51" s="76"/>
      <c r="GQJ51" s="76"/>
      <c r="GQK51" s="76"/>
      <c r="GQL51" s="76"/>
      <c r="GQM51" s="76"/>
      <c r="GQN51" s="76"/>
      <c r="GQO51" s="76"/>
      <c r="GQP51" s="76"/>
      <c r="GQQ51" s="76"/>
      <c r="GQR51" s="76"/>
      <c r="GQS51" s="76"/>
      <c r="GQT51" s="76"/>
      <c r="GQU51" s="76"/>
      <c r="GQV51" s="76"/>
      <c r="GQW51" s="76"/>
      <c r="GQX51" s="76"/>
      <c r="GQY51" s="76"/>
      <c r="GQZ51" s="76"/>
      <c r="GRA51" s="76"/>
      <c r="GRB51" s="76"/>
      <c r="GRC51" s="76"/>
      <c r="GRD51" s="76"/>
      <c r="GRE51" s="76"/>
      <c r="GRF51" s="76"/>
      <c r="GRG51" s="76"/>
      <c r="GRH51" s="76"/>
      <c r="GRI51" s="76"/>
      <c r="GRJ51" s="76"/>
      <c r="GRK51" s="76"/>
      <c r="GRL51" s="76"/>
      <c r="GRM51" s="76"/>
      <c r="GRN51" s="76"/>
      <c r="GRO51" s="76"/>
      <c r="GRP51" s="76"/>
      <c r="GRQ51" s="76"/>
      <c r="GRR51" s="76"/>
      <c r="GRS51" s="76"/>
      <c r="GRT51" s="76"/>
      <c r="GRU51" s="76"/>
      <c r="GRV51" s="76"/>
      <c r="GRW51" s="76"/>
      <c r="GRX51" s="76"/>
      <c r="GRY51" s="76"/>
      <c r="GRZ51" s="76"/>
      <c r="GSA51" s="76"/>
      <c r="GSB51" s="76"/>
      <c r="GSC51" s="76"/>
      <c r="GSD51" s="76"/>
      <c r="GSE51" s="76"/>
      <c r="GSF51" s="76"/>
      <c r="GSG51" s="76"/>
      <c r="GSH51" s="76"/>
      <c r="GSI51" s="76"/>
      <c r="GSJ51" s="76"/>
      <c r="GSK51" s="76"/>
      <c r="GSL51" s="76"/>
      <c r="GSM51" s="76"/>
      <c r="GSN51" s="76"/>
      <c r="GSO51" s="76"/>
      <c r="GSP51" s="76"/>
      <c r="GSQ51" s="76"/>
      <c r="GSR51" s="76"/>
      <c r="GSS51" s="76"/>
      <c r="GST51" s="76"/>
      <c r="GSU51" s="76"/>
      <c r="GSV51" s="76"/>
      <c r="GSW51" s="76"/>
      <c r="GSX51" s="76"/>
      <c r="GSY51" s="76"/>
      <c r="GSZ51" s="76"/>
      <c r="GTA51" s="76"/>
      <c r="GTB51" s="76"/>
      <c r="GTC51" s="76"/>
      <c r="GTD51" s="76"/>
      <c r="GTE51" s="76"/>
      <c r="GTF51" s="76"/>
      <c r="GTG51" s="76"/>
      <c r="GTH51" s="76"/>
      <c r="GTI51" s="76"/>
      <c r="GTJ51" s="76"/>
      <c r="GTK51" s="76"/>
      <c r="GTL51" s="76"/>
      <c r="GTM51" s="76"/>
      <c r="GTN51" s="76"/>
      <c r="GTO51" s="76"/>
      <c r="GTP51" s="76"/>
      <c r="GTQ51" s="76"/>
      <c r="GTR51" s="76"/>
      <c r="GTS51" s="76"/>
      <c r="GTT51" s="76"/>
      <c r="GTU51" s="76"/>
      <c r="GTV51" s="76"/>
      <c r="GTW51" s="76"/>
      <c r="GTX51" s="76"/>
      <c r="GTY51" s="76"/>
      <c r="GTZ51" s="76"/>
      <c r="GUA51" s="76"/>
      <c r="GUB51" s="76"/>
      <c r="GUC51" s="76"/>
      <c r="GUD51" s="76"/>
      <c r="GUE51" s="76"/>
      <c r="GUF51" s="76"/>
      <c r="GUG51" s="76"/>
      <c r="GUH51" s="76"/>
      <c r="GUI51" s="76"/>
      <c r="GUJ51" s="76"/>
      <c r="GUK51" s="76"/>
      <c r="GUL51" s="76"/>
      <c r="GUM51" s="76"/>
      <c r="GUN51" s="76"/>
      <c r="GUO51" s="76"/>
      <c r="GUP51" s="76"/>
      <c r="GUQ51" s="76"/>
      <c r="GUR51" s="76"/>
      <c r="GUS51" s="76"/>
      <c r="GUT51" s="76"/>
      <c r="GUU51" s="76"/>
      <c r="GUV51" s="76"/>
      <c r="GUW51" s="76"/>
      <c r="GUX51" s="76"/>
      <c r="GUY51" s="76"/>
      <c r="GUZ51" s="76"/>
      <c r="GVA51" s="76"/>
      <c r="GVB51" s="76"/>
      <c r="GVC51" s="76"/>
      <c r="GVD51" s="76"/>
      <c r="GVE51" s="76"/>
      <c r="GVF51" s="76"/>
      <c r="GVG51" s="76"/>
      <c r="GVH51" s="76"/>
      <c r="GVI51" s="76"/>
      <c r="GVJ51" s="76"/>
      <c r="GVK51" s="76"/>
      <c r="GVL51" s="76"/>
      <c r="GVM51" s="76"/>
      <c r="GVN51" s="76"/>
      <c r="GVO51" s="76"/>
      <c r="GVP51" s="76"/>
      <c r="GVQ51" s="76"/>
      <c r="GVR51" s="76"/>
      <c r="GVS51" s="76"/>
      <c r="GVT51" s="76"/>
      <c r="GVU51" s="76"/>
      <c r="GVV51" s="76"/>
      <c r="GVW51" s="76"/>
      <c r="GVX51" s="76"/>
      <c r="GVY51" s="76"/>
      <c r="GVZ51" s="76"/>
      <c r="GWA51" s="76"/>
      <c r="GWB51" s="76"/>
      <c r="GWC51" s="76"/>
      <c r="GWD51" s="76"/>
      <c r="GWE51" s="76"/>
      <c r="GWF51" s="76"/>
      <c r="GWG51" s="76"/>
      <c r="GWH51" s="76"/>
      <c r="GWI51" s="76"/>
      <c r="GWJ51" s="76"/>
      <c r="GWK51" s="76"/>
      <c r="GWL51" s="76"/>
      <c r="GWM51" s="76"/>
      <c r="GWN51" s="76"/>
      <c r="GWO51" s="76"/>
      <c r="GWP51" s="76"/>
      <c r="GWQ51" s="76"/>
      <c r="GWR51" s="76"/>
      <c r="GWS51" s="76"/>
      <c r="GWT51" s="76"/>
      <c r="GWU51" s="76"/>
      <c r="GWV51" s="76"/>
      <c r="GWW51" s="76"/>
      <c r="GWX51" s="76"/>
      <c r="GWY51" s="76"/>
      <c r="GWZ51" s="76"/>
      <c r="GXA51" s="76"/>
      <c r="GXB51" s="76"/>
      <c r="GXC51" s="76"/>
      <c r="GXD51" s="76"/>
      <c r="GXE51" s="76"/>
      <c r="GXF51" s="76"/>
      <c r="GXG51" s="76"/>
      <c r="GXH51" s="76"/>
      <c r="GXI51" s="76"/>
      <c r="GXJ51" s="76"/>
      <c r="GXK51" s="76"/>
      <c r="GXL51" s="76"/>
      <c r="GXM51" s="76"/>
      <c r="GXN51" s="76"/>
      <c r="GXO51" s="76"/>
      <c r="GXP51" s="76"/>
      <c r="GXQ51" s="76"/>
      <c r="GXR51" s="76"/>
      <c r="GXS51" s="76"/>
      <c r="GXT51" s="76"/>
      <c r="GXU51" s="76"/>
      <c r="GXV51" s="76"/>
      <c r="GXW51" s="76"/>
      <c r="GXX51" s="76"/>
      <c r="GXY51" s="76"/>
      <c r="GXZ51" s="76"/>
      <c r="GYA51" s="76"/>
      <c r="GYB51" s="76"/>
      <c r="GYC51" s="76"/>
      <c r="GYD51" s="76"/>
      <c r="GYE51" s="76"/>
      <c r="GYF51" s="76"/>
      <c r="GYG51" s="76"/>
      <c r="GYH51" s="76"/>
      <c r="GYI51" s="76"/>
      <c r="GYJ51" s="76"/>
      <c r="GYK51" s="76"/>
      <c r="GYL51" s="76"/>
      <c r="GYM51" s="76"/>
      <c r="GYN51" s="76"/>
      <c r="GYO51" s="76"/>
      <c r="GYP51" s="76"/>
      <c r="GYQ51" s="76"/>
      <c r="GYR51" s="76"/>
      <c r="GYS51" s="76"/>
      <c r="GYT51" s="76"/>
      <c r="GYU51" s="76"/>
      <c r="GYV51" s="76"/>
      <c r="GYW51" s="76"/>
      <c r="GYX51" s="76"/>
      <c r="GYY51" s="76"/>
      <c r="GYZ51" s="76"/>
      <c r="GZA51" s="76"/>
      <c r="GZB51" s="76"/>
      <c r="GZC51" s="76"/>
      <c r="GZD51" s="76"/>
      <c r="GZE51" s="76"/>
      <c r="GZF51" s="76"/>
      <c r="GZG51" s="76"/>
      <c r="GZH51" s="76"/>
      <c r="GZI51" s="76"/>
      <c r="GZJ51" s="76"/>
      <c r="GZK51" s="76"/>
      <c r="GZL51" s="76"/>
      <c r="GZM51" s="76"/>
      <c r="GZN51" s="76"/>
      <c r="GZO51" s="76"/>
      <c r="GZP51" s="76"/>
      <c r="GZQ51" s="76"/>
      <c r="GZR51" s="76"/>
      <c r="GZS51" s="76"/>
      <c r="GZT51" s="76"/>
      <c r="GZU51" s="76"/>
      <c r="GZV51" s="76"/>
      <c r="GZW51" s="76"/>
      <c r="GZX51" s="76"/>
      <c r="GZY51" s="76"/>
      <c r="GZZ51" s="76"/>
      <c r="HAA51" s="76"/>
      <c r="HAB51" s="76"/>
      <c r="HAC51" s="76"/>
      <c r="HAD51" s="76"/>
      <c r="HAE51" s="76"/>
      <c r="HAF51" s="76"/>
      <c r="HAG51" s="76"/>
      <c r="HAH51" s="76"/>
      <c r="HAI51" s="76"/>
      <c r="HAJ51" s="76"/>
      <c r="HAK51" s="76"/>
      <c r="HAL51" s="76"/>
      <c r="HAM51" s="76"/>
      <c r="HAN51" s="76"/>
      <c r="HAO51" s="76"/>
      <c r="HAP51" s="76"/>
      <c r="HAQ51" s="76"/>
      <c r="HAR51" s="76"/>
      <c r="HAS51" s="76"/>
      <c r="HAT51" s="76"/>
      <c r="HAU51" s="76"/>
      <c r="HAV51" s="76"/>
      <c r="HAW51" s="76"/>
      <c r="HAX51" s="76"/>
      <c r="HAY51" s="76"/>
      <c r="HAZ51" s="76"/>
      <c r="HBA51" s="76"/>
      <c r="HBB51" s="76"/>
      <c r="HBC51" s="76"/>
      <c r="HBD51" s="76"/>
      <c r="HBE51" s="76"/>
      <c r="HBF51" s="76"/>
      <c r="HBG51" s="76"/>
      <c r="HBH51" s="76"/>
      <c r="HBI51" s="76"/>
      <c r="HBJ51" s="76"/>
      <c r="HBK51" s="76"/>
      <c r="HBL51" s="76"/>
      <c r="HBM51" s="76"/>
      <c r="HBN51" s="76"/>
      <c r="HBO51" s="76"/>
      <c r="HBP51" s="76"/>
      <c r="HBQ51" s="76"/>
      <c r="HBR51" s="76"/>
      <c r="HBS51" s="76"/>
      <c r="HBT51" s="76"/>
      <c r="HBU51" s="76"/>
      <c r="HBV51" s="76"/>
      <c r="HBW51" s="76"/>
      <c r="HBX51" s="76"/>
      <c r="HBY51" s="76"/>
      <c r="HBZ51" s="76"/>
      <c r="HCA51" s="76"/>
      <c r="HCB51" s="76"/>
      <c r="HCC51" s="76"/>
      <c r="HCD51" s="76"/>
      <c r="HCE51" s="76"/>
      <c r="HCF51" s="76"/>
      <c r="HCG51" s="76"/>
      <c r="HCH51" s="76"/>
      <c r="HCI51" s="76"/>
      <c r="HCJ51" s="76"/>
      <c r="HCK51" s="76"/>
      <c r="HCL51" s="76"/>
      <c r="HCM51" s="76"/>
      <c r="HCN51" s="76"/>
      <c r="HCO51" s="76"/>
      <c r="HCP51" s="76"/>
      <c r="HCQ51" s="76"/>
      <c r="HCR51" s="76"/>
      <c r="HCS51" s="76"/>
      <c r="HCT51" s="76"/>
      <c r="HCU51" s="76"/>
      <c r="HCV51" s="76"/>
      <c r="HCW51" s="76"/>
      <c r="HCX51" s="76"/>
      <c r="HCY51" s="76"/>
      <c r="HCZ51" s="76"/>
      <c r="HDA51" s="76"/>
      <c r="HDB51" s="76"/>
      <c r="HDC51" s="76"/>
      <c r="HDD51" s="76"/>
      <c r="HDE51" s="76"/>
      <c r="HDF51" s="76"/>
      <c r="HDG51" s="76"/>
      <c r="HDH51" s="76"/>
      <c r="HDI51" s="76"/>
      <c r="HDJ51" s="76"/>
      <c r="HDK51" s="76"/>
      <c r="HDL51" s="76"/>
      <c r="HDM51" s="76"/>
      <c r="HDN51" s="76"/>
      <c r="HDO51" s="76"/>
      <c r="HDP51" s="76"/>
      <c r="HDQ51" s="76"/>
      <c r="HDR51" s="76"/>
      <c r="HDS51" s="76"/>
      <c r="HDT51" s="76"/>
      <c r="HDU51" s="76"/>
      <c r="HDV51" s="76"/>
      <c r="HDW51" s="76"/>
      <c r="HDX51" s="76"/>
      <c r="HDY51" s="76"/>
      <c r="HDZ51" s="76"/>
      <c r="HEA51" s="76"/>
      <c r="HEB51" s="76"/>
      <c r="HEC51" s="76"/>
      <c r="HED51" s="76"/>
      <c r="HEE51" s="76"/>
      <c r="HEF51" s="76"/>
      <c r="HEG51" s="76"/>
      <c r="HEH51" s="76"/>
      <c r="HEI51" s="76"/>
      <c r="HEJ51" s="76"/>
      <c r="HEK51" s="76"/>
      <c r="HEL51" s="76"/>
      <c r="HEM51" s="76"/>
      <c r="HEN51" s="76"/>
      <c r="HEO51" s="76"/>
      <c r="HEP51" s="76"/>
      <c r="HEQ51" s="76"/>
      <c r="HER51" s="76"/>
      <c r="HES51" s="76"/>
      <c r="HET51" s="76"/>
      <c r="HEU51" s="76"/>
      <c r="HEV51" s="76"/>
      <c r="HEW51" s="76"/>
      <c r="HEX51" s="76"/>
      <c r="HEY51" s="76"/>
      <c r="HEZ51" s="76"/>
      <c r="HFA51" s="76"/>
      <c r="HFB51" s="76"/>
      <c r="HFC51" s="76"/>
      <c r="HFD51" s="76"/>
      <c r="HFE51" s="76"/>
      <c r="HFF51" s="76"/>
      <c r="HFG51" s="76"/>
      <c r="HFH51" s="76"/>
      <c r="HFI51" s="76"/>
      <c r="HFJ51" s="76"/>
      <c r="HFK51" s="76"/>
      <c r="HFL51" s="76"/>
      <c r="HFM51" s="76"/>
      <c r="HFN51" s="76"/>
      <c r="HFO51" s="76"/>
      <c r="HFP51" s="76"/>
      <c r="HFQ51" s="76"/>
      <c r="HFR51" s="76"/>
      <c r="HFS51" s="76"/>
      <c r="HFT51" s="76"/>
      <c r="HFU51" s="76"/>
      <c r="HFV51" s="76"/>
      <c r="HFW51" s="76"/>
      <c r="HFX51" s="76"/>
      <c r="HFY51" s="76"/>
      <c r="HFZ51" s="76"/>
      <c r="HGA51" s="76"/>
      <c r="HGB51" s="76"/>
      <c r="HGC51" s="76"/>
      <c r="HGD51" s="76"/>
      <c r="HGE51" s="76"/>
      <c r="HGF51" s="76"/>
      <c r="HGG51" s="76"/>
      <c r="HGH51" s="76"/>
      <c r="HGI51" s="76"/>
      <c r="HGJ51" s="76"/>
      <c r="HGK51" s="76"/>
      <c r="HGL51" s="76"/>
      <c r="HGM51" s="76"/>
      <c r="HGN51" s="76"/>
      <c r="HGO51" s="76"/>
      <c r="HGP51" s="76"/>
      <c r="HGQ51" s="76"/>
      <c r="HGR51" s="76"/>
      <c r="HGS51" s="76"/>
      <c r="HGT51" s="76"/>
      <c r="HGU51" s="76"/>
      <c r="HGV51" s="76"/>
      <c r="HGW51" s="76"/>
      <c r="HGX51" s="76"/>
      <c r="HGY51" s="76"/>
      <c r="HGZ51" s="76"/>
      <c r="HHA51" s="76"/>
      <c r="HHB51" s="76"/>
      <c r="HHC51" s="76"/>
      <c r="HHD51" s="76"/>
      <c r="HHE51" s="76"/>
      <c r="HHF51" s="76"/>
      <c r="HHG51" s="76"/>
      <c r="HHH51" s="76"/>
      <c r="HHI51" s="76"/>
      <c r="HHJ51" s="76"/>
      <c r="HHK51" s="76"/>
      <c r="HHL51" s="76"/>
      <c r="HHM51" s="76"/>
      <c r="HHN51" s="76"/>
      <c r="HHO51" s="76"/>
      <c r="HHP51" s="76"/>
      <c r="HHQ51" s="76"/>
      <c r="HHR51" s="76"/>
      <c r="HHS51" s="76"/>
      <c r="HHT51" s="76"/>
      <c r="HHU51" s="76"/>
      <c r="HHV51" s="76"/>
      <c r="HHW51" s="76"/>
      <c r="HHX51" s="76"/>
      <c r="HHY51" s="76"/>
      <c r="HHZ51" s="76"/>
      <c r="HIA51" s="76"/>
      <c r="HIB51" s="76"/>
      <c r="HIC51" s="76"/>
      <c r="HID51" s="76"/>
      <c r="HIE51" s="76"/>
      <c r="HIF51" s="76"/>
      <c r="HIG51" s="76"/>
      <c r="HIH51" s="76"/>
      <c r="HII51" s="76"/>
      <c r="HIJ51" s="76"/>
      <c r="HIK51" s="76"/>
      <c r="HIL51" s="76"/>
      <c r="HIM51" s="76"/>
      <c r="HIN51" s="76"/>
      <c r="HIO51" s="76"/>
      <c r="HIP51" s="76"/>
      <c r="HIQ51" s="76"/>
      <c r="HIR51" s="76"/>
      <c r="HIS51" s="76"/>
      <c r="HIT51" s="76"/>
      <c r="HIU51" s="76"/>
      <c r="HIV51" s="76"/>
      <c r="HIW51" s="76"/>
      <c r="HIX51" s="76"/>
      <c r="HIY51" s="76"/>
      <c r="HIZ51" s="76"/>
      <c r="HJA51" s="76"/>
      <c r="HJB51" s="76"/>
      <c r="HJC51" s="76"/>
      <c r="HJD51" s="76"/>
      <c r="HJE51" s="76"/>
      <c r="HJF51" s="76"/>
      <c r="HJG51" s="76"/>
      <c r="HJH51" s="76"/>
      <c r="HJI51" s="76"/>
      <c r="HJJ51" s="76"/>
      <c r="HJK51" s="76"/>
      <c r="HJL51" s="76"/>
      <c r="HJM51" s="76"/>
      <c r="HJN51" s="76"/>
      <c r="HJO51" s="76"/>
      <c r="HJP51" s="76"/>
      <c r="HJQ51" s="76"/>
      <c r="HJR51" s="76"/>
      <c r="HJS51" s="76"/>
      <c r="HJT51" s="76"/>
      <c r="HJU51" s="76"/>
      <c r="HJV51" s="76"/>
      <c r="HJW51" s="76"/>
      <c r="HJX51" s="76"/>
      <c r="HJY51" s="76"/>
      <c r="HJZ51" s="76"/>
      <c r="HKA51" s="76"/>
      <c r="HKB51" s="76"/>
      <c r="HKC51" s="76"/>
      <c r="HKD51" s="76"/>
      <c r="HKE51" s="76"/>
      <c r="HKF51" s="76"/>
      <c r="HKG51" s="76"/>
      <c r="HKH51" s="76"/>
      <c r="HKI51" s="76"/>
      <c r="HKJ51" s="76"/>
      <c r="HKK51" s="76"/>
      <c r="HKL51" s="76"/>
      <c r="HKM51" s="76"/>
      <c r="HKN51" s="76"/>
      <c r="HKO51" s="76"/>
      <c r="HKP51" s="76"/>
      <c r="HKQ51" s="76"/>
      <c r="HKR51" s="76"/>
      <c r="HKS51" s="76"/>
      <c r="HKT51" s="76"/>
      <c r="HKU51" s="76"/>
      <c r="HKV51" s="76"/>
      <c r="HKW51" s="76"/>
      <c r="HKX51" s="76"/>
      <c r="HKY51" s="76"/>
      <c r="HKZ51" s="76"/>
      <c r="HLA51" s="76"/>
      <c r="HLB51" s="76"/>
      <c r="HLC51" s="76"/>
      <c r="HLD51" s="76"/>
      <c r="HLE51" s="76"/>
      <c r="HLF51" s="76"/>
      <c r="HLG51" s="76"/>
      <c r="HLH51" s="76"/>
      <c r="HLI51" s="76"/>
      <c r="HLJ51" s="76"/>
      <c r="HLK51" s="76"/>
      <c r="HLL51" s="76"/>
      <c r="HLM51" s="76"/>
      <c r="HLN51" s="76"/>
      <c r="HLO51" s="76"/>
      <c r="HLP51" s="76"/>
      <c r="HLQ51" s="76"/>
      <c r="HLR51" s="76"/>
      <c r="HLS51" s="76"/>
      <c r="HLT51" s="76"/>
      <c r="HLU51" s="76"/>
      <c r="HLV51" s="76"/>
      <c r="HLW51" s="76"/>
      <c r="HLX51" s="76"/>
      <c r="HLY51" s="76"/>
      <c r="HLZ51" s="76"/>
      <c r="HMA51" s="76"/>
      <c r="HMB51" s="76"/>
      <c r="HMC51" s="76"/>
      <c r="HMD51" s="76"/>
      <c r="HME51" s="76"/>
      <c r="HMF51" s="76"/>
      <c r="HMG51" s="76"/>
      <c r="HMH51" s="76"/>
      <c r="HMI51" s="76"/>
      <c r="HMJ51" s="76"/>
      <c r="HMK51" s="76"/>
      <c r="HML51" s="76"/>
      <c r="HMM51" s="76"/>
      <c r="HMN51" s="76"/>
      <c r="HMO51" s="76"/>
      <c r="HMP51" s="76"/>
      <c r="HMQ51" s="76"/>
      <c r="HMR51" s="76"/>
      <c r="HMS51" s="76"/>
      <c r="HMT51" s="76"/>
      <c r="HMU51" s="76"/>
      <c r="HMV51" s="76"/>
      <c r="HMW51" s="76"/>
      <c r="HMX51" s="76"/>
      <c r="HMY51" s="76"/>
      <c r="HMZ51" s="76"/>
      <c r="HNA51" s="76"/>
      <c r="HNB51" s="76"/>
      <c r="HNC51" s="76"/>
      <c r="HND51" s="76"/>
      <c r="HNE51" s="76"/>
      <c r="HNF51" s="76"/>
      <c r="HNG51" s="76"/>
      <c r="HNH51" s="76"/>
      <c r="HNI51" s="76"/>
      <c r="HNJ51" s="76"/>
      <c r="HNK51" s="76"/>
      <c r="HNL51" s="76"/>
      <c r="HNM51" s="76"/>
      <c r="HNN51" s="76"/>
      <c r="HNO51" s="76"/>
      <c r="HNP51" s="76"/>
      <c r="HNQ51" s="76"/>
      <c r="HNR51" s="76"/>
      <c r="HNS51" s="76"/>
      <c r="HNT51" s="76"/>
      <c r="HNU51" s="76"/>
      <c r="HNV51" s="76"/>
      <c r="HNW51" s="76"/>
      <c r="HNX51" s="76"/>
      <c r="HNY51" s="76"/>
      <c r="HNZ51" s="76"/>
      <c r="HOA51" s="76"/>
      <c r="HOB51" s="76"/>
      <c r="HOC51" s="76"/>
      <c r="HOD51" s="76"/>
      <c r="HOE51" s="76"/>
      <c r="HOF51" s="76"/>
      <c r="HOG51" s="76"/>
      <c r="HOH51" s="76"/>
      <c r="HOI51" s="76"/>
      <c r="HOJ51" s="76"/>
      <c r="HOK51" s="76"/>
      <c r="HOL51" s="76"/>
      <c r="HOM51" s="76"/>
      <c r="HON51" s="76"/>
      <c r="HOO51" s="76"/>
      <c r="HOP51" s="76"/>
      <c r="HOQ51" s="76"/>
      <c r="HOR51" s="76"/>
      <c r="HOS51" s="76"/>
      <c r="HOT51" s="76"/>
      <c r="HOU51" s="76"/>
      <c r="HOV51" s="76"/>
      <c r="HOW51" s="76"/>
      <c r="HOX51" s="76"/>
      <c r="HOY51" s="76"/>
      <c r="HOZ51" s="76"/>
      <c r="HPA51" s="76"/>
      <c r="HPB51" s="76"/>
      <c r="HPC51" s="76"/>
      <c r="HPD51" s="76"/>
      <c r="HPE51" s="76"/>
      <c r="HPF51" s="76"/>
      <c r="HPG51" s="76"/>
      <c r="HPH51" s="76"/>
      <c r="HPI51" s="76"/>
      <c r="HPJ51" s="76"/>
      <c r="HPK51" s="76"/>
      <c r="HPL51" s="76"/>
      <c r="HPM51" s="76"/>
      <c r="HPN51" s="76"/>
      <c r="HPO51" s="76"/>
      <c r="HPP51" s="76"/>
      <c r="HPQ51" s="76"/>
      <c r="HPR51" s="76"/>
      <c r="HPS51" s="76"/>
      <c r="HPT51" s="76"/>
      <c r="HPU51" s="76"/>
      <c r="HPV51" s="76"/>
      <c r="HPW51" s="76"/>
      <c r="HPX51" s="76"/>
      <c r="HPY51" s="76"/>
      <c r="HPZ51" s="76"/>
      <c r="HQA51" s="76"/>
      <c r="HQB51" s="76"/>
      <c r="HQC51" s="76"/>
      <c r="HQD51" s="76"/>
      <c r="HQE51" s="76"/>
      <c r="HQF51" s="76"/>
      <c r="HQG51" s="76"/>
      <c r="HQH51" s="76"/>
      <c r="HQI51" s="76"/>
      <c r="HQJ51" s="76"/>
      <c r="HQK51" s="76"/>
      <c r="HQL51" s="76"/>
      <c r="HQM51" s="76"/>
      <c r="HQN51" s="76"/>
      <c r="HQO51" s="76"/>
      <c r="HQP51" s="76"/>
      <c r="HQQ51" s="76"/>
      <c r="HQR51" s="76"/>
      <c r="HQS51" s="76"/>
      <c r="HQT51" s="76"/>
      <c r="HQU51" s="76"/>
      <c r="HQV51" s="76"/>
      <c r="HQW51" s="76"/>
      <c r="HQX51" s="76"/>
      <c r="HQY51" s="76"/>
      <c r="HQZ51" s="76"/>
      <c r="HRA51" s="76"/>
      <c r="HRB51" s="76"/>
      <c r="HRC51" s="76"/>
      <c r="HRD51" s="76"/>
      <c r="HRE51" s="76"/>
      <c r="HRF51" s="76"/>
      <c r="HRG51" s="76"/>
      <c r="HRH51" s="76"/>
      <c r="HRI51" s="76"/>
      <c r="HRJ51" s="76"/>
      <c r="HRK51" s="76"/>
      <c r="HRL51" s="76"/>
      <c r="HRM51" s="76"/>
      <c r="HRN51" s="76"/>
      <c r="HRO51" s="76"/>
      <c r="HRP51" s="76"/>
      <c r="HRQ51" s="76"/>
      <c r="HRR51" s="76"/>
      <c r="HRS51" s="76"/>
      <c r="HRT51" s="76"/>
      <c r="HRU51" s="76"/>
      <c r="HRV51" s="76"/>
      <c r="HRW51" s="76"/>
      <c r="HRX51" s="76"/>
      <c r="HRY51" s="76"/>
      <c r="HRZ51" s="76"/>
      <c r="HSA51" s="76"/>
      <c r="HSB51" s="76"/>
      <c r="HSC51" s="76"/>
      <c r="HSD51" s="76"/>
      <c r="HSE51" s="76"/>
      <c r="HSF51" s="76"/>
      <c r="HSG51" s="76"/>
      <c r="HSH51" s="76"/>
      <c r="HSI51" s="76"/>
      <c r="HSJ51" s="76"/>
      <c r="HSK51" s="76"/>
      <c r="HSL51" s="76"/>
      <c r="HSM51" s="76"/>
      <c r="HSN51" s="76"/>
      <c r="HSO51" s="76"/>
      <c r="HSP51" s="76"/>
      <c r="HSQ51" s="76"/>
      <c r="HSR51" s="76"/>
      <c r="HSS51" s="76"/>
      <c r="HST51" s="76"/>
      <c r="HSU51" s="76"/>
      <c r="HSV51" s="76"/>
      <c r="HSW51" s="76"/>
      <c r="HSX51" s="76"/>
      <c r="HSY51" s="76"/>
      <c r="HSZ51" s="76"/>
      <c r="HTA51" s="76"/>
      <c r="HTB51" s="76"/>
      <c r="HTC51" s="76"/>
      <c r="HTD51" s="76"/>
      <c r="HTE51" s="76"/>
      <c r="HTF51" s="76"/>
      <c r="HTG51" s="76"/>
      <c r="HTH51" s="76"/>
      <c r="HTI51" s="76"/>
      <c r="HTJ51" s="76"/>
      <c r="HTK51" s="76"/>
      <c r="HTL51" s="76"/>
      <c r="HTM51" s="76"/>
      <c r="HTN51" s="76"/>
      <c r="HTO51" s="76"/>
      <c r="HTP51" s="76"/>
      <c r="HTQ51" s="76"/>
      <c r="HTR51" s="76"/>
      <c r="HTS51" s="76"/>
      <c r="HTT51" s="76"/>
      <c r="HTU51" s="76"/>
      <c r="HTV51" s="76"/>
      <c r="HTW51" s="76"/>
      <c r="HTX51" s="76"/>
      <c r="HTY51" s="76"/>
      <c r="HTZ51" s="76"/>
      <c r="HUA51" s="76"/>
      <c r="HUB51" s="76"/>
      <c r="HUC51" s="76"/>
      <c r="HUD51" s="76"/>
      <c r="HUE51" s="76"/>
      <c r="HUF51" s="76"/>
      <c r="HUG51" s="76"/>
      <c r="HUH51" s="76"/>
      <c r="HUI51" s="76"/>
      <c r="HUJ51" s="76"/>
      <c r="HUK51" s="76"/>
      <c r="HUL51" s="76"/>
      <c r="HUM51" s="76"/>
      <c r="HUN51" s="76"/>
      <c r="HUO51" s="76"/>
      <c r="HUP51" s="76"/>
      <c r="HUQ51" s="76"/>
      <c r="HUR51" s="76"/>
      <c r="HUS51" s="76"/>
      <c r="HUT51" s="76"/>
      <c r="HUU51" s="76"/>
      <c r="HUV51" s="76"/>
      <c r="HUW51" s="76"/>
      <c r="HUX51" s="76"/>
      <c r="HUY51" s="76"/>
      <c r="HUZ51" s="76"/>
      <c r="HVA51" s="76"/>
      <c r="HVB51" s="76"/>
      <c r="HVC51" s="76"/>
      <c r="HVD51" s="76"/>
      <c r="HVE51" s="76"/>
      <c r="HVF51" s="76"/>
      <c r="HVG51" s="76"/>
      <c r="HVH51" s="76"/>
      <c r="HVI51" s="76"/>
      <c r="HVJ51" s="76"/>
      <c r="HVK51" s="76"/>
      <c r="HVL51" s="76"/>
      <c r="HVM51" s="76"/>
      <c r="HVN51" s="76"/>
      <c r="HVO51" s="76"/>
      <c r="HVP51" s="76"/>
      <c r="HVQ51" s="76"/>
      <c r="HVR51" s="76"/>
      <c r="HVS51" s="76"/>
      <c r="HVT51" s="76"/>
      <c r="HVU51" s="76"/>
      <c r="HVV51" s="76"/>
      <c r="HVW51" s="76"/>
      <c r="HVX51" s="76"/>
      <c r="HVY51" s="76"/>
      <c r="HVZ51" s="76"/>
      <c r="HWA51" s="76"/>
      <c r="HWB51" s="76"/>
      <c r="HWC51" s="76"/>
      <c r="HWD51" s="76"/>
      <c r="HWE51" s="76"/>
      <c r="HWF51" s="76"/>
      <c r="HWG51" s="76"/>
      <c r="HWH51" s="76"/>
      <c r="HWI51" s="76"/>
      <c r="HWJ51" s="76"/>
      <c r="HWK51" s="76"/>
      <c r="HWL51" s="76"/>
      <c r="HWM51" s="76"/>
      <c r="HWN51" s="76"/>
      <c r="HWO51" s="76"/>
      <c r="HWP51" s="76"/>
      <c r="HWQ51" s="76"/>
      <c r="HWR51" s="76"/>
      <c r="HWS51" s="76"/>
      <c r="HWT51" s="76"/>
      <c r="HWU51" s="76"/>
      <c r="HWV51" s="76"/>
      <c r="HWW51" s="76"/>
      <c r="HWX51" s="76"/>
      <c r="HWY51" s="76"/>
      <c r="HWZ51" s="76"/>
      <c r="HXA51" s="76"/>
      <c r="HXB51" s="76"/>
      <c r="HXC51" s="76"/>
      <c r="HXD51" s="76"/>
      <c r="HXE51" s="76"/>
      <c r="HXF51" s="76"/>
      <c r="HXG51" s="76"/>
      <c r="HXH51" s="76"/>
      <c r="HXI51" s="76"/>
      <c r="HXJ51" s="76"/>
      <c r="HXK51" s="76"/>
      <c r="HXL51" s="76"/>
      <c r="HXM51" s="76"/>
      <c r="HXN51" s="76"/>
      <c r="HXO51" s="76"/>
      <c r="HXP51" s="76"/>
      <c r="HXQ51" s="76"/>
      <c r="HXR51" s="76"/>
      <c r="HXS51" s="76"/>
      <c r="HXT51" s="76"/>
      <c r="HXU51" s="76"/>
      <c r="HXV51" s="76"/>
      <c r="HXW51" s="76"/>
      <c r="HXX51" s="76"/>
      <c r="HXY51" s="76"/>
      <c r="HXZ51" s="76"/>
      <c r="HYA51" s="76"/>
      <c r="HYB51" s="76"/>
      <c r="HYC51" s="76"/>
      <c r="HYD51" s="76"/>
      <c r="HYE51" s="76"/>
      <c r="HYF51" s="76"/>
      <c r="HYG51" s="76"/>
      <c r="HYH51" s="76"/>
      <c r="HYI51" s="76"/>
      <c r="HYJ51" s="76"/>
      <c r="HYK51" s="76"/>
      <c r="HYL51" s="76"/>
      <c r="HYM51" s="76"/>
      <c r="HYN51" s="76"/>
      <c r="HYO51" s="76"/>
      <c r="HYP51" s="76"/>
      <c r="HYQ51" s="76"/>
      <c r="HYR51" s="76"/>
      <c r="HYS51" s="76"/>
      <c r="HYT51" s="76"/>
      <c r="HYU51" s="76"/>
      <c r="HYV51" s="76"/>
      <c r="HYW51" s="76"/>
      <c r="HYX51" s="76"/>
      <c r="HYY51" s="76"/>
      <c r="HYZ51" s="76"/>
      <c r="HZA51" s="76"/>
      <c r="HZB51" s="76"/>
      <c r="HZC51" s="76"/>
      <c r="HZD51" s="76"/>
      <c r="HZE51" s="76"/>
      <c r="HZF51" s="76"/>
      <c r="HZG51" s="76"/>
      <c r="HZH51" s="76"/>
      <c r="HZI51" s="76"/>
      <c r="HZJ51" s="76"/>
      <c r="HZK51" s="76"/>
      <c r="HZL51" s="76"/>
      <c r="HZM51" s="76"/>
      <c r="HZN51" s="76"/>
      <c r="HZO51" s="76"/>
      <c r="HZP51" s="76"/>
      <c r="HZQ51" s="76"/>
      <c r="HZR51" s="76"/>
      <c r="HZS51" s="76"/>
      <c r="HZT51" s="76"/>
      <c r="HZU51" s="76"/>
      <c r="HZV51" s="76"/>
      <c r="HZW51" s="76"/>
      <c r="HZX51" s="76"/>
      <c r="HZY51" s="76"/>
      <c r="HZZ51" s="76"/>
      <c r="IAA51" s="76"/>
      <c r="IAB51" s="76"/>
      <c r="IAC51" s="76"/>
      <c r="IAD51" s="76"/>
      <c r="IAE51" s="76"/>
      <c r="IAF51" s="76"/>
      <c r="IAG51" s="76"/>
      <c r="IAH51" s="76"/>
      <c r="IAI51" s="76"/>
      <c r="IAJ51" s="76"/>
      <c r="IAK51" s="76"/>
      <c r="IAL51" s="76"/>
      <c r="IAM51" s="76"/>
      <c r="IAN51" s="76"/>
      <c r="IAO51" s="76"/>
      <c r="IAP51" s="76"/>
      <c r="IAQ51" s="76"/>
      <c r="IAR51" s="76"/>
      <c r="IAS51" s="76"/>
      <c r="IAT51" s="76"/>
      <c r="IAU51" s="76"/>
      <c r="IAV51" s="76"/>
      <c r="IAW51" s="76"/>
      <c r="IAX51" s="76"/>
      <c r="IAY51" s="76"/>
      <c r="IAZ51" s="76"/>
      <c r="IBA51" s="76"/>
      <c r="IBB51" s="76"/>
      <c r="IBC51" s="76"/>
      <c r="IBD51" s="76"/>
      <c r="IBE51" s="76"/>
      <c r="IBF51" s="76"/>
      <c r="IBG51" s="76"/>
      <c r="IBH51" s="76"/>
      <c r="IBI51" s="76"/>
      <c r="IBJ51" s="76"/>
      <c r="IBK51" s="76"/>
      <c r="IBL51" s="76"/>
      <c r="IBM51" s="76"/>
      <c r="IBN51" s="76"/>
      <c r="IBO51" s="76"/>
      <c r="IBP51" s="76"/>
      <c r="IBQ51" s="76"/>
      <c r="IBR51" s="76"/>
      <c r="IBS51" s="76"/>
      <c r="IBT51" s="76"/>
      <c r="IBU51" s="76"/>
      <c r="IBV51" s="76"/>
      <c r="IBW51" s="76"/>
      <c r="IBX51" s="76"/>
      <c r="IBY51" s="76"/>
      <c r="IBZ51" s="76"/>
      <c r="ICA51" s="76"/>
      <c r="ICB51" s="76"/>
      <c r="ICC51" s="76"/>
      <c r="ICD51" s="76"/>
      <c r="ICE51" s="76"/>
      <c r="ICF51" s="76"/>
      <c r="ICG51" s="76"/>
      <c r="ICH51" s="76"/>
      <c r="ICI51" s="76"/>
      <c r="ICJ51" s="76"/>
      <c r="ICK51" s="76"/>
      <c r="ICL51" s="76"/>
      <c r="ICM51" s="76"/>
      <c r="ICN51" s="76"/>
      <c r="ICO51" s="76"/>
      <c r="ICP51" s="76"/>
      <c r="ICQ51" s="76"/>
      <c r="ICR51" s="76"/>
      <c r="ICS51" s="76"/>
      <c r="ICT51" s="76"/>
      <c r="ICU51" s="76"/>
      <c r="ICV51" s="76"/>
      <c r="ICW51" s="76"/>
      <c r="ICX51" s="76"/>
      <c r="ICY51" s="76"/>
      <c r="ICZ51" s="76"/>
      <c r="IDA51" s="76"/>
      <c r="IDB51" s="76"/>
      <c r="IDC51" s="76"/>
      <c r="IDD51" s="76"/>
      <c r="IDE51" s="76"/>
      <c r="IDF51" s="76"/>
      <c r="IDG51" s="76"/>
      <c r="IDH51" s="76"/>
      <c r="IDI51" s="76"/>
      <c r="IDJ51" s="76"/>
      <c r="IDK51" s="76"/>
      <c r="IDL51" s="76"/>
      <c r="IDM51" s="76"/>
      <c r="IDN51" s="76"/>
      <c r="IDO51" s="76"/>
      <c r="IDP51" s="76"/>
      <c r="IDQ51" s="76"/>
      <c r="IDR51" s="76"/>
      <c r="IDS51" s="76"/>
      <c r="IDT51" s="76"/>
      <c r="IDU51" s="76"/>
      <c r="IDV51" s="76"/>
      <c r="IDW51" s="76"/>
      <c r="IDX51" s="76"/>
      <c r="IDY51" s="76"/>
      <c r="IDZ51" s="76"/>
      <c r="IEA51" s="76"/>
      <c r="IEB51" s="76"/>
      <c r="IEC51" s="76"/>
      <c r="IED51" s="76"/>
      <c r="IEE51" s="76"/>
      <c r="IEF51" s="76"/>
      <c r="IEG51" s="76"/>
      <c r="IEH51" s="76"/>
      <c r="IEI51" s="76"/>
      <c r="IEJ51" s="76"/>
      <c r="IEK51" s="76"/>
      <c r="IEL51" s="76"/>
      <c r="IEM51" s="76"/>
      <c r="IEN51" s="76"/>
      <c r="IEO51" s="76"/>
      <c r="IEP51" s="76"/>
      <c r="IEQ51" s="76"/>
      <c r="IER51" s="76"/>
      <c r="IES51" s="76"/>
      <c r="IET51" s="76"/>
      <c r="IEU51" s="76"/>
      <c r="IEV51" s="76"/>
      <c r="IEW51" s="76"/>
      <c r="IEX51" s="76"/>
      <c r="IEY51" s="76"/>
      <c r="IEZ51" s="76"/>
      <c r="IFA51" s="76"/>
      <c r="IFB51" s="76"/>
      <c r="IFC51" s="76"/>
      <c r="IFD51" s="76"/>
      <c r="IFE51" s="76"/>
      <c r="IFF51" s="76"/>
      <c r="IFG51" s="76"/>
      <c r="IFH51" s="76"/>
      <c r="IFI51" s="76"/>
      <c r="IFJ51" s="76"/>
      <c r="IFK51" s="76"/>
      <c r="IFL51" s="76"/>
      <c r="IFM51" s="76"/>
      <c r="IFN51" s="76"/>
      <c r="IFO51" s="76"/>
      <c r="IFP51" s="76"/>
      <c r="IFQ51" s="76"/>
      <c r="IFR51" s="76"/>
      <c r="IFS51" s="76"/>
      <c r="IFT51" s="76"/>
      <c r="IFU51" s="76"/>
      <c r="IFV51" s="76"/>
      <c r="IFW51" s="76"/>
      <c r="IFX51" s="76"/>
      <c r="IFY51" s="76"/>
      <c r="IFZ51" s="76"/>
      <c r="IGA51" s="76"/>
      <c r="IGB51" s="76"/>
      <c r="IGC51" s="76"/>
      <c r="IGD51" s="76"/>
      <c r="IGE51" s="76"/>
      <c r="IGF51" s="76"/>
      <c r="IGG51" s="76"/>
      <c r="IGH51" s="76"/>
      <c r="IGI51" s="76"/>
      <c r="IGJ51" s="76"/>
      <c r="IGK51" s="76"/>
      <c r="IGL51" s="76"/>
      <c r="IGM51" s="76"/>
      <c r="IGN51" s="76"/>
      <c r="IGO51" s="76"/>
      <c r="IGP51" s="76"/>
      <c r="IGQ51" s="76"/>
      <c r="IGR51" s="76"/>
      <c r="IGS51" s="76"/>
      <c r="IGT51" s="76"/>
      <c r="IGU51" s="76"/>
      <c r="IGV51" s="76"/>
      <c r="IGW51" s="76"/>
      <c r="IGX51" s="76"/>
      <c r="IGY51" s="76"/>
      <c r="IGZ51" s="76"/>
      <c r="IHA51" s="76"/>
      <c r="IHB51" s="76"/>
      <c r="IHC51" s="76"/>
      <c r="IHD51" s="76"/>
      <c r="IHE51" s="76"/>
      <c r="IHF51" s="76"/>
      <c r="IHG51" s="76"/>
      <c r="IHH51" s="76"/>
      <c r="IHI51" s="76"/>
      <c r="IHJ51" s="76"/>
      <c r="IHK51" s="76"/>
      <c r="IHL51" s="76"/>
      <c r="IHM51" s="76"/>
      <c r="IHN51" s="76"/>
      <c r="IHO51" s="76"/>
      <c r="IHP51" s="76"/>
      <c r="IHQ51" s="76"/>
      <c r="IHR51" s="76"/>
      <c r="IHS51" s="76"/>
      <c r="IHT51" s="76"/>
      <c r="IHU51" s="76"/>
      <c r="IHV51" s="76"/>
      <c r="IHW51" s="76"/>
      <c r="IHX51" s="76"/>
      <c r="IHY51" s="76"/>
      <c r="IHZ51" s="76"/>
      <c r="IIA51" s="76"/>
      <c r="IIB51" s="76"/>
      <c r="IIC51" s="76"/>
      <c r="IID51" s="76"/>
      <c r="IIE51" s="76"/>
      <c r="IIF51" s="76"/>
      <c r="IIG51" s="76"/>
      <c r="IIH51" s="76"/>
      <c r="III51" s="76"/>
      <c r="IIJ51" s="76"/>
      <c r="IIK51" s="76"/>
      <c r="IIL51" s="76"/>
      <c r="IIM51" s="76"/>
      <c r="IIN51" s="76"/>
      <c r="IIO51" s="76"/>
      <c r="IIP51" s="76"/>
      <c r="IIQ51" s="76"/>
      <c r="IIR51" s="76"/>
      <c r="IIS51" s="76"/>
      <c r="IIT51" s="76"/>
      <c r="IIU51" s="76"/>
      <c r="IIV51" s="76"/>
      <c r="IIW51" s="76"/>
      <c r="IIX51" s="76"/>
      <c r="IIY51" s="76"/>
      <c r="IIZ51" s="76"/>
      <c r="IJA51" s="76"/>
      <c r="IJB51" s="76"/>
      <c r="IJC51" s="76"/>
      <c r="IJD51" s="76"/>
      <c r="IJE51" s="76"/>
      <c r="IJF51" s="76"/>
      <c r="IJG51" s="76"/>
      <c r="IJH51" s="76"/>
      <c r="IJI51" s="76"/>
      <c r="IJJ51" s="76"/>
      <c r="IJK51" s="76"/>
      <c r="IJL51" s="76"/>
      <c r="IJM51" s="76"/>
      <c r="IJN51" s="76"/>
      <c r="IJO51" s="76"/>
      <c r="IJP51" s="76"/>
      <c r="IJQ51" s="76"/>
      <c r="IJR51" s="76"/>
      <c r="IJS51" s="76"/>
      <c r="IJT51" s="76"/>
      <c r="IJU51" s="76"/>
      <c r="IJV51" s="76"/>
      <c r="IJW51" s="76"/>
      <c r="IJX51" s="76"/>
      <c r="IJY51" s="76"/>
      <c r="IJZ51" s="76"/>
      <c r="IKA51" s="76"/>
      <c r="IKB51" s="76"/>
      <c r="IKC51" s="76"/>
      <c r="IKD51" s="76"/>
      <c r="IKE51" s="76"/>
      <c r="IKF51" s="76"/>
      <c r="IKG51" s="76"/>
      <c r="IKH51" s="76"/>
      <c r="IKI51" s="76"/>
      <c r="IKJ51" s="76"/>
      <c r="IKK51" s="76"/>
      <c r="IKL51" s="76"/>
      <c r="IKM51" s="76"/>
      <c r="IKN51" s="76"/>
      <c r="IKO51" s="76"/>
      <c r="IKP51" s="76"/>
      <c r="IKQ51" s="76"/>
      <c r="IKR51" s="76"/>
      <c r="IKS51" s="76"/>
      <c r="IKT51" s="76"/>
      <c r="IKU51" s="76"/>
      <c r="IKV51" s="76"/>
      <c r="IKW51" s="76"/>
      <c r="IKX51" s="76"/>
      <c r="IKY51" s="76"/>
      <c r="IKZ51" s="76"/>
      <c r="ILA51" s="76"/>
      <c r="ILB51" s="76"/>
      <c r="ILC51" s="76"/>
      <c r="ILD51" s="76"/>
      <c r="ILE51" s="76"/>
      <c r="ILF51" s="76"/>
      <c r="ILG51" s="76"/>
      <c r="ILH51" s="76"/>
      <c r="ILI51" s="76"/>
      <c r="ILJ51" s="76"/>
      <c r="ILK51" s="76"/>
      <c r="ILL51" s="76"/>
      <c r="ILM51" s="76"/>
      <c r="ILN51" s="76"/>
      <c r="ILO51" s="76"/>
      <c r="ILP51" s="76"/>
      <c r="ILQ51" s="76"/>
      <c r="ILR51" s="76"/>
      <c r="ILS51" s="76"/>
      <c r="ILT51" s="76"/>
      <c r="ILU51" s="76"/>
      <c r="ILV51" s="76"/>
      <c r="ILW51" s="76"/>
      <c r="ILX51" s="76"/>
      <c r="ILY51" s="76"/>
      <c r="ILZ51" s="76"/>
      <c r="IMA51" s="76"/>
      <c r="IMB51" s="76"/>
      <c r="IMC51" s="76"/>
      <c r="IMD51" s="76"/>
      <c r="IME51" s="76"/>
      <c r="IMF51" s="76"/>
      <c r="IMG51" s="76"/>
      <c r="IMH51" s="76"/>
      <c r="IMI51" s="76"/>
      <c r="IMJ51" s="76"/>
      <c r="IMK51" s="76"/>
      <c r="IML51" s="76"/>
      <c r="IMM51" s="76"/>
      <c r="IMN51" s="76"/>
      <c r="IMO51" s="76"/>
      <c r="IMP51" s="76"/>
      <c r="IMQ51" s="76"/>
      <c r="IMR51" s="76"/>
      <c r="IMS51" s="76"/>
      <c r="IMT51" s="76"/>
      <c r="IMU51" s="76"/>
      <c r="IMV51" s="76"/>
      <c r="IMW51" s="76"/>
      <c r="IMX51" s="76"/>
      <c r="IMY51" s="76"/>
      <c r="IMZ51" s="76"/>
      <c r="INA51" s="76"/>
      <c r="INB51" s="76"/>
      <c r="INC51" s="76"/>
      <c r="IND51" s="76"/>
      <c r="INE51" s="76"/>
      <c r="INF51" s="76"/>
      <c r="ING51" s="76"/>
      <c r="INH51" s="76"/>
      <c r="INI51" s="76"/>
      <c r="INJ51" s="76"/>
      <c r="INK51" s="76"/>
      <c r="INL51" s="76"/>
      <c r="INM51" s="76"/>
      <c r="INN51" s="76"/>
      <c r="INO51" s="76"/>
      <c r="INP51" s="76"/>
      <c r="INQ51" s="76"/>
      <c r="INR51" s="76"/>
      <c r="INS51" s="76"/>
      <c r="INT51" s="76"/>
      <c r="INU51" s="76"/>
      <c r="INV51" s="76"/>
      <c r="INW51" s="76"/>
      <c r="INX51" s="76"/>
      <c r="INY51" s="76"/>
      <c r="INZ51" s="76"/>
      <c r="IOA51" s="76"/>
      <c r="IOB51" s="76"/>
      <c r="IOC51" s="76"/>
      <c r="IOD51" s="76"/>
      <c r="IOE51" s="76"/>
      <c r="IOF51" s="76"/>
      <c r="IOG51" s="76"/>
      <c r="IOH51" s="76"/>
      <c r="IOI51" s="76"/>
      <c r="IOJ51" s="76"/>
      <c r="IOK51" s="76"/>
      <c r="IOL51" s="76"/>
      <c r="IOM51" s="76"/>
      <c r="ION51" s="76"/>
      <c r="IOO51" s="76"/>
      <c r="IOP51" s="76"/>
      <c r="IOQ51" s="76"/>
      <c r="IOR51" s="76"/>
      <c r="IOS51" s="76"/>
      <c r="IOT51" s="76"/>
      <c r="IOU51" s="76"/>
      <c r="IOV51" s="76"/>
      <c r="IOW51" s="76"/>
      <c r="IOX51" s="76"/>
      <c r="IOY51" s="76"/>
      <c r="IOZ51" s="76"/>
      <c r="IPA51" s="76"/>
      <c r="IPB51" s="76"/>
      <c r="IPC51" s="76"/>
      <c r="IPD51" s="76"/>
      <c r="IPE51" s="76"/>
      <c r="IPF51" s="76"/>
      <c r="IPG51" s="76"/>
      <c r="IPH51" s="76"/>
      <c r="IPI51" s="76"/>
      <c r="IPJ51" s="76"/>
      <c r="IPK51" s="76"/>
      <c r="IPL51" s="76"/>
      <c r="IPM51" s="76"/>
      <c r="IPN51" s="76"/>
      <c r="IPO51" s="76"/>
      <c r="IPP51" s="76"/>
      <c r="IPQ51" s="76"/>
      <c r="IPR51" s="76"/>
      <c r="IPS51" s="76"/>
      <c r="IPT51" s="76"/>
      <c r="IPU51" s="76"/>
      <c r="IPV51" s="76"/>
      <c r="IPW51" s="76"/>
      <c r="IPX51" s="76"/>
      <c r="IPY51" s="76"/>
      <c r="IPZ51" s="76"/>
      <c r="IQA51" s="76"/>
      <c r="IQB51" s="76"/>
      <c r="IQC51" s="76"/>
      <c r="IQD51" s="76"/>
      <c r="IQE51" s="76"/>
      <c r="IQF51" s="76"/>
      <c r="IQG51" s="76"/>
      <c r="IQH51" s="76"/>
      <c r="IQI51" s="76"/>
      <c r="IQJ51" s="76"/>
      <c r="IQK51" s="76"/>
      <c r="IQL51" s="76"/>
      <c r="IQM51" s="76"/>
      <c r="IQN51" s="76"/>
      <c r="IQO51" s="76"/>
      <c r="IQP51" s="76"/>
      <c r="IQQ51" s="76"/>
      <c r="IQR51" s="76"/>
      <c r="IQS51" s="76"/>
      <c r="IQT51" s="76"/>
      <c r="IQU51" s="76"/>
      <c r="IQV51" s="76"/>
      <c r="IQW51" s="76"/>
      <c r="IQX51" s="76"/>
      <c r="IQY51" s="76"/>
      <c r="IQZ51" s="76"/>
      <c r="IRA51" s="76"/>
      <c r="IRB51" s="76"/>
      <c r="IRC51" s="76"/>
      <c r="IRD51" s="76"/>
      <c r="IRE51" s="76"/>
      <c r="IRF51" s="76"/>
      <c r="IRG51" s="76"/>
      <c r="IRH51" s="76"/>
      <c r="IRI51" s="76"/>
      <c r="IRJ51" s="76"/>
      <c r="IRK51" s="76"/>
      <c r="IRL51" s="76"/>
      <c r="IRM51" s="76"/>
      <c r="IRN51" s="76"/>
      <c r="IRO51" s="76"/>
      <c r="IRP51" s="76"/>
      <c r="IRQ51" s="76"/>
      <c r="IRR51" s="76"/>
      <c r="IRS51" s="76"/>
      <c r="IRT51" s="76"/>
      <c r="IRU51" s="76"/>
      <c r="IRV51" s="76"/>
      <c r="IRW51" s="76"/>
      <c r="IRX51" s="76"/>
      <c r="IRY51" s="76"/>
      <c r="IRZ51" s="76"/>
      <c r="ISA51" s="76"/>
      <c r="ISB51" s="76"/>
      <c r="ISC51" s="76"/>
      <c r="ISD51" s="76"/>
      <c r="ISE51" s="76"/>
      <c r="ISF51" s="76"/>
      <c r="ISG51" s="76"/>
      <c r="ISH51" s="76"/>
      <c r="ISI51" s="76"/>
      <c r="ISJ51" s="76"/>
      <c r="ISK51" s="76"/>
      <c r="ISL51" s="76"/>
      <c r="ISM51" s="76"/>
      <c r="ISN51" s="76"/>
      <c r="ISO51" s="76"/>
      <c r="ISP51" s="76"/>
      <c r="ISQ51" s="76"/>
      <c r="ISR51" s="76"/>
      <c r="ISS51" s="76"/>
      <c r="IST51" s="76"/>
      <c r="ISU51" s="76"/>
      <c r="ISV51" s="76"/>
      <c r="ISW51" s="76"/>
      <c r="ISX51" s="76"/>
      <c r="ISY51" s="76"/>
      <c r="ISZ51" s="76"/>
      <c r="ITA51" s="76"/>
      <c r="ITB51" s="76"/>
      <c r="ITC51" s="76"/>
      <c r="ITD51" s="76"/>
      <c r="ITE51" s="76"/>
      <c r="ITF51" s="76"/>
      <c r="ITG51" s="76"/>
      <c r="ITH51" s="76"/>
      <c r="ITI51" s="76"/>
      <c r="ITJ51" s="76"/>
      <c r="ITK51" s="76"/>
      <c r="ITL51" s="76"/>
      <c r="ITM51" s="76"/>
      <c r="ITN51" s="76"/>
      <c r="ITO51" s="76"/>
      <c r="ITP51" s="76"/>
      <c r="ITQ51" s="76"/>
      <c r="ITR51" s="76"/>
      <c r="ITS51" s="76"/>
      <c r="ITT51" s="76"/>
      <c r="ITU51" s="76"/>
      <c r="ITV51" s="76"/>
      <c r="ITW51" s="76"/>
      <c r="ITX51" s="76"/>
      <c r="ITY51" s="76"/>
      <c r="ITZ51" s="76"/>
      <c r="IUA51" s="76"/>
      <c r="IUB51" s="76"/>
      <c r="IUC51" s="76"/>
      <c r="IUD51" s="76"/>
      <c r="IUE51" s="76"/>
      <c r="IUF51" s="76"/>
      <c r="IUG51" s="76"/>
      <c r="IUH51" s="76"/>
      <c r="IUI51" s="76"/>
      <c r="IUJ51" s="76"/>
      <c r="IUK51" s="76"/>
      <c r="IUL51" s="76"/>
      <c r="IUM51" s="76"/>
      <c r="IUN51" s="76"/>
      <c r="IUO51" s="76"/>
      <c r="IUP51" s="76"/>
      <c r="IUQ51" s="76"/>
      <c r="IUR51" s="76"/>
      <c r="IUS51" s="76"/>
      <c r="IUT51" s="76"/>
      <c r="IUU51" s="76"/>
      <c r="IUV51" s="76"/>
      <c r="IUW51" s="76"/>
      <c r="IUX51" s="76"/>
      <c r="IUY51" s="76"/>
      <c r="IUZ51" s="76"/>
      <c r="IVA51" s="76"/>
      <c r="IVB51" s="76"/>
      <c r="IVC51" s="76"/>
      <c r="IVD51" s="76"/>
      <c r="IVE51" s="76"/>
      <c r="IVF51" s="76"/>
      <c r="IVG51" s="76"/>
      <c r="IVH51" s="76"/>
      <c r="IVI51" s="76"/>
      <c r="IVJ51" s="76"/>
      <c r="IVK51" s="76"/>
      <c r="IVL51" s="76"/>
      <c r="IVM51" s="76"/>
      <c r="IVN51" s="76"/>
      <c r="IVO51" s="76"/>
      <c r="IVP51" s="76"/>
      <c r="IVQ51" s="76"/>
      <c r="IVR51" s="76"/>
      <c r="IVS51" s="76"/>
      <c r="IVT51" s="76"/>
      <c r="IVU51" s="76"/>
      <c r="IVV51" s="76"/>
      <c r="IVW51" s="76"/>
      <c r="IVX51" s="76"/>
      <c r="IVY51" s="76"/>
      <c r="IVZ51" s="76"/>
      <c r="IWA51" s="76"/>
      <c r="IWB51" s="76"/>
      <c r="IWC51" s="76"/>
      <c r="IWD51" s="76"/>
      <c r="IWE51" s="76"/>
      <c r="IWF51" s="76"/>
      <c r="IWG51" s="76"/>
      <c r="IWH51" s="76"/>
      <c r="IWI51" s="76"/>
      <c r="IWJ51" s="76"/>
      <c r="IWK51" s="76"/>
      <c r="IWL51" s="76"/>
      <c r="IWM51" s="76"/>
      <c r="IWN51" s="76"/>
      <c r="IWO51" s="76"/>
      <c r="IWP51" s="76"/>
      <c r="IWQ51" s="76"/>
      <c r="IWR51" s="76"/>
      <c r="IWS51" s="76"/>
      <c r="IWT51" s="76"/>
      <c r="IWU51" s="76"/>
      <c r="IWV51" s="76"/>
      <c r="IWW51" s="76"/>
      <c r="IWX51" s="76"/>
      <c r="IWY51" s="76"/>
      <c r="IWZ51" s="76"/>
      <c r="IXA51" s="76"/>
      <c r="IXB51" s="76"/>
      <c r="IXC51" s="76"/>
      <c r="IXD51" s="76"/>
      <c r="IXE51" s="76"/>
      <c r="IXF51" s="76"/>
      <c r="IXG51" s="76"/>
      <c r="IXH51" s="76"/>
      <c r="IXI51" s="76"/>
      <c r="IXJ51" s="76"/>
      <c r="IXK51" s="76"/>
      <c r="IXL51" s="76"/>
      <c r="IXM51" s="76"/>
      <c r="IXN51" s="76"/>
      <c r="IXO51" s="76"/>
      <c r="IXP51" s="76"/>
      <c r="IXQ51" s="76"/>
      <c r="IXR51" s="76"/>
      <c r="IXS51" s="76"/>
      <c r="IXT51" s="76"/>
      <c r="IXU51" s="76"/>
      <c r="IXV51" s="76"/>
      <c r="IXW51" s="76"/>
      <c r="IXX51" s="76"/>
      <c r="IXY51" s="76"/>
      <c r="IXZ51" s="76"/>
      <c r="IYA51" s="76"/>
      <c r="IYB51" s="76"/>
      <c r="IYC51" s="76"/>
      <c r="IYD51" s="76"/>
      <c r="IYE51" s="76"/>
      <c r="IYF51" s="76"/>
      <c r="IYG51" s="76"/>
      <c r="IYH51" s="76"/>
      <c r="IYI51" s="76"/>
      <c r="IYJ51" s="76"/>
      <c r="IYK51" s="76"/>
      <c r="IYL51" s="76"/>
      <c r="IYM51" s="76"/>
      <c r="IYN51" s="76"/>
      <c r="IYO51" s="76"/>
      <c r="IYP51" s="76"/>
      <c r="IYQ51" s="76"/>
      <c r="IYR51" s="76"/>
      <c r="IYS51" s="76"/>
      <c r="IYT51" s="76"/>
      <c r="IYU51" s="76"/>
      <c r="IYV51" s="76"/>
      <c r="IYW51" s="76"/>
      <c r="IYX51" s="76"/>
      <c r="IYY51" s="76"/>
      <c r="IYZ51" s="76"/>
      <c r="IZA51" s="76"/>
      <c r="IZB51" s="76"/>
      <c r="IZC51" s="76"/>
      <c r="IZD51" s="76"/>
      <c r="IZE51" s="76"/>
      <c r="IZF51" s="76"/>
      <c r="IZG51" s="76"/>
      <c r="IZH51" s="76"/>
      <c r="IZI51" s="76"/>
      <c r="IZJ51" s="76"/>
      <c r="IZK51" s="76"/>
      <c r="IZL51" s="76"/>
      <c r="IZM51" s="76"/>
      <c r="IZN51" s="76"/>
      <c r="IZO51" s="76"/>
      <c r="IZP51" s="76"/>
      <c r="IZQ51" s="76"/>
      <c r="IZR51" s="76"/>
      <c r="IZS51" s="76"/>
      <c r="IZT51" s="76"/>
      <c r="IZU51" s="76"/>
      <c r="IZV51" s="76"/>
      <c r="IZW51" s="76"/>
      <c r="IZX51" s="76"/>
      <c r="IZY51" s="76"/>
      <c r="IZZ51" s="76"/>
      <c r="JAA51" s="76"/>
      <c r="JAB51" s="76"/>
      <c r="JAC51" s="76"/>
      <c r="JAD51" s="76"/>
      <c r="JAE51" s="76"/>
      <c r="JAF51" s="76"/>
      <c r="JAG51" s="76"/>
      <c r="JAH51" s="76"/>
      <c r="JAI51" s="76"/>
      <c r="JAJ51" s="76"/>
      <c r="JAK51" s="76"/>
      <c r="JAL51" s="76"/>
      <c r="JAM51" s="76"/>
      <c r="JAN51" s="76"/>
      <c r="JAO51" s="76"/>
      <c r="JAP51" s="76"/>
      <c r="JAQ51" s="76"/>
      <c r="JAR51" s="76"/>
      <c r="JAS51" s="76"/>
      <c r="JAT51" s="76"/>
      <c r="JAU51" s="76"/>
      <c r="JAV51" s="76"/>
      <c r="JAW51" s="76"/>
      <c r="JAX51" s="76"/>
      <c r="JAY51" s="76"/>
      <c r="JAZ51" s="76"/>
      <c r="JBA51" s="76"/>
      <c r="JBB51" s="76"/>
      <c r="JBC51" s="76"/>
      <c r="JBD51" s="76"/>
      <c r="JBE51" s="76"/>
      <c r="JBF51" s="76"/>
      <c r="JBG51" s="76"/>
      <c r="JBH51" s="76"/>
      <c r="JBI51" s="76"/>
      <c r="JBJ51" s="76"/>
      <c r="JBK51" s="76"/>
      <c r="JBL51" s="76"/>
      <c r="JBM51" s="76"/>
      <c r="JBN51" s="76"/>
      <c r="JBO51" s="76"/>
      <c r="JBP51" s="76"/>
      <c r="JBQ51" s="76"/>
      <c r="JBR51" s="76"/>
      <c r="JBS51" s="76"/>
      <c r="JBT51" s="76"/>
      <c r="JBU51" s="76"/>
      <c r="JBV51" s="76"/>
      <c r="JBW51" s="76"/>
      <c r="JBX51" s="76"/>
      <c r="JBY51" s="76"/>
      <c r="JBZ51" s="76"/>
      <c r="JCA51" s="76"/>
      <c r="JCB51" s="76"/>
      <c r="JCC51" s="76"/>
      <c r="JCD51" s="76"/>
      <c r="JCE51" s="76"/>
      <c r="JCF51" s="76"/>
      <c r="JCG51" s="76"/>
      <c r="JCH51" s="76"/>
      <c r="JCI51" s="76"/>
      <c r="JCJ51" s="76"/>
      <c r="JCK51" s="76"/>
      <c r="JCL51" s="76"/>
      <c r="JCM51" s="76"/>
      <c r="JCN51" s="76"/>
      <c r="JCO51" s="76"/>
      <c r="JCP51" s="76"/>
      <c r="JCQ51" s="76"/>
      <c r="JCR51" s="76"/>
      <c r="JCS51" s="76"/>
      <c r="JCT51" s="76"/>
      <c r="JCU51" s="76"/>
      <c r="JCV51" s="76"/>
      <c r="JCW51" s="76"/>
      <c r="JCX51" s="76"/>
      <c r="JCY51" s="76"/>
      <c r="JCZ51" s="76"/>
      <c r="JDA51" s="76"/>
      <c r="JDB51" s="76"/>
      <c r="JDC51" s="76"/>
      <c r="JDD51" s="76"/>
      <c r="JDE51" s="76"/>
      <c r="JDF51" s="76"/>
      <c r="JDG51" s="76"/>
      <c r="JDH51" s="76"/>
      <c r="JDI51" s="76"/>
      <c r="JDJ51" s="76"/>
      <c r="JDK51" s="76"/>
      <c r="JDL51" s="76"/>
      <c r="JDM51" s="76"/>
      <c r="JDN51" s="76"/>
      <c r="JDO51" s="76"/>
      <c r="JDP51" s="76"/>
      <c r="JDQ51" s="76"/>
      <c r="JDR51" s="76"/>
      <c r="JDS51" s="76"/>
      <c r="JDT51" s="76"/>
      <c r="JDU51" s="76"/>
      <c r="JDV51" s="76"/>
      <c r="JDW51" s="76"/>
      <c r="JDX51" s="76"/>
      <c r="JDY51" s="76"/>
      <c r="JDZ51" s="76"/>
      <c r="JEA51" s="76"/>
      <c r="JEB51" s="76"/>
      <c r="JEC51" s="76"/>
      <c r="JED51" s="76"/>
      <c r="JEE51" s="76"/>
      <c r="JEF51" s="76"/>
      <c r="JEG51" s="76"/>
      <c r="JEH51" s="76"/>
      <c r="JEI51" s="76"/>
      <c r="JEJ51" s="76"/>
      <c r="JEK51" s="76"/>
      <c r="JEL51" s="76"/>
      <c r="JEM51" s="76"/>
      <c r="JEN51" s="76"/>
      <c r="JEO51" s="76"/>
      <c r="JEP51" s="76"/>
      <c r="JEQ51" s="76"/>
      <c r="JER51" s="76"/>
      <c r="JES51" s="76"/>
      <c r="JET51" s="76"/>
      <c r="JEU51" s="76"/>
      <c r="JEV51" s="76"/>
      <c r="JEW51" s="76"/>
      <c r="JEX51" s="76"/>
      <c r="JEY51" s="76"/>
      <c r="JEZ51" s="76"/>
      <c r="JFA51" s="76"/>
      <c r="JFB51" s="76"/>
      <c r="JFC51" s="76"/>
      <c r="JFD51" s="76"/>
      <c r="JFE51" s="76"/>
      <c r="JFF51" s="76"/>
      <c r="JFG51" s="76"/>
      <c r="JFH51" s="76"/>
      <c r="JFI51" s="76"/>
      <c r="JFJ51" s="76"/>
      <c r="JFK51" s="76"/>
      <c r="JFL51" s="76"/>
      <c r="JFM51" s="76"/>
      <c r="JFN51" s="76"/>
      <c r="JFO51" s="76"/>
      <c r="JFP51" s="76"/>
      <c r="JFQ51" s="76"/>
      <c r="JFR51" s="76"/>
      <c r="JFS51" s="76"/>
      <c r="JFT51" s="76"/>
      <c r="JFU51" s="76"/>
      <c r="JFV51" s="76"/>
      <c r="JFW51" s="76"/>
      <c r="JFX51" s="76"/>
      <c r="JFY51" s="76"/>
      <c r="JFZ51" s="76"/>
      <c r="JGA51" s="76"/>
      <c r="JGB51" s="76"/>
      <c r="JGC51" s="76"/>
      <c r="JGD51" s="76"/>
      <c r="JGE51" s="76"/>
      <c r="JGF51" s="76"/>
      <c r="JGG51" s="76"/>
      <c r="JGH51" s="76"/>
      <c r="JGI51" s="76"/>
      <c r="JGJ51" s="76"/>
      <c r="JGK51" s="76"/>
      <c r="JGL51" s="76"/>
      <c r="JGM51" s="76"/>
      <c r="JGN51" s="76"/>
      <c r="JGO51" s="76"/>
      <c r="JGP51" s="76"/>
      <c r="JGQ51" s="76"/>
      <c r="JGR51" s="76"/>
      <c r="JGS51" s="76"/>
      <c r="JGT51" s="76"/>
      <c r="JGU51" s="76"/>
      <c r="JGV51" s="76"/>
      <c r="JGW51" s="76"/>
      <c r="JGX51" s="76"/>
      <c r="JGY51" s="76"/>
      <c r="JGZ51" s="76"/>
      <c r="JHA51" s="76"/>
      <c r="JHB51" s="76"/>
      <c r="JHC51" s="76"/>
      <c r="JHD51" s="76"/>
      <c r="JHE51" s="76"/>
      <c r="JHF51" s="76"/>
      <c r="JHG51" s="76"/>
      <c r="JHH51" s="76"/>
      <c r="JHI51" s="76"/>
      <c r="JHJ51" s="76"/>
      <c r="JHK51" s="76"/>
      <c r="JHL51" s="76"/>
      <c r="JHM51" s="76"/>
      <c r="JHN51" s="76"/>
      <c r="JHO51" s="76"/>
      <c r="JHP51" s="76"/>
      <c r="JHQ51" s="76"/>
      <c r="JHR51" s="76"/>
      <c r="JHS51" s="76"/>
      <c r="JHT51" s="76"/>
      <c r="JHU51" s="76"/>
      <c r="JHV51" s="76"/>
      <c r="JHW51" s="76"/>
      <c r="JHX51" s="76"/>
      <c r="JHY51" s="76"/>
      <c r="JHZ51" s="76"/>
      <c r="JIA51" s="76"/>
      <c r="JIB51" s="76"/>
      <c r="JIC51" s="76"/>
      <c r="JID51" s="76"/>
      <c r="JIE51" s="76"/>
      <c r="JIF51" s="76"/>
      <c r="JIG51" s="76"/>
      <c r="JIH51" s="76"/>
      <c r="JII51" s="76"/>
      <c r="JIJ51" s="76"/>
      <c r="JIK51" s="76"/>
      <c r="JIL51" s="76"/>
      <c r="JIM51" s="76"/>
      <c r="JIN51" s="76"/>
      <c r="JIO51" s="76"/>
      <c r="JIP51" s="76"/>
      <c r="JIQ51" s="76"/>
      <c r="JIR51" s="76"/>
      <c r="JIS51" s="76"/>
      <c r="JIT51" s="76"/>
      <c r="JIU51" s="76"/>
      <c r="JIV51" s="76"/>
      <c r="JIW51" s="76"/>
      <c r="JIX51" s="76"/>
      <c r="JIY51" s="76"/>
      <c r="JIZ51" s="76"/>
      <c r="JJA51" s="76"/>
      <c r="JJB51" s="76"/>
      <c r="JJC51" s="76"/>
      <c r="JJD51" s="76"/>
      <c r="JJE51" s="76"/>
      <c r="JJF51" s="76"/>
      <c r="JJG51" s="76"/>
      <c r="JJH51" s="76"/>
      <c r="JJI51" s="76"/>
      <c r="JJJ51" s="76"/>
      <c r="JJK51" s="76"/>
      <c r="JJL51" s="76"/>
      <c r="JJM51" s="76"/>
      <c r="JJN51" s="76"/>
      <c r="JJO51" s="76"/>
      <c r="JJP51" s="76"/>
      <c r="JJQ51" s="76"/>
      <c r="JJR51" s="76"/>
      <c r="JJS51" s="76"/>
      <c r="JJT51" s="76"/>
      <c r="JJU51" s="76"/>
      <c r="JJV51" s="76"/>
      <c r="JJW51" s="76"/>
      <c r="JJX51" s="76"/>
      <c r="JJY51" s="76"/>
      <c r="JJZ51" s="76"/>
      <c r="JKA51" s="76"/>
      <c r="JKB51" s="76"/>
      <c r="JKC51" s="76"/>
      <c r="JKD51" s="76"/>
      <c r="JKE51" s="76"/>
      <c r="JKF51" s="76"/>
      <c r="JKG51" s="76"/>
      <c r="JKH51" s="76"/>
      <c r="JKI51" s="76"/>
      <c r="JKJ51" s="76"/>
      <c r="JKK51" s="76"/>
      <c r="JKL51" s="76"/>
      <c r="JKM51" s="76"/>
      <c r="JKN51" s="76"/>
      <c r="JKO51" s="76"/>
      <c r="JKP51" s="76"/>
      <c r="JKQ51" s="76"/>
      <c r="JKR51" s="76"/>
      <c r="JKS51" s="76"/>
      <c r="JKT51" s="76"/>
      <c r="JKU51" s="76"/>
      <c r="JKV51" s="76"/>
      <c r="JKW51" s="76"/>
      <c r="JKX51" s="76"/>
      <c r="JKY51" s="76"/>
      <c r="JKZ51" s="76"/>
      <c r="JLA51" s="76"/>
      <c r="JLB51" s="76"/>
      <c r="JLC51" s="76"/>
      <c r="JLD51" s="76"/>
      <c r="JLE51" s="76"/>
      <c r="JLF51" s="76"/>
      <c r="JLG51" s="76"/>
      <c r="JLH51" s="76"/>
      <c r="JLI51" s="76"/>
      <c r="JLJ51" s="76"/>
      <c r="JLK51" s="76"/>
      <c r="JLL51" s="76"/>
      <c r="JLM51" s="76"/>
      <c r="JLN51" s="76"/>
      <c r="JLO51" s="76"/>
      <c r="JLP51" s="76"/>
      <c r="JLQ51" s="76"/>
      <c r="JLR51" s="76"/>
      <c r="JLS51" s="76"/>
      <c r="JLT51" s="76"/>
      <c r="JLU51" s="76"/>
      <c r="JLV51" s="76"/>
      <c r="JLW51" s="76"/>
      <c r="JLX51" s="76"/>
      <c r="JLY51" s="76"/>
      <c r="JLZ51" s="76"/>
      <c r="JMA51" s="76"/>
      <c r="JMB51" s="76"/>
      <c r="JMC51" s="76"/>
      <c r="JMD51" s="76"/>
      <c r="JME51" s="76"/>
      <c r="JMF51" s="76"/>
      <c r="JMG51" s="76"/>
      <c r="JMH51" s="76"/>
      <c r="JMI51" s="76"/>
      <c r="JMJ51" s="76"/>
      <c r="JMK51" s="76"/>
      <c r="JML51" s="76"/>
      <c r="JMM51" s="76"/>
      <c r="JMN51" s="76"/>
      <c r="JMO51" s="76"/>
      <c r="JMP51" s="76"/>
      <c r="JMQ51" s="76"/>
      <c r="JMR51" s="76"/>
      <c r="JMS51" s="76"/>
      <c r="JMT51" s="76"/>
      <c r="JMU51" s="76"/>
      <c r="JMV51" s="76"/>
      <c r="JMW51" s="76"/>
      <c r="JMX51" s="76"/>
      <c r="JMY51" s="76"/>
      <c r="JMZ51" s="76"/>
      <c r="JNA51" s="76"/>
      <c r="JNB51" s="76"/>
      <c r="JNC51" s="76"/>
      <c r="JND51" s="76"/>
      <c r="JNE51" s="76"/>
      <c r="JNF51" s="76"/>
      <c r="JNG51" s="76"/>
      <c r="JNH51" s="76"/>
      <c r="JNI51" s="76"/>
      <c r="JNJ51" s="76"/>
      <c r="JNK51" s="76"/>
      <c r="JNL51" s="76"/>
      <c r="JNM51" s="76"/>
      <c r="JNN51" s="76"/>
      <c r="JNO51" s="76"/>
      <c r="JNP51" s="76"/>
      <c r="JNQ51" s="76"/>
      <c r="JNR51" s="76"/>
      <c r="JNS51" s="76"/>
      <c r="JNT51" s="76"/>
      <c r="JNU51" s="76"/>
      <c r="JNV51" s="76"/>
      <c r="JNW51" s="76"/>
      <c r="JNX51" s="76"/>
      <c r="JNY51" s="76"/>
      <c r="JNZ51" s="76"/>
      <c r="JOA51" s="76"/>
      <c r="JOB51" s="76"/>
      <c r="JOC51" s="76"/>
      <c r="JOD51" s="76"/>
      <c r="JOE51" s="76"/>
      <c r="JOF51" s="76"/>
      <c r="JOG51" s="76"/>
      <c r="JOH51" s="76"/>
      <c r="JOI51" s="76"/>
      <c r="JOJ51" s="76"/>
      <c r="JOK51" s="76"/>
      <c r="JOL51" s="76"/>
      <c r="JOM51" s="76"/>
      <c r="JON51" s="76"/>
      <c r="JOO51" s="76"/>
      <c r="JOP51" s="76"/>
      <c r="JOQ51" s="76"/>
      <c r="JOR51" s="76"/>
      <c r="JOS51" s="76"/>
      <c r="JOT51" s="76"/>
      <c r="JOU51" s="76"/>
      <c r="JOV51" s="76"/>
      <c r="JOW51" s="76"/>
      <c r="JOX51" s="76"/>
      <c r="JOY51" s="76"/>
      <c r="JOZ51" s="76"/>
      <c r="JPA51" s="76"/>
      <c r="JPB51" s="76"/>
      <c r="JPC51" s="76"/>
      <c r="JPD51" s="76"/>
      <c r="JPE51" s="76"/>
      <c r="JPF51" s="76"/>
      <c r="JPG51" s="76"/>
      <c r="JPH51" s="76"/>
      <c r="JPI51" s="76"/>
      <c r="JPJ51" s="76"/>
      <c r="JPK51" s="76"/>
      <c r="JPL51" s="76"/>
      <c r="JPM51" s="76"/>
      <c r="JPN51" s="76"/>
      <c r="JPO51" s="76"/>
      <c r="JPP51" s="76"/>
      <c r="JPQ51" s="76"/>
      <c r="JPR51" s="76"/>
      <c r="JPS51" s="76"/>
      <c r="JPT51" s="76"/>
      <c r="JPU51" s="76"/>
      <c r="JPV51" s="76"/>
      <c r="JPW51" s="76"/>
      <c r="JPX51" s="76"/>
      <c r="JPY51" s="76"/>
      <c r="JPZ51" s="76"/>
      <c r="JQA51" s="76"/>
      <c r="JQB51" s="76"/>
      <c r="JQC51" s="76"/>
      <c r="JQD51" s="76"/>
      <c r="JQE51" s="76"/>
      <c r="JQF51" s="76"/>
      <c r="JQG51" s="76"/>
      <c r="JQH51" s="76"/>
      <c r="JQI51" s="76"/>
      <c r="JQJ51" s="76"/>
      <c r="JQK51" s="76"/>
      <c r="JQL51" s="76"/>
      <c r="JQM51" s="76"/>
      <c r="JQN51" s="76"/>
      <c r="JQO51" s="76"/>
      <c r="JQP51" s="76"/>
      <c r="JQQ51" s="76"/>
      <c r="JQR51" s="76"/>
      <c r="JQS51" s="76"/>
      <c r="JQT51" s="76"/>
      <c r="JQU51" s="76"/>
      <c r="JQV51" s="76"/>
      <c r="JQW51" s="76"/>
      <c r="JQX51" s="76"/>
      <c r="JQY51" s="76"/>
      <c r="JQZ51" s="76"/>
      <c r="JRA51" s="76"/>
      <c r="JRB51" s="76"/>
      <c r="JRC51" s="76"/>
      <c r="JRD51" s="76"/>
      <c r="JRE51" s="76"/>
      <c r="JRF51" s="76"/>
      <c r="JRG51" s="76"/>
      <c r="JRH51" s="76"/>
      <c r="JRI51" s="76"/>
      <c r="JRJ51" s="76"/>
      <c r="JRK51" s="76"/>
      <c r="JRL51" s="76"/>
      <c r="JRM51" s="76"/>
      <c r="JRN51" s="76"/>
      <c r="JRO51" s="76"/>
      <c r="JRP51" s="76"/>
      <c r="JRQ51" s="76"/>
      <c r="JRR51" s="76"/>
      <c r="JRS51" s="76"/>
      <c r="JRT51" s="76"/>
      <c r="JRU51" s="76"/>
      <c r="JRV51" s="76"/>
      <c r="JRW51" s="76"/>
      <c r="JRX51" s="76"/>
      <c r="JRY51" s="76"/>
      <c r="JRZ51" s="76"/>
      <c r="JSA51" s="76"/>
      <c r="JSB51" s="76"/>
      <c r="JSC51" s="76"/>
      <c r="JSD51" s="76"/>
      <c r="JSE51" s="76"/>
      <c r="JSF51" s="76"/>
      <c r="JSG51" s="76"/>
      <c r="JSH51" s="76"/>
      <c r="JSI51" s="76"/>
      <c r="JSJ51" s="76"/>
      <c r="JSK51" s="76"/>
      <c r="JSL51" s="76"/>
      <c r="JSM51" s="76"/>
      <c r="JSN51" s="76"/>
      <c r="JSO51" s="76"/>
      <c r="JSP51" s="76"/>
      <c r="JSQ51" s="76"/>
      <c r="JSR51" s="76"/>
      <c r="JSS51" s="76"/>
      <c r="JST51" s="76"/>
      <c r="JSU51" s="76"/>
      <c r="JSV51" s="76"/>
      <c r="JSW51" s="76"/>
      <c r="JSX51" s="76"/>
      <c r="JSY51" s="76"/>
      <c r="JSZ51" s="76"/>
      <c r="JTA51" s="76"/>
      <c r="JTB51" s="76"/>
      <c r="JTC51" s="76"/>
      <c r="JTD51" s="76"/>
      <c r="JTE51" s="76"/>
      <c r="JTF51" s="76"/>
      <c r="JTG51" s="76"/>
      <c r="JTH51" s="76"/>
      <c r="JTI51" s="76"/>
      <c r="JTJ51" s="76"/>
      <c r="JTK51" s="76"/>
      <c r="JTL51" s="76"/>
      <c r="JTM51" s="76"/>
      <c r="JTN51" s="76"/>
      <c r="JTO51" s="76"/>
      <c r="JTP51" s="76"/>
      <c r="JTQ51" s="76"/>
      <c r="JTR51" s="76"/>
      <c r="JTS51" s="76"/>
      <c r="JTT51" s="76"/>
      <c r="JTU51" s="76"/>
      <c r="JTV51" s="76"/>
      <c r="JTW51" s="76"/>
      <c r="JTX51" s="76"/>
      <c r="JTY51" s="76"/>
      <c r="JTZ51" s="76"/>
      <c r="JUA51" s="76"/>
      <c r="JUB51" s="76"/>
      <c r="JUC51" s="76"/>
      <c r="JUD51" s="76"/>
      <c r="JUE51" s="76"/>
      <c r="JUF51" s="76"/>
      <c r="JUG51" s="76"/>
      <c r="JUH51" s="76"/>
      <c r="JUI51" s="76"/>
      <c r="JUJ51" s="76"/>
      <c r="JUK51" s="76"/>
      <c r="JUL51" s="76"/>
      <c r="JUM51" s="76"/>
      <c r="JUN51" s="76"/>
      <c r="JUO51" s="76"/>
      <c r="JUP51" s="76"/>
      <c r="JUQ51" s="76"/>
      <c r="JUR51" s="76"/>
      <c r="JUS51" s="76"/>
      <c r="JUT51" s="76"/>
      <c r="JUU51" s="76"/>
      <c r="JUV51" s="76"/>
      <c r="JUW51" s="76"/>
      <c r="JUX51" s="76"/>
      <c r="JUY51" s="76"/>
      <c r="JUZ51" s="76"/>
      <c r="JVA51" s="76"/>
      <c r="JVB51" s="76"/>
      <c r="JVC51" s="76"/>
      <c r="JVD51" s="76"/>
      <c r="JVE51" s="76"/>
      <c r="JVF51" s="76"/>
      <c r="JVG51" s="76"/>
      <c r="JVH51" s="76"/>
      <c r="JVI51" s="76"/>
      <c r="JVJ51" s="76"/>
      <c r="JVK51" s="76"/>
      <c r="JVL51" s="76"/>
      <c r="JVM51" s="76"/>
      <c r="JVN51" s="76"/>
      <c r="JVO51" s="76"/>
      <c r="JVP51" s="76"/>
      <c r="JVQ51" s="76"/>
      <c r="JVR51" s="76"/>
      <c r="JVS51" s="76"/>
      <c r="JVT51" s="76"/>
      <c r="JVU51" s="76"/>
      <c r="JVV51" s="76"/>
      <c r="JVW51" s="76"/>
      <c r="JVX51" s="76"/>
      <c r="JVY51" s="76"/>
      <c r="JVZ51" s="76"/>
      <c r="JWA51" s="76"/>
      <c r="JWB51" s="76"/>
      <c r="JWC51" s="76"/>
      <c r="JWD51" s="76"/>
      <c r="JWE51" s="76"/>
      <c r="JWF51" s="76"/>
      <c r="JWG51" s="76"/>
      <c r="JWH51" s="76"/>
      <c r="JWI51" s="76"/>
      <c r="JWJ51" s="76"/>
      <c r="JWK51" s="76"/>
      <c r="JWL51" s="76"/>
      <c r="JWM51" s="76"/>
      <c r="JWN51" s="76"/>
      <c r="JWO51" s="76"/>
      <c r="JWP51" s="76"/>
      <c r="JWQ51" s="76"/>
      <c r="JWR51" s="76"/>
      <c r="JWS51" s="76"/>
      <c r="JWT51" s="76"/>
      <c r="JWU51" s="76"/>
      <c r="JWV51" s="76"/>
      <c r="JWW51" s="76"/>
      <c r="JWX51" s="76"/>
      <c r="JWY51" s="76"/>
      <c r="JWZ51" s="76"/>
      <c r="JXA51" s="76"/>
      <c r="JXB51" s="76"/>
      <c r="JXC51" s="76"/>
      <c r="JXD51" s="76"/>
      <c r="JXE51" s="76"/>
      <c r="JXF51" s="76"/>
      <c r="JXG51" s="76"/>
      <c r="JXH51" s="76"/>
      <c r="JXI51" s="76"/>
      <c r="JXJ51" s="76"/>
      <c r="JXK51" s="76"/>
      <c r="JXL51" s="76"/>
      <c r="JXM51" s="76"/>
      <c r="JXN51" s="76"/>
      <c r="JXO51" s="76"/>
      <c r="JXP51" s="76"/>
      <c r="JXQ51" s="76"/>
      <c r="JXR51" s="76"/>
      <c r="JXS51" s="76"/>
      <c r="JXT51" s="76"/>
      <c r="JXU51" s="76"/>
      <c r="JXV51" s="76"/>
      <c r="JXW51" s="76"/>
      <c r="JXX51" s="76"/>
      <c r="JXY51" s="76"/>
      <c r="JXZ51" s="76"/>
      <c r="JYA51" s="76"/>
      <c r="JYB51" s="76"/>
      <c r="JYC51" s="76"/>
      <c r="JYD51" s="76"/>
      <c r="JYE51" s="76"/>
      <c r="JYF51" s="76"/>
      <c r="JYG51" s="76"/>
      <c r="JYH51" s="76"/>
      <c r="JYI51" s="76"/>
      <c r="JYJ51" s="76"/>
      <c r="JYK51" s="76"/>
      <c r="JYL51" s="76"/>
      <c r="JYM51" s="76"/>
      <c r="JYN51" s="76"/>
      <c r="JYO51" s="76"/>
      <c r="JYP51" s="76"/>
      <c r="JYQ51" s="76"/>
      <c r="JYR51" s="76"/>
      <c r="JYS51" s="76"/>
      <c r="JYT51" s="76"/>
      <c r="JYU51" s="76"/>
      <c r="JYV51" s="76"/>
      <c r="JYW51" s="76"/>
      <c r="JYX51" s="76"/>
      <c r="JYY51" s="76"/>
      <c r="JYZ51" s="76"/>
      <c r="JZA51" s="76"/>
      <c r="JZB51" s="76"/>
      <c r="JZC51" s="76"/>
      <c r="JZD51" s="76"/>
      <c r="JZE51" s="76"/>
      <c r="JZF51" s="76"/>
      <c r="JZG51" s="76"/>
      <c r="JZH51" s="76"/>
      <c r="JZI51" s="76"/>
      <c r="JZJ51" s="76"/>
      <c r="JZK51" s="76"/>
      <c r="JZL51" s="76"/>
      <c r="JZM51" s="76"/>
      <c r="JZN51" s="76"/>
      <c r="JZO51" s="76"/>
      <c r="JZP51" s="76"/>
      <c r="JZQ51" s="76"/>
      <c r="JZR51" s="76"/>
      <c r="JZS51" s="76"/>
      <c r="JZT51" s="76"/>
      <c r="JZU51" s="76"/>
      <c r="JZV51" s="76"/>
      <c r="JZW51" s="76"/>
      <c r="JZX51" s="76"/>
      <c r="JZY51" s="76"/>
      <c r="JZZ51" s="76"/>
      <c r="KAA51" s="76"/>
      <c r="KAB51" s="76"/>
      <c r="KAC51" s="76"/>
      <c r="KAD51" s="76"/>
      <c r="KAE51" s="76"/>
      <c r="KAF51" s="76"/>
      <c r="KAG51" s="76"/>
      <c r="KAH51" s="76"/>
      <c r="KAI51" s="76"/>
      <c r="KAJ51" s="76"/>
      <c r="KAK51" s="76"/>
      <c r="KAL51" s="76"/>
      <c r="KAM51" s="76"/>
      <c r="KAN51" s="76"/>
      <c r="KAO51" s="76"/>
      <c r="KAP51" s="76"/>
      <c r="KAQ51" s="76"/>
      <c r="KAR51" s="76"/>
      <c r="KAS51" s="76"/>
      <c r="KAT51" s="76"/>
      <c r="KAU51" s="76"/>
      <c r="KAV51" s="76"/>
      <c r="KAW51" s="76"/>
      <c r="KAX51" s="76"/>
      <c r="KAY51" s="76"/>
      <c r="KAZ51" s="76"/>
      <c r="KBA51" s="76"/>
      <c r="KBB51" s="76"/>
      <c r="KBC51" s="76"/>
      <c r="KBD51" s="76"/>
      <c r="KBE51" s="76"/>
      <c r="KBF51" s="76"/>
      <c r="KBG51" s="76"/>
      <c r="KBH51" s="76"/>
      <c r="KBI51" s="76"/>
      <c r="KBJ51" s="76"/>
      <c r="KBK51" s="76"/>
      <c r="KBL51" s="76"/>
      <c r="KBM51" s="76"/>
      <c r="KBN51" s="76"/>
      <c r="KBO51" s="76"/>
      <c r="KBP51" s="76"/>
      <c r="KBQ51" s="76"/>
      <c r="KBR51" s="76"/>
      <c r="KBS51" s="76"/>
      <c r="KBT51" s="76"/>
      <c r="KBU51" s="76"/>
      <c r="KBV51" s="76"/>
      <c r="KBW51" s="76"/>
      <c r="KBX51" s="76"/>
      <c r="KBY51" s="76"/>
      <c r="KBZ51" s="76"/>
      <c r="KCA51" s="76"/>
      <c r="KCB51" s="76"/>
      <c r="KCC51" s="76"/>
      <c r="KCD51" s="76"/>
      <c r="KCE51" s="76"/>
      <c r="KCF51" s="76"/>
      <c r="KCG51" s="76"/>
      <c r="KCH51" s="76"/>
      <c r="KCI51" s="76"/>
      <c r="KCJ51" s="76"/>
      <c r="KCK51" s="76"/>
      <c r="KCL51" s="76"/>
      <c r="KCM51" s="76"/>
      <c r="KCN51" s="76"/>
      <c r="KCO51" s="76"/>
      <c r="KCP51" s="76"/>
      <c r="KCQ51" s="76"/>
      <c r="KCR51" s="76"/>
      <c r="KCS51" s="76"/>
      <c r="KCT51" s="76"/>
      <c r="KCU51" s="76"/>
      <c r="KCV51" s="76"/>
      <c r="KCW51" s="76"/>
      <c r="KCX51" s="76"/>
      <c r="KCY51" s="76"/>
      <c r="KCZ51" s="76"/>
      <c r="KDA51" s="76"/>
      <c r="KDB51" s="76"/>
      <c r="KDC51" s="76"/>
      <c r="KDD51" s="76"/>
      <c r="KDE51" s="76"/>
      <c r="KDF51" s="76"/>
      <c r="KDG51" s="76"/>
      <c r="KDH51" s="76"/>
      <c r="KDI51" s="76"/>
      <c r="KDJ51" s="76"/>
      <c r="KDK51" s="76"/>
      <c r="KDL51" s="76"/>
      <c r="KDM51" s="76"/>
      <c r="KDN51" s="76"/>
      <c r="KDO51" s="76"/>
      <c r="KDP51" s="76"/>
      <c r="KDQ51" s="76"/>
      <c r="KDR51" s="76"/>
      <c r="KDS51" s="76"/>
      <c r="KDT51" s="76"/>
      <c r="KDU51" s="76"/>
      <c r="KDV51" s="76"/>
      <c r="KDW51" s="76"/>
      <c r="KDX51" s="76"/>
      <c r="KDY51" s="76"/>
      <c r="KDZ51" s="76"/>
      <c r="KEA51" s="76"/>
      <c r="KEB51" s="76"/>
      <c r="KEC51" s="76"/>
      <c r="KED51" s="76"/>
      <c r="KEE51" s="76"/>
      <c r="KEF51" s="76"/>
      <c r="KEG51" s="76"/>
      <c r="KEH51" s="76"/>
      <c r="KEI51" s="76"/>
      <c r="KEJ51" s="76"/>
      <c r="KEK51" s="76"/>
      <c r="KEL51" s="76"/>
      <c r="KEM51" s="76"/>
      <c r="KEN51" s="76"/>
      <c r="KEO51" s="76"/>
      <c r="KEP51" s="76"/>
      <c r="KEQ51" s="76"/>
      <c r="KER51" s="76"/>
      <c r="KES51" s="76"/>
      <c r="KET51" s="76"/>
      <c r="KEU51" s="76"/>
      <c r="KEV51" s="76"/>
      <c r="KEW51" s="76"/>
      <c r="KEX51" s="76"/>
      <c r="KEY51" s="76"/>
      <c r="KEZ51" s="76"/>
      <c r="KFA51" s="76"/>
      <c r="KFB51" s="76"/>
      <c r="KFC51" s="76"/>
      <c r="KFD51" s="76"/>
      <c r="KFE51" s="76"/>
      <c r="KFF51" s="76"/>
      <c r="KFG51" s="76"/>
      <c r="KFH51" s="76"/>
      <c r="KFI51" s="76"/>
      <c r="KFJ51" s="76"/>
      <c r="KFK51" s="76"/>
      <c r="KFL51" s="76"/>
      <c r="KFM51" s="76"/>
      <c r="KFN51" s="76"/>
      <c r="KFO51" s="76"/>
      <c r="KFP51" s="76"/>
      <c r="KFQ51" s="76"/>
      <c r="KFR51" s="76"/>
      <c r="KFS51" s="76"/>
      <c r="KFT51" s="76"/>
      <c r="KFU51" s="76"/>
      <c r="KFV51" s="76"/>
      <c r="KFW51" s="76"/>
      <c r="KFX51" s="76"/>
      <c r="KFY51" s="76"/>
      <c r="KFZ51" s="76"/>
      <c r="KGA51" s="76"/>
      <c r="KGB51" s="76"/>
      <c r="KGC51" s="76"/>
      <c r="KGD51" s="76"/>
      <c r="KGE51" s="76"/>
      <c r="KGF51" s="76"/>
      <c r="KGG51" s="76"/>
      <c r="KGH51" s="76"/>
      <c r="KGI51" s="76"/>
      <c r="KGJ51" s="76"/>
      <c r="KGK51" s="76"/>
      <c r="KGL51" s="76"/>
      <c r="KGM51" s="76"/>
      <c r="KGN51" s="76"/>
      <c r="KGO51" s="76"/>
      <c r="KGP51" s="76"/>
      <c r="KGQ51" s="76"/>
      <c r="KGR51" s="76"/>
      <c r="KGS51" s="76"/>
      <c r="KGT51" s="76"/>
      <c r="KGU51" s="76"/>
      <c r="KGV51" s="76"/>
      <c r="KGW51" s="76"/>
      <c r="KGX51" s="76"/>
      <c r="KGY51" s="76"/>
      <c r="KGZ51" s="76"/>
      <c r="KHA51" s="76"/>
      <c r="KHB51" s="76"/>
      <c r="KHC51" s="76"/>
      <c r="KHD51" s="76"/>
      <c r="KHE51" s="76"/>
      <c r="KHF51" s="76"/>
      <c r="KHG51" s="76"/>
      <c r="KHH51" s="76"/>
      <c r="KHI51" s="76"/>
      <c r="KHJ51" s="76"/>
      <c r="KHK51" s="76"/>
      <c r="KHL51" s="76"/>
      <c r="KHM51" s="76"/>
      <c r="KHN51" s="76"/>
      <c r="KHO51" s="76"/>
      <c r="KHP51" s="76"/>
      <c r="KHQ51" s="76"/>
      <c r="KHR51" s="76"/>
      <c r="KHS51" s="76"/>
      <c r="KHT51" s="76"/>
      <c r="KHU51" s="76"/>
      <c r="KHV51" s="76"/>
      <c r="KHW51" s="76"/>
      <c r="KHX51" s="76"/>
      <c r="KHY51" s="76"/>
      <c r="KHZ51" s="76"/>
      <c r="KIA51" s="76"/>
      <c r="KIB51" s="76"/>
      <c r="KIC51" s="76"/>
      <c r="KID51" s="76"/>
      <c r="KIE51" s="76"/>
      <c r="KIF51" s="76"/>
      <c r="KIG51" s="76"/>
      <c r="KIH51" s="76"/>
      <c r="KII51" s="76"/>
      <c r="KIJ51" s="76"/>
      <c r="KIK51" s="76"/>
      <c r="KIL51" s="76"/>
      <c r="KIM51" s="76"/>
      <c r="KIN51" s="76"/>
      <c r="KIO51" s="76"/>
      <c r="KIP51" s="76"/>
      <c r="KIQ51" s="76"/>
      <c r="KIR51" s="76"/>
      <c r="KIS51" s="76"/>
      <c r="KIT51" s="76"/>
      <c r="KIU51" s="76"/>
      <c r="KIV51" s="76"/>
      <c r="KIW51" s="76"/>
      <c r="KIX51" s="76"/>
      <c r="KIY51" s="76"/>
      <c r="KIZ51" s="76"/>
      <c r="KJA51" s="76"/>
      <c r="KJB51" s="76"/>
      <c r="KJC51" s="76"/>
      <c r="KJD51" s="76"/>
      <c r="KJE51" s="76"/>
      <c r="KJF51" s="76"/>
      <c r="KJG51" s="76"/>
      <c r="KJH51" s="76"/>
      <c r="KJI51" s="76"/>
      <c r="KJJ51" s="76"/>
      <c r="KJK51" s="76"/>
      <c r="KJL51" s="76"/>
      <c r="KJM51" s="76"/>
      <c r="KJN51" s="76"/>
      <c r="KJO51" s="76"/>
      <c r="KJP51" s="76"/>
      <c r="KJQ51" s="76"/>
      <c r="KJR51" s="76"/>
      <c r="KJS51" s="76"/>
      <c r="KJT51" s="76"/>
      <c r="KJU51" s="76"/>
      <c r="KJV51" s="76"/>
      <c r="KJW51" s="76"/>
      <c r="KJX51" s="76"/>
      <c r="KJY51" s="76"/>
      <c r="KJZ51" s="76"/>
      <c r="KKA51" s="76"/>
      <c r="KKB51" s="76"/>
      <c r="KKC51" s="76"/>
      <c r="KKD51" s="76"/>
      <c r="KKE51" s="76"/>
      <c r="KKF51" s="76"/>
      <c r="KKG51" s="76"/>
      <c r="KKH51" s="76"/>
      <c r="KKI51" s="76"/>
      <c r="KKJ51" s="76"/>
      <c r="KKK51" s="76"/>
      <c r="KKL51" s="76"/>
      <c r="KKM51" s="76"/>
      <c r="KKN51" s="76"/>
      <c r="KKO51" s="76"/>
      <c r="KKP51" s="76"/>
      <c r="KKQ51" s="76"/>
      <c r="KKR51" s="76"/>
      <c r="KKS51" s="76"/>
      <c r="KKT51" s="76"/>
      <c r="KKU51" s="76"/>
      <c r="KKV51" s="76"/>
      <c r="KKW51" s="76"/>
      <c r="KKX51" s="76"/>
      <c r="KKY51" s="76"/>
      <c r="KKZ51" s="76"/>
      <c r="KLA51" s="76"/>
      <c r="KLB51" s="76"/>
      <c r="KLC51" s="76"/>
      <c r="KLD51" s="76"/>
      <c r="KLE51" s="76"/>
      <c r="KLF51" s="76"/>
      <c r="KLG51" s="76"/>
      <c r="KLH51" s="76"/>
      <c r="KLI51" s="76"/>
      <c r="KLJ51" s="76"/>
      <c r="KLK51" s="76"/>
      <c r="KLL51" s="76"/>
      <c r="KLM51" s="76"/>
      <c r="KLN51" s="76"/>
      <c r="KLO51" s="76"/>
      <c r="KLP51" s="76"/>
      <c r="KLQ51" s="76"/>
      <c r="KLR51" s="76"/>
      <c r="KLS51" s="76"/>
      <c r="KLT51" s="76"/>
      <c r="KLU51" s="76"/>
      <c r="KLV51" s="76"/>
      <c r="KLW51" s="76"/>
      <c r="KLX51" s="76"/>
      <c r="KLY51" s="76"/>
      <c r="KLZ51" s="76"/>
      <c r="KMA51" s="76"/>
      <c r="KMB51" s="76"/>
      <c r="KMC51" s="76"/>
      <c r="KMD51" s="76"/>
      <c r="KME51" s="76"/>
      <c r="KMF51" s="76"/>
      <c r="KMG51" s="76"/>
      <c r="KMH51" s="76"/>
      <c r="KMI51" s="76"/>
      <c r="KMJ51" s="76"/>
      <c r="KMK51" s="76"/>
      <c r="KML51" s="76"/>
      <c r="KMM51" s="76"/>
      <c r="KMN51" s="76"/>
      <c r="KMO51" s="76"/>
      <c r="KMP51" s="76"/>
      <c r="KMQ51" s="76"/>
      <c r="KMR51" s="76"/>
      <c r="KMS51" s="76"/>
      <c r="KMT51" s="76"/>
      <c r="KMU51" s="76"/>
      <c r="KMV51" s="76"/>
      <c r="KMW51" s="76"/>
      <c r="KMX51" s="76"/>
      <c r="KMY51" s="76"/>
      <c r="KMZ51" s="76"/>
      <c r="KNA51" s="76"/>
      <c r="KNB51" s="76"/>
      <c r="KNC51" s="76"/>
      <c r="KND51" s="76"/>
      <c r="KNE51" s="76"/>
      <c r="KNF51" s="76"/>
      <c r="KNG51" s="76"/>
      <c r="KNH51" s="76"/>
      <c r="KNI51" s="76"/>
      <c r="KNJ51" s="76"/>
      <c r="KNK51" s="76"/>
      <c r="KNL51" s="76"/>
      <c r="KNM51" s="76"/>
      <c r="KNN51" s="76"/>
      <c r="KNO51" s="76"/>
      <c r="KNP51" s="76"/>
      <c r="KNQ51" s="76"/>
      <c r="KNR51" s="76"/>
      <c r="KNS51" s="76"/>
      <c r="KNT51" s="76"/>
      <c r="KNU51" s="76"/>
      <c r="KNV51" s="76"/>
      <c r="KNW51" s="76"/>
      <c r="KNX51" s="76"/>
      <c r="KNY51" s="76"/>
      <c r="KNZ51" s="76"/>
      <c r="KOA51" s="76"/>
      <c r="KOB51" s="76"/>
      <c r="KOC51" s="76"/>
      <c r="KOD51" s="76"/>
      <c r="KOE51" s="76"/>
      <c r="KOF51" s="76"/>
      <c r="KOG51" s="76"/>
      <c r="KOH51" s="76"/>
      <c r="KOI51" s="76"/>
      <c r="KOJ51" s="76"/>
      <c r="KOK51" s="76"/>
      <c r="KOL51" s="76"/>
      <c r="KOM51" s="76"/>
      <c r="KON51" s="76"/>
      <c r="KOO51" s="76"/>
      <c r="KOP51" s="76"/>
      <c r="KOQ51" s="76"/>
      <c r="KOR51" s="76"/>
      <c r="KOS51" s="76"/>
      <c r="KOT51" s="76"/>
      <c r="KOU51" s="76"/>
      <c r="KOV51" s="76"/>
      <c r="KOW51" s="76"/>
      <c r="KOX51" s="76"/>
      <c r="KOY51" s="76"/>
      <c r="KOZ51" s="76"/>
      <c r="KPA51" s="76"/>
      <c r="KPB51" s="76"/>
      <c r="KPC51" s="76"/>
      <c r="KPD51" s="76"/>
      <c r="KPE51" s="76"/>
      <c r="KPF51" s="76"/>
      <c r="KPG51" s="76"/>
      <c r="KPH51" s="76"/>
      <c r="KPI51" s="76"/>
      <c r="KPJ51" s="76"/>
      <c r="KPK51" s="76"/>
      <c r="KPL51" s="76"/>
      <c r="KPM51" s="76"/>
      <c r="KPN51" s="76"/>
      <c r="KPO51" s="76"/>
      <c r="KPP51" s="76"/>
      <c r="KPQ51" s="76"/>
      <c r="KPR51" s="76"/>
      <c r="KPS51" s="76"/>
      <c r="KPT51" s="76"/>
      <c r="KPU51" s="76"/>
      <c r="KPV51" s="76"/>
      <c r="KPW51" s="76"/>
      <c r="KPX51" s="76"/>
      <c r="KPY51" s="76"/>
      <c r="KPZ51" s="76"/>
      <c r="KQA51" s="76"/>
      <c r="KQB51" s="76"/>
      <c r="KQC51" s="76"/>
      <c r="KQD51" s="76"/>
      <c r="KQE51" s="76"/>
      <c r="KQF51" s="76"/>
      <c r="KQG51" s="76"/>
      <c r="KQH51" s="76"/>
      <c r="KQI51" s="76"/>
      <c r="KQJ51" s="76"/>
      <c r="KQK51" s="76"/>
      <c r="KQL51" s="76"/>
      <c r="KQM51" s="76"/>
      <c r="KQN51" s="76"/>
      <c r="KQO51" s="76"/>
      <c r="KQP51" s="76"/>
      <c r="KQQ51" s="76"/>
      <c r="KQR51" s="76"/>
      <c r="KQS51" s="76"/>
      <c r="KQT51" s="76"/>
      <c r="KQU51" s="76"/>
      <c r="KQV51" s="76"/>
      <c r="KQW51" s="76"/>
      <c r="KQX51" s="76"/>
      <c r="KQY51" s="76"/>
      <c r="KQZ51" s="76"/>
      <c r="KRA51" s="76"/>
      <c r="KRB51" s="76"/>
      <c r="KRC51" s="76"/>
      <c r="KRD51" s="76"/>
      <c r="KRE51" s="76"/>
      <c r="KRF51" s="76"/>
      <c r="KRG51" s="76"/>
      <c r="KRH51" s="76"/>
      <c r="KRI51" s="76"/>
      <c r="KRJ51" s="76"/>
      <c r="KRK51" s="76"/>
      <c r="KRL51" s="76"/>
      <c r="KRM51" s="76"/>
      <c r="KRN51" s="76"/>
      <c r="KRO51" s="76"/>
      <c r="KRP51" s="76"/>
      <c r="KRQ51" s="76"/>
      <c r="KRR51" s="76"/>
      <c r="KRS51" s="76"/>
      <c r="KRT51" s="76"/>
      <c r="KRU51" s="76"/>
      <c r="KRV51" s="76"/>
      <c r="KRW51" s="76"/>
      <c r="KRX51" s="76"/>
      <c r="KRY51" s="76"/>
      <c r="KRZ51" s="76"/>
      <c r="KSA51" s="76"/>
      <c r="KSB51" s="76"/>
      <c r="KSC51" s="76"/>
      <c r="KSD51" s="76"/>
      <c r="KSE51" s="76"/>
      <c r="KSF51" s="76"/>
      <c r="KSG51" s="76"/>
      <c r="KSH51" s="76"/>
      <c r="KSI51" s="76"/>
      <c r="KSJ51" s="76"/>
      <c r="KSK51" s="76"/>
      <c r="KSL51" s="76"/>
      <c r="KSM51" s="76"/>
      <c r="KSN51" s="76"/>
      <c r="KSO51" s="76"/>
      <c r="KSP51" s="76"/>
      <c r="KSQ51" s="76"/>
      <c r="KSR51" s="76"/>
      <c r="KSS51" s="76"/>
      <c r="KST51" s="76"/>
      <c r="KSU51" s="76"/>
      <c r="KSV51" s="76"/>
      <c r="KSW51" s="76"/>
      <c r="KSX51" s="76"/>
      <c r="KSY51" s="76"/>
      <c r="KSZ51" s="76"/>
      <c r="KTA51" s="76"/>
      <c r="KTB51" s="76"/>
      <c r="KTC51" s="76"/>
      <c r="KTD51" s="76"/>
      <c r="KTE51" s="76"/>
      <c r="KTF51" s="76"/>
      <c r="KTG51" s="76"/>
      <c r="KTH51" s="76"/>
      <c r="KTI51" s="76"/>
      <c r="KTJ51" s="76"/>
      <c r="KTK51" s="76"/>
      <c r="KTL51" s="76"/>
      <c r="KTM51" s="76"/>
      <c r="KTN51" s="76"/>
      <c r="KTO51" s="76"/>
      <c r="KTP51" s="76"/>
      <c r="KTQ51" s="76"/>
      <c r="KTR51" s="76"/>
      <c r="KTS51" s="76"/>
      <c r="KTT51" s="76"/>
      <c r="KTU51" s="76"/>
      <c r="KTV51" s="76"/>
      <c r="KTW51" s="76"/>
      <c r="KTX51" s="76"/>
      <c r="KTY51" s="76"/>
      <c r="KTZ51" s="76"/>
      <c r="KUA51" s="76"/>
      <c r="KUB51" s="76"/>
      <c r="KUC51" s="76"/>
      <c r="KUD51" s="76"/>
      <c r="KUE51" s="76"/>
      <c r="KUF51" s="76"/>
      <c r="KUG51" s="76"/>
      <c r="KUH51" s="76"/>
      <c r="KUI51" s="76"/>
      <c r="KUJ51" s="76"/>
      <c r="KUK51" s="76"/>
      <c r="KUL51" s="76"/>
      <c r="KUM51" s="76"/>
      <c r="KUN51" s="76"/>
      <c r="KUO51" s="76"/>
      <c r="KUP51" s="76"/>
      <c r="KUQ51" s="76"/>
      <c r="KUR51" s="76"/>
      <c r="KUS51" s="76"/>
      <c r="KUT51" s="76"/>
      <c r="KUU51" s="76"/>
      <c r="KUV51" s="76"/>
      <c r="KUW51" s="76"/>
      <c r="KUX51" s="76"/>
      <c r="KUY51" s="76"/>
      <c r="KUZ51" s="76"/>
      <c r="KVA51" s="76"/>
      <c r="KVB51" s="76"/>
      <c r="KVC51" s="76"/>
      <c r="KVD51" s="76"/>
      <c r="KVE51" s="76"/>
      <c r="KVF51" s="76"/>
      <c r="KVG51" s="76"/>
      <c r="KVH51" s="76"/>
      <c r="KVI51" s="76"/>
      <c r="KVJ51" s="76"/>
      <c r="KVK51" s="76"/>
      <c r="KVL51" s="76"/>
      <c r="KVM51" s="76"/>
      <c r="KVN51" s="76"/>
      <c r="KVO51" s="76"/>
      <c r="KVP51" s="76"/>
      <c r="KVQ51" s="76"/>
      <c r="KVR51" s="76"/>
      <c r="KVS51" s="76"/>
      <c r="KVT51" s="76"/>
      <c r="KVU51" s="76"/>
      <c r="KVV51" s="76"/>
      <c r="KVW51" s="76"/>
      <c r="KVX51" s="76"/>
      <c r="KVY51" s="76"/>
      <c r="KVZ51" s="76"/>
      <c r="KWA51" s="76"/>
      <c r="KWB51" s="76"/>
      <c r="KWC51" s="76"/>
      <c r="KWD51" s="76"/>
      <c r="KWE51" s="76"/>
      <c r="KWF51" s="76"/>
      <c r="KWG51" s="76"/>
      <c r="KWH51" s="76"/>
      <c r="KWI51" s="76"/>
      <c r="KWJ51" s="76"/>
      <c r="KWK51" s="76"/>
      <c r="KWL51" s="76"/>
      <c r="KWM51" s="76"/>
      <c r="KWN51" s="76"/>
      <c r="KWO51" s="76"/>
      <c r="KWP51" s="76"/>
      <c r="KWQ51" s="76"/>
      <c r="KWR51" s="76"/>
      <c r="KWS51" s="76"/>
      <c r="KWT51" s="76"/>
      <c r="KWU51" s="76"/>
      <c r="KWV51" s="76"/>
      <c r="KWW51" s="76"/>
      <c r="KWX51" s="76"/>
      <c r="KWY51" s="76"/>
      <c r="KWZ51" s="76"/>
      <c r="KXA51" s="76"/>
      <c r="KXB51" s="76"/>
      <c r="KXC51" s="76"/>
      <c r="KXD51" s="76"/>
      <c r="KXE51" s="76"/>
      <c r="KXF51" s="76"/>
      <c r="KXG51" s="76"/>
      <c r="KXH51" s="76"/>
      <c r="KXI51" s="76"/>
      <c r="KXJ51" s="76"/>
      <c r="KXK51" s="76"/>
      <c r="KXL51" s="76"/>
      <c r="KXM51" s="76"/>
      <c r="KXN51" s="76"/>
      <c r="KXO51" s="76"/>
      <c r="KXP51" s="76"/>
      <c r="KXQ51" s="76"/>
      <c r="KXR51" s="76"/>
      <c r="KXS51" s="76"/>
      <c r="KXT51" s="76"/>
      <c r="KXU51" s="76"/>
      <c r="KXV51" s="76"/>
      <c r="KXW51" s="76"/>
      <c r="KXX51" s="76"/>
      <c r="KXY51" s="76"/>
      <c r="KXZ51" s="76"/>
      <c r="KYA51" s="76"/>
      <c r="KYB51" s="76"/>
      <c r="KYC51" s="76"/>
      <c r="KYD51" s="76"/>
      <c r="KYE51" s="76"/>
      <c r="KYF51" s="76"/>
      <c r="KYG51" s="76"/>
      <c r="KYH51" s="76"/>
      <c r="KYI51" s="76"/>
      <c r="KYJ51" s="76"/>
      <c r="KYK51" s="76"/>
      <c r="KYL51" s="76"/>
      <c r="KYM51" s="76"/>
      <c r="KYN51" s="76"/>
      <c r="KYO51" s="76"/>
      <c r="KYP51" s="76"/>
      <c r="KYQ51" s="76"/>
      <c r="KYR51" s="76"/>
      <c r="KYS51" s="76"/>
      <c r="KYT51" s="76"/>
      <c r="KYU51" s="76"/>
      <c r="KYV51" s="76"/>
      <c r="KYW51" s="76"/>
      <c r="KYX51" s="76"/>
      <c r="KYY51" s="76"/>
      <c r="KYZ51" s="76"/>
      <c r="KZA51" s="76"/>
      <c r="KZB51" s="76"/>
      <c r="KZC51" s="76"/>
      <c r="KZD51" s="76"/>
      <c r="KZE51" s="76"/>
      <c r="KZF51" s="76"/>
      <c r="KZG51" s="76"/>
      <c r="KZH51" s="76"/>
      <c r="KZI51" s="76"/>
      <c r="KZJ51" s="76"/>
      <c r="KZK51" s="76"/>
      <c r="KZL51" s="76"/>
      <c r="KZM51" s="76"/>
      <c r="KZN51" s="76"/>
      <c r="KZO51" s="76"/>
      <c r="KZP51" s="76"/>
      <c r="KZQ51" s="76"/>
      <c r="KZR51" s="76"/>
      <c r="KZS51" s="76"/>
      <c r="KZT51" s="76"/>
      <c r="KZU51" s="76"/>
      <c r="KZV51" s="76"/>
      <c r="KZW51" s="76"/>
      <c r="KZX51" s="76"/>
      <c r="KZY51" s="76"/>
      <c r="KZZ51" s="76"/>
      <c r="LAA51" s="76"/>
      <c r="LAB51" s="76"/>
      <c r="LAC51" s="76"/>
      <c r="LAD51" s="76"/>
      <c r="LAE51" s="76"/>
      <c r="LAF51" s="76"/>
      <c r="LAG51" s="76"/>
      <c r="LAH51" s="76"/>
      <c r="LAI51" s="76"/>
      <c r="LAJ51" s="76"/>
      <c r="LAK51" s="76"/>
      <c r="LAL51" s="76"/>
      <c r="LAM51" s="76"/>
      <c r="LAN51" s="76"/>
      <c r="LAO51" s="76"/>
      <c r="LAP51" s="76"/>
      <c r="LAQ51" s="76"/>
      <c r="LAR51" s="76"/>
      <c r="LAS51" s="76"/>
      <c r="LAT51" s="76"/>
      <c r="LAU51" s="76"/>
      <c r="LAV51" s="76"/>
      <c r="LAW51" s="76"/>
      <c r="LAX51" s="76"/>
      <c r="LAY51" s="76"/>
      <c r="LAZ51" s="76"/>
      <c r="LBA51" s="76"/>
      <c r="LBB51" s="76"/>
      <c r="LBC51" s="76"/>
      <c r="LBD51" s="76"/>
      <c r="LBE51" s="76"/>
      <c r="LBF51" s="76"/>
      <c r="LBG51" s="76"/>
      <c r="LBH51" s="76"/>
      <c r="LBI51" s="76"/>
      <c r="LBJ51" s="76"/>
      <c r="LBK51" s="76"/>
      <c r="LBL51" s="76"/>
      <c r="LBM51" s="76"/>
      <c r="LBN51" s="76"/>
      <c r="LBO51" s="76"/>
      <c r="LBP51" s="76"/>
      <c r="LBQ51" s="76"/>
      <c r="LBR51" s="76"/>
      <c r="LBS51" s="76"/>
      <c r="LBT51" s="76"/>
      <c r="LBU51" s="76"/>
      <c r="LBV51" s="76"/>
      <c r="LBW51" s="76"/>
      <c r="LBX51" s="76"/>
      <c r="LBY51" s="76"/>
      <c r="LBZ51" s="76"/>
      <c r="LCA51" s="76"/>
      <c r="LCB51" s="76"/>
      <c r="LCC51" s="76"/>
      <c r="LCD51" s="76"/>
      <c r="LCE51" s="76"/>
      <c r="LCF51" s="76"/>
      <c r="LCG51" s="76"/>
      <c r="LCH51" s="76"/>
      <c r="LCI51" s="76"/>
      <c r="LCJ51" s="76"/>
      <c r="LCK51" s="76"/>
      <c r="LCL51" s="76"/>
      <c r="LCM51" s="76"/>
      <c r="LCN51" s="76"/>
      <c r="LCO51" s="76"/>
      <c r="LCP51" s="76"/>
      <c r="LCQ51" s="76"/>
      <c r="LCR51" s="76"/>
      <c r="LCS51" s="76"/>
      <c r="LCT51" s="76"/>
      <c r="LCU51" s="76"/>
      <c r="LCV51" s="76"/>
      <c r="LCW51" s="76"/>
      <c r="LCX51" s="76"/>
      <c r="LCY51" s="76"/>
      <c r="LCZ51" s="76"/>
      <c r="LDA51" s="76"/>
      <c r="LDB51" s="76"/>
      <c r="LDC51" s="76"/>
      <c r="LDD51" s="76"/>
      <c r="LDE51" s="76"/>
      <c r="LDF51" s="76"/>
      <c r="LDG51" s="76"/>
      <c r="LDH51" s="76"/>
      <c r="LDI51" s="76"/>
      <c r="LDJ51" s="76"/>
      <c r="LDK51" s="76"/>
      <c r="LDL51" s="76"/>
      <c r="LDM51" s="76"/>
      <c r="LDN51" s="76"/>
      <c r="LDO51" s="76"/>
      <c r="LDP51" s="76"/>
      <c r="LDQ51" s="76"/>
      <c r="LDR51" s="76"/>
      <c r="LDS51" s="76"/>
      <c r="LDT51" s="76"/>
      <c r="LDU51" s="76"/>
      <c r="LDV51" s="76"/>
      <c r="LDW51" s="76"/>
      <c r="LDX51" s="76"/>
      <c r="LDY51" s="76"/>
      <c r="LDZ51" s="76"/>
      <c r="LEA51" s="76"/>
      <c r="LEB51" s="76"/>
      <c r="LEC51" s="76"/>
      <c r="LED51" s="76"/>
      <c r="LEE51" s="76"/>
      <c r="LEF51" s="76"/>
      <c r="LEG51" s="76"/>
      <c r="LEH51" s="76"/>
      <c r="LEI51" s="76"/>
      <c r="LEJ51" s="76"/>
      <c r="LEK51" s="76"/>
      <c r="LEL51" s="76"/>
      <c r="LEM51" s="76"/>
      <c r="LEN51" s="76"/>
      <c r="LEO51" s="76"/>
      <c r="LEP51" s="76"/>
      <c r="LEQ51" s="76"/>
      <c r="LER51" s="76"/>
      <c r="LES51" s="76"/>
      <c r="LET51" s="76"/>
      <c r="LEU51" s="76"/>
      <c r="LEV51" s="76"/>
      <c r="LEW51" s="76"/>
      <c r="LEX51" s="76"/>
      <c r="LEY51" s="76"/>
      <c r="LEZ51" s="76"/>
      <c r="LFA51" s="76"/>
      <c r="LFB51" s="76"/>
      <c r="LFC51" s="76"/>
      <c r="LFD51" s="76"/>
      <c r="LFE51" s="76"/>
      <c r="LFF51" s="76"/>
      <c r="LFG51" s="76"/>
      <c r="LFH51" s="76"/>
      <c r="LFI51" s="76"/>
      <c r="LFJ51" s="76"/>
      <c r="LFK51" s="76"/>
      <c r="LFL51" s="76"/>
      <c r="LFM51" s="76"/>
      <c r="LFN51" s="76"/>
      <c r="LFO51" s="76"/>
      <c r="LFP51" s="76"/>
      <c r="LFQ51" s="76"/>
      <c r="LFR51" s="76"/>
      <c r="LFS51" s="76"/>
      <c r="LFT51" s="76"/>
      <c r="LFU51" s="76"/>
      <c r="LFV51" s="76"/>
      <c r="LFW51" s="76"/>
      <c r="LFX51" s="76"/>
      <c r="LFY51" s="76"/>
      <c r="LFZ51" s="76"/>
      <c r="LGA51" s="76"/>
      <c r="LGB51" s="76"/>
      <c r="LGC51" s="76"/>
      <c r="LGD51" s="76"/>
      <c r="LGE51" s="76"/>
      <c r="LGF51" s="76"/>
      <c r="LGG51" s="76"/>
      <c r="LGH51" s="76"/>
      <c r="LGI51" s="76"/>
      <c r="LGJ51" s="76"/>
      <c r="LGK51" s="76"/>
      <c r="LGL51" s="76"/>
      <c r="LGM51" s="76"/>
      <c r="LGN51" s="76"/>
      <c r="LGO51" s="76"/>
      <c r="LGP51" s="76"/>
      <c r="LGQ51" s="76"/>
      <c r="LGR51" s="76"/>
      <c r="LGS51" s="76"/>
      <c r="LGT51" s="76"/>
      <c r="LGU51" s="76"/>
      <c r="LGV51" s="76"/>
      <c r="LGW51" s="76"/>
      <c r="LGX51" s="76"/>
      <c r="LGY51" s="76"/>
      <c r="LGZ51" s="76"/>
      <c r="LHA51" s="76"/>
      <c r="LHB51" s="76"/>
      <c r="LHC51" s="76"/>
      <c r="LHD51" s="76"/>
      <c r="LHE51" s="76"/>
      <c r="LHF51" s="76"/>
      <c r="LHG51" s="76"/>
      <c r="LHH51" s="76"/>
      <c r="LHI51" s="76"/>
      <c r="LHJ51" s="76"/>
      <c r="LHK51" s="76"/>
      <c r="LHL51" s="76"/>
      <c r="LHM51" s="76"/>
      <c r="LHN51" s="76"/>
      <c r="LHO51" s="76"/>
      <c r="LHP51" s="76"/>
      <c r="LHQ51" s="76"/>
      <c r="LHR51" s="76"/>
      <c r="LHS51" s="76"/>
      <c r="LHT51" s="76"/>
      <c r="LHU51" s="76"/>
      <c r="LHV51" s="76"/>
      <c r="LHW51" s="76"/>
      <c r="LHX51" s="76"/>
      <c r="LHY51" s="76"/>
      <c r="LHZ51" s="76"/>
      <c r="LIA51" s="76"/>
      <c r="LIB51" s="76"/>
      <c r="LIC51" s="76"/>
      <c r="LID51" s="76"/>
      <c r="LIE51" s="76"/>
      <c r="LIF51" s="76"/>
      <c r="LIG51" s="76"/>
      <c r="LIH51" s="76"/>
      <c r="LII51" s="76"/>
      <c r="LIJ51" s="76"/>
      <c r="LIK51" s="76"/>
      <c r="LIL51" s="76"/>
      <c r="LIM51" s="76"/>
      <c r="LIN51" s="76"/>
      <c r="LIO51" s="76"/>
      <c r="LIP51" s="76"/>
      <c r="LIQ51" s="76"/>
      <c r="LIR51" s="76"/>
      <c r="LIS51" s="76"/>
      <c r="LIT51" s="76"/>
      <c r="LIU51" s="76"/>
      <c r="LIV51" s="76"/>
      <c r="LIW51" s="76"/>
      <c r="LIX51" s="76"/>
      <c r="LIY51" s="76"/>
      <c r="LIZ51" s="76"/>
      <c r="LJA51" s="76"/>
      <c r="LJB51" s="76"/>
      <c r="LJC51" s="76"/>
      <c r="LJD51" s="76"/>
      <c r="LJE51" s="76"/>
      <c r="LJF51" s="76"/>
      <c r="LJG51" s="76"/>
      <c r="LJH51" s="76"/>
      <c r="LJI51" s="76"/>
      <c r="LJJ51" s="76"/>
      <c r="LJK51" s="76"/>
      <c r="LJL51" s="76"/>
      <c r="LJM51" s="76"/>
      <c r="LJN51" s="76"/>
      <c r="LJO51" s="76"/>
      <c r="LJP51" s="76"/>
      <c r="LJQ51" s="76"/>
      <c r="LJR51" s="76"/>
      <c r="LJS51" s="76"/>
      <c r="LJT51" s="76"/>
      <c r="LJU51" s="76"/>
      <c r="LJV51" s="76"/>
      <c r="LJW51" s="76"/>
      <c r="LJX51" s="76"/>
      <c r="LJY51" s="76"/>
      <c r="LJZ51" s="76"/>
      <c r="LKA51" s="76"/>
      <c r="LKB51" s="76"/>
      <c r="LKC51" s="76"/>
      <c r="LKD51" s="76"/>
      <c r="LKE51" s="76"/>
      <c r="LKF51" s="76"/>
      <c r="LKG51" s="76"/>
      <c r="LKH51" s="76"/>
      <c r="LKI51" s="76"/>
      <c r="LKJ51" s="76"/>
      <c r="LKK51" s="76"/>
      <c r="LKL51" s="76"/>
      <c r="LKM51" s="76"/>
      <c r="LKN51" s="76"/>
      <c r="LKO51" s="76"/>
      <c r="LKP51" s="76"/>
      <c r="LKQ51" s="76"/>
      <c r="LKR51" s="76"/>
      <c r="LKS51" s="76"/>
      <c r="LKT51" s="76"/>
      <c r="LKU51" s="76"/>
      <c r="LKV51" s="76"/>
      <c r="LKW51" s="76"/>
      <c r="LKX51" s="76"/>
      <c r="LKY51" s="76"/>
      <c r="LKZ51" s="76"/>
      <c r="LLA51" s="76"/>
      <c r="LLB51" s="76"/>
      <c r="LLC51" s="76"/>
      <c r="LLD51" s="76"/>
      <c r="LLE51" s="76"/>
      <c r="LLF51" s="76"/>
      <c r="LLG51" s="76"/>
      <c r="LLH51" s="76"/>
      <c r="LLI51" s="76"/>
      <c r="LLJ51" s="76"/>
      <c r="LLK51" s="76"/>
      <c r="LLL51" s="76"/>
      <c r="LLM51" s="76"/>
      <c r="LLN51" s="76"/>
      <c r="LLO51" s="76"/>
      <c r="LLP51" s="76"/>
      <c r="LLQ51" s="76"/>
      <c r="LLR51" s="76"/>
      <c r="LLS51" s="76"/>
      <c r="LLT51" s="76"/>
      <c r="LLU51" s="76"/>
      <c r="LLV51" s="76"/>
      <c r="LLW51" s="76"/>
      <c r="LLX51" s="76"/>
      <c r="LLY51" s="76"/>
      <c r="LLZ51" s="76"/>
      <c r="LMA51" s="76"/>
      <c r="LMB51" s="76"/>
      <c r="LMC51" s="76"/>
      <c r="LMD51" s="76"/>
      <c r="LME51" s="76"/>
      <c r="LMF51" s="76"/>
      <c r="LMG51" s="76"/>
      <c r="LMH51" s="76"/>
      <c r="LMI51" s="76"/>
      <c r="LMJ51" s="76"/>
      <c r="LMK51" s="76"/>
      <c r="LML51" s="76"/>
      <c r="LMM51" s="76"/>
      <c r="LMN51" s="76"/>
      <c r="LMO51" s="76"/>
      <c r="LMP51" s="76"/>
      <c r="LMQ51" s="76"/>
      <c r="LMR51" s="76"/>
      <c r="LMS51" s="76"/>
      <c r="LMT51" s="76"/>
      <c r="LMU51" s="76"/>
      <c r="LMV51" s="76"/>
      <c r="LMW51" s="76"/>
      <c r="LMX51" s="76"/>
      <c r="LMY51" s="76"/>
      <c r="LMZ51" s="76"/>
      <c r="LNA51" s="76"/>
      <c r="LNB51" s="76"/>
      <c r="LNC51" s="76"/>
      <c r="LND51" s="76"/>
      <c r="LNE51" s="76"/>
      <c r="LNF51" s="76"/>
      <c r="LNG51" s="76"/>
      <c r="LNH51" s="76"/>
      <c r="LNI51" s="76"/>
      <c r="LNJ51" s="76"/>
      <c r="LNK51" s="76"/>
      <c r="LNL51" s="76"/>
      <c r="LNM51" s="76"/>
      <c r="LNN51" s="76"/>
      <c r="LNO51" s="76"/>
      <c r="LNP51" s="76"/>
      <c r="LNQ51" s="76"/>
      <c r="LNR51" s="76"/>
      <c r="LNS51" s="76"/>
      <c r="LNT51" s="76"/>
      <c r="LNU51" s="76"/>
      <c r="LNV51" s="76"/>
      <c r="LNW51" s="76"/>
      <c r="LNX51" s="76"/>
      <c r="LNY51" s="76"/>
      <c r="LNZ51" s="76"/>
      <c r="LOA51" s="76"/>
      <c r="LOB51" s="76"/>
      <c r="LOC51" s="76"/>
      <c r="LOD51" s="76"/>
      <c r="LOE51" s="76"/>
      <c r="LOF51" s="76"/>
      <c r="LOG51" s="76"/>
      <c r="LOH51" s="76"/>
      <c r="LOI51" s="76"/>
      <c r="LOJ51" s="76"/>
      <c r="LOK51" s="76"/>
      <c r="LOL51" s="76"/>
      <c r="LOM51" s="76"/>
      <c r="LON51" s="76"/>
      <c r="LOO51" s="76"/>
      <c r="LOP51" s="76"/>
      <c r="LOQ51" s="76"/>
      <c r="LOR51" s="76"/>
      <c r="LOS51" s="76"/>
      <c r="LOT51" s="76"/>
      <c r="LOU51" s="76"/>
      <c r="LOV51" s="76"/>
      <c r="LOW51" s="76"/>
      <c r="LOX51" s="76"/>
      <c r="LOY51" s="76"/>
      <c r="LOZ51" s="76"/>
      <c r="LPA51" s="76"/>
      <c r="LPB51" s="76"/>
      <c r="LPC51" s="76"/>
      <c r="LPD51" s="76"/>
      <c r="LPE51" s="76"/>
      <c r="LPF51" s="76"/>
      <c r="LPG51" s="76"/>
      <c r="LPH51" s="76"/>
      <c r="LPI51" s="76"/>
      <c r="LPJ51" s="76"/>
      <c r="LPK51" s="76"/>
      <c r="LPL51" s="76"/>
      <c r="LPM51" s="76"/>
      <c r="LPN51" s="76"/>
      <c r="LPO51" s="76"/>
      <c r="LPP51" s="76"/>
      <c r="LPQ51" s="76"/>
      <c r="LPR51" s="76"/>
      <c r="LPS51" s="76"/>
      <c r="LPT51" s="76"/>
      <c r="LPU51" s="76"/>
      <c r="LPV51" s="76"/>
      <c r="LPW51" s="76"/>
      <c r="LPX51" s="76"/>
      <c r="LPY51" s="76"/>
      <c r="LPZ51" s="76"/>
      <c r="LQA51" s="76"/>
      <c r="LQB51" s="76"/>
      <c r="LQC51" s="76"/>
      <c r="LQD51" s="76"/>
      <c r="LQE51" s="76"/>
      <c r="LQF51" s="76"/>
      <c r="LQG51" s="76"/>
      <c r="LQH51" s="76"/>
      <c r="LQI51" s="76"/>
      <c r="LQJ51" s="76"/>
      <c r="LQK51" s="76"/>
      <c r="LQL51" s="76"/>
      <c r="LQM51" s="76"/>
      <c r="LQN51" s="76"/>
      <c r="LQO51" s="76"/>
      <c r="LQP51" s="76"/>
      <c r="LQQ51" s="76"/>
      <c r="LQR51" s="76"/>
      <c r="LQS51" s="76"/>
      <c r="LQT51" s="76"/>
      <c r="LQU51" s="76"/>
      <c r="LQV51" s="76"/>
      <c r="LQW51" s="76"/>
      <c r="LQX51" s="76"/>
      <c r="LQY51" s="76"/>
      <c r="LQZ51" s="76"/>
      <c r="LRA51" s="76"/>
      <c r="LRB51" s="76"/>
      <c r="LRC51" s="76"/>
      <c r="LRD51" s="76"/>
      <c r="LRE51" s="76"/>
      <c r="LRF51" s="76"/>
      <c r="LRG51" s="76"/>
      <c r="LRH51" s="76"/>
      <c r="LRI51" s="76"/>
      <c r="LRJ51" s="76"/>
      <c r="LRK51" s="76"/>
      <c r="LRL51" s="76"/>
      <c r="LRM51" s="76"/>
      <c r="LRN51" s="76"/>
      <c r="LRO51" s="76"/>
      <c r="LRP51" s="76"/>
      <c r="LRQ51" s="76"/>
      <c r="LRR51" s="76"/>
      <c r="LRS51" s="76"/>
      <c r="LRT51" s="76"/>
      <c r="LRU51" s="76"/>
      <c r="LRV51" s="76"/>
      <c r="LRW51" s="76"/>
      <c r="LRX51" s="76"/>
      <c r="LRY51" s="76"/>
      <c r="LRZ51" s="76"/>
      <c r="LSA51" s="76"/>
      <c r="LSB51" s="76"/>
      <c r="LSC51" s="76"/>
      <c r="LSD51" s="76"/>
      <c r="LSE51" s="76"/>
      <c r="LSF51" s="76"/>
      <c r="LSG51" s="76"/>
      <c r="LSH51" s="76"/>
      <c r="LSI51" s="76"/>
      <c r="LSJ51" s="76"/>
      <c r="LSK51" s="76"/>
      <c r="LSL51" s="76"/>
      <c r="LSM51" s="76"/>
      <c r="LSN51" s="76"/>
      <c r="LSO51" s="76"/>
      <c r="LSP51" s="76"/>
      <c r="LSQ51" s="76"/>
      <c r="LSR51" s="76"/>
      <c r="LSS51" s="76"/>
      <c r="LST51" s="76"/>
      <c r="LSU51" s="76"/>
      <c r="LSV51" s="76"/>
      <c r="LSW51" s="76"/>
      <c r="LSX51" s="76"/>
      <c r="LSY51" s="76"/>
      <c r="LSZ51" s="76"/>
      <c r="LTA51" s="76"/>
      <c r="LTB51" s="76"/>
      <c r="LTC51" s="76"/>
      <c r="LTD51" s="76"/>
      <c r="LTE51" s="76"/>
      <c r="LTF51" s="76"/>
      <c r="LTG51" s="76"/>
      <c r="LTH51" s="76"/>
      <c r="LTI51" s="76"/>
      <c r="LTJ51" s="76"/>
      <c r="LTK51" s="76"/>
      <c r="LTL51" s="76"/>
      <c r="LTM51" s="76"/>
      <c r="LTN51" s="76"/>
      <c r="LTO51" s="76"/>
      <c r="LTP51" s="76"/>
      <c r="LTQ51" s="76"/>
      <c r="LTR51" s="76"/>
      <c r="LTS51" s="76"/>
      <c r="LTT51" s="76"/>
      <c r="LTU51" s="76"/>
      <c r="LTV51" s="76"/>
      <c r="LTW51" s="76"/>
      <c r="LTX51" s="76"/>
      <c r="LTY51" s="76"/>
      <c r="LTZ51" s="76"/>
      <c r="LUA51" s="76"/>
      <c r="LUB51" s="76"/>
      <c r="LUC51" s="76"/>
      <c r="LUD51" s="76"/>
      <c r="LUE51" s="76"/>
      <c r="LUF51" s="76"/>
      <c r="LUG51" s="76"/>
      <c r="LUH51" s="76"/>
      <c r="LUI51" s="76"/>
      <c r="LUJ51" s="76"/>
      <c r="LUK51" s="76"/>
      <c r="LUL51" s="76"/>
      <c r="LUM51" s="76"/>
      <c r="LUN51" s="76"/>
      <c r="LUO51" s="76"/>
      <c r="LUP51" s="76"/>
      <c r="LUQ51" s="76"/>
      <c r="LUR51" s="76"/>
      <c r="LUS51" s="76"/>
      <c r="LUT51" s="76"/>
      <c r="LUU51" s="76"/>
      <c r="LUV51" s="76"/>
      <c r="LUW51" s="76"/>
      <c r="LUX51" s="76"/>
      <c r="LUY51" s="76"/>
      <c r="LUZ51" s="76"/>
      <c r="LVA51" s="76"/>
      <c r="LVB51" s="76"/>
      <c r="LVC51" s="76"/>
      <c r="LVD51" s="76"/>
      <c r="LVE51" s="76"/>
      <c r="LVF51" s="76"/>
      <c r="LVG51" s="76"/>
      <c r="LVH51" s="76"/>
      <c r="LVI51" s="76"/>
      <c r="LVJ51" s="76"/>
      <c r="LVK51" s="76"/>
      <c r="LVL51" s="76"/>
      <c r="LVM51" s="76"/>
      <c r="LVN51" s="76"/>
      <c r="LVO51" s="76"/>
      <c r="LVP51" s="76"/>
      <c r="LVQ51" s="76"/>
      <c r="LVR51" s="76"/>
      <c r="LVS51" s="76"/>
      <c r="LVT51" s="76"/>
      <c r="LVU51" s="76"/>
      <c r="LVV51" s="76"/>
      <c r="LVW51" s="76"/>
      <c r="LVX51" s="76"/>
      <c r="LVY51" s="76"/>
      <c r="LVZ51" s="76"/>
      <c r="LWA51" s="76"/>
      <c r="LWB51" s="76"/>
      <c r="LWC51" s="76"/>
      <c r="LWD51" s="76"/>
      <c r="LWE51" s="76"/>
      <c r="LWF51" s="76"/>
      <c r="LWG51" s="76"/>
      <c r="LWH51" s="76"/>
      <c r="LWI51" s="76"/>
      <c r="LWJ51" s="76"/>
      <c r="LWK51" s="76"/>
      <c r="LWL51" s="76"/>
      <c r="LWM51" s="76"/>
      <c r="LWN51" s="76"/>
      <c r="LWO51" s="76"/>
      <c r="LWP51" s="76"/>
      <c r="LWQ51" s="76"/>
      <c r="LWR51" s="76"/>
      <c r="LWS51" s="76"/>
      <c r="LWT51" s="76"/>
      <c r="LWU51" s="76"/>
      <c r="LWV51" s="76"/>
      <c r="LWW51" s="76"/>
      <c r="LWX51" s="76"/>
      <c r="LWY51" s="76"/>
      <c r="LWZ51" s="76"/>
      <c r="LXA51" s="76"/>
      <c r="LXB51" s="76"/>
      <c r="LXC51" s="76"/>
      <c r="LXD51" s="76"/>
      <c r="LXE51" s="76"/>
      <c r="LXF51" s="76"/>
      <c r="LXG51" s="76"/>
      <c r="LXH51" s="76"/>
      <c r="LXI51" s="76"/>
      <c r="LXJ51" s="76"/>
      <c r="LXK51" s="76"/>
      <c r="LXL51" s="76"/>
      <c r="LXM51" s="76"/>
      <c r="LXN51" s="76"/>
      <c r="LXO51" s="76"/>
      <c r="LXP51" s="76"/>
      <c r="LXQ51" s="76"/>
      <c r="LXR51" s="76"/>
      <c r="LXS51" s="76"/>
      <c r="LXT51" s="76"/>
      <c r="LXU51" s="76"/>
      <c r="LXV51" s="76"/>
      <c r="LXW51" s="76"/>
      <c r="LXX51" s="76"/>
      <c r="LXY51" s="76"/>
      <c r="LXZ51" s="76"/>
      <c r="LYA51" s="76"/>
      <c r="LYB51" s="76"/>
      <c r="LYC51" s="76"/>
      <c r="LYD51" s="76"/>
      <c r="LYE51" s="76"/>
      <c r="LYF51" s="76"/>
      <c r="LYG51" s="76"/>
      <c r="LYH51" s="76"/>
      <c r="LYI51" s="76"/>
      <c r="LYJ51" s="76"/>
      <c r="LYK51" s="76"/>
      <c r="LYL51" s="76"/>
      <c r="LYM51" s="76"/>
      <c r="LYN51" s="76"/>
      <c r="LYO51" s="76"/>
      <c r="LYP51" s="76"/>
      <c r="LYQ51" s="76"/>
      <c r="LYR51" s="76"/>
      <c r="LYS51" s="76"/>
      <c r="LYT51" s="76"/>
      <c r="LYU51" s="76"/>
      <c r="LYV51" s="76"/>
      <c r="LYW51" s="76"/>
      <c r="LYX51" s="76"/>
      <c r="LYY51" s="76"/>
      <c r="LYZ51" s="76"/>
      <c r="LZA51" s="76"/>
      <c r="LZB51" s="76"/>
      <c r="LZC51" s="76"/>
      <c r="LZD51" s="76"/>
      <c r="LZE51" s="76"/>
      <c r="LZF51" s="76"/>
      <c r="LZG51" s="76"/>
      <c r="LZH51" s="76"/>
      <c r="LZI51" s="76"/>
      <c r="LZJ51" s="76"/>
      <c r="LZK51" s="76"/>
      <c r="LZL51" s="76"/>
      <c r="LZM51" s="76"/>
      <c r="LZN51" s="76"/>
      <c r="LZO51" s="76"/>
      <c r="LZP51" s="76"/>
      <c r="LZQ51" s="76"/>
      <c r="LZR51" s="76"/>
      <c r="LZS51" s="76"/>
      <c r="LZT51" s="76"/>
      <c r="LZU51" s="76"/>
      <c r="LZV51" s="76"/>
      <c r="LZW51" s="76"/>
      <c r="LZX51" s="76"/>
      <c r="LZY51" s="76"/>
      <c r="LZZ51" s="76"/>
      <c r="MAA51" s="76"/>
      <c r="MAB51" s="76"/>
      <c r="MAC51" s="76"/>
      <c r="MAD51" s="76"/>
      <c r="MAE51" s="76"/>
      <c r="MAF51" s="76"/>
      <c r="MAG51" s="76"/>
      <c r="MAH51" s="76"/>
      <c r="MAI51" s="76"/>
      <c r="MAJ51" s="76"/>
      <c r="MAK51" s="76"/>
      <c r="MAL51" s="76"/>
      <c r="MAM51" s="76"/>
      <c r="MAN51" s="76"/>
      <c r="MAO51" s="76"/>
      <c r="MAP51" s="76"/>
      <c r="MAQ51" s="76"/>
      <c r="MAR51" s="76"/>
      <c r="MAS51" s="76"/>
      <c r="MAT51" s="76"/>
      <c r="MAU51" s="76"/>
      <c r="MAV51" s="76"/>
      <c r="MAW51" s="76"/>
      <c r="MAX51" s="76"/>
      <c r="MAY51" s="76"/>
      <c r="MAZ51" s="76"/>
      <c r="MBA51" s="76"/>
      <c r="MBB51" s="76"/>
      <c r="MBC51" s="76"/>
      <c r="MBD51" s="76"/>
      <c r="MBE51" s="76"/>
      <c r="MBF51" s="76"/>
      <c r="MBG51" s="76"/>
      <c r="MBH51" s="76"/>
      <c r="MBI51" s="76"/>
      <c r="MBJ51" s="76"/>
      <c r="MBK51" s="76"/>
      <c r="MBL51" s="76"/>
      <c r="MBM51" s="76"/>
      <c r="MBN51" s="76"/>
      <c r="MBO51" s="76"/>
      <c r="MBP51" s="76"/>
      <c r="MBQ51" s="76"/>
      <c r="MBR51" s="76"/>
      <c r="MBS51" s="76"/>
      <c r="MBT51" s="76"/>
      <c r="MBU51" s="76"/>
      <c r="MBV51" s="76"/>
      <c r="MBW51" s="76"/>
      <c r="MBX51" s="76"/>
      <c r="MBY51" s="76"/>
      <c r="MBZ51" s="76"/>
      <c r="MCA51" s="76"/>
      <c r="MCB51" s="76"/>
      <c r="MCC51" s="76"/>
      <c r="MCD51" s="76"/>
      <c r="MCE51" s="76"/>
      <c r="MCF51" s="76"/>
      <c r="MCG51" s="76"/>
      <c r="MCH51" s="76"/>
      <c r="MCI51" s="76"/>
      <c r="MCJ51" s="76"/>
      <c r="MCK51" s="76"/>
      <c r="MCL51" s="76"/>
      <c r="MCM51" s="76"/>
      <c r="MCN51" s="76"/>
      <c r="MCO51" s="76"/>
      <c r="MCP51" s="76"/>
      <c r="MCQ51" s="76"/>
      <c r="MCR51" s="76"/>
      <c r="MCS51" s="76"/>
      <c r="MCT51" s="76"/>
      <c r="MCU51" s="76"/>
      <c r="MCV51" s="76"/>
      <c r="MCW51" s="76"/>
      <c r="MCX51" s="76"/>
      <c r="MCY51" s="76"/>
      <c r="MCZ51" s="76"/>
      <c r="MDA51" s="76"/>
      <c r="MDB51" s="76"/>
      <c r="MDC51" s="76"/>
      <c r="MDD51" s="76"/>
      <c r="MDE51" s="76"/>
      <c r="MDF51" s="76"/>
      <c r="MDG51" s="76"/>
      <c r="MDH51" s="76"/>
      <c r="MDI51" s="76"/>
      <c r="MDJ51" s="76"/>
      <c r="MDK51" s="76"/>
      <c r="MDL51" s="76"/>
      <c r="MDM51" s="76"/>
      <c r="MDN51" s="76"/>
      <c r="MDO51" s="76"/>
      <c r="MDP51" s="76"/>
      <c r="MDQ51" s="76"/>
      <c r="MDR51" s="76"/>
      <c r="MDS51" s="76"/>
      <c r="MDT51" s="76"/>
      <c r="MDU51" s="76"/>
      <c r="MDV51" s="76"/>
      <c r="MDW51" s="76"/>
      <c r="MDX51" s="76"/>
      <c r="MDY51" s="76"/>
      <c r="MDZ51" s="76"/>
      <c r="MEA51" s="76"/>
      <c r="MEB51" s="76"/>
      <c r="MEC51" s="76"/>
      <c r="MED51" s="76"/>
      <c r="MEE51" s="76"/>
      <c r="MEF51" s="76"/>
      <c r="MEG51" s="76"/>
      <c r="MEH51" s="76"/>
      <c r="MEI51" s="76"/>
      <c r="MEJ51" s="76"/>
      <c r="MEK51" s="76"/>
      <c r="MEL51" s="76"/>
      <c r="MEM51" s="76"/>
      <c r="MEN51" s="76"/>
      <c r="MEO51" s="76"/>
      <c r="MEP51" s="76"/>
      <c r="MEQ51" s="76"/>
      <c r="MER51" s="76"/>
      <c r="MES51" s="76"/>
      <c r="MET51" s="76"/>
      <c r="MEU51" s="76"/>
      <c r="MEV51" s="76"/>
      <c r="MEW51" s="76"/>
      <c r="MEX51" s="76"/>
      <c r="MEY51" s="76"/>
      <c r="MEZ51" s="76"/>
      <c r="MFA51" s="76"/>
      <c r="MFB51" s="76"/>
      <c r="MFC51" s="76"/>
      <c r="MFD51" s="76"/>
      <c r="MFE51" s="76"/>
      <c r="MFF51" s="76"/>
      <c r="MFG51" s="76"/>
      <c r="MFH51" s="76"/>
      <c r="MFI51" s="76"/>
      <c r="MFJ51" s="76"/>
      <c r="MFK51" s="76"/>
      <c r="MFL51" s="76"/>
      <c r="MFM51" s="76"/>
      <c r="MFN51" s="76"/>
      <c r="MFO51" s="76"/>
      <c r="MFP51" s="76"/>
      <c r="MFQ51" s="76"/>
      <c r="MFR51" s="76"/>
      <c r="MFS51" s="76"/>
      <c r="MFT51" s="76"/>
      <c r="MFU51" s="76"/>
      <c r="MFV51" s="76"/>
      <c r="MFW51" s="76"/>
      <c r="MFX51" s="76"/>
      <c r="MFY51" s="76"/>
      <c r="MFZ51" s="76"/>
      <c r="MGA51" s="76"/>
      <c r="MGB51" s="76"/>
      <c r="MGC51" s="76"/>
      <c r="MGD51" s="76"/>
      <c r="MGE51" s="76"/>
      <c r="MGF51" s="76"/>
      <c r="MGG51" s="76"/>
      <c r="MGH51" s="76"/>
      <c r="MGI51" s="76"/>
      <c r="MGJ51" s="76"/>
      <c r="MGK51" s="76"/>
      <c r="MGL51" s="76"/>
      <c r="MGM51" s="76"/>
      <c r="MGN51" s="76"/>
      <c r="MGO51" s="76"/>
      <c r="MGP51" s="76"/>
      <c r="MGQ51" s="76"/>
      <c r="MGR51" s="76"/>
      <c r="MGS51" s="76"/>
      <c r="MGT51" s="76"/>
      <c r="MGU51" s="76"/>
      <c r="MGV51" s="76"/>
      <c r="MGW51" s="76"/>
      <c r="MGX51" s="76"/>
      <c r="MGY51" s="76"/>
      <c r="MGZ51" s="76"/>
      <c r="MHA51" s="76"/>
      <c r="MHB51" s="76"/>
      <c r="MHC51" s="76"/>
      <c r="MHD51" s="76"/>
      <c r="MHE51" s="76"/>
      <c r="MHF51" s="76"/>
      <c r="MHG51" s="76"/>
      <c r="MHH51" s="76"/>
      <c r="MHI51" s="76"/>
      <c r="MHJ51" s="76"/>
      <c r="MHK51" s="76"/>
      <c r="MHL51" s="76"/>
      <c r="MHM51" s="76"/>
      <c r="MHN51" s="76"/>
      <c r="MHO51" s="76"/>
      <c r="MHP51" s="76"/>
      <c r="MHQ51" s="76"/>
      <c r="MHR51" s="76"/>
      <c r="MHS51" s="76"/>
      <c r="MHT51" s="76"/>
      <c r="MHU51" s="76"/>
      <c r="MHV51" s="76"/>
      <c r="MHW51" s="76"/>
      <c r="MHX51" s="76"/>
      <c r="MHY51" s="76"/>
      <c r="MHZ51" s="76"/>
      <c r="MIA51" s="76"/>
      <c r="MIB51" s="76"/>
      <c r="MIC51" s="76"/>
      <c r="MID51" s="76"/>
      <c r="MIE51" s="76"/>
      <c r="MIF51" s="76"/>
      <c r="MIG51" s="76"/>
      <c r="MIH51" s="76"/>
      <c r="MII51" s="76"/>
      <c r="MIJ51" s="76"/>
      <c r="MIK51" s="76"/>
      <c r="MIL51" s="76"/>
      <c r="MIM51" s="76"/>
      <c r="MIN51" s="76"/>
      <c r="MIO51" s="76"/>
      <c r="MIP51" s="76"/>
      <c r="MIQ51" s="76"/>
      <c r="MIR51" s="76"/>
      <c r="MIS51" s="76"/>
      <c r="MIT51" s="76"/>
      <c r="MIU51" s="76"/>
      <c r="MIV51" s="76"/>
      <c r="MIW51" s="76"/>
      <c r="MIX51" s="76"/>
      <c r="MIY51" s="76"/>
      <c r="MIZ51" s="76"/>
      <c r="MJA51" s="76"/>
      <c r="MJB51" s="76"/>
      <c r="MJC51" s="76"/>
      <c r="MJD51" s="76"/>
      <c r="MJE51" s="76"/>
      <c r="MJF51" s="76"/>
      <c r="MJG51" s="76"/>
      <c r="MJH51" s="76"/>
      <c r="MJI51" s="76"/>
      <c r="MJJ51" s="76"/>
      <c r="MJK51" s="76"/>
      <c r="MJL51" s="76"/>
      <c r="MJM51" s="76"/>
      <c r="MJN51" s="76"/>
      <c r="MJO51" s="76"/>
      <c r="MJP51" s="76"/>
      <c r="MJQ51" s="76"/>
      <c r="MJR51" s="76"/>
      <c r="MJS51" s="76"/>
      <c r="MJT51" s="76"/>
      <c r="MJU51" s="76"/>
      <c r="MJV51" s="76"/>
      <c r="MJW51" s="76"/>
      <c r="MJX51" s="76"/>
      <c r="MJY51" s="76"/>
      <c r="MJZ51" s="76"/>
      <c r="MKA51" s="76"/>
      <c r="MKB51" s="76"/>
      <c r="MKC51" s="76"/>
      <c r="MKD51" s="76"/>
      <c r="MKE51" s="76"/>
      <c r="MKF51" s="76"/>
      <c r="MKG51" s="76"/>
      <c r="MKH51" s="76"/>
      <c r="MKI51" s="76"/>
      <c r="MKJ51" s="76"/>
      <c r="MKK51" s="76"/>
      <c r="MKL51" s="76"/>
      <c r="MKM51" s="76"/>
      <c r="MKN51" s="76"/>
      <c r="MKO51" s="76"/>
      <c r="MKP51" s="76"/>
      <c r="MKQ51" s="76"/>
      <c r="MKR51" s="76"/>
      <c r="MKS51" s="76"/>
      <c r="MKT51" s="76"/>
      <c r="MKU51" s="76"/>
      <c r="MKV51" s="76"/>
      <c r="MKW51" s="76"/>
      <c r="MKX51" s="76"/>
      <c r="MKY51" s="76"/>
      <c r="MKZ51" s="76"/>
      <c r="MLA51" s="76"/>
      <c r="MLB51" s="76"/>
      <c r="MLC51" s="76"/>
      <c r="MLD51" s="76"/>
      <c r="MLE51" s="76"/>
      <c r="MLF51" s="76"/>
      <c r="MLG51" s="76"/>
      <c r="MLH51" s="76"/>
      <c r="MLI51" s="76"/>
      <c r="MLJ51" s="76"/>
      <c r="MLK51" s="76"/>
      <c r="MLL51" s="76"/>
      <c r="MLM51" s="76"/>
      <c r="MLN51" s="76"/>
      <c r="MLO51" s="76"/>
      <c r="MLP51" s="76"/>
      <c r="MLQ51" s="76"/>
      <c r="MLR51" s="76"/>
      <c r="MLS51" s="76"/>
      <c r="MLT51" s="76"/>
      <c r="MLU51" s="76"/>
      <c r="MLV51" s="76"/>
      <c r="MLW51" s="76"/>
      <c r="MLX51" s="76"/>
      <c r="MLY51" s="76"/>
      <c r="MLZ51" s="76"/>
      <c r="MMA51" s="76"/>
      <c r="MMB51" s="76"/>
      <c r="MMC51" s="76"/>
      <c r="MMD51" s="76"/>
      <c r="MME51" s="76"/>
      <c r="MMF51" s="76"/>
      <c r="MMG51" s="76"/>
      <c r="MMH51" s="76"/>
      <c r="MMI51" s="76"/>
      <c r="MMJ51" s="76"/>
      <c r="MMK51" s="76"/>
      <c r="MML51" s="76"/>
      <c r="MMM51" s="76"/>
      <c r="MMN51" s="76"/>
      <c r="MMO51" s="76"/>
      <c r="MMP51" s="76"/>
      <c r="MMQ51" s="76"/>
      <c r="MMR51" s="76"/>
      <c r="MMS51" s="76"/>
      <c r="MMT51" s="76"/>
      <c r="MMU51" s="76"/>
      <c r="MMV51" s="76"/>
      <c r="MMW51" s="76"/>
      <c r="MMX51" s="76"/>
      <c r="MMY51" s="76"/>
      <c r="MMZ51" s="76"/>
      <c r="MNA51" s="76"/>
      <c r="MNB51" s="76"/>
      <c r="MNC51" s="76"/>
      <c r="MND51" s="76"/>
      <c r="MNE51" s="76"/>
      <c r="MNF51" s="76"/>
      <c r="MNG51" s="76"/>
      <c r="MNH51" s="76"/>
      <c r="MNI51" s="76"/>
      <c r="MNJ51" s="76"/>
      <c r="MNK51" s="76"/>
      <c r="MNL51" s="76"/>
      <c r="MNM51" s="76"/>
      <c r="MNN51" s="76"/>
      <c r="MNO51" s="76"/>
      <c r="MNP51" s="76"/>
      <c r="MNQ51" s="76"/>
      <c r="MNR51" s="76"/>
      <c r="MNS51" s="76"/>
      <c r="MNT51" s="76"/>
      <c r="MNU51" s="76"/>
      <c r="MNV51" s="76"/>
      <c r="MNW51" s="76"/>
      <c r="MNX51" s="76"/>
      <c r="MNY51" s="76"/>
      <c r="MNZ51" s="76"/>
      <c r="MOA51" s="76"/>
      <c r="MOB51" s="76"/>
      <c r="MOC51" s="76"/>
      <c r="MOD51" s="76"/>
      <c r="MOE51" s="76"/>
      <c r="MOF51" s="76"/>
      <c r="MOG51" s="76"/>
      <c r="MOH51" s="76"/>
      <c r="MOI51" s="76"/>
      <c r="MOJ51" s="76"/>
      <c r="MOK51" s="76"/>
      <c r="MOL51" s="76"/>
      <c r="MOM51" s="76"/>
      <c r="MON51" s="76"/>
      <c r="MOO51" s="76"/>
      <c r="MOP51" s="76"/>
      <c r="MOQ51" s="76"/>
      <c r="MOR51" s="76"/>
      <c r="MOS51" s="76"/>
      <c r="MOT51" s="76"/>
      <c r="MOU51" s="76"/>
      <c r="MOV51" s="76"/>
      <c r="MOW51" s="76"/>
      <c r="MOX51" s="76"/>
      <c r="MOY51" s="76"/>
      <c r="MOZ51" s="76"/>
      <c r="MPA51" s="76"/>
      <c r="MPB51" s="76"/>
      <c r="MPC51" s="76"/>
      <c r="MPD51" s="76"/>
      <c r="MPE51" s="76"/>
      <c r="MPF51" s="76"/>
      <c r="MPG51" s="76"/>
      <c r="MPH51" s="76"/>
      <c r="MPI51" s="76"/>
      <c r="MPJ51" s="76"/>
      <c r="MPK51" s="76"/>
      <c r="MPL51" s="76"/>
      <c r="MPM51" s="76"/>
      <c r="MPN51" s="76"/>
      <c r="MPO51" s="76"/>
      <c r="MPP51" s="76"/>
      <c r="MPQ51" s="76"/>
      <c r="MPR51" s="76"/>
      <c r="MPS51" s="76"/>
      <c r="MPT51" s="76"/>
      <c r="MPU51" s="76"/>
      <c r="MPV51" s="76"/>
      <c r="MPW51" s="76"/>
      <c r="MPX51" s="76"/>
      <c r="MPY51" s="76"/>
      <c r="MPZ51" s="76"/>
      <c r="MQA51" s="76"/>
      <c r="MQB51" s="76"/>
      <c r="MQC51" s="76"/>
      <c r="MQD51" s="76"/>
      <c r="MQE51" s="76"/>
      <c r="MQF51" s="76"/>
      <c r="MQG51" s="76"/>
      <c r="MQH51" s="76"/>
      <c r="MQI51" s="76"/>
      <c r="MQJ51" s="76"/>
      <c r="MQK51" s="76"/>
      <c r="MQL51" s="76"/>
      <c r="MQM51" s="76"/>
      <c r="MQN51" s="76"/>
      <c r="MQO51" s="76"/>
      <c r="MQP51" s="76"/>
      <c r="MQQ51" s="76"/>
      <c r="MQR51" s="76"/>
      <c r="MQS51" s="76"/>
      <c r="MQT51" s="76"/>
      <c r="MQU51" s="76"/>
      <c r="MQV51" s="76"/>
      <c r="MQW51" s="76"/>
      <c r="MQX51" s="76"/>
      <c r="MQY51" s="76"/>
      <c r="MQZ51" s="76"/>
      <c r="MRA51" s="76"/>
      <c r="MRB51" s="76"/>
      <c r="MRC51" s="76"/>
      <c r="MRD51" s="76"/>
      <c r="MRE51" s="76"/>
      <c r="MRF51" s="76"/>
      <c r="MRG51" s="76"/>
      <c r="MRH51" s="76"/>
      <c r="MRI51" s="76"/>
      <c r="MRJ51" s="76"/>
      <c r="MRK51" s="76"/>
      <c r="MRL51" s="76"/>
      <c r="MRM51" s="76"/>
      <c r="MRN51" s="76"/>
      <c r="MRO51" s="76"/>
      <c r="MRP51" s="76"/>
      <c r="MRQ51" s="76"/>
      <c r="MRR51" s="76"/>
      <c r="MRS51" s="76"/>
      <c r="MRT51" s="76"/>
      <c r="MRU51" s="76"/>
      <c r="MRV51" s="76"/>
      <c r="MRW51" s="76"/>
      <c r="MRX51" s="76"/>
      <c r="MRY51" s="76"/>
      <c r="MRZ51" s="76"/>
      <c r="MSA51" s="76"/>
      <c r="MSB51" s="76"/>
      <c r="MSC51" s="76"/>
      <c r="MSD51" s="76"/>
      <c r="MSE51" s="76"/>
      <c r="MSF51" s="76"/>
      <c r="MSG51" s="76"/>
      <c r="MSH51" s="76"/>
      <c r="MSI51" s="76"/>
      <c r="MSJ51" s="76"/>
      <c r="MSK51" s="76"/>
      <c r="MSL51" s="76"/>
      <c r="MSM51" s="76"/>
      <c r="MSN51" s="76"/>
      <c r="MSO51" s="76"/>
      <c r="MSP51" s="76"/>
      <c r="MSQ51" s="76"/>
      <c r="MSR51" s="76"/>
      <c r="MSS51" s="76"/>
      <c r="MST51" s="76"/>
      <c r="MSU51" s="76"/>
      <c r="MSV51" s="76"/>
      <c r="MSW51" s="76"/>
      <c r="MSX51" s="76"/>
      <c r="MSY51" s="76"/>
      <c r="MSZ51" s="76"/>
      <c r="MTA51" s="76"/>
      <c r="MTB51" s="76"/>
      <c r="MTC51" s="76"/>
      <c r="MTD51" s="76"/>
      <c r="MTE51" s="76"/>
      <c r="MTF51" s="76"/>
      <c r="MTG51" s="76"/>
      <c r="MTH51" s="76"/>
      <c r="MTI51" s="76"/>
      <c r="MTJ51" s="76"/>
      <c r="MTK51" s="76"/>
      <c r="MTL51" s="76"/>
      <c r="MTM51" s="76"/>
      <c r="MTN51" s="76"/>
      <c r="MTO51" s="76"/>
      <c r="MTP51" s="76"/>
      <c r="MTQ51" s="76"/>
      <c r="MTR51" s="76"/>
      <c r="MTS51" s="76"/>
      <c r="MTT51" s="76"/>
      <c r="MTU51" s="76"/>
      <c r="MTV51" s="76"/>
      <c r="MTW51" s="76"/>
      <c r="MTX51" s="76"/>
      <c r="MTY51" s="76"/>
      <c r="MTZ51" s="76"/>
      <c r="MUA51" s="76"/>
      <c r="MUB51" s="76"/>
      <c r="MUC51" s="76"/>
      <c r="MUD51" s="76"/>
      <c r="MUE51" s="76"/>
      <c r="MUF51" s="76"/>
      <c r="MUG51" s="76"/>
      <c r="MUH51" s="76"/>
      <c r="MUI51" s="76"/>
      <c r="MUJ51" s="76"/>
      <c r="MUK51" s="76"/>
      <c r="MUL51" s="76"/>
      <c r="MUM51" s="76"/>
      <c r="MUN51" s="76"/>
      <c r="MUO51" s="76"/>
      <c r="MUP51" s="76"/>
      <c r="MUQ51" s="76"/>
      <c r="MUR51" s="76"/>
      <c r="MUS51" s="76"/>
      <c r="MUT51" s="76"/>
      <c r="MUU51" s="76"/>
      <c r="MUV51" s="76"/>
      <c r="MUW51" s="76"/>
      <c r="MUX51" s="76"/>
      <c r="MUY51" s="76"/>
      <c r="MUZ51" s="76"/>
      <c r="MVA51" s="76"/>
      <c r="MVB51" s="76"/>
      <c r="MVC51" s="76"/>
      <c r="MVD51" s="76"/>
      <c r="MVE51" s="76"/>
      <c r="MVF51" s="76"/>
      <c r="MVG51" s="76"/>
      <c r="MVH51" s="76"/>
      <c r="MVI51" s="76"/>
      <c r="MVJ51" s="76"/>
      <c r="MVK51" s="76"/>
      <c r="MVL51" s="76"/>
      <c r="MVM51" s="76"/>
      <c r="MVN51" s="76"/>
      <c r="MVO51" s="76"/>
      <c r="MVP51" s="76"/>
      <c r="MVQ51" s="76"/>
      <c r="MVR51" s="76"/>
      <c r="MVS51" s="76"/>
      <c r="MVT51" s="76"/>
      <c r="MVU51" s="76"/>
      <c r="MVV51" s="76"/>
      <c r="MVW51" s="76"/>
      <c r="MVX51" s="76"/>
      <c r="MVY51" s="76"/>
      <c r="MVZ51" s="76"/>
      <c r="MWA51" s="76"/>
      <c r="MWB51" s="76"/>
      <c r="MWC51" s="76"/>
      <c r="MWD51" s="76"/>
      <c r="MWE51" s="76"/>
      <c r="MWF51" s="76"/>
      <c r="MWG51" s="76"/>
      <c r="MWH51" s="76"/>
      <c r="MWI51" s="76"/>
      <c r="MWJ51" s="76"/>
      <c r="MWK51" s="76"/>
      <c r="MWL51" s="76"/>
      <c r="MWM51" s="76"/>
      <c r="MWN51" s="76"/>
      <c r="MWO51" s="76"/>
      <c r="MWP51" s="76"/>
      <c r="MWQ51" s="76"/>
      <c r="MWR51" s="76"/>
      <c r="MWS51" s="76"/>
      <c r="MWT51" s="76"/>
      <c r="MWU51" s="76"/>
      <c r="MWV51" s="76"/>
      <c r="MWW51" s="76"/>
      <c r="MWX51" s="76"/>
      <c r="MWY51" s="76"/>
      <c r="MWZ51" s="76"/>
      <c r="MXA51" s="76"/>
      <c r="MXB51" s="76"/>
      <c r="MXC51" s="76"/>
      <c r="MXD51" s="76"/>
      <c r="MXE51" s="76"/>
      <c r="MXF51" s="76"/>
      <c r="MXG51" s="76"/>
      <c r="MXH51" s="76"/>
      <c r="MXI51" s="76"/>
      <c r="MXJ51" s="76"/>
      <c r="MXK51" s="76"/>
      <c r="MXL51" s="76"/>
      <c r="MXM51" s="76"/>
      <c r="MXN51" s="76"/>
      <c r="MXO51" s="76"/>
      <c r="MXP51" s="76"/>
      <c r="MXQ51" s="76"/>
      <c r="MXR51" s="76"/>
      <c r="MXS51" s="76"/>
      <c r="MXT51" s="76"/>
      <c r="MXU51" s="76"/>
      <c r="MXV51" s="76"/>
      <c r="MXW51" s="76"/>
      <c r="MXX51" s="76"/>
      <c r="MXY51" s="76"/>
      <c r="MXZ51" s="76"/>
      <c r="MYA51" s="76"/>
      <c r="MYB51" s="76"/>
      <c r="MYC51" s="76"/>
      <c r="MYD51" s="76"/>
      <c r="MYE51" s="76"/>
      <c r="MYF51" s="76"/>
      <c r="MYG51" s="76"/>
      <c r="MYH51" s="76"/>
      <c r="MYI51" s="76"/>
      <c r="MYJ51" s="76"/>
      <c r="MYK51" s="76"/>
      <c r="MYL51" s="76"/>
      <c r="MYM51" s="76"/>
      <c r="MYN51" s="76"/>
      <c r="MYO51" s="76"/>
      <c r="MYP51" s="76"/>
      <c r="MYQ51" s="76"/>
      <c r="MYR51" s="76"/>
      <c r="MYS51" s="76"/>
      <c r="MYT51" s="76"/>
      <c r="MYU51" s="76"/>
      <c r="MYV51" s="76"/>
      <c r="MYW51" s="76"/>
      <c r="MYX51" s="76"/>
      <c r="MYY51" s="76"/>
      <c r="MYZ51" s="76"/>
      <c r="MZA51" s="76"/>
      <c r="MZB51" s="76"/>
      <c r="MZC51" s="76"/>
      <c r="MZD51" s="76"/>
      <c r="MZE51" s="76"/>
      <c r="MZF51" s="76"/>
      <c r="MZG51" s="76"/>
      <c r="MZH51" s="76"/>
      <c r="MZI51" s="76"/>
      <c r="MZJ51" s="76"/>
      <c r="MZK51" s="76"/>
      <c r="MZL51" s="76"/>
      <c r="MZM51" s="76"/>
      <c r="MZN51" s="76"/>
      <c r="MZO51" s="76"/>
      <c r="MZP51" s="76"/>
      <c r="MZQ51" s="76"/>
      <c r="MZR51" s="76"/>
      <c r="MZS51" s="76"/>
      <c r="MZT51" s="76"/>
      <c r="MZU51" s="76"/>
      <c r="MZV51" s="76"/>
      <c r="MZW51" s="76"/>
      <c r="MZX51" s="76"/>
      <c r="MZY51" s="76"/>
      <c r="MZZ51" s="76"/>
      <c r="NAA51" s="76"/>
      <c r="NAB51" s="76"/>
      <c r="NAC51" s="76"/>
      <c r="NAD51" s="76"/>
      <c r="NAE51" s="76"/>
      <c r="NAF51" s="76"/>
      <c r="NAG51" s="76"/>
      <c r="NAH51" s="76"/>
      <c r="NAI51" s="76"/>
      <c r="NAJ51" s="76"/>
      <c r="NAK51" s="76"/>
      <c r="NAL51" s="76"/>
      <c r="NAM51" s="76"/>
      <c r="NAN51" s="76"/>
      <c r="NAO51" s="76"/>
      <c r="NAP51" s="76"/>
      <c r="NAQ51" s="76"/>
      <c r="NAR51" s="76"/>
      <c r="NAS51" s="76"/>
      <c r="NAT51" s="76"/>
      <c r="NAU51" s="76"/>
      <c r="NAV51" s="76"/>
      <c r="NAW51" s="76"/>
      <c r="NAX51" s="76"/>
      <c r="NAY51" s="76"/>
      <c r="NAZ51" s="76"/>
      <c r="NBA51" s="76"/>
      <c r="NBB51" s="76"/>
      <c r="NBC51" s="76"/>
      <c r="NBD51" s="76"/>
      <c r="NBE51" s="76"/>
      <c r="NBF51" s="76"/>
      <c r="NBG51" s="76"/>
      <c r="NBH51" s="76"/>
      <c r="NBI51" s="76"/>
      <c r="NBJ51" s="76"/>
      <c r="NBK51" s="76"/>
      <c r="NBL51" s="76"/>
      <c r="NBM51" s="76"/>
      <c r="NBN51" s="76"/>
      <c r="NBO51" s="76"/>
      <c r="NBP51" s="76"/>
      <c r="NBQ51" s="76"/>
      <c r="NBR51" s="76"/>
      <c r="NBS51" s="76"/>
      <c r="NBT51" s="76"/>
      <c r="NBU51" s="76"/>
      <c r="NBV51" s="76"/>
      <c r="NBW51" s="76"/>
      <c r="NBX51" s="76"/>
      <c r="NBY51" s="76"/>
      <c r="NBZ51" s="76"/>
      <c r="NCA51" s="76"/>
      <c r="NCB51" s="76"/>
      <c r="NCC51" s="76"/>
      <c r="NCD51" s="76"/>
      <c r="NCE51" s="76"/>
      <c r="NCF51" s="76"/>
      <c r="NCG51" s="76"/>
      <c r="NCH51" s="76"/>
      <c r="NCI51" s="76"/>
      <c r="NCJ51" s="76"/>
      <c r="NCK51" s="76"/>
      <c r="NCL51" s="76"/>
      <c r="NCM51" s="76"/>
      <c r="NCN51" s="76"/>
      <c r="NCO51" s="76"/>
      <c r="NCP51" s="76"/>
      <c r="NCQ51" s="76"/>
      <c r="NCR51" s="76"/>
      <c r="NCS51" s="76"/>
      <c r="NCT51" s="76"/>
      <c r="NCU51" s="76"/>
      <c r="NCV51" s="76"/>
      <c r="NCW51" s="76"/>
      <c r="NCX51" s="76"/>
      <c r="NCY51" s="76"/>
      <c r="NCZ51" s="76"/>
      <c r="NDA51" s="76"/>
      <c r="NDB51" s="76"/>
      <c r="NDC51" s="76"/>
      <c r="NDD51" s="76"/>
      <c r="NDE51" s="76"/>
      <c r="NDF51" s="76"/>
      <c r="NDG51" s="76"/>
      <c r="NDH51" s="76"/>
      <c r="NDI51" s="76"/>
      <c r="NDJ51" s="76"/>
      <c r="NDK51" s="76"/>
      <c r="NDL51" s="76"/>
      <c r="NDM51" s="76"/>
      <c r="NDN51" s="76"/>
      <c r="NDO51" s="76"/>
      <c r="NDP51" s="76"/>
      <c r="NDQ51" s="76"/>
      <c r="NDR51" s="76"/>
      <c r="NDS51" s="76"/>
      <c r="NDT51" s="76"/>
      <c r="NDU51" s="76"/>
      <c r="NDV51" s="76"/>
      <c r="NDW51" s="76"/>
      <c r="NDX51" s="76"/>
      <c r="NDY51" s="76"/>
      <c r="NDZ51" s="76"/>
      <c r="NEA51" s="76"/>
      <c r="NEB51" s="76"/>
      <c r="NEC51" s="76"/>
      <c r="NED51" s="76"/>
      <c r="NEE51" s="76"/>
      <c r="NEF51" s="76"/>
      <c r="NEG51" s="76"/>
      <c r="NEH51" s="76"/>
      <c r="NEI51" s="76"/>
      <c r="NEJ51" s="76"/>
      <c r="NEK51" s="76"/>
      <c r="NEL51" s="76"/>
      <c r="NEM51" s="76"/>
      <c r="NEN51" s="76"/>
      <c r="NEO51" s="76"/>
      <c r="NEP51" s="76"/>
      <c r="NEQ51" s="76"/>
      <c r="NER51" s="76"/>
      <c r="NES51" s="76"/>
      <c r="NET51" s="76"/>
      <c r="NEU51" s="76"/>
      <c r="NEV51" s="76"/>
      <c r="NEW51" s="76"/>
      <c r="NEX51" s="76"/>
      <c r="NEY51" s="76"/>
      <c r="NEZ51" s="76"/>
      <c r="NFA51" s="76"/>
      <c r="NFB51" s="76"/>
      <c r="NFC51" s="76"/>
      <c r="NFD51" s="76"/>
      <c r="NFE51" s="76"/>
      <c r="NFF51" s="76"/>
      <c r="NFG51" s="76"/>
      <c r="NFH51" s="76"/>
      <c r="NFI51" s="76"/>
      <c r="NFJ51" s="76"/>
      <c r="NFK51" s="76"/>
      <c r="NFL51" s="76"/>
      <c r="NFM51" s="76"/>
      <c r="NFN51" s="76"/>
      <c r="NFO51" s="76"/>
      <c r="NFP51" s="76"/>
      <c r="NFQ51" s="76"/>
      <c r="NFR51" s="76"/>
      <c r="NFS51" s="76"/>
      <c r="NFT51" s="76"/>
      <c r="NFU51" s="76"/>
      <c r="NFV51" s="76"/>
      <c r="NFW51" s="76"/>
      <c r="NFX51" s="76"/>
      <c r="NFY51" s="76"/>
      <c r="NFZ51" s="76"/>
      <c r="NGA51" s="76"/>
      <c r="NGB51" s="76"/>
      <c r="NGC51" s="76"/>
      <c r="NGD51" s="76"/>
      <c r="NGE51" s="76"/>
      <c r="NGF51" s="76"/>
      <c r="NGG51" s="76"/>
      <c r="NGH51" s="76"/>
      <c r="NGI51" s="76"/>
      <c r="NGJ51" s="76"/>
      <c r="NGK51" s="76"/>
      <c r="NGL51" s="76"/>
      <c r="NGM51" s="76"/>
      <c r="NGN51" s="76"/>
      <c r="NGO51" s="76"/>
      <c r="NGP51" s="76"/>
      <c r="NGQ51" s="76"/>
      <c r="NGR51" s="76"/>
      <c r="NGS51" s="76"/>
      <c r="NGT51" s="76"/>
      <c r="NGU51" s="76"/>
      <c r="NGV51" s="76"/>
      <c r="NGW51" s="76"/>
      <c r="NGX51" s="76"/>
      <c r="NGY51" s="76"/>
      <c r="NGZ51" s="76"/>
      <c r="NHA51" s="76"/>
      <c r="NHB51" s="76"/>
      <c r="NHC51" s="76"/>
      <c r="NHD51" s="76"/>
      <c r="NHE51" s="76"/>
      <c r="NHF51" s="76"/>
      <c r="NHG51" s="76"/>
      <c r="NHH51" s="76"/>
      <c r="NHI51" s="76"/>
      <c r="NHJ51" s="76"/>
      <c r="NHK51" s="76"/>
      <c r="NHL51" s="76"/>
      <c r="NHM51" s="76"/>
      <c r="NHN51" s="76"/>
      <c r="NHO51" s="76"/>
      <c r="NHP51" s="76"/>
      <c r="NHQ51" s="76"/>
      <c r="NHR51" s="76"/>
      <c r="NHS51" s="76"/>
      <c r="NHT51" s="76"/>
      <c r="NHU51" s="76"/>
      <c r="NHV51" s="76"/>
      <c r="NHW51" s="76"/>
      <c r="NHX51" s="76"/>
      <c r="NHY51" s="76"/>
      <c r="NHZ51" s="76"/>
      <c r="NIA51" s="76"/>
      <c r="NIB51" s="76"/>
      <c r="NIC51" s="76"/>
      <c r="NID51" s="76"/>
      <c r="NIE51" s="76"/>
      <c r="NIF51" s="76"/>
      <c r="NIG51" s="76"/>
      <c r="NIH51" s="76"/>
      <c r="NII51" s="76"/>
      <c r="NIJ51" s="76"/>
      <c r="NIK51" s="76"/>
      <c r="NIL51" s="76"/>
      <c r="NIM51" s="76"/>
      <c r="NIN51" s="76"/>
      <c r="NIO51" s="76"/>
      <c r="NIP51" s="76"/>
      <c r="NIQ51" s="76"/>
      <c r="NIR51" s="76"/>
      <c r="NIS51" s="76"/>
      <c r="NIT51" s="76"/>
      <c r="NIU51" s="76"/>
      <c r="NIV51" s="76"/>
      <c r="NIW51" s="76"/>
      <c r="NIX51" s="76"/>
      <c r="NIY51" s="76"/>
      <c r="NIZ51" s="76"/>
      <c r="NJA51" s="76"/>
      <c r="NJB51" s="76"/>
      <c r="NJC51" s="76"/>
      <c r="NJD51" s="76"/>
      <c r="NJE51" s="76"/>
      <c r="NJF51" s="76"/>
      <c r="NJG51" s="76"/>
      <c r="NJH51" s="76"/>
      <c r="NJI51" s="76"/>
      <c r="NJJ51" s="76"/>
      <c r="NJK51" s="76"/>
      <c r="NJL51" s="76"/>
      <c r="NJM51" s="76"/>
      <c r="NJN51" s="76"/>
      <c r="NJO51" s="76"/>
      <c r="NJP51" s="76"/>
      <c r="NJQ51" s="76"/>
      <c r="NJR51" s="76"/>
      <c r="NJS51" s="76"/>
      <c r="NJT51" s="76"/>
      <c r="NJU51" s="76"/>
      <c r="NJV51" s="76"/>
      <c r="NJW51" s="76"/>
      <c r="NJX51" s="76"/>
      <c r="NJY51" s="76"/>
      <c r="NJZ51" s="76"/>
      <c r="NKA51" s="76"/>
      <c r="NKB51" s="76"/>
      <c r="NKC51" s="76"/>
      <c r="NKD51" s="76"/>
      <c r="NKE51" s="76"/>
      <c r="NKF51" s="76"/>
      <c r="NKG51" s="76"/>
      <c r="NKH51" s="76"/>
      <c r="NKI51" s="76"/>
      <c r="NKJ51" s="76"/>
      <c r="NKK51" s="76"/>
      <c r="NKL51" s="76"/>
      <c r="NKM51" s="76"/>
      <c r="NKN51" s="76"/>
      <c r="NKO51" s="76"/>
      <c r="NKP51" s="76"/>
      <c r="NKQ51" s="76"/>
      <c r="NKR51" s="76"/>
      <c r="NKS51" s="76"/>
      <c r="NKT51" s="76"/>
      <c r="NKU51" s="76"/>
      <c r="NKV51" s="76"/>
      <c r="NKW51" s="76"/>
      <c r="NKX51" s="76"/>
      <c r="NKY51" s="76"/>
      <c r="NKZ51" s="76"/>
      <c r="NLA51" s="76"/>
      <c r="NLB51" s="76"/>
      <c r="NLC51" s="76"/>
      <c r="NLD51" s="76"/>
      <c r="NLE51" s="76"/>
      <c r="NLF51" s="76"/>
      <c r="NLG51" s="76"/>
      <c r="NLH51" s="76"/>
      <c r="NLI51" s="76"/>
      <c r="NLJ51" s="76"/>
      <c r="NLK51" s="76"/>
      <c r="NLL51" s="76"/>
      <c r="NLM51" s="76"/>
      <c r="NLN51" s="76"/>
      <c r="NLO51" s="76"/>
      <c r="NLP51" s="76"/>
      <c r="NLQ51" s="76"/>
      <c r="NLR51" s="76"/>
      <c r="NLS51" s="76"/>
      <c r="NLT51" s="76"/>
      <c r="NLU51" s="76"/>
      <c r="NLV51" s="76"/>
      <c r="NLW51" s="76"/>
      <c r="NLX51" s="76"/>
      <c r="NLY51" s="76"/>
      <c r="NLZ51" s="76"/>
      <c r="NMA51" s="76"/>
      <c r="NMB51" s="76"/>
      <c r="NMC51" s="76"/>
      <c r="NMD51" s="76"/>
      <c r="NME51" s="76"/>
      <c r="NMF51" s="76"/>
      <c r="NMG51" s="76"/>
      <c r="NMH51" s="76"/>
      <c r="NMI51" s="76"/>
      <c r="NMJ51" s="76"/>
      <c r="NMK51" s="76"/>
      <c r="NML51" s="76"/>
      <c r="NMM51" s="76"/>
      <c r="NMN51" s="76"/>
      <c r="NMO51" s="76"/>
      <c r="NMP51" s="76"/>
      <c r="NMQ51" s="76"/>
      <c r="NMR51" s="76"/>
      <c r="NMS51" s="76"/>
      <c r="NMT51" s="76"/>
      <c r="NMU51" s="76"/>
      <c r="NMV51" s="76"/>
      <c r="NMW51" s="76"/>
      <c r="NMX51" s="76"/>
      <c r="NMY51" s="76"/>
      <c r="NMZ51" s="76"/>
      <c r="NNA51" s="76"/>
      <c r="NNB51" s="76"/>
      <c r="NNC51" s="76"/>
      <c r="NND51" s="76"/>
      <c r="NNE51" s="76"/>
      <c r="NNF51" s="76"/>
      <c r="NNG51" s="76"/>
      <c r="NNH51" s="76"/>
      <c r="NNI51" s="76"/>
      <c r="NNJ51" s="76"/>
      <c r="NNK51" s="76"/>
      <c r="NNL51" s="76"/>
      <c r="NNM51" s="76"/>
      <c r="NNN51" s="76"/>
      <c r="NNO51" s="76"/>
      <c r="NNP51" s="76"/>
      <c r="NNQ51" s="76"/>
      <c r="NNR51" s="76"/>
      <c r="NNS51" s="76"/>
      <c r="NNT51" s="76"/>
      <c r="NNU51" s="76"/>
      <c r="NNV51" s="76"/>
      <c r="NNW51" s="76"/>
      <c r="NNX51" s="76"/>
      <c r="NNY51" s="76"/>
      <c r="NNZ51" s="76"/>
      <c r="NOA51" s="76"/>
      <c r="NOB51" s="76"/>
      <c r="NOC51" s="76"/>
      <c r="NOD51" s="76"/>
      <c r="NOE51" s="76"/>
      <c r="NOF51" s="76"/>
      <c r="NOG51" s="76"/>
      <c r="NOH51" s="76"/>
      <c r="NOI51" s="76"/>
      <c r="NOJ51" s="76"/>
      <c r="NOK51" s="76"/>
      <c r="NOL51" s="76"/>
      <c r="NOM51" s="76"/>
      <c r="NON51" s="76"/>
      <c r="NOO51" s="76"/>
      <c r="NOP51" s="76"/>
      <c r="NOQ51" s="76"/>
      <c r="NOR51" s="76"/>
      <c r="NOS51" s="76"/>
      <c r="NOT51" s="76"/>
      <c r="NOU51" s="76"/>
      <c r="NOV51" s="76"/>
      <c r="NOW51" s="76"/>
      <c r="NOX51" s="76"/>
      <c r="NOY51" s="76"/>
      <c r="NOZ51" s="76"/>
      <c r="NPA51" s="76"/>
      <c r="NPB51" s="76"/>
      <c r="NPC51" s="76"/>
      <c r="NPD51" s="76"/>
      <c r="NPE51" s="76"/>
      <c r="NPF51" s="76"/>
      <c r="NPG51" s="76"/>
      <c r="NPH51" s="76"/>
      <c r="NPI51" s="76"/>
      <c r="NPJ51" s="76"/>
      <c r="NPK51" s="76"/>
      <c r="NPL51" s="76"/>
      <c r="NPM51" s="76"/>
      <c r="NPN51" s="76"/>
      <c r="NPO51" s="76"/>
      <c r="NPP51" s="76"/>
      <c r="NPQ51" s="76"/>
      <c r="NPR51" s="76"/>
      <c r="NPS51" s="76"/>
      <c r="NPT51" s="76"/>
      <c r="NPU51" s="76"/>
      <c r="NPV51" s="76"/>
      <c r="NPW51" s="76"/>
      <c r="NPX51" s="76"/>
      <c r="NPY51" s="76"/>
      <c r="NPZ51" s="76"/>
      <c r="NQA51" s="76"/>
      <c r="NQB51" s="76"/>
      <c r="NQC51" s="76"/>
      <c r="NQD51" s="76"/>
      <c r="NQE51" s="76"/>
      <c r="NQF51" s="76"/>
      <c r="NQG51" s="76"/>
      <c r="NQH51" s="76"/>
      <c r="NQI51" s="76"/>
      <c r="NQJ51" s="76"/>
      <c r="NQK51" s="76"/>
      <c r="NQL51" s="76"/>
      <c r="NQM51" s="76"/>
      <c r="NQN51" s="76"/>
      <c r="NQO51" s="76"/>
      <c r="NQP51" s="76"/>
      <c r="NQQ51" s="76"/>
      <c r="NQR51" s="76"/>
      <c r="NQS51" s="76"/>
      <c r="NQT51" s="76"/>
      <c r="NQU51" s="76"/>
      <c r="NQV51" s="76"/>
      <c r="NQW51" s="76"/>
      <c r="NQX51" s="76"/>
      <c r="NQY51" s="76"/>
      <c r="NQZ51" s="76"/>
      <c r="NRA51" s="76"/>
      <c r="NRB51" s="76"/>
      <c r="NRC51" s="76"/>
      <c r="NRD51" s="76"/>
      <c r="NRE51" s="76"/>
      <c r="NRF51" s="76"/>
      <c r="NRG51" s="76"/>
      <c r="NRH51" s="76"/>
      <c r="NRI51" s="76"/>
      <c r="NRJ51" s="76"/>
      <c r="NRK51" s="76"/>
      <c r="NRL51" s="76"/>
      <c r="NRM51" s="76"/>
      <c r="NRN51" s="76"/>
      <c r="NRO51" s="76"/>
      <c r="NRP51" s="76"/>
      <c r="NRQ51" s="76"/>
      <c r="NRR51" s="76"/>
      <c r="NRS51" s="76"/>
      <c r="NRT51" s="76"/>
      <c r="NRU51" s="76"/>
      <c r="NRV51" s="76"/>
      <c r="NRW51" s="76"/>
      <c r="NRX51" s="76"/>
      <c r="NRY51" s="76"/>
      <c r="NRZ51" s="76"/>
      <c r="NSA51" s="76"/>
      <c r="NSB51" s="76"/>
      <c r="NSC51" s="76"/>
      <c r="NSD51" s="76"/>
      <c r="NSE51" s="76"/>
      <c r="NSF51" s="76"/>
      <c r="NSG51" s="76"/>
      <c r="NSH51" s="76"/>
      <c r="NSI51" s="76"/>
      <c r="NSJ51" s="76"/>
      <c r="NSK51" s="76"/>
      <c r="NSL51" s="76"/>
      <c r="NSM51" s="76"/>
      <c r="NSN51" s="76"/>
      <c r="NSO51" s="76"/>
      <c r="NSP51" s="76"/>
      <c r="NSQ51" s="76"/>
      <c r="NSR51" s="76"/>
      <c r="NSS51" s="76"/>
      <c r="NST51" s="76"/>
      <c r="NSU51" s="76"/>
      <c r="NSV51" s="76"/>
      <c r="NSW51" s="76"/>
      <c r="NSX51" s="76"/>
      <c r="NSY51" s="76"/>
      <c r="NSZ51" s="76"/>
      <c r="NTA51" s="76"/>
      <c r="NTB51" s="76"/>
      <c r="NTC51" s="76"/>
      <c r="NTD51" s="76"/>
      <c r="NTE51" s="76"/>
      <c r="NTF51" s="76"/>
      <c r="NTG51" s="76"/>
      <c r="NTH51" s="76"/>
      <c r="NTI51" s="76"/>
      <c r="NTJ51" s="76"/>
      <c r="NTK51" s="76"/>
      <c r="NTL51" s="76"/>
      <c r="NTM51" s="76"/>
      <c r="NTN51" s="76"/>
      <c r="NTO51" s="76"/>
      <c r="NTP51" s="76"/>
      <c r="NTQ51" s="76"/>
      <c r="NTR51" s="76"/>
      <c r="NTS51" s="76"/>
      <c r="NTT51" s="76"/>
      <c r="NTU51" s="76"/>
      <c r="NTV51" s="76"/>
      <c r="NTW51" s="76"/>
      <c r="NTX51" s="76"/>
      <c r="NTY51" s="76"/>
      <c r="NTZ51" s="76"/>
      <c r="NUA51" s="76"/>
      <c r="NUB51" s="76"/>
      <c r="NUC51" s="76"/>
      <c r="NUD51" s="76"/>
      <c r="NUE51" s="76"/>
      <c r="NUF51" s="76"/>
      <c r="NUG51" s="76"/>
      <c r="NUH51" s="76"/>
      <c r="NUI51" s="76"/>
      <c r="NUJ51" s="76"/>
      <c r="NUK51" s="76"/>
      <c r="NUL51" s="76"/>
      <c r="NUM51" s="76"/>
      <c r="NUN51" s="76"/>
      <c r="NUO51" s="76"/>
      <c r="NUP51" s="76"/>
      <c r="NUQ51" s="76"/>
      <c r="NUR51" s="76"/>
      <c r="NUS51" s="76"/>
      <c r="NUT51" s="76"/>
      <c r="NUU51" s="76"/>
      <c r="NUV51" s="76"/>
      <c r="NUW51" s="76"/>
      <c r="NUX51" s="76"/>
      <c r="NUY51" s="76"/>
      <c r="NUZ51" s="76"/>
      <c r="NVA51" s="76"/>
      <c r="NVB51" s="76"/>
      <c r="NVC51" s="76"/>
      <c r="NVD51" s="76"/>
      <c r="NVE51" s="76"/>
      <c r="NVF51" s="76"/>
      <c r="NVG51" s="76"/>
      <c r="NVH51" s="76"/>
      <c r="NVI51" s="76"/>
      <c r="NVJ51" s="76"/>
      <c r="NVK51" s="76"/>
      <c r="NVL51" s="76"/>
      <c r="NVM51" s="76"/>
      <c r="NVN51" s="76"/>
      <c r="NVO51" s="76"/>
      <c r="NVP51" s="76"/>
      <c r="NVQ51" s="76"/>
      <c r="NVR51" s="76"/>
      <c r="NVS51" s="76"/>
      <c r="NVT51" s="76"/>
      <c r="NVU51" s="76"/>
      <c r="NVV51" s="76"/>
      <c r="NVW51" s="76"/>
      <c r="NVX51" s="76"/>
      <c r="NVY51" s="76"/>
      <c r="NVZ51" s="76"/>
      <c r="NWA51" s="76"/>
      <c r="NWB51" s="76"/>
      <c r="NWC51" s="76"/>
      <c r="NWD51" s="76"/>
      <c r="NWE51" s="76"/>
      <c r="NWF51" s="76"/>
      <c r="NWG51" s="76"/>
      <c r="NWH51" s="76"/>
      <c r="NWI51" s="76"/>
      <c r="NWJ51" s="76"/>
      <c r="NWK51" s="76"/>
      <c r="NWL51" s="76"/>
      <c r="NWM51" s="76"/>
      <c r="NWN51" s="76"/>
      <c r="NWO51" s="76"/>
      <c r="NWP51" s="76"/>
      <c r="NWQ51" s="76"/>
      <c r="NWR51" s="76"/>
      <c r="NWS51" s="76"/>
      <c r="NWT51" s="76"/>
      <c r="NWU51" s="76"/>
      <c r="NWV51" s="76"/>
      <c r="NWW51" s="76"/>
      <c r="NWX51" s="76"/>
      <c r="NWY51" s="76"/>
      <c r="NWZ51" s="76"/>
      <c r="NXA51" s="76"/>
      <c r="NXB51" s="76"/>
      <c r="NXC51" s="76"/>
      <c r="NXD51" s="76"/>
      <c r="NXE51" s="76"/>
      <c r="NXF51" s="76"/>
      <c r="NXG51" s="76"/>
      <c r="NXH51" s="76"/>
      <c r="NXI51" s="76"/>
      <c r="NXJ51" s="76"/>
      <c r="NXK51" s="76"/>
      <c r="NXL51" s="76"/>
      <c r="NXM51" s="76"/>
      <c r="NXN51" s="76"/>
      <c r="NXO51" s="76"/>
      <c r="NXP51" s="76"/>
      <c r="NXQ51" s="76"/>
      <c r="NXR51" s="76"/>
      <c r="NXS51" s="76"/>
      <c r="NXT51" s="76"/>
      <c r="NXU51" s="76"/>
      <c r="NXV51" s="76"/>
      <c r="NXW51" s="76"/>
      <c r="NXX51" s="76"/>
      <c r="NXY51" s="76"/>
      <c r="NXZ51" s="76"/>
      <c r="NYA51" s="76"/>
      <c r="NYB51" s="76"/>
      <c r="NYC51" s="76"/>
      <c r="NYD51" s="76"/>
      <c r="NYE51" s="76"/>
      <c r="NYF51" s="76"/>
      <c r="NYG51" s="76"/>
      <c r="NYH51" s="76"/>
      <c r="NYI51" s="76"/>
      <c r="NYJ51" s="76"/>
      <c r="NYK51" s="76"/>
      <c r="NYL51" s="76"/>
      <c r="NYM51" s="76"/>
      <c r="NYN51" s="76"/>
      <c r="NYO51" s="76"/>
      <c r="NYP51" s="76"/>
      <c r="NYQ51" s="76"/>
      <c r="NYR51" s="76"/>
      <c r="NYS51" s="76"/>
      <c r="NYT51" s="76"/>
      <c r="NYU51" s="76"/>
      <c r="NYV51" s="76"/>
      <c r="NYW51" s="76"/>
      <c r="NYX51" s="76"/>
      <c r="NYY51" s="76"/>
      <c r="NYZ51" s="76"/>
      <c r="NZA51" s="76"/>
      <c r="NZB51" s="76"/>
      <c r="NZC51" s="76"/>
      <c r="NZD51" s="76"/>
      <c r="NZE51" s="76"/>
      <c r="NZF51" s="76"/>
      <c r="NZG51" s="76"/>
      <c r="NZH51" s="76"/>
      <c r="NZI51" s="76"/>
      <c r="NZJ51" s="76"/>
      <c r="NZK51" s="76"/>
      <c r="NZL51" s="76"/>
      <c r="NZM51" s="76"/>
      <c r="NZN51" s="76"/>
      <c r="NZO51" s="76"/>
      <c r="NZP51" s="76"/>
      <c r="NZQ51" s="76"/>
      <c r="NZR51" s="76"/>
      <c r="NZS51" s="76"/>
      <c r="NZT51" s="76"/>
      <c r="NZU51" s="76"/>
      <c r="NZV51" s="76"/>
      <c r="NZW51" s="76"/>
      <c r="NZX51" s="76"/>
      <c r="NZY51" s="76"/>
      <c r="NZZ51" s="76"/>
      <c r="OAA51" s="76"/>
      <c r="OAB51" s="76"/>
      <c r="OAC51" s="76"/>
      <c r="OAD51" s="76"/>
      <c r="OAE51" s="76"/>
      <c r="OAF51" s="76"/>
      <c r="OAG51" s="76"/>
      <c r="OAH51" s="76"/>
      <c r="OAI51" s="76"/>
      <c r="OAJ51" s="76"/>
      <c r="OAK51" s="76"/>
      <c r="OAL51" s="76"/>
      <c r="OAM51" s="76"/>
      <c r="OAN51" s="76"/>
      <c r="OAO51" s="76"/>
      <c r="OAP51" s="76"/>
      <c r="OAQ51" s="76"/>
      <c r="OAR51" s="76"/>
      <c r="OAS51" s="76"/>
      <c r="OAT51" s="76"/>
      <c r="OAU51" s="76"/>
      <c r="OAV51" s="76"/>
      <c r="OAW51" s="76"/>
      <c r="OAX51" s="76"/>
      <c r="OAY51" s="76"/>
      <c r="OAZ51" s="76"/>
      <c r="OBA51" s="76"/>
      <c r="OBB51" s="76"/>
      <c r="OBC51" s="76"/>
      <c r="OBD51" s="76"/>
      <c r="OBE51" s="76"/>
      <c r="OBF51" s="76"/>
      <c r="OBG51" s="76"/>
      <c r="OBH51" s="76"/>
      <c r="OBI51" s="76"/>
      <c r="OBJ51" s="76"/>
      <c r="OBK51" s="76"/>
      <c r="OBL51" s="76"/>
      <c r="OBM51" s="76"/>
      <c r="OBN51" s="76"/>
      <c r="OBO51" s="76"/>
      <c r="OBP51" s="76"/>
      <c r="OBQ51" s="76"/>
      <c r="OBR51" s="76"/>
      <c r="OBS51" s="76"/>
      <c r="OBT51" s="76"/>
      <c r="OBU51" s="76"/>
      <c r="OBV51" s="76"/>
      <c r="OBW51" s="76"/>
      <c r="OBX51" s="76"/>
      <c r="OBY51" s="76"/>
      <c r="OBZ51" s="76"/>
      <c r="OCA51" s="76"/>
      <c r="OCB51" s="76"/>
      <c r="OCC51" s="76"/>
      <c r="OCD51" s="76"/>
      <c r="OCE51" s="76"/>
      <c r="OCF51" s="76"/>
      <c r="OCG51" s="76"/>
      <c r="OCH51" s="76"/>
      <c r="OCI51" s="76"/>
      <c r="OCJ51" s="76"/>
      <c r="OCK51" s="76"/>
      <c r="OCL51" s="76"/>
      <c r="OCM51" s="76"/>
      <c r="OCN51" s="76"/>
      <c r="OCO51" s="76"/>
      <c r="OCP51" s="76"/>
      <c r="OCQ51" s="76"/>
      <c r="OCR51" s="76"/>
      <c r="OCS51" s="76"/>
      <c r="OCT51" s="76"/>
      <c r="OCU51" s="76"/>
      <c r="OCV51" s="76"/>
      <c r="OCW51" s="76"/>
      <c r="OCX51" s="76"/>
      <c r="OCY51" s="76"/>
      <c r="OCZ51" s="76"/>
      <c r="ODA51" s="76"/>
      <c r="ODB51" s="76"/>
      <c r="ODC51" s="76"/>
      <c r="ODD51" s="76"/>
      <c r="ODE51" s="76"/>
      <c r="ODF51" s="76"/>
      <c r="ODG51" s="76"/>
      <c r="ODH51" s="76"/>
      <c r="ODI51" s="76"/>
      <c r="ODJ51" s="76"/>
      <c r="ODK51" s="76"/>
      <c r="ODL51" s="76"/>
      <c r="ODM51" s="76"/>
      <c r="ODN51" s="76"/>
      <c r="ODO51" s="76"/>
      <c r="ODP51" s="76"/>
      <c r="ODQ51" s="76"/>
      <c r="ODR51" s="76"/>
      <c r="ODS51" s="76"/>
      <c r="ODT51" s="76"/>
      <c r="ODU51" s="76"/>
      <c r="ODV51" s="76"/>
      <c r="ODW51" s="76"/>
      <c r="ODX51" s="76"/>
      <c r="ODY51" s="76"/>
      <c r="ODZ51" s="76"/>
      <c r="OEA51" s="76"/>
      <c r="OEB51" s="76"/>
      <c r="OEC51" s="76"/>
      <c r="OED51" s="76"/>
      <c r="OEE51" s="76"/>
      <c r="OEF51" s="76"/>
      <c r="OEG51" s="76"/>
      <c r="OEH51" s="76"/>
      <c r="OEI51" s="76"/>
      <c r="OEJ51" s="76"/>
      <c r="OEK51" s="76"/>
      <c r="OEL51" s="76"/>
      <c r="OEM51" s="76"/>
      <c r="OEN51" s="76"/>
      <c r="OEO51" s="76"/>
      <c r="OEP51" s="76"/>
      <c r="OEQ51" s="76"/>
      <c r="OER51" s="76"/>
      <c r="OES51" s="76"/>
      <c r="OET51" s="76"/>
      <c r="OEU51" s="76"/>
      <c r="OEV51" s="76"/>
      <c r="OEW51" s="76"/>
      <c r="OEX51" s="76"/>
      <c r="OEY51" s="76"/>
      <c r="OEZ51" s="76"/>
      <c r="OFA51" s="76"/>
      <c r="OFB51" s="76"/>
      <c r="OFC51" s="76"/>
      <c r="OFD51" s="76"/>
      <c r="OFE51" s="76"/>
      <c r="OFF51" s="76"/>
      <c r="OFG51" s="76"/>
      <c r="OFH51" s="76"/>
      <c r="OFI51" s="76"/>
      <c r="OFJ51" s="76"/>
      <c r="OFK51" s="76"/>
      <c r="OFL51" s="76"/>
      <c r="OFM51" s="76"/>
      <c r="OFN51" s="76"/>
      <c r="OFO51" s="76"/>
      <c r="OFP51" s="76"/>
      <c r="OFQ51" s="76"/>
      <c r="OFR51" s="76"/>
      <c r="OFS51" s="76"/>
      <c r="OFT51" s="76"/>
      <c r="OFU51" s="76"/>
      <c r="OFV51" s="76"/>
      <c r="OFW51" s="76"/>
      <c r="OFX51" s="76"/>
      <c r="OFY51" s="76"/>
      <c r="OFZ51" s="76"/>
      <c r="OGA51" s="76"/>
      <c r="OGB51" s="76"/>
      <c r="OGC51" s="76"/>
      <c r="OGD51" s="76"/>
      <c r="OGE51" s="76"/>
      <c r="OGF51" s="76"/>
      <c r="OGG51" s="76"/>
      <c r="OGH51" s="76"/>
      <c r="OGI51" s="76"/>
      <c r="OGJ51" s="76"/>
      <c r="OGK51" s="76"/>
      <c r="OGL51" s="76"/>
      <c r="OGM51" s="76"/>
      <c r="OGN51" s="76"/>
      <c r="OGO51" s="76"/>
      <c r="OGP51" s="76"/>
      <c r="OGQ51" s="76"/>
      <c r="OGR51" s="76"/>
      <c r="OGS51" s="76"/>
      <c r="OGT51" s="76"/>
      <c r="OGU51" s="76"/>
      <c r="OGV51" s="76"/>
      <c r="OGW51" s="76"/>
      <c r="OGX51" s="76"/>
      <c r="OGY51" s="76"/>
      <c r="OGZ51" s="76"/>
      <c r="OHA51" s="76"/>
      <c r="OHB51" s="76"/>
      <c r="OHC51" s="76"/>
      <c r="OHD51" s="76"/>
      <c r="OHE51" s="76"/>
      <c r="OHF51" s="76"/>
      <c r="OHG51" s="76"/>
      <c r="OHH51" s="76"/>
      <c r="OHI51" s="76"/>
      <c r="OHJ51" s="76"/>
      <c r="OHK51" s="76"/>
      <c r="OHL51" s="76"/>
      <c r="OHM51" s="76"/>
      <c r="OHN51" s="76"/>
      <c r="OHO51" s="76"/>
      <c r="OHP51" s="76"/>
      <c r="OHQ51" s="76"/>
      <c r="OHR51" s="76"/>
      <c r="OHS51" s="76"/>
      <c r="OHT51" s="76"/>
      <c r="OHU51" s="76"/>
      <c r="OHV51" s="76"/>
      <c r="OHW51" s="76"/>
      <c r="OHX51" s="76"/>
      <c r="OHY51" s="76"/>
      <c r="OHZ51" s="76"/>
      <c r="OIA51" s="76"/>
      <c r="OIB51" s="76"/>
      <c r="OIC51" s="76"/>
      <c r="OID51" s="76"/>
      <c r="OIE51" s="76"/>
      <c r="OIF51" s="76"/>
      <c r="OIG51" s="76"/>
      <c r="OIH51" s="76"/>
      <c r="OII51" s="76"/>
      <c r="OIJ51" s="76"/>
      <c r="OIK51" s="76"/>
      <c r="OIL51" s="76"/>
      <c r="OIM51" s="76"/>
      <c r="OIN51" s="76"/>
      <c r="OIO51" s="76"/>
      <c r="OIP51" s="76"/>
      <c r="OIQ51" s="76"/>
      <c r="OIR51" s="76"/>
      <c r="OIS51" s="76"/>
      <c r="OIT51" s="76"/>
      <c r="OIU51" s="76"/>
      <c r="OIV51" s="76"/>
      <c r="OIW51" s="76"/>
      <c r="OIX51" s="76"/>
      <c r="OIY51" s="76"/>
      <c r="OIZ51" s="76"/>
      <c r="OJA51" s="76"/>
      <c r="OJB51" s="76"/>
      <c r="OJC51" s="76"/>
      <c r="OJD51" s="76"/>
      <c r="OJE51" s="76"/>
      <c r="OJF51" s="76"/>
      <c r="OJG51" s="76"/>
      <c r="OJH51" s="76"/>
      <c r="OJI51" s="76"/>
      <c r="OJJ51" s="76"/>
      <c r="OJK51" s="76"/>
      <c r="OJL51" s="76"/>
      <c r="OJM51" s="76"/>
      <c r="OJN51" s="76"/>
      <c r="OJO51" s="76"/>
      <c r="OJP51" s="76"/>
      <c r="OJQ51" s="76"/>
      <c r="OJR51" s="76"/>
      <c r="OJS51" s="76"/>
      <c r="OJT51" s="76"/>
      <c r="OJU51" s="76"/>
      <c r="OJV51" s="76"/>
      <c r="OJW51" s="76"/>
      <c r="OJX51" s="76"/>
      <c r="OJY51" s="76"/>
      <c r="OJZ51" s="76"/>
      <c r="OKA51" s="76"/>
      <c r="OKB51" s="76"/>
      <c r="OKC51" s="76"/>
      <c r="OKD51" s="76"/>
      <c r="OKE51" s="76"/>
      <c r="OKF51" s="76"/>
      <c r="OKG51" s="76"/>
      <c r="OKH51" s="76"/>
      <c r="OKI51" s="76"/>
      <c r="OKJ51" s="76"/>
      <c r="OKK51" s="76"/>
      <c r="OKL51" s="76"/>
      <c r="OKM51" s="76"/>
      <c r="OKN51" s="76"/>
      <c r="OKO51" s="76"/>
      <c r="OKP51" s="76"/>
      <c r="OKQ51" s="76"/>
      <c r="OKR51" s="76"/>
      <c r="OKS51" s="76"/>
      <c r="OKT51" s="76"/>
      <c r="OKU51" s="76"/>
      <c r="OKV51" s="76"/>
      <c r="OKW51" s="76"/>
      <c r="OKX51" s="76"/>
      <c r="OKY51" s="76"/>
      <c r="OKZ51" s="76"/>
      <c r="OLA51" s="76"/>
      <c r="OLB51" s="76"/>
      <c r="OLC51" s="76"/>
      <c r="OLD51" s="76"/>
      <c r="OLE51" s="76"/>
      <c r="OLF51" s="76"/>
      <c r="OLG51" s="76"/>
      <c r="OLH51" s="76"/>
      <c r="OLI51" s="76"/>
      <c r="OLJ51" s="76"/>
      <c r="OLK51" s="76"/>
      <c r="OLL51" s="76"/>
      <c r="OLM51" s="76"/>
      <c r="OLN51" s="76"/>
      <c r="OLO51" s="76"/>
      <c r="OLP51" s="76"/>
      <c r="OLQ51" s="76"/>
      <c r="OLR51" s="76"/>
      <c r="OLS51" s="76"/>
      <c r="OLT51" s="76"/>
      <c r="OLU51" s="76"/>
      <c r="OLV51" s="76"/>
      <c r="OLW51" s="76"/>
      <c r="OLX51" s="76"/>
      <c r="OLY51" s="76"/>
      <c r="OLZ51" s="76"/>
      <c r="OMA51" s="76"/>
      <c r="OMB51" s="76"/>
      <c r="OMC51" s="76"/>
      <c r="OMD51" s="76"/>
      <c r="OME51" s="76"/>
      <c r="OMF51" s="76"/>
      <c r="OMG51" s="76"/>
      <c r="OMH51" s="76"/>
      <c r="OMI51" s="76"/>
      <c r="OMJ51" s="76"/>
      <c r="OMK51" s="76"/>
      <c r="OML51" s="76"/>
      <c r="OMM51" s="76"/>
      <c r="OMN51" s="76"/>
      <c r="OMO51" s="76"/>
      <c r="OMP51" s="76"/>
      <c r="OMQ51" s="76"/>
      <c r="OMR51" s="76"/>
      <c r="OMS51" s="76"/>
      <c r="OMT51" s="76"/>
      <c r="OMU51" s="76"/>
      <c r="OMV51" s="76"/>
      <c r="OMW51" s="76"/>
      <c r="OMX51" s="76"/>
      <c r="OMY51" s="76"/>
      <c r="OMZ51" s="76"/>
      <c r="ONA51" s="76"/>
      <c r="ONB51" s="76"/>
      <c r="ONC51" s="76"/>
      <c r="OND51" s="76"/>
      <c r="ONE51" s="76"/>
      <c r="ONF51" s="76"/>
      <c r="ONG51" s="76"/>
      <c r="ONH51" s="76"/>
      <c r="ONI51" s="76"/>
      <c r="ONJ51" s="76"/>
      <c r="ONK51" s="76"/>
      <c r="ONL51" s="76"/>
      <c r="ONM51" s="76"/>
      <c r="ONN51" s="76"/>
      <c r="ONO51" s="76"/>
      <c r="ONP51" s="76"/>
      <c r="ONQ51" s="76"/>
      <c r="ONR51" s="76"/>
      <c r="ONS51" s="76"/>
      <c r="ONT51" s="76"/>
      <c r="ONU51" s="76"/>
      <c r="ONV51" s="76"/>
      <c r="ONW51" s="76"/>
      <c r="ONX51" s="76"/>
      <c r="ONY51" s="76"/>
      <c r="ONZ51" s="76"/>
      <c r="OOA51" s="76"/>
      <c r="OOB51" s="76"/>
      <c r="OOC51" s="76"/>
      <c r="OOD51" s="76"/>
      <c r="OOE51" s="76"/>
      <c r="OOF51" s="76"/>
      <c r="OOG51" s="76"/>
      <c r="OOH51" s="76"/>
      <c r="OOI51" s="76"/>
      <c r="OOJ51" s="76"/>
      <c r="OOK51" s="76"/>
      <c r="OOL51" s="76"/>
      <c r="OOM51" s="76"/>
      <c r="OON51" s="76"/>
      <c r="OOO51" s="76"/>
      <c r="OOP51" s="76"/>
      <c r="OOQ51" s="76"/>
      <c r="OOR51" s="76"/>
      <c r="OOS51" s="76"/>
      <c r="OOT51" s="76"/>
      <c r="OOU51" s="76"/>
      <c r="OOV51" s="76"/>
      <c r="OOW51" s="76"/>
      <c r="OOX51" s="76"/>
      <c r="OOY51" s="76"/>
      <c r="OOZ51" s="76"/>
      <c r="OPA51" s="76"/>
      <c r="OPB51" s="76"/>
      <c r="OPC51" s="76"/>
      <c r="OPD51" s="76"/>
      <c r="OPE51" s="76"/>
      <c r="OPF51" s="76"/>
      <c r="OPG51" s="76"/>
      <c r="OPH51" s="76"/>
      <c r="OPI51" s="76"/>
      <c r="OPJ51" s="76"/>
      <c r="OPK51" s="76"/>
      <c r="OPL51" s="76"/>
      <c r="OPM51" s="76"/>
      <c r="OPN51" s="76"/>
      <c r="OPO51" s="76"/>
      <c r="OPP51" s="76"/>
      <c r="OPQ51" s="76"/>
      <c r="OPR51" s="76"/>
      <c r="OPS51" s="76"/>
      <c r="OPT51" s="76"/>
      <c r="OPU51" s="76"/>
      <c r="OPV51" s="76"/>
      <c r="OPW51" s="76"/>
      <c r="OPX51" s="76"/>
      <c r="OPY51" s="76"/>
      <c r="OPZ51" s="76"/>
      <c r="OQA51" s="76"/>
      <c r="OQB51" s="76"/>
      <c r="OQC51" s="76"/>
      <c r="OQD51" s="76"/>
      <c r="OQE51" s="76"/>
      <c r="OQF51" s="76"/>
      <c r="OQG51" s="76"/>
      <c r="OQH51" s="76"/>
      <c r="OQI51" s="76"/>
      <c r="OQJ51" s="76"/>
      <c r="OQK51" s="76"/>
      <c r="OQL51" s="76"/>
      <c r="OQM51" s="76"/>
      <c r="OQN51" s="76"/>
      <c r="OQO51" s="76"/>
      <c r="OQP51" s="76"/>
      <c r="OQQ51" s="76"/>
      <c r="OQR51" s="76"/>
      <c r="OQS51" s="76"/>
      <c r="OQT51" s="76"/>
      <c r="OQU51" s="76"/>
      <c r="OQV51" s="76"/>
      <c r="OQW51" s="76"/>
      <c r="OQX51" s="76"/>
      <c r="OQY51" s="76"/>
      <c r="OQZ51" s="76"/>
      <c r="ORA51" s="76"/>
      <c r="ORB51" s="76"/>
      <c r="ORC51" s="76"/>
      <c r="ORD51" s="76"/>
      <c r="ORE51" s="76"/>
      <c r="ORF51" s="76"/>
      <c r="ORG51" s="76"/>
      <c r="ORH51" s="76"/>
      <c r="ORI51" s="76"/>
      <c r="ORJ51" s="76"/>
      <c r="ORK51" s="76"/>
      <c r="ORL51" s="76"/>
      <c r="ORM51" s="76"/>
      <c r="ORN51" s="76"/>
      <c r="ORO51" s="76"/>
      <c r="ORP51" s="76"/>
      <c r="ORQ51" s="76"/>
      <c r="ORR51" s="76"/>
      <c r="ORS51" s="76"/>
      <c r="ORT51" s="76"/>
      <c r="ORU51" s="76"/>
      <c r="ORV51" s="76"/>
      <c r="ORW51" s="76"/>
      <c r="ORX51" s="76"/>
      <c r="ORY51" s="76"/>
      <c r="ORZ51" s="76"/>
      <c r="OSA51" s="76"/>
      <c r="OSB51" s="76"/>
      <c r="OSC51" s="76"/>
      <c r="OSD51" s="76"/>
      <c r="OSE51" s="76"/>
      <c r="OSF51" s="76"/>
      <c r="OSG51" s="76"/>
      <c r="OSH51" s="76"/>
      <c r="OSI51" s="76"/>
      <c r="OSJ51" s="76"/>
      <c r="OSK51" s="76"/>
      <c r="OSL51" s="76"/>
      <c r="OSM51" s="76"/>
      <c r="OSN51" s="76"/>
      <c r="OSO51" s="76"/>
      <c r="OSP51" s="76"/>
      <c r="OSQ51" s="76"/>
      <c r="OSR51" s="76"/>
      <c r="OSS51" s="76"/>
      <c r="OST51" s="76"/>
      <c r="OSU51" s="76"/>
      <c r="OSV51" s="76"/>
      <c r="OSW51" s="76"/>
      <c r="OSX51" s="76"/>
      <c r="OSY51" s="76"/>
      <c r="OSZ51" s="76"/>
      <c r="OTA51" s="76"/>
      <c r="OTB51" s="76"/>
      <c r="OTC51" s="76"/>
      <c r="OTD51" s="76"/>
      <c r="OTE51" s="76"/>
      <c r="OTF51" s="76"/>
      <c r="OTG51" s="76"/>
      <c r="OTH51" s="76"/>
      <c r="OTI51" s="76"/>
      <c r="OTJ51" s="76"/>
      <c r="OTK51" s="76"/>
      <c r="OTL51" s="76"/>
      <c r="OTM51" s="76"/>
      <c r="OTN51" s="76"/>
      <c r="OTO51" s="76"/>
      <c r="OTP51" s="76"/>
      <c r="OTQ51" s="76"/>
      <c r="OTR51" s="76"/>
      <c r="OTS51" s="76"/>
      <c r="OTT51" s="76"/>
      <c r="OTU51" s="76"/>
      <c r="OTV51" s="76"/>
      <c r="OTW51" s="76"/>
      <c r="OTX51" s="76"/>
      <c r="OTY51" s="76"/>
      <c r="OTZ51" s="76"/>
      <c r="OUA51" s="76"/>
      <c r="OUB51" s="76"/>
      <c r="OUC51" s="76"/>
      <c r="OUD51" s="76"/>
      <c r="OUE51" s="76"/>
      <c r="OUF51" s="76"/>
      <c r="OUG51" s="76"/>
      <c r="OUH51" s="76"/>
      <c r="OUI51" s="76"/>
      <c r="OUJ51" s="76"/>
      <c r="OUK51" s="76"/>
      <c r="OUL51" s="76"/>
      <c r="OUM51" s="76"/>
      <c r="OUN51" s="76"/>
      <c r="OUO51" s="76"/>
      <c r="OUP51" s="76"/>
      <c r="OUQ51" s="76"/>
      <c r="OUR51" s="76"/>
      <c r="OUS51" s="76"/>
      <c r="OUT51" s="76"/>
      <c r="OUU51" s="76"/>
      <c r="OUV51" s="76"/>
      <c r="OUW51" s="76"/>
      <c r="OUX51" s="76"/>
      <c r="OUY51" s="76"/>
      <c r="OUZ51" s="76"/>
      <c r="OVA51" s="76"/>
      <c r="OVB51" s="76"/>
      <c r="OVC51" s="76"/>
      <c r="OVD51" s="76"/>
      <c r="OVE51" s="76"/>
      <c r="OVF51" s="76"/>
      <c r="OVG51" s="76"/>
      <c r="OVH51" s="76"/>
      <c r="OVI51" s="76"/>
      <c r="OVJ51" s="76"/>
      <c r="OVK51" s="76"/>
      <c r="OVL51" s="76"/>
      <c r="OVM51" s="76"/>
      <c r="OVN51" s="76"/>
      <c r="OVO51" s="76"/>
      <c r="OVP51" s="76"/>
      <c r="OVQ51" s="76"/>
      <c r="OVR51" s="76"/>
      <c r="OVS51" s="76"/>
      <c r="OVT51" s="76"/>
      <c r="OVU51" s="76"/>
      <c r="OVV51" s="76"/>
      <c r="OVW51" s="76"/>
      <c r="OVX51" s="76"/>
      <c r="OVY51" s="76"/>
      <c r="OVZ51" s="76"/>
      <c r="OWA51" s="76"/>
      <c r="OWB51" s="76"/>
      <c r="OWC51" s="76"/>
      <c r="OWD51" s="76"/>
      <c r="OWE51" s="76"/>
      <c r="OWF51" s="76"/>
      <c r="OWG51" s="76"/>
      <c r="OWH51" s="76"/>
      <c r="OWI51" s="76"/>
      <c r="OWJ51" s="76"/>
      <c r="OWK51" s="76"/>
      <c r="OWL51" s="76"/>
      <c r="OWM51" s="76"/>
      <c r="OWN51" s="76"/>
      <c r="OWO51" s="76"/>
      <c r="OWP51" s="76"/>
      <c r="OWQ51" s="76"/>
      <c r="OWR51" s="76"/>
      <c r="OWS51" s="76"/>
      <c r="OWT51" s="76"/>
      <c r="OWU51" s="76"/>
      <c r="OWV51" s="76"/>
      <c r="OWW51" s="76"/>
      <c r="OWX51" s="76"/>
      <c r="OWY51" s="76"/>
      <c r="OWZ51" s="76"/>
      <c r="OXA51" s="76"/>
      <c r="OXB51" s="76"/>
      <c r="OXC51" s="76"/>
      <c r="OXD51" s="76"/>
      <c r="OXE51" s="76"/>
      <c r="OXF51" s="76"/>
      <c r="OXG51" s="76"/>
      <c r="OXH51" s="76"/>
      <c r="OXI51" s="76"/>
      <c r="OXJ51" s="76"/>
      <c r="OXK51" s="76"/>
      <c r="OXL51" s="76"/>
      <c r="OXM51" s="76"/>
      <c r="OXN51" s="76"/>
      <c r="OXO51" s="76"/>
      <c r="OXP51" s="76"/>
      <c r="OXQ51" s="76"/>
      <c r="OXR51" s="76"/>
      <c r="OXS51" s="76"/>
      <c r="OXT51" s="76"/>
      <c r="OXU51" s="76"/>
      <c r="OXV51" s="76"/>
      <c r="OXW51" s="76"/>
      <c r="OXX51" s="76"/>
      <c r="OXY51" s="76"/>
      <c r="OXZ51" s="76"/>
      <c r="OYA51" s="76"/>
      <c r="OYB51" s="76"/>
      <c r="OYC51" s="76"/>
      <c r="OYD51" s="76"/>
      <c r="OYE51" s="76"/>
      <c r="OYF51" s="76"/>
      <c r="OYG51" s="76"/>
      <c r="OYH51" s="76"/>
      <c r="OYI51" s="76"/>
      <c r="OYJ51" s="76"/>
      <c r="OYK51" s="76"/>
      <c r="OYL51" s="76"/>
      <c r="OYM51" s="76"/>
      <c r="OYN51" s="76"/>
      <c r="OYO51" s="76"/>
      <c r="OYP51" s="76"/>
      <c r="OYQ51" s="76"/>
      <c r="OYR51" s="76"/>
      <c r="OYS51" s="76"/>
      <c r="OYT51" s="76"/>
      <c r="OYU51" s="76"/>
      <c r="OYV51" s="76"/>
      <c r="OYW51" s="76"/>
      <c r="OYX51" s="76"/>
      <c r="OYY51" s="76"/>
      <c r="OYZ51" s="76"/>
      <c r="OZA51" s="76"/>
      <c r="OZB51" s="76"/>
      <c r="OZC51" s="76"/>
      <c r="OZD51" s="76"/>
      <c r="OZE51" s="76"/>
      <c r="OZF51" s="76"/>
      <c r="OZG51" s="76"/>
      <c r="OZH51" s="76"/>
      <c r="OZI51" s="76"/>
      <c r="OZJ51" s="76"/>
      <c r="OZK51" s="76"/>
      <c r="OZL51" s="76"/>
      <c r="OZM51" s="76"/>
      <c r="OZN51" s="76"/>
      <c r="OZO51" s="76"/>
      <c r="OZP51" s="76"/>
      <c r="OZQ51" s="76"/>
      <c r="OZR51" s="76"/>
      <c r="OZS51" s="76"/>
      <c r="OZT51" s="76"/>
      <c r="OZU51" s="76"/>
      <c r="OZV51" s="76"/>
      <c r="OZW51" s="76"/>
      <c r="OZX51" s="76"/>
      <c r="OZY51" s="76"/>
      <c r="OZZ51" s="76"/>
      <c r="PAA51" s="76"/>
      <c r="PAB51" s="76"/>
      <c r="PAC51" s="76"/>
      <c r="PAD51" s="76"/>
      <c r="PAE51" s="76"/>
      <c r="PAF51" s="76"/>
      <c r="PAG51" s="76"/>
      <c r="PAH51" s="76"/>
      <c r="PAI51" s="76"/>
      <c r="PAJ51" s="76"/>
      <c r="PAK51" s="76"/>
      <c r="PAL51" s="76"/>
      <c r="PAM51" s="76"/>
      <c r="PAN51" s="76"/>
      <c r="PAO51" s="76"/>
      <c r="PAP51" s="76"/>
      <c r="PAQ51" s="76"/>
      <c r="PAR51" s="76"/>
      <c r="PAS51" s="76"/>
      <c r="PAT51" s="76"/>
      <c r="PAU51" s="76"/>
      <c r="PAV51" s="76"/>
      <c r="PAW51" s="76"/>
      <c r="PAX51" s="76"/>
      <c r="PAY51" s="76"/>
      <c r="PAZ51" s="76"/>
      <c r="PBA51" s="76"/>
      <c r="PBB51" s="76"/>
      <c r="PBC51" s="76"/>
      <c r="PBD51" s="76"/>
      <c r="PBE51" s="76"/>
      <c r="PBF51" s="76"/>
      <c r="PBG51" s="76"/>
      <c r="PBH51" s="76"/>
      <c r="PBI51" s="76"/>
      <c r="PBJ51" s="76"/>
      <c r="PBK51" s="76"/>
      <c r="PBL51" s="76"/>
      <c r="PBM51" s="76"/>
      <c r="PBN51" s="76"/>
      <c r="PBO51" s="76"/>
      <c r="PBP51" s="76"/>
      <c r="PBQ51" s="76"/>
      <c r="PBR51" s="76"/>
      <c r="PBS51" s="76"/>
      <c r="PBT51" s="76"/>
      <c r="PBU51" s="76"/>
      <c r="PBV51" s="76"/>
      <c r="PBW51" s="76"/>
      <c r="PBX51" s="76"/>
      <c r="PBY51" s="76"/>
      <c r="PBZ51" s="76"/>
      <c r="PCA51" s="76"/>
      <c r="PCB51" s="76"/>
      <c r="PCC51" s="76"/>
      <c r="PCD51" s="76"/>
      <c r="PCE51" s="76"/>
      <c r="PCF51" s="76"/>
      <c r="PCG51" s="76"/>
      <c r="PCH51" s="76"/>
      <c r="PCI51" s="76"/>
      <c r="PCJ51" s="76"/>
      <c r="PCK51" s="76"/>
      <c r="PCL51" s="76"/>
      <c r="PCM51" s="76"/>
      <c r="PCN51" s="76"/>
      <c r="PCO51" s="76"/>
      <c r="PCP51" s="76"/>
      <c r="PCQ51" s="76"/>
      <c r="PCR51" s="76"/>
      <c r="PCS51" s="76"/>
      <c r="PCT51" s="76"/>
      <c r="PCU51" s="76"/>
      <c r="PCV51" s="76"/>
      <c r="PCW51" s="76"/>
      <c r="PCX51" s="76"/>
      <c r="PCY51" s="76"/>
      <c r="PCZ51" s="76"/>
      <c r="PDA51" s="76"/>
      <c r="PDB51" s="76"/>
      <c r="PDC51" s="76"/>
      <c r="PDD51" s="76"/>
      <c r="PDE51" s="76"/>
      <c r="PDF51" s="76"/>
      <c r="PDG51" s="76"/>
      <c r="PDH51" s="76"/>
      <c r="PDI51" s="76"/>
      <c r="PDJ51" s="76"/>
      <c r="PDK51" s="76"/>
      <c r="PDL51" s="76"/>
      <c r="PDM51" s="76"/>
      <c r="PDN51" s="76"/>
      <c r="PDO51" s="76"/>
      <c r="PDP51" s="76"/>
      <c r="PDQ51" s="76"/>
      <c r="PDR51" s="76"/>
      <c r="PDS51" s="76"/>
      <c r="PDT51" s="76"/>
      <c r="PDU51" s="76"/>
      <c r="PDV51" s="76"/>
      <c r="PDW51" s="76"/>
      <c r="PDX51" s="76"/>
      <c r="PDY51" s="76"/>
      <c r="PDZ51" s="76"/>
      <c r="PEA51" s="76"/>
      <c r="PEB51" s="76"/>
      <c r="PEC51" s="76"/>
      <c r="PED51" s="76"/>
      <c r="PEE51" s="76"/>
      <c r="PEF51" s="76"/>
      <c r="PEG51" s="76"/>
      <c r="PEH51" s="76"/>
      <c r="PEI51" s="76"/>
      <c r="PEJ51" s="76"/>
      <c r="PEK51" s="76"/>
      <c r="PEL51" s="76"/>
      <c r="PEM51" s="76"/>
      <c r="PEN51" s="76"/>
      <c r="PEO51" s="76"/>
      <c r="PEP51" s="76"/>
      <c r="PEQ51" s="76"/>
      <c r="PER51" s="76"/>
      <c r="PES51" s="76"/>
      <c r="PET51" s="76"/>
      <c r="PEU51" s="76"/>
      <c r="PEV51" s="76"/>
      <c r="PEW51" s="76"/>
      <c r="PEX51" s="76"/>
      <c r="PEY51" s="76"/>
      <c r="PEZ51" s="76"/>
      <c r="PFA51" s="76"/>
      <c r="PFB51" s="76"/>
      <c r="PFC51" s="76"/>
      <c r="PFD51" s="76"/>
      <c r="PFE51" s="76"/>
      <c r="PFF51" s="76"/>
      <c r="PFG51" s="76"/>
      <c r="PFH51" s="76"/>
      <c r="PFI51" s="76"/>
      <c r="PFJ51" s="76"/>
      <c r="PFK51" s="76"/>
      <c r="PFL51" s="76"/>
      <c r="PFM51" s="76"/>
      <c r="PFN51" s="76"/>
      <c r="PFO51" s="76"/>
      <c r="PFP51" s="76"/>
      <c r="PFQ51" s="76"/>
      <c r="PFR51" s="76"/>
      <c r="PFS51" s="76"/>
      <c r="PFT51" s="76"/>
      <c r="PFU51" s="76"/>
      <c r="PFV51" s="76"/>
      <c r="PFW51" s="76"/>
      <c r="PFX51" s="76"/>
      <c r="PFY51" s="76"/>
      <c r="PFZ51" s="76"/>
      <c r="PGA51" s="76"/>
      <c r="PGB51" s="76"/>
      <c r="PGC51" s="76"/>
      <c r="PGD51" s="76"/>
      <c r="PGE51" s="76"/>
      <c r="PGF51" s="76"/>
      <c r="PGG51" s="76"/>
      <c r="PGH51" s="76"/>
      <c r="PGI51" s="76"/>
      <c r="PGJ51" s="76"/>
      <c r="PGK51" s="76"/>
      <c r="PGL51" s="76"/>
      <c r="PGM51" s="76"/>
      <c r="PGN51" s="76"/>
      <c r="PGO51" s="76"/>
      <c r="PGP51" s="76"/>
      <c r="PGQ51" s="76"/>
      <c r="PGR51" s="76"/>
      <c r="PGS51" s="76"/>
      <c r="PGT51" s="76"/>
      <c r="PGU51" s="76"/>
      <c r="PGV51" s="76"/>
      <c r="PGW51" s="76"/>
      <c r="PGX51" s="76"/>
      <c r="PGY51" s="76"/>
      <c r="PGZ51" s="76"/>
      <c r="PHA51" s="76"/>
      <c r="PHB51" s="76"/>
      <c r="PHC51" s="76"/>
      <c r="PHD51" s="76"/>
      <c r="PHE51" s="76"/>
      <c r="PHF51" s="76"/>
      <c r="PHG51" s="76"/>
      <c r="PHH51" s="76"/>
      <c r="PHI51" s="76"/>
      <c r="PHJ51" s="76"/>
      <c r="PHK51" s="76"/>
      <c r="PHL51" s="76"/>
      <c r="PHM51" s="76"/>
      <c r="PHN51" s="76"/>
      <c r="PHO51" s="76"/>
      <c r="PHP51" s="76"/>
      <c r="PHQ51" s="76"/>
      <c r="PHR51" s="76"/>
      <c r="PHS51" s="76"/>
      <c r="PHT51" s="76"/>
      <c r="PHU51" s="76"/>
      <c r="PHV51" s="76"/>
      <c r="PHW51" s="76"/>
      <c r="PHX51" s="76"/>
      <c r="PHY51" s="76"/>
      <c r="PHZ51" s="76"/>
      <c r="PIA51" s="76"/>
      <c r="PIB51" s="76"/>
      <c r="PIC51" s="76"/>
      <c r="PID51" s="76"/>
      <c r="PIE51" s="76"/>
      <c r="PIF51" s="76"/>
      <c r="PIG51" s="76"/>
      <c r="PIH51" s="76"/>
      <c r="PII51" s="76"/>
      <c r="PIJ51" s="76"/>
      <c r="PIK51" s="76"/>
      <c r="PIL51" s="76"/>
      <c r="PIM51" s="76"/>
      <c r="PIN51" s="76"/>
      <c r="PIO51" s="76"/>
      <c r="PIP51" s="76"/>
      <c r="PIQ51" s="76"/>
      <c r="PIR51" s="76"/>
      <c r="PIS51" s="76"/>
      <c r="PIT51" s="76"/>
      <c r="PIU51" s="76"/>
      <c r="PIV51" s="76"/>
      <c r="PIW51" s="76"/>
      <c r="PIX51" s="76"/>
      <c r="PIY51" s="76"/>
      <c r="PIZ51" s="76"/>
      <c r="PJA51" s="76"/>
      <c r="PJB51" s="76"/>
      <c r="PJC51" s="76"/>
      <c r="PJD51" s="76"/>
      <c r="PJE51" s="76"/>
      <c r="PJF51" s="76"/>
      <c r="PJG51" s="76"/>
      <c r="PJH51" s="76"/>
      <c r="PJI51" s="76"/>
      <c r="PJJ51" s="76"/>
      <c r="PJK51" s="76"/>
      <c r="PJL51" s="76"/>
      <c r="PJM51" s="76"/>
      <c r="PJN51" s="76"/>
      <c r="PJO51" s="76"/>
      <c r="PJP51" s="76"/>
      <c r="PJQ51" s="76"/>
      <c r="PJR51" s="76"/>
      <c r="PJS51" s="76"/>
      <c r="PJT51" s="76"/>
      <c r="PJU51" s="76"/>
      <c r="PJV51" s="76"/>
      <c r="PJW51" s="76"/>
      <c r="PJX51" s="76"/>
      <c r="PJY51" s="76"/>
      <c r="PJZ51" s="76"/>
      <c r="PKA51" s="76"/>
      <c r="PKB51" s="76"/>
      <c r="PKC51" s="76"/>
      <c r="PKD51" s="76"/>
      <c r="PKE51" s="76"/>
      <c r="PKF51" s="76"/>
      <c r="PKG51" s="76"/>
      <c r="PKH51" s="76"/>
      <c r="PKI51" s="76"/>
      <c r="PKJ51" s="76"/>
      <c r="PKK51" s="76"/>
      <c r="PKL51" s="76"/>
      <c r="PKM51" s="76"/>
      <c r="PKN51" s="76"/>
      <c r="PKO51" s="76"/>
      <c r="PKP51" s="76"/>
      <c r="PKQ51" s="76"/>
      <c r="PKR51" s="76"/>
      <c r="PKS51" s="76"/>
      <c r="PKT51" s="76"/>
      <c r="PKU51" s="76"/>
      <c r="PKV51" s="76"/>
      <c r="PKW51" s="76"/>
      <c r="PKX51" s="76"/>
      <c r="PKY51" s="76"/>
      <c r="PKZ51" s="76"/>
      <c r="PLA51" s="76"/>
      <c r="PLB51" s="76"/>
      <c r="PLC51" s="76"/>
      <c r="PLD51" s="76"/>
      <c r="PLE51" s="76"/>
      <c r="PLF51" s="76"/>
      <c r="PLG51" s="76"/>
      <c r="PLH51" s="76"/>
      <c r="PLI51" s="76"/>
      <c r="PLJ51" s="76"/>
      <c r="PLK51" s="76"/>
      <c r="PLL51" s="76"/>
      <c r="PLM51" s="76"/>
      <c r="PLN51" s="76"/>
      <c r="PLO51" s="76"/>
      <c r="PLP51" s="76"/>
      <c r="PLQ51" s="76"/>
      <c r="PLR51" s="76"/>
      <c r="PLS51" s="76"/>
      <c r="PLT51" s="76"/>
      <c r="PLU51" s="76"/>
      <c r="PLV51" s="76"/>
      <c r="PLW51" s="76"/>
      <c r="PLX51" s="76"/>
      <c r="PLY51" s="76"/>
      <c r="PLZ51" s="76"/>
      <c r="PMA51" s="76"/>
      <c r="PMB51" s="76"/>
      <c r="PMC51" s="76"/>
      <c r="PMD51" s="76"/>
      <c r="PME51" s="76"/>
      <c r="PMF51" s="76"/>
      <c r="PMG51" s="76"/>
      <c r="PMH51" s="76"/>
      <c r="PMI51" s="76"/>
      <c r="PMJ51" s="76"/>
      <c r="PMK51" s="76"/>
      <c r="PML51" s="76"/>
      <c r="PMM51" s="76"/>
      <c r="PMN51" s="76"/>
      <c r="PMO51" s="76"/>
      <c r="PMP51" s="76"/>
      <c r="PMQ51" s="76"/>
      <c r="PMR51" s="76"/>
      <c r="PMS51" s="76"/>
      <c r="PMT51" s="76"/>
      <c r="PMU51" s="76"/>
      <c r="PMV51" s="76"/>
      <c r="PMW51" s="76"/>
      <c r="PMX51" s="76"/>
      <c r="PMY51" s="76"/>
      <c r="PMZ51" s="76"/>
      <c r="PNA51" s="76"/>
      <c r="PNB51" s="76"/>
      <c r="PNC51" s="76"/>
      <c r="PND51" s="76"/>
      <c r="PNE51" s="76"/>
      <c r="PNF51" s="76"/>
      <c r="PNG51" s="76"/>
      <c r="PNH51" s="76"/>
      <c r="PNI51" s="76"/>
      <c r="PNJ51" s="76"/>
      <c r="PNK51" s="76"/>
      <c r="PNL51" s="76"/>
      <c r="PNM51" s="76"/>
      <c r="PNN51" s="76"/>
      <c r="PNO51" s="76"/>
      <c r="PNP51" s="76"/>
      <c r="PNQ51" s="76"/>
      <c r="PNR51" s="76"/>
      <c r="PNS51" s="76"/>
      <c r="PNT51" s="76"/>
      <c r="PNU51" s="76"/>
      <c r="PNV51" s="76"/>
      <c r="PNW51" s="76"/>
      <c r="PNX51" s="76"/>
      <c r="PNY51" s="76"/>
      <c r="PNZ51" s="76"/>
      <c r="POA51" s="76"/>
      <c r="POB51" s="76"/>
      <c r="POC51" s="76"/>
      <c r="POD51" s="76"/>
      <c r="POE51" s="76"/>
      <c r="POF51" s="76"/>
      <c r="POG51" s="76"/>
      <c r="POH51" s="76"/>
      <c r="POI51" s="76"/>
      <c r="POJ51" s="76"/>
      <c r="POK51" s="76"/>
      <c r="POL51" s="76"/>
      <c r="POM51" s="76"/>
      <c r="PON51" s="76"/>
      <c r="POO51" s="76"/>
      <c r="POP51" s="76"/>
      <c r="POQ51" s="76"/>
      <c r="POR51" s="76"/>
      <c r="POS51" s="76"/>
      <c r="POT51" s="76"/>
      <c r="POU51" s="76"/>
      <c r="POV51" s="76"/>
      <c r="POW51" s="76"/>
      <c r="POX51" s="76"/>
      <c r="POY51" s="76"/>
      <c r="POZ51" s="76"/>
      <c r="PPA51" s="76"/>
      <c r="PPB51" s="76"/>
      <c r="PPC51" s="76"/>
      <c r="PPD51" s="76"/>
      <c r="PPE51" s="76"/>
      <c r="PPF51" s="76"/>
      <c r="PPG51" s="76"/>
      <c r="PPH51" s="76"/>
      <c r="PPI51" s="76"/>
      <c r="PPJ51" s="76"/>
      <c r="PPK51" s="76"/>
      <c r="PPL51" s="76"/>
      <c r="PPM51" s="76"/>
      <c r="PPN51" s="76"/>
      <c r="PPO51" s="76"/>
      <c r="PPP51" s="76"/>
      <c r="PPQ51" s="76"/>
      <c r="PPR51" s="76"/>
      <c r="PPS51" s="76"/>
      <c r="PPT51" s="76"/>
      <c r="PPU51" s="76"/>
      <c r="PPV51" s="76"/>
      <c r="PPW51" s="76"/>
      <c r="PPX51" s="76"/>
      <c r="PPY51" s="76"/>
      <c r="PPZ51" s="76"/>
      <c r="PQA51" s="76"/>
      <c r="PQB51" s="76"/>
      <c r="PQC51" s="76"/>
      <c r="PQD51" s="76"/>
      <c r="PQE51" s="76"/>
      <c r="PQF51" s="76"/>
      <c r="PQG51" s="76"/>
      <c r="PQH51" s="76"/>
      <c r="PQI51" s="76"/>
      <c r="PQJ51" s="76"/>
      <c r="PQK51" s="76"/>
      <c r="PQL51" s="76"/>
      <c r="PQM51" s="76"/>
      <c r="PQN51" s="76"/>
      <c r="PQO51" s="76"/>
      <c r="PQP51" s="76"/>
      <c r="PQQ51" s="76"/>
      <c r="PQR51" s="76"/>
      <c r="PQS51" s="76"/>
      <c r="PQT51" s="76"/>
      <c r="PQU51" s="76"/>
      <c r="PQV51" s="76"/>
      <c r="PQW51" s="76"/>
      <c r="PQX51" s="76"/>
      <c r="PQY51" s="76"/>
      <c r="PQZ51" s="76"/>
      <c r="PRA51" s="76"/>
      <c r="PRB51" s="76"/>
      <c r="PRC51" s="76"/>
      <c r="PRD51" s="76"/>
      <c r="PRE51" s="76"/>
      <c r="PRF51" s="76"/>
      <c r="PRG51" s="76"/>
      <c r="PRH51" s="76"/>
      <c r="PRI51" s="76"/>
      <c r="PRJ51" s="76"/>
      <c r="PRK51" s="76"/>
      <c r="PRL51" s="76"/>
      <c r="PRM51" s="76"/>
      <c r="PRN51" s="76"/>
      <c r="PRO51" s="76"/>
      <c r="PRP51" s="76"/>
      <c r="PRQ51" s="76"/>
      <c r="PRR51" s="76"/>
      <c r="PRS51" s="76"/>
      <c r="PRT51" s="76"/>
      <c r="PRU51" s="76"/>
      <c r="PRV51" s="76"/>
      <c r="PRW51" s="76"/>
      <c r="PRX51" s="76"/>
      <c r="PRY51" s="76"/>
      <c r="PRZ51" s="76"/>
      <c r="PSA51" s="76"/>
      <c r="PSB51" s="76"/>
      <c r="PSC51" s="76"/>
      <c r="PSD51" s="76"/>
      <c r="PSE51" s="76"/>
      <c r="PSF51" s="76"/>
      <c r="PSG51" s="76"/>
      <c r="PSH51" s="76"/>
      <c r="PSI51" s="76"/>
      <c r="PSJ51" s="76"/>
      <c r="PSK51" s="76"/>
      <c r="PSL51" s="76"/>
      <c r="PSM51" s="76"/>
      <c r="PSN51" s="76"/>
      <c r="PSO51" s="76"/>
      <c r="PSP51" s="76"/>
      <c r="PSQ51" s="76"/>
      <c r="PSR51" s="76"/>
      <c r="PSS51" s="76"/>
      <c r="PST51" s="76"/>
      <c r="PSU51" s="76"/>
      <c r="PSV51" s="76"/>
      <c r="PSW51" s="76"/>
      <c r="PSX51" s="76"/>
      <c r="PSY51" s="76"/>
      <c r="PSZ51" s="76"/>
      <c r="PTA51" s="76"/>
      <c r="PTB51" s="76"/>
      <c r="PTC51" s="76"/>
      <c r="PTD51" s="76"/>
      <c r="PTE51" s="76"/>
      <c r="PTF51" s="76"/>
      <c r="PTG51" s="76"/>
      <c r="PTH51" s="76"/>
      <c r="PTI51" s="76"/>
      <c r="PTJ51" s="76"/>
      <c r="PTK51" s="76"/>
      <c r="PTL51" s="76"/>
      <c r="PTM51" s="76"/>
      <c r="PTN51" s="76"/>
      <c r="PTO51" s="76"/>
      <c r="PTP51" s="76"/>
      <c r="PTQ51" s="76"/>
      <c r="PTR51" s="76"/>
      <c r="PTS51" s="76"/>
      <c r="PTT51" s="76"/>
      <c r="PTU51" s="76"/>
      <c r="PTV51" s="76"/>
      <c r="PTW51" s="76"/>
      <c r="PTX51" s="76"/>
      <c r="PTY51" s="76"/>
      <c r="PTZ51" s="76"/>
      <c r="PUA51" s="76"/>
      <c r="PUB51" s="76"/>
      <c r="PUC51" s="76"/>
      <c r="PUD51" s="76"/>
      <c r="PUE51" s="76"/>
      <c r="PUF51" s="76"/>
      <c r="PUG51" s="76"/>
      <c r="PUH51" s="76"/>
      <c r="PUI51" s="76"/>
      <c r="PUJ51" s="76"/>
      <c r="PUK51" s="76"/>
      <c r="PUL51" s="76"/>
      <c r="PUM51" s="76"/>
      <c r="PUN51" s="76"/>
      <c r="PUO51" s="76"/>
      <c r="PUP51" s="76"/>
      <c r="PUQ51" s="76"/>
      <c r="PUR51" s="76"/>
      <c r="PUS51" s="76"/>
      <c r="PUT51" s="76"/>
      <c r="PUU51" s="76"/>
      <c r="PUV51" s="76"/>
      <c r="PUW51" s="76"/>
      <c r="PUX51" s="76"/>
      <c r="PUY51" s="76"/>
      <c r="PUZ51" s="76"/>
      <c r="PVA51" s="76"/>
      <c r="PVB51" s="76"/>
      <c r="PVC51" s="76"/>
      <c r="PVD51" s="76"/>
      <c r="PVE51" s="76"/>
      <c r="PVF51" s="76"/>
      <c r="PVG51" s="76"/>
      <c r="PVH51" s="76"/>
      <c r="PVI51" s="76"/>
      <c r="PVJ51" s="76"/>
      <c r="PVK51" s="76"/>
      <c r="PVL51" s="76"/>
      <c r="PVM51" s="76"/>
      <c r="PVN51" s="76"/>
      <c r="PVO51" s="76"/>
      <c r="PVP51" s="76"/>
      <c r="PVQ51" s="76"/>
      <c r="PVR51" s="76"/>
      <c r="PVS51" s="76"/>
      <c r="PVT51" s="76"/>
      <c r="PVU51" s="76"/>
      <c r="PVV51" s="76"/>
      <c r="PVW51" s="76"/>
      <c r="PVX51" s="76"/>
      <c r="PVY51" s="76"/>
      <c r="PVZ51" s="76"/>
      <c r="PWA51" s="76"/>
      <c r="PWB51" s="76"/>
      <c r="PWC51" s="76"/>
      <c r="PWD51" s="76"/>
      <c r="PWE51" s="76"/>
      <c r="PWF51" s="76"/>
      <c r="PWG51" s="76"/>
      <c r="PWH51" s="76"/>
      <c r="PWI51" s="76"/>
      <c r="PWJ51" s="76"/>
      <c r="PWK51" s="76"/>
      <c r="PWL51" s="76"/>
      <c r="PWM51" s="76"/>
      <c r="PWN51" s="76"/>
      <c r="PWO51" s="76"/>
      <c r="PWP51" s="76"/>
      <c r="PWQ51" s="76"/>
      <c r="PWR51" s="76"/>
      <c r="PWS51" s="76"/>
      <c r="PWT51" s="76"/>
      <c r="PWU51" s="76"/>
      <c r="PWV51" s="76"/>
      <c r="PWW51" s="76"/>
      <c r="PWX51" s="76"/>
      <c r="PWY51" s="76"/>
      <c r="PWZ51" s="76"/>
      <c r="PXA51" s="76"/>
      <c r="PXB51" s="76"/>
      <c r="PXC51" s="76"/>
      <c r="PXD51" s="76"/>
      <c r="PXE51" s="76"/>
      <c r="PXF51" s="76"/>
      <c r="PXG51" s="76"/>
      <c r="PXH51" s="76"/>
      <c r="PXI51" s="76"/>
      <c r="PXJ51" s="76"/>
      <c r="PXK51" s="76"/>
      <c r="PXL51" s="76"/>
      <c r="PXM51" s="76"/>
      <c r="PXN51" s="76"/>
      <c r="PXO51" s="76"/>
      <c r="PXP51" s="76"/>
      <c r="PXQ51" s="76"/>
      <c r="PXR51" s="76"/>
      <c r="PXS51" s="76"/>
      <c r="PXT51" s="76"/>
      <c r="PXU51" s="76"/>
      <c r="PXV51" s="76"/>
      <c r="PXW51" s="76"/>
      <c r="PXX51" s="76"/>
      <c r="PXY51" s="76"/>
      <c r="PXZ51" s="76"/>
      <c r="PYA51" s="76"/>
      <c r="PYB51" s="76"/>
      <c r="PYC51" s="76"/>
      <c r="PYD51" s="76"/>
      <c r="PYE51" s="76"/>
      <c r="PYF51" s="76"/>
      <c r="PYG51" s="76"/>
      <c r="PYH51" s="76"/>
      <c r="PYI51" s="76"/>
      <c r="PYJ51" s="76"/>
      <c r="PYK51" s="76"/>
      <c r="PYL51" s="76"/>
      <c r="PYM51" s="76"/>
      <c r="PYN51" s="76"/>
      <c r="PYO51" s="76"/>
      <c r="PYP51" s="76"/>
      <c r="PYQ51" s="76"/>
      <c r="PYR51" s="76"/>
      <c r="PYS51" s="76"/>
      <c r="PYT51" s="76"/>
      <c r="PYU51" s="76"/>
      <c r="PYV51" s="76"/>
      <c r="PYW51" s="76"/>
      <c r="PYX51" s="76"/>
      <c r="PYY51" s="76"/>
      <c r="PYZ51" s="76"/>
      <c r="PZA51" s="76"/>
      <c r="PZB51" s="76"/>
      <c r="PZC51" s="76"/>
      <c r="PZD51" s="76"/>
      <c r="PZE51" s="76"/>
      <c r="PZF51" s="76"/>
      <c r="PZG51" s="76"/>
      <c r="PZH51" s="76"/>
      <c r="PZI51" s="76"/>
      <c r="PZJ51" s="76"/>
      <c r="PZK51" s="76"/>
      <c r="PZL51" s="76"/>
      <c r="PZM51" s="76"/>
      <c r="PZN51" s="76"/>
      <c r="PZO51" s="76"/>
      <c r="PZP51" s="76"/>
      <c r="PZQ51" s="76"/>
      <c r="PZR51" s="76"/>
      <c r="PZS51" s="76"/>
      <c r="PZT51" s="76"/>
      <c r="PZU51" s="76"/>
      <c r="PZV51" s="76"/>
      <c r="PZW51" s="76"/>
      <c r="PZX51" s="76"/>
      <c r="PZY51" s="76"/>
      <c r="PZZ51" s="76"/>
      <c r="QAA51" s="76"/>
      <c r="QAB51" s="76"/>
      <c r="QAC51" s="76"/>
      <c r="QAD51" s="76"/>
      <c r="QAE51" s="76"/>
      <c r="QAF51" s="76"/>
      <c r="QAG51" s="76"/>
      <c r="QAH51" s="76"/>
      <c r="QAI51" s="76"/>
      <c r="QAJ51" s="76"/>
      <c r="QAK51" s="76"/>
      <c r="QAL51" s="76"/>
      <c r="QAM51" s="76"/>
      <c r="QAN51" s="76"/>
      <c r="QAO51" s="76"/>
      <c r="QAP51" s="76"/>
      <c r="QAQ51" s="76"/>
      <c r="QAR51" s="76"/>
      <c r="QAS51" s="76"/>
      <c r="QAT51" s="76"/>
      <c r="QAU51" s="76"/>
      <c r="QAV51" s="76"/>
      <c r="QAW51" s="76"/>
      <c r="QAX51" s="76"/>
      <c r="QAY51" s="76"/>
      <c r="QAZ51" s="76"/>
      <c r="QBA51" s="76"/>
      <c r="QBB51" s="76"/>
      <c r="QBC51" s="76"/>
      <c r="QBD51" s="76"/>
      <c r="QBE51" s="76"/>
      <c r="QBF51" s="76"/>
      <c r="QBG51" s="76"/>
      <c r="QBH51" s="76"/>
      <c r="QBI51" s="76"/>
      <c r="QBJ51" s="76"/>
      <c r="QBK51" s="76"/>
      <c r="QBL51" s="76"/>
      <c r="QBM51" s="76"/>
      <c r="QBN51" s="76"/>
      <c r="QBO51" s="76"/>
      <c r="QBP51" s="76"/>
      <c r="QBQ51" s="76"/>
      <c r="QBR51" s="76"/>
      <c r="QBS51" s="76"/>
      <c r="QBT51" s="76"/>
      <c r="QBU51" s="76"/>
      <c r="QBV51" s="76"/>
      <c r="QBW51" s="76"/>
      <c r="QBX51" s="76"/>
      <c r="QBY51" s="76"/>
      <c r="QBZ51" s="76"/>
      <c r="QCA51" s="76"/>
      <c r="QCB51" s="76"/>
      <c r="QCC51" s="76"/>
      <c r="QCD51" s="76"/>
      <c r="QCE51" s="76"/>
      <c r="QCF51" s="76"/>
      <c r="QCG51" s="76"/>
      <c r="QCH51" s="76"/>
      <c r="QCI51" s="76"/>
      <c r="QCJ51" s="76"/>
      <c r="QCK51" s="76"/>
      <c r="QCL51" s="76"/>
      <c r="QCM51" s="76"/>
      <c r="QCN51" s="76"/>
      <c r="QCO51" s="76"/>
      <c r="QCP51" s="76"/>
      <c r="QCQ51" s="76"/>
      <c r="QCR51" s="76"/>
      <c r="QCS51" s="76"/>
      <c r="QCT51" s="76"/>
      <c r="QCU51" s="76"/>
      <c r="QCV51" s="76"/>
      <c r="QCW51" s="76"/>
      <c r="QCX51" s="76"/>
      <c r="QCY51" s="76"/>
      <c r="QCZ51" s="76"/>
      <c r="QDA51" s="76"/>
      <c r="QDB51" s="76"/>
      <c r="QDC51" s="76"/>
      <c r="QDD51" s="76"/>
      <c r="QDE51" s="76"/>
      <c r="QDF51" s="76"/>
      <c r="QDG51" s="76"/>
      <c r="QDH51" s="76"/>
      <c r="QDI51" s="76"/>
      <c r="QDJ51" s="76"/>
      <c r="QDK51" s="76"/>
      <c r="QDL51" s="76"/>
      <c r="QDM51" s="76"/>
      <c r="QDN51" s="76"/>
      <c r="QDO51" s="76"/>
      <c r="QDP51" s="76"/>
      <c r="QDQ51" s="76"/>
      <c r="QDR51" s="76"/>
      <c r="QDS51" s="76"/>
      <c r="QDT51" s="76"/>
      <c r="QDU51" s="76"/>
      <c r="QDV51" s="76"/>
      <c r="QDW51" s="76"/>
      <c r="QDX51" s="76"/>
      <c r="QDY51" s="76"/>
      <c r="QDZ51" s="76"/>
      <c r="QEA51" s="76"/>
      <c r="QEB51" s="76"/>
      <c r="QEC51" s="76"/>
      <c r="QED51" s="76"/>
      <c r="QEE51" s="76"/>
      <c r="QEF51" s="76"/>
      <c r="QEG51" s="76"/>
      <c r="QEH51" s="76"/>
      <c r="QEI51" s="76"/>
      <c r="QEJ51" s="76"/>
      <c r="QEK51" s="76"/>
      <c r="QEL51" s="76"/>
      <c r="QEM51" s="76"/>
      <c r="QEN51" s="76"/>
      <c r="QEO51" s="76"/>
      <c r="QEP51" s="76"/>
      <c r="QEQ51" s="76"/>
      <c r="QER51" s="76"/>
      <c r="QES51" s="76"/>
      <c r="QET51" s="76"/>
      <c r="QEU51" s="76"/>
      <c r="QEV51" s="76"/>
      <c r="QEW51" s="76"/>
      <c r="QEX51" s="76"/>
      <c r="QEY51" s="76"/>
      <c r="QEZ51" s="76"/>
      <c r="QFA51" s="76"/>
      <c r="QFB51" s="76"/>
      <c r="QFC51" s="76"/>
      <c r="QFD51" s="76"/>
      <c r="QFE51" s="76"/>
      <c r="QFF51" s="76"/>
      <c r="QFG51" s="76"/>
      <c r="QFH51" s="76"/>
      <c r="QFI51" s="76"/>
      <c r="QFJ51" s="76"/>
      <c r="QFK51" s="76"/>
      <c r="QFL51" s="76"/>
      <c r="QFM51" s="76"/>
      <c r="QFN51" s="76"/>
      <c r="QFO51" s="76"/>
      <c r="QFP51" s="76"/>
      <c r="QFQ51" s="76"/>
      <c r="QFR51" s="76"/>
      <c r="QFS51" s="76"/>
      <c r="QFT51" s="76"/>
      <c r="QFU51" s="76"/>
      <c r="QFV51" s="76"/>
      <c r="QFW51" s="76"/>
      <c r="QFX51" s="76"/>
      <c r="QFY51" s="76"/>
      <c r="QFZ51" s="76"/>
      <c r="QGA51" s="76"/>
      <c r="QGB51" s="76"/>
      <c r="QGC51" s="76"/>
      <c r="QGD51" s="76"/>
      <c r="QGE51" s="76"/>
      <c r="QGF51" s="76"/>
      <c r="QGG51" s="76"/>
      <c r="QGH51" s="76"/>
      <c r="QGI51" s="76"/>
      <c r="QGJ51" s="76"/>
      <c r="QGK51" s="76"/>
      <c r="QGL51" s="76"/>
      <c r="QGM51" s="76"/>
      <c r="QGN51" s="76"/>
      <c r="QGO51" s="76"/>
      <c r="QGP51" s="76"/>
      <c r="QGQ51" s="76"/>
      <c r="QGR51" s="76"/>
      <c r="QGS51" s="76"/>
      <c r="QGT51" s="76"/>
      <c r="QGU51" s="76"/>
      <c r="QGV51" s="76"/>
      <c r="QGW51" s="76"/>
      <c r="QGX51" s="76"/>
      <c r="QGY51" s="76"/>
      <c r="QGZ51" s="76"/>
      <c r="QHA51" s="76"/>
      <c r="QHB51" s="76"/>
      <c r="QHC51" s="76"/>
      <c r="QHD51" s="76"/>
      <c r="QHE51" s="76"/>
      <c r="QHF51" s="76"/>
      <c r="QHG51" s="76"/>
      <c r="QHH51" s="76"/>
      <c r="QHI51" s="76"/>
      <c r="QHJ51" s="76"/>
      <c r="QHK51" s="76"/>
      <c r="QHL51" s="76"/>
      <c r="QHM51" s="76"/>
      <c r="QHN51" s="76"/>
      <c r="QHO51" s="76"/>
      <c r="QHP51" s="76"/>
      <c r="QHQ51" s="76"/>
      <c r="QHR51" s="76"/>
      <c r="QHS51" s="76"/>
      <c r="QHT51" s="76"/>
      <c r="QHU51" s="76"/>
      <c r="QHV51" s="76"/>
      <c r="QHW51" s="76"/>
      <c r="QHX51" s="76"/>
      <c r="QHY51" s="76"/>
      <c r="QHZ51" s="76"/>
      <c r="QIA51" s="76"/>
      <c r="QIB51" s="76"/>
      <c r="QIC51" s="76"/>
      <c r="QID51" s="76"/>
      <c r="QIE51" s="76"/>
      <c r="QIF51" s="76"/>
      <c r="QIG51" s="76"/>
      <c r="QIH51" s="76"/>
      <c r="QII51" s="76"/>
      <c r="QIJ51" s="76"/>
      <c r="QIK51" s="76"/>
      <c r="QIL51" s="76"/>
      <c r="QIM51" s="76"/>
      <c r="QIN51" s="76"/>
      <c r="QIO51" s="76"/>
      <c r="QIP51" s="76"/>
      <c r="QIQ51" s="76"/>
      <c r="QIR51" s="76"/>
      <c r="QIS51" s="76"/>
      <c r="QIT51" s="76"/>
      <c r="QIU51" s="76"/>
      <c r="QIV51" s="76"/>
      <c r="QIW51" s="76"/>
      <c r="QIX51" s="76"/>
      <c r="QIY51" s="76"/>
      <c r="QIZ51" s="76"/>
      <c r="QJA51" s="76"/>
      <c r="QJB51" s="76"/>
      <c r="QJC51" s="76"/>
      <c r="QJD51" s="76"/>
      <c r="QJE51" s="76"/>
      <c r="QJF51" s="76"/>
      <c r="QJG51" s="76"/>
      <c r="QJH51" s="76"/>
      <c r="QJI51" s="76"/>
      <c r="QJJ51" s="76"/>
      <c r="QJK51" s="76"/>
      <c r="QJL51" s="76"/>
      <c r="QJM51" s="76"/>
      <c r="QJN51" s="76"/>
      <c r="QJO51" s="76"/>
      <c r="QJP51" s="76"/>
      <c r="QJQ51" s="76"/>
      <c r="QJR51" s="76"/>
      <c r="QJS51" s="76"/>
      <c r="QJT51" s="76"/>
      <c r="QJU51" s="76"/>
      <c r="QJV51" s="76"/>
      <c r="QJW51" s="76"/>
      <c r="QJX51" s="76"/>
      <c r="QJY51" s="76"/>
      <c r="QJZ51" s="76"/>
      <c r="QKA51" s="76"/>
      <c r="QKB51" s="76"/>
      <c r="QKC51" s="76"/>
      <c r="QKD51" s="76"/>
      <c r="QKE51" s="76"/>
      <c r="QKF51" s="76"/>
      <c r="QKG51" s="76"/>
      <c r="QKH51" s="76"/>
      <c r="QKI51" s="76"/>
      <c r="QKJ51" s="76"/>
      <c r="QKK51" s="76"/>
      <c r="QKL51" s="76"/>
      <c r="QKM51" s="76"/>
      <c r="QKN51" s="76"/>
      <c r="QKO51" s="76"/>
      <c r="QKP51" s="76"/>
      <c r="QKQ51" s="76"/>
      <c r="QKR51" s="76"/>
      <c r="QKS51" s="76"/>
      <c r="QKT51" s="76"/>
      <c r="QKU51" s="76"/>
      <c r="QKV51" s="76"/>
      <c r="QKW51" s="76"/>
      <c r="QKX51" s="76"/>
      <c r="QKY51" s="76"/>
      <c r="QKZ51" s="76"/>
      <c r="QLA51" s="76"/>
      <c r="QLB51" s="76"/>
      <c r="QLC51" s="76"/>
      <c r="QLD51" s="76"/>
      <c r="QLE51" s="76"/>
      <c r="QLF51" s="76"/>
      <c r="QLG51" s="76"/>
      <c r="QLH51" s="76"/>
      <c r="QLI51" s="76"/>
      <c r="QLJ51" s="76"/>
      <c r="QLK51" s="76"/>
      <c r="QLL51" s="76"/>
      <c r="QLM51" s="76"/>
      <c r="QLN51" s="76"/>
      <c r="QLO51" s="76"/>
      <c r="QLP51" s="76"/>
      <c r="QLQ51" s="76"/>
      <c r="QLR51" s="76"/>
      <c r="QLS51" s="76"/>
      <c r="QLT51" s="76"/>
      <c r="QLU51" s="76"/>
      <c r="QLV51" s="76"/>
      <c r="QLW51" s="76"/>
      <c r="QLX51" s="76"/>
      <c r="QLY51" s="76"/>
      <c r="QLZ51" s="76"/>
      <c r="QMA51" s="76"/>
      <c r="QMB51" s="76"/>
      <c r="QMC51" s="76"/>
      <c r="QMD51" s="76"/>
      <c r="QME51" s="76"/>
      <c r="QMF51" s="76"/>
      <c r="QMG51" s="76"/>
      <c r="QMH51" s="76"/>
      <c r="QMI51" s="76"/>
      <c r="QMJ51" s="76"/>
      <c r="QMK51" s="76"/>
      <c r="QML51" s="76"/>
      <c r="QMM51" s="76"/>
      <c r="QMN51" s="76"/>
      <c r="QMO51" s="76"/>
      <c r="QMP51" s="76"/>
      <c r="QMQ51" s="76"/>
      <c r="QMR51" s="76"/>
      <c r="QMS51" s="76"/>
      <c r="QMT51" s="76"/>
      <c r="QMU51" s="76"/>
      <c r="QMV51" s="76"/>
      <c r="QMW51" s="76"/>
      <c r="QMX51" s="76"/>
      <c r="QMY51" s="76"/>
      <c r="QMZ51" s="76"/>
      <c r="QNA51" s="76"/>
      <c r="QNB51" s="76"/>
      <c r="QNC51" s="76"/>
      <c r="QND51" s="76"/>
      <c r="QNE51" s="76"/>
      <c r="QNF51" s="76"/>
      <c r="QNG51" s="76"/>
      <c r="QNH51" s="76"/>
      <c r="QNI51" s="76"/>
      <c r="QNJ51" s="76"/>
      <c r="QNK51" s="76"/>
      <c r="QNL51" s="76"/>
      <c r="QNM51" s="76"/>
      <c r="QNN51" s="76"/>
      <c r="QNO51" s="76"/>
      <c r="QNP51" s="76"/>
      <c r="QNQ51" s="76"/>
      <c r="QNR51" s="76"/>
      <c r="QNS51" s="76"/>
      <c r="QNT51" s="76"/>
      <c r="QNU51" s="76"/>
      <c r="QNV51" s="76"/>
      <c r="QNW51" s="76"/>
      <c r="QNX51" s="76"/>
      <c r="QNY51" s="76"/>
      <c r="QNZ51" s="76"/>
      <c r="QOA51" s="76"/>
      <c r="QOB51" s="76"/>
      <c r="QOC51" s="76"/>
      <c r="QOD51" s="76"/>
      <c r="QOE51" s="76"/>
      <c r="QOF51" s="76"/>
      <c r="QOG51" s="76"/>
      <c r="QOH51" s="76"/>
      <c r="QOI51" s="76"/>
      <c r="QOJ51" s="76"/>
      <c r="QOK51" s="76"/>
      <c r="QOL51" s="76"/>
      <c r="QOM51" s="76"/>
      <c r="QON51" s="76"/>
      <c r="QOO51" s="76"/>
      <c r="QOP51" s="76"/>
      <c r="QOQ51" s="76"/>
      <c r="QOR51" s="76"/>
      <c r="QOS51" s="76"/>
      <c r="QOT51" s="76"/>
      <c r="QOU51" s="76"/>
      <c r="QOV51" s="76"/>
      <c r="QOW51" s="76"/>
      <c r="QOX51" s="76"/>
      <c r="QOY51" s="76"/>
      <c r="QOZ51" s="76"/>
      <c r="QPA51" s="76"/>
      <c r="QPB51" s="76"/>
      <c r="QPC51" s="76"/>
      <c r="QPD51" s="76"/>
      <c r="QPE51" s="76"/>
      <c r="QPF51" s="76"/>
      <c r="QPG51" s="76"/>
      <c r="QPH51" s="76"/>
      <c r="QPI51" s="76"/>
      <c r="QPJ51" s="76"/>
      <c r="QPK51" s="76"/>
      <c r="QPL51" s="76"/>
      <c r="QPM51" s="76"/>
      <c r="QPN51" s="76"/>
      <c r="QPO51" s="76"/>
      <c r="QPP51" s="76"/>
      <c r="QPQ51" s="76"/>
      <c r="QPR51" s="76"/>
      <c r="QPS51" s="76"/>
      <c r="QPT51" s="76"/>
      <c r="QPU51" s="76"/>
      <c r="QPV51" s="76"/>
      <c r="QPW51" s="76"/>
      <c r="QPX51" s="76"/>
      <c r="QPY51" s="76"/>
      <c r="QPZ51" s="76"/>
      <c r="QQA51" s="76"/>
      <c r="QQB51" s="76"/>
      <c r="QQC51" s="76"/>
      <c r="QQD51" s="76"/>
      <c r="QQE51" s="76"/>
      <c r="QQF51" s="76"/>
      <c r="QQG51" s="76"/>
      <c r="QQH51" s="76"/>
      <c r="QQI51" s="76"/>
      <c r="QQJ51" s="76"/>
      <c r="QQK51" s="76"/>
      <c r="QQL51" s="76"/>
      <c r="QQM51" s="76"/>
      <c r="QQN51" s="76"/>
      <c r="QQO51" s="76"/>
      <c r="QQP51" s="76"/>
      <c r="QQQ51" s="76"/>
      <c r="QQR51" s="76"/>
      <c r="QQS51" s="76"/>
      <c r="QQT51" s="76"/>
      <c r="QQU51" s="76"/>
      <c r="QQV51" s="76"/>
      <c r="QQW51" s="76"/>
      <c r="QQX51" s="76"/>
      <c r="QQY51" s="76"/>
      <c r="QQZ51" s="76"/>
      <c r="QRA51" s="76"/>
      <c r="QRB51" s="76"/>
      <c r="QRC51" s="76"/>
      <c r="QRD51" s="76"/>
      <c r="QRE51" s="76"/>
      <c r="QRF51" s="76"/>
      <c r="QRG51" s="76"/>
      <c r="QRH51" s="76"/>
      <c r="QRI51" s="76"/>
      <c r="QRJ51" s="76"/>
      <c r="QRK51" s="76"/>
      <c r="QRL51" s="76"/>
      <c r="QRM51" s="76"/>
      <c r="QRN51" s="76"/>
      <c r="QRO51" s="76"/>
      <c r="QRP51" s="76"/>
      <c r="QRQ51" s="76"/>
      <c r="QRR51" s="76"/>
      <c r="QRS51" s="76"/>
      <c r="QRT51" s="76"/>
      <c r="QRU51" s="76"/>
      <c r="QRV51" s="76"/>
      <c r="QRW51" s="76"/>
      <c r="QRX51" s="76"/>
      <c r="QRY51" s="76"/>
      <c r="QRZ51" s="76"/>
      <c r="QSA51" s="76"/>
      <c r="QSB51" s="76"/>
      <c r="QSC51" s="76"/>
      <c r="QSD51" s="76"/>
      <c r="QSE51" s="76"/>
      <c r="QSF51" s="76"/>
      <c r="QSG51" s="76"/>
      <c r="QSH51" s="76"/>
      <c r="QSI51" s="76"/>
      <c r="QSJ51" s="76"/>
      <c r="QSK51" s="76"/>
      <c r="QSL51" s="76"/>
      <c r="QSM51" s="76"/>
      <c r="QSN51" s="76"/>
      <c r="QSO51" s="76"/>
      <c r="QSP51" s="76"/>
      <c r="QSQ51" s="76"/>
      <c r="QSR51" s="76"/>
      <c r="QSS51" s="76"/>
      <c r="QST51" s="76"/>
      <c r="QSU51" s="76"/>
      <c r="QSV51" s="76"/>
      <c r="QSW51" s="76"/>
      <c r="QSX51" s="76"/>
      <c r="QSY51" s="76"/>
      <c r="QSZ51" s="76"/>
      <c r="QTA51" s="76"/>
      <c r="QTB51" s="76"/>
      <c r="QTC51" s="76"/>
      <c r="QTD51" s="76"/>
      <c r="QTE51" s="76"/>
      <c r="QTF51" s="76"/>
      <c r="QTG51" s="76"/>
      <c r="QTH51" s="76"/>
      <c r="QTI51" s="76"/>
      <c r="QTJ51" s="76"/>
      <c r="QTK51" s="76"/>
      <c r="QTL51" s="76"/>
      <c r="QTM51" s="76"/>
      <c r="QTN51" s="76"/>
      <c r="QTO51" s="76"/>
      <c r="QTP51" s="76"/>
      <c r="QTQ51" s="76"/>
      <c r="QTR51" s="76"/>
      <c r="QTS51" s="76"/>
      <c r="QTT51" s="76"/>
      <c r="QTU51" s="76"/>
      <c r="QTV51" s="76"/>
      <c r="QTW51" s="76"/>
      <c r="QTX51" s="76"/>
      <c r="QTY51" s="76"/>
      <c r="QTZ51" s="76"/>
      <c r="QUA51" s="76"/>
      <c r="QUB51" s="76"/>
      <c r="QUC51" s="76"/>
      <c r="QUD51" s="76"/>
      <c r="QUE51" s="76"/>
      <c r="QUF51" s="76"/>
      <c r="QUG51" s="76"/>
      <c r="QUH51" s="76"/>
      <c r="QUI51" s="76"/>
      <c r="QUJ51" s="76"/>
      <c r="QUK51" s="76"/>
      <c r="QUL51" s="76"/>
      <c r="QUM51" s="76"/>
      <c r="QUN51" s="76"/>
      <c r="QUO51" s="76"/>
      <c r="QUP51" s="76"/>
      <c r="QUQ51" s="76"/>
      <c r="QUR51" s="76"/>
      <c r="QUS51" s="76"/>
      <c r="QUT51" s="76"/>
      <c r="QUU51" s="76"/>
      <c r="QUV51" s="76"/>
      <c r="QUW51" s="76"/>
      <c r="QUX51" s="76"/>
      <c r="QUY51" s="76"/>
      <c r="QUZ51" s="76"/>
      <c r="QVA51" s="76"/>
      <c r="QVB51" s="76"/>
      <c r="QVC51" s="76"/>
      <c r="QVD51" s="76"/>
      <c r="QVE51" s="76"/>
      <c r="QVF51" s="76"/>
      <c r="QVG51" s="76"/>
      <c r="QVH51" s="76"/>
      <c r="QVI51" s="76"/>
      <c r="QVJ51" s="76"/>
      <c r="QVK51" s="76"/>
      <c r="QVL51" s="76"/>
      <c r="QVM51" s="76"/>
      <c r="QVN51" s="76"/>
      <c r="QVO51" s="76"/>
      <c r="QVP51" s="76"/>
      <c r="QVQ51" s="76"/>
      <c r="QVR51" s="76"/>
      <c r="QVS51" s="76"/>
      <c r="QVT51" s="76"/>
      <c r="QVU51" s="76"/>
      <c r="QVV51" s="76"/>
      <c r="QVW51" s="76"/>
      <c r="QVX51" s="76"/>
      <c r="QVY51" s="76"/>
      <c r="QVZ51" s="76"/>
      <c r="QWA51" s="76"/>
      <c r="QWB51" s="76"/>
      <c r="QWC51" s="76"/>
      <c r="QWD51" s="76"/>
      <c r="QWE51" s="76"/>
      <c r="QWF51" s="76"/>
      <c r="QWG51" s="76"/>
      <c r="QWH51" s="76"/>
      <c r="QWI51" s="76"/>
      <c r="QWJ51" s="76"/>
      <c r="QWK51" s="76"/>
      <c r="QWL51" s="76"/>
      <c r="QWM51" s="76"/>
      <c r="QWN51" s="76"/>
      <c r="QWO51" s="76"/>
      <c r="QWP51" s="76"/>
      <c r="QWQ51" s="76"/>
      <c r="QWR51" s="76"/>
      <c r="QWS51" s="76"/>
      <c r="QWT51" s="76"/>
      <c r="QWU51" s="76"/>
      <c r="QWV51" s="76"/>
      <c r="QWW51" s="76"/>
      <c r="QWX51" s="76"/>
      <c r="QWY51" s="76"/>
      <c r="QWZ51" s="76"/>
      <c r="QXA51" s="76"/>
      <c r="QXB51" s="76"/>
      <c r="QXC51" s="76"/>
      <c r="QXD51" s="76"/>
      <c r="QXE51" s="76"/>
      <c r="QXF51" s="76"/>
      <c r="QXG51" s="76"/>
      <c r="QXH51" s="76"/>
      <c r="QXI51" s="76"/>
      <c r="QXJ51" s="76"/>
      <c r="QXK51" s="76"/>
      <c r="QXL51" s="76"/>
      <c r="QXM51" s="76"/>
      <c r="QXN51" s="76"/>
      <c r="QXO51" s="76"/>
      <c r="QXP51" s="76"/>
      <c r="QXQ51" s="76"/>
      <c r="QXR51" s="76"/>
      <c r="QXS51" s="76"/>
      <c r="QXT51" s="76"/>
      <c r="QXU51" s="76"/>
      <c r="QXV51" s="76"/>
      <c r="QXW51" s="76"/>
      <c r="QXX51" s="76"/>
      <c r="QXY51" s="76"/>
      <c r="QXZ51" s="76"/>
      <c r="QYA51" s="76"/>
      <c r="QYB51" s="76"/>
      <c r="QYC51" s="76"/>
      <c r="QYD51" s="76"/>
      <c r="QYE51" s="76"/>
      <c r="QYF51" s="76"/>
      <c r="QYG51" s="76"/>
      <c r="QYH51" s="76"/>
      <c r="QYI51" s="76"/>
      <c r="QYJ51" s="76"/>
      <c r="QYK51" s="76"/>
      <c r="QYL51" s="76"/>
      <c r="QYM51" s="76"/>
      <c r="QYN51" s="76"/>
      <c r="QYO51" s="76"/>
      <c r="QYP51" s="76"/>
      <c r="QYQ51" s="76"/>
      <c r="QYR51" s="76"/>
      <c r="QYS51" s="76"/>
      <c r="QYT51" s="76"/>
      <c r="QYU51" s="76"/>
      <c r="QYV51" s="76"/>
      <c r="QYW51" s="76"/>
      <c r="QYX51" s="76"/>
      <c r="QYY51" s="76"/>
      <c r="QYZ51" s="76"/>
      <c r="QZA51" s="76"/>
      <c r="QZB51" s="76"/>
      <c r="QZC51" s="76"/>
      <c r="QZD51" s="76"/>
      <c r="QZE51" s="76"/>
      <c r="QZF51" s="76"/>
      <c r="QZG51" s="76"/>
      <c r="QZH51" s="76"/>
      <c r="QZI51" s="76"/>
      <c r="QZJ51" s="76"/>
      <c r="QZK51" s="76"/>
      <c r="QZL51" s="76"/>
      <c r="QZM51" s="76"/>
      <c r="QZN51" s="76"/>
      <c r="QZO51" s="76"/>
      <c r="QZP51" s="76"/>
      <c r="QZQ51" s="76"/>
      <c r="QZR51" s="76"/>
      <c r="QZS51" s="76"/>
      <c r="QZT51" s="76"/>
      <c r="QZU51" s="76"/>
      <c r="QZV51" s="76"/>
      <c r="QZW51" s="76"/>
      <c r="QZX51" s="76"/>
      <c r="QZY51" s="76"/>
      <c r="QZZ51" s="76"/>
      <c r="RAA51" s="76"/>
      <c r="RAB51" s="76"/>
      <c r="RAC51" s="76"/>
      <c r="RAD51" s="76"/>
      <c r="RAE51" s="76"/>
      <c r="RAF51" s="76"/>
      <c r="RAG51" s="76"/>
      <c r="RAH51" s="76"/>
      <c r="RAI51" s="76"/>
      <c r="RAJ51" s="76"/>
      <c r="RAK51" s="76"/>
      <c r="RAL51" s="76"/>
      <c r="RAM51" s="76"/>
      <c r="RAN51" s="76"/>
      <c r="RAO51" s="76"/>
      <c r="RAP51" s="76"/>
      <c r="RAQ51" s="76"/>
      <c r="RAR51" s="76"/>
      <c r="RAS51" s="76"/>
      <c r="RAT51" s="76"/>
      <c r="RAU51" s="76"/>
      <c r="RAV51" s="76"/>
      <c r="RAW51" s="76"/>
      <c r="RAX51" s="76"/>
      <c r="RAY51" s="76"/>
      <c r="RAZ51" s="76"/>
      <c r="RBA51" s="76"/>
      <c r="RBB51" s="76"/>
      <c r="RBC51" s="76"/>
      <c r="RBD51" s="76"/>
      <c r="RBE51" s="76"/>
      <c r="RBF51" s="76"/>
      <c r="RBG51" s="76"/>
      <c r="RBH51" s="76"/>
      <c r="RBI51" s="76"/>
      <c r="RBJ51" s="76"/>
      <c r="RBK51" s="76"/>
      <c r="RBL51" s="76"/>
      <c r="RBM51" s="76"/>
      <c r="RBN51" s="76"/>
      <c r="RBO51" s="76"/>
      <c r="RBP51" s="76"/>
      <c r="RBQ51" s="76"/>
      <c r="RBR51" s="76"/>
      <c r="RBS51" s="76"/>
      <c r="RBT51" s="76"/>
      <c r="RBU51" s="76"/>
      <c r="RBV51" s="76"/>
      <c r="RBW51" s="76"/>
      <c r="RBX51" s="76"/>
      <c r="RBY51" s="76"/>
      <c r="RBZ51" s="76"/>
      <c r="RCA51" s="76"/>
      <c r="RCB51" s="76"/>
      <c r="RCC51" s="76"/>
      <c r="RCD51" s="76"/>
      <c r="RCE51" s="76"/>
      <c r="RCF51" s="76"/>
      <c r="RCG51" s="76"/>
      <c r="RCH51" s="76"/>
      <c r="RCI51" s="76"/>
      <c r="RCJ51" s="76"/>
      <c r="RCK51" s="76"/>
      <c r="RCL51" s="76"/>
      <c r="RCM51" s="76"/>
      <c r="RCN51" s="76"/>
      <c r="RCO51" s="76"/>
      <c r="RCP51" s="76"/>
      <c r="RCQ51" s="76"/>
      <c r="RCR51" s="76"/>
      <c r="RCS51" s="76"/>
      <c r="RCT51" s="76"/>
      <c r="RCU51" s="76"/>
      <c r="RCV51" s="76"/>
      <c r="RCW51" s="76"/>
      <c r="RCX51" s="76"/>
      <c r="RCY51" s="76"/>
      <c r="RCZ51" s="76"/>
      <c r="RDA51" s="76"/>
      <c r="RDB51" s="76"/>
      <c r="RDC51" s="76"/>
      <c r="RDD51" s="76"/>
      <c r="RDE51" s="76"/>
      <c r="RDF51" s="76"/>
      <c r="RDG51" s="76"/>
      <c r="RDH51" s="76"/>
      <c r="RDI51" s="76"/>
      <c r="RDJ51" s="76"/>
      <c r="RDK51" s="76"/>
      <c r="RDL51" s="76"/>
      <c r="RDM51" s="76"/>
      <c r="RDN51" s="76"/>
      <c r="RDO51" s="76"/>
      <c r="RDP51" s="76"/>
      <c r="RDQ51" s="76"/>
      <c r="RDR51" s="76"/>
      <c r="RDS51" s="76"/>
      <c r="RDT51" s="76"/>
      <c r="RDU51" s="76"/>
      <c r="RDV51" s="76"/>
      <c r="RDW51" s="76"/>
      <c r="RDX51" s="76"/>
      <c r="RDY51" s="76"/>
      <c r="RDZ51" s="76"/>
      <c r="REA51" s="76"/>
      <c r="REB51" s="76"/>
      <c r="REC51" s="76"/>
      <c r="RED51" s="76"/>
      <c r="REE51" s="76"/>
      <c r="REF51" s="76"/>
      <c r="REG51" s="76"/>
      <c r="REH51" s="76"/>
      <c r="REI51" s="76"/>
      <c r="REJ51" s="76"/>
      <c r="REK51" s="76"/>
      <c r="REL51" s="76"/>
      <c r="REM51" s="76"/>
      <c r="REN51" s="76"/>
      <c r="REO51" s="76"/>
      <c r="REP51" s="76"/>
      <c r="REQ51" s="76"/>
      <c r="RER51" s="76"/>
      <c r="RES51" s="76"/>
      <c r="RET51" s="76"/>
      <c r="REU51" s="76"/>
      <c r="REV51" s="76"/>
      <c r="REW51" s="76"/>
      <c r="REX51" s="76"/>
      <c r="REY51" s="76"/>
      <c r="REZ51" s="76"/>
      <c r="RFA51" s="76"/>
      <c r="RFB51" s="76"/>
      <c r="RFC51" s="76"/>
      <c r="RFD51" s="76"/>
      <c r="RFE51" s="76"/>
      <c r="RFF51" s="76"/>
      <c r="RFG51" s="76"/>
      <c r="RFH51" s="76"/>
      <c r="RFI51" s="76"/>
      <c r="RFJ51" s="76"/>
      <c r="RFK51" s="76"/>
      <c r="RFL51" s="76"/>
      <c r="RFM51" s="76"/>
      <c r="RFN51" s="76"/>
      <c r="RFO51" s="76"/>
      <c r="RFP51" s="76"/>
      <c r="RFQ51" s="76"/>
      <c r="RFR51" s="76"/>
      <c r="RFS51" s="76"/>
      <c r="RFT51" s="76"/>
      <c r="RFU51" s="76"/>
      <c r="RFV51" s="76"/>
      <c r="RFW51" s="76"/>
      <c r="RFX51" s="76"/>
      <c r="RFY51" s="76"/>
      <c r="RFZ51" s="76"/>
      <c r="RGA51" s="76"/>
      <c r="RGB51" s="76"/>
      <c r="RGC51" s="76"/>
      <c r="RGD51" s="76"/>
      <c r="RGE51" s="76"/>
      <c r="RGF51" s="76"/>
      <c r="RGG51" s="76"/>
      <c r="RGH51" s="76"/>
      <c r="RGI51" s="76"/>
      <c r="RGJ51" s="76"/>
      <c r="RGK51" s="76"/>
      <c r="RGL51" s="76"/>
      <c r="RGM51" s="76"/>
      <c r="RGN51" s="76"/>
      <c r="RGO51" s="76"/>
      <c r="RGP51" s="76"/>
      <c r="RGQ51" s="76"/>
      <c r="RGR51" s="76"/>
      <c r="RGS51" s="76"/>
      <c r="RGT51" s="76"/>
      <c r="RGU51" s="76"/>
      <c r="RGV51" s="76"/>
      <c r="RGW51" s="76"/>
      <c r="RGX51" s="76"/>
      <c r="RGY51" s="76"/>
      <c r="RGZ51" s="76"/>
      <c r="RHA51" s="76"/>
      <c r="RHB51" s="76"/>
      <c r="RHC51" s="76"/>
      <c r="RHD51" s="76"/>
      <c r="RHE51" s="76"/>
      <c r="RHF51" s="76"/>
      <c r="RHG51" s="76"/>
      <c r="RHH51" s="76"/>
      <c r="RHI51" s="76"/>
      <c r="RHJ51" s="76"/>
      <c r="RHK51" s="76"/>
      <c r="RHL51" s="76"/>
      <c r="RHM51" s="76"/>
      <c r="RHN51" s="76"/>
      <c r="RHO51" s="76"/>
      <c r="RHP51" s="76"/>
      <c r="RHQ51" s="76"/>
      <c r="RHR51" s="76"/>
      <c r="RHS51" s="76"/>
      <c r="RHT51" s="76"/>
      <c r="RHU51" s="76"/>
      <c r="RHV51" s="76"/>
      <c r="RHW51" s="76"/>
      <c r="RHX51" s="76"/>
      <c r="RHY51" s="76"/>
      <c r="RHZ51" s="76"/>
      <c r="RIA51" s="76"/>
      <c r="RIB51" s="76"/>
      <c r="RIC51" s="76"/>
      <c r="RID51" s="76"/>
      <c r="RIE51" s="76"/>
      <c r="RIF51" s="76"/>
      <c r="RIG51" s="76"/>
      <c r="RIH51" s="76"/>
      <c r="RII51" s="76"/>
      <c r="RIJ51" s="76"/>
      <c r="RIK51" s="76"/>
      <c r="RIL51" s="76"/>
      <c r="RIM51" s="76"/>
      <c r="RIN51" s="76"/>
      <c r="RIO51" s="76"/>
      <c r="RIP51" s="76"/>
      <c r="RIQ51" s="76"/>
      <c r="RIR51" s="76"/>
      <c r="RIS51" s="76"/>
      <c r="RIT51" s="76"/>
      <c r="RIU51" s="76"/>
      <c r="RIV51" s="76"/>
      <c r="RIW51" s="76"/>
      <c r="RIX51" s="76"/>
      <c r="RIY51" s="76"/>
      <c r="RIZ51" s="76"/>
      <c r="RJA51" s="76"/>
      <c r="RJB51" s="76"/>
      <c r="RJC51" s="76"/>
      <c r="RJD51" s="76"/>
      <c r="RJE51" s="76"/>
      <c r="RJF51" s="76"/>
      <c r="RJG51" s="76"/>
      <c r="RJH51" s="76"/>
      <c r="RJI51" s="76"/>
      <c r="RJJ51" s="76"/>
      <c r="RJK51" s="76"/>
      <c r="RJL51" s="76"/>
      <c r="RJM51" s="76"/>
      <c r="RJN51" s="76"/>
      <c r="RJO51" s="76"/>
      <c r="RJP51" s="76"/>
      <c r="RJQ51" s="76"/>
      <c r="RJR51" s="76"/>
      <c r="RJS51" s="76"/>
      <c r="RJT51" s="76"/>
      <c r="RJU51" s="76"/>
      <c r="RJV51" s="76"/>
      <c r="RJW51" s="76"/>
      <c r="RJX51" s="76"/>
      <c r="RJY51" s="76"/>
      <c r="RJZ51" s="76"/>
      <c r="RKA51" s="76"/>
      <c r="RKB51" s="76"/>
      <c r="RKC51" s="76"/>
      <c r="RKD51" s="76"/>
      <c r="RKE51" s="76"/>
      <c r="RKF51" s="76"/>
      <c r="RKG51" s="76"/>
      <c r="RKH51" s="76"/>
      <c r="RKI51" s="76"/>
      <c r="RKJ51" s="76"/>
      <c r="RKK51" s="76"/>
      <c r="RKL51" s="76"/>
      <c r="RKM51" s="76"/>
      <c r="RKN51" s="76"/>
      <c r="RKO51" s="76"/>
      <c r="RKP51" s="76"/>
      <c r="RKQ51" s="76"/>
      <c r="RKR51" s="76"/>
      <c r="RKS51" s="76"/>
      <c r="RKT51" s="76"/>
      <c r="RKU51" s="76"/>
      <c r="RKV51" s="76"/>
      <c r="RKW51" s="76"/>
      <c r="RKX51" s="76"/>
      <c r="RKY51" s="76"/>
      <c r="RKZ51" s="76"/>
      <c r="RLA51" s="76"/>
      <c r="RLB51" s="76"/>
      <c r="RLC51" s="76"/>
      <c r="RLD51" s="76"/>
      <c r="RLE51" s="76"/>
      <c r="RLF51" s="76"/>
      <c r="RLG51" s="76"/>
      <c r="RLH51" s="76"/>
      <c r="RLI51" s="76"/>
      <c r="RLJ51" s="76"/>
      <c r="RLK51" s="76"/>
      <c r="RLL51" s="76"/>
      <c r="RLM51" s="76"/>
      <c r="RLN51" s="76"/>
      <c r="RLO51" s="76"/>
      <c r="RLP51" s="76"/>
      <c r="RLQ51" s="76"/>
      <c r="RLR51" s="76"/>
      <c r="RLS51" s="76"/>
      <c r="RLT51" s="76"/>
      <c r="RLU51" s="76"/>
      <c r="RLV51" s="76"/>
      <c r="RLW51" s="76"/>
      <c r="RLX51" s="76"/>
      <c r="RLY51" s="76"/>
      <c r="RLZ51" s="76"/>
      <c r="RMA51" s="76"/>
      <c r="RMB51" s="76"/>
      <c r="RMC51" s="76"/>
      <c r="RMD51" s="76"/>
      <c r="RME51" s="76"/>
      <c r="RMF51" s="76"/>
      <c r="RMG51" s="76"/>
      <c r="RMH51" s="76"/>
      <c r="RMI51" s="76"/>
      <c r="RMJ51" s="76"/>
      <c r="RMK51" s="76"/>
      <c r="RML51" s="76"/>
      <c r="RMM51" s="76"/>
      <c r="RMN51" s="76"/>
      <c r="RMO51" s="76"/>
      <c r="RMP51" s="76"/>
      <c r="RMQ51" s="76"/>
      <c r="RMR51" s="76"/>
      <c r="RMS51" s="76"/>
      <c r="RMT51" s="76"/>
      <c r="RMU51" s="76"/>
      <c r="RMV51" s="76"/>
      <c r="RMW51" s="76"/>
      <c r="RMX51" s="76"/>
      <c r="RMY51" s="76"/>
      <c r="RMZ51" s="76"/>
      <c r="RNA51" s="76"/>
      <c r="RNB51" s="76"/>
      <c r="RNC51" s="76"/>
      <c r="RND51" s="76"/>
      <c r="RNE51" s="76"/>
      <c r="RNF51" s="76"/>
      <c r="RNG51" s="76"/>
      <c r="RNH51" s="76"/>
      <c r="RNI51" s="76"/>
      <c r="RNJ51" s="76"/>
      <c r="RNK51" s="76"/>
      <c r="RNL51" s="76"/>
      <c r="RNM51" s="76"/>
      <c r="RNN51" s="76"/>
      <c r="RNO51" s="76"/>
      <c r="RNP51" s="76"/>
      <c r="RNQ51" s="76"/>
      <c r="RNR51" s="76"/>
      <c r="RNS51" s="76"/>
      <c r="RNT51" s="76"/>
      <c r="RNU51" s="76"/>
      <c r="RNV51" s="76"/>
      <c r="RNW51" s="76"/>
      <c r="RNX51" s="76"/>
      <c r="RNY51" s="76"/>
      <c r="RNZ51" s="76"/>
      <c r="ROA51" s="76"/>
      <c r="ROB51" s="76"/>
      <c r="ROC51" s="76"/>
      <c r="ROD51" s="76"/>
      <c r="ROE51" s="76"/>
      <c r="ROF51" s="76"/>
      <c r="ROG51" s="76"/>
      <c r="ROH51" s="76"/>
      <c r="ROI51" s="76"/>
      <c r="ROJ51" s="76"/>
      <c r="ROK51" s="76"/>
      <c r="ROL51" s="76"/>
      <c r="ROM51" s="76"/>
      <c r="RON51" s="76"/>
      <c r="ROO51" s="76"/>
      <c r="ROP51" s="76"/>
      <c r="ROQ51" s="76"/>
      <c r="ROR51" s="76"/>
      <c r="ROS51" s="76"/>
      <c r="ROT51" s="76"/>
      <c r="ROU51" s="76"/>
      <c r="ROV51" s="76"/>
      <c r="ROW51" s="76"/>
      <c r="ROX51" s="76"/>
      <c r="ROY51" s="76"/>
      <c r="ROZ51" s="76"/>
      <c r="RPA51" s="76"/>
      <c r="RPB51" s="76"/>
      <c r="RPC51" s="76"/>
      <c r="RPD51" s="76"/>
      <c r="RPE51" s="76"/>
      <c r="RPF51" s="76"/>
      <c r="RPG51" s="76"/>
      <c r="RPH51" s="76"/>
      <c r="RPI51" s="76"/>
      <c r="RPJ51" s="76"/>
      <c r="RPK51" s="76"/>
      <c r="RPL51" s="76"/>
      <c r="RPM51" s="76"/>
      <c r="RPN51" s="76"/>
      <c r="RPO51" s="76"/>
      <c r="RPP51" s="76"/>
      <c r="RPQ51" s="76"/>
      <c r="RPR51" s="76"/>
      <c r="RPS51" s="76"/>
      <c r="RPT51" s="76"/>
      <c r="RPU51" s="76"/>
      <c r="RPV51" s="76"/>
      <c r="RPW51" s="76"/>
      <c r="RPX51" s="76"/>
      <c r="RPY51" s="76"/>
      <c r="RPZ51" s="76"/>
      <c r="RQA51" s="76"/>
      <c r="RQB51" s="76"/>
      <c r="RQC51" s="76"/>
      <c r="RQD51" s="76"/>
      <c r="RQE51" s="76"/>
      <c r="RQF51" s="76"/>
      <c r="RQG51" s="76"/>
      <c r="RQH51" s="76"/>
      <c r="RQI51" s="76"/>
      <c r="RQJ51" s="76"/>
      <c r="RQK51" s="76"/>
      <c r="RQL51" s="76"/>
      <c r="RQM51" s="76"/>
      <c r="RQN51" s="76"/>
      <c r="RQO51" s="76"/>
      <c r="RQP51" s="76"/>
      <c r="RQQ51" s="76"/>
      <c r="RQR51" s="76"/>
      <c r="RQS51" s="76"/>
      <c r="RQT51" s="76"/>
      <c r="RQU51" s="76"/>
      <c r="RQV51" s="76"/>
      <c r="RQW51" s="76"/>
      <c r="RQX51" s="76"/>
      <c r="RQY51" s="76"/>
      <c r="RQZ51" s="76"/>
      <c r="RRA51" s="76"/>
      <c r="RRB51" s="76"/>
      <c r="RRC51" s="76"/>
      <c r="RRD51" s="76"/>
      <c r="RRE51" s="76"/>
      <c r="RRF51" s="76"/>
      <c r="RRG51" s="76"/>
      <c r="RRH51" s="76"/>
      <c r="RRI51" s="76"/>
      <c r="RRJ51" s="76"/>
      <c r="RRK51" s="76"/>
      <c r="RRL51" s="76"/>
      <c r="RRM51" s="76"/>
      <c r="RRN51" s="76"/>
      <c r="RRO51" s="76"/>
      <c r="RRP51" s="76"/>
      <c r="RRQ51" s="76"/>
      <c r="RRR51" s="76"/>
      <c r="RRS51" s="76"/>
      <c r="RRT51" s="76"/>
      <c r="RRU51" s="76"/>
      <c r="RRV51" s="76"/>
      <c r="RRW51" s="76"/>
      <c r="RRX51" s="76"/>
      <c r="RRY51" s="76"/>
      <c r="RRZ51" s="76"/>
      <c r="RSA51" s="76"/>
      <c r="RSB51" s="76"/>
      <c r="RSC51" s="76"/>
      <c r="RSD51" s="76"/>
      <c r="RSE51" s="76"/>
      <c r="RSF51" s="76"/>
      <c r="RSG51" s="76"/>
      <c r="RSH51" s="76"/>
      <c r="RSI51" s="76"/>
      <c r="RSJ51" s="76"/>
      <c r="RSK51" s="76"/>
      <c r="RSL51" s="76"/>
      <c r="RSM51" s="76"/>
      <c r="RSN51" s="76"/>
      <c r="RSO51" s="76"/>
      <c r="RSP51" s="76"/>
      <c r="RSQ51" s="76"/>
      <c r="RSR51" s="76"/>
      <c r="RSS51" s="76"/>
      <c r="RST51" s="76"/>
      <c r="RSU51" s="76"/>
      <c r="RSV51" s="76"/>
      <c r="RSW51" s="76"/>
      <c r="RSX51" s="76"/>
      <c r="RSY51" s="76"/>
      <c r="RSZ51" s="76"/>
      <c r="RTA51" s="76"/>
      <c r="RTB51" s="76"/>
      <c r="RTC51" s="76"/>
      <c r="RTD51" s="76"/>
      <c r="RTE51" s="76"/>
      <c r="RTF51" s="76"/>
      <c r="RTG51" s="76"/>
      <c r="RTH51" s="76"/>
      <c r="RTI51" s="76"/>
      <c r="RTJ51" s="76"/>
      <c r="RTK51" s="76"/>
      <c r="RTL51" s="76"/>
      <c r="RTM51" s="76"/>
      <c r="RTN51" s="76"/>
      <c r="RTO51" s="76"/>
      <c r="RTP51" s="76"/>
      <c r="RTQ51" s="76"/>
      <c r="RTR51" s="76"/>
      <c r="RTS51" s="76"/>
      <c r="RTT51" s="76"/>
      <c r="RTU51" s="76"/>
      <c r="RTV51" s="76"/>
      <c r="RTW51" s="76"/>
      <c r="RTX51" s="76"/>
      <c r="RTY51" s="76"/>
      <c r="RTZ51" s="76"/>
      <c r="RUA51" s="76"/>
      <c r="RUB51" s="76"/>
      <c r="RUC51" s="76"/>
      <c r="RUD51" s="76"/>
      <c r="RUE51" s="76"/>
      <c r="RUF51" s="76"/>
      <c r="RUG51" s="76"/>
      <c r="RUH51" s="76"/>
      <c r="RUI51" s="76"/>
      <c r="RUJ51" s="76"/>
      <c r="RUK51" s="76"/>
      <c r="RUL51" s="76"/>
      <c r="RUM51" s="76"/>
      <c r="RUN51" s="76"/>
      <c r="RUO51" s="76"/>
      <c r="RUP51" s="76"/>
      <c r="RUQ51" s="76"/>
      <c r="RUR51" s="76"/>
      <c r="RUS51" s="76"/>
      <c r="RUT51" s="76"/>
      <c r="RUU51" s="76"/>
      <c r="RUV51" s="76"/>
      <c r="RUW51" s="76"/>
      <c r="RUX51" s="76"/>
      <c r="RUY51" s="76"/>
      <c r="RUZ51" s="76"/>
      <c r="RVA51" s="76"/>
      <c r="RVB51" s="76"/>
      <c r="RVC51" s="76"/>
      <c r="RVD51" s="76"/>
      <c r="RVE51" s="76"/>
      <c r="RVF51" s="76"/>
      <c r="RVG51" s="76"/>
      <c r="RVH51" s="76"/>
      <c r="RVI51" s="76"/>
      <c r="RVJ51" s="76"/>
      <c r="RVK51" s="76"/>
      <c r="RVL51" s="76"/>
      <c r="RVM51" s="76"/>
      <c r="RVN51" s="76"/>
      <c r="RVO51" s="76"/>
      <c r="RVP51" s="76"/>
      <c r="RVQ51" s="76"/>
      <c r="RVR51" s="76"/>
      <c r="RVS51" s="76"/>
      <c r="RVT51" s="76"/>
      <c r="RVU51" s="76"/>
      <c r="RVV51" s="76"/>
      <c r="RVW51" s="76"/>
      <c r="RVX51" s="76"/>
      <c r="RVY51" s="76"/>
      <c r="RVZ51" s="76"/>
      <c r="RWA51" s="76"/>
      <c r="RWB51" s="76"/>
      <c r="RWC51" s="76"/>
      <c r="RWD51" s="76"/>
      <c r="RWE51" s="76"/>
      <c r="RWF51" s="76"/>
      <c r="RWG51" s="76"/>
      <c r="RWH51" s="76"/>
      <c r="RWI51" s="76"/>
      <c r="RWJ51" s="76"/>
      <c r="RWK51" s="76"/>
      <c r="RWL51" s="76"/>
      <c r="RWM51" s="76"/>
      <c r="RWN51" s="76"/>
      <c r="RWO51" s="76"/>
      <c r="RWP51" s="76"/>
      <c r="RWQ51" s="76"/>
      <c r="RWR51" s="76"/>
      <c r="RWS51" s="76"/>
      <c r="RWT51" s="76"/>
      <c r="RWU51" s="76"/>
      <c r="RWV51" s="76"/>
      <c r="RWW51" s="76"/>
      <c r="RWX51" s="76"/>
      <c r="RWY51" s="76"/>
      <c r="RWZ51" s="76"/>
      <c r="RXA51" s="76"/>
      <c r="RXB51" s="76"/>
      <c r="RXC51" s="76"/>
      <c r="RXD51" s="76"/>
      <c r="RXE51" s="76"/>
      <c r="RXF51" s="76"/>
      <c r="RXG51" s="76"/>
      <c r="RXH51" s="76"/>
      <c r="RXI51" s="76"/>
      <c r="RXJ51" s="76"/>
      <c r="RXK51" s="76"/>
      <c r="RXL51" s="76"/>
      <c r="RXM51" s="76"/>
      <c r="RXN51" s="76"/>
      <c r="RXO51" s="76"/>
      <c r="RXP51" s="76"/>
      <c r="RXQ51" s="76"/>
      <c r="RXR51" s="76"/>
      <c r="RXS51" s="76"/>
      <c r="RXT51" s="76"/>
      <c r="RXU51" s="76"/>
      <c r="RXV51" s="76"/>
      <c r="RXW51" s="76"/>
      <c r="RXX51" s="76"/>
      <c r="RXY51" s="76"/>
      <c r="RXZ51" s="76"/>
      <c r="RYA51" s="76"/>
      <c r="RYB51" s="76"/>
      <c r="RYC51" s="76"/>
      <c r="RYD51" s="76"/>
      <c r="RYE51" s="76"/>
      <c r="RYF51" s="76"/>
      <c r="RYG51" s="76"/>
      <c r="RYH51" s="76"/>
      <c r="RYI51" s="76"/>
      <c r="RYJ51" s="76"/>
      <c r="RYK51" s="76"/>
      <c r="RYL51" s="76"/>
      <c r="RYM51" s="76"/>
      <c r="RYN51" s="76"/>
      <c r="RYO51" s="76"/>
      <c r="RYP51" s="76"/>
      <c r="RYQ51" s="76"/>
      <c r="RYR51" s="76"/>
      <c r="RYS51" s="76"/>
      <c r="RYT51" s="76"/>
      <c r="RYU51" s="76"/>
      <c r="RYV51" s="76"/>
      <c r="RYW51" s="76"/>
      <c r="RYX51" s="76"/>
      <c r="RYY51" s="76"/>
      <c r="RYZ51" s="76"/>
      <c r="RZA51" s="76"/>
      <c r="RZB51" s="76"/>
      <c r="RZC51" s="76"/>
      <c r="RZD51" s="76"/>
      <c r="RZE51" s="76"/>
      <c r="RZF51" s="76"/>
      <c r="RZG51" s="76"/>
      <c r="RZH51" s="76"/>
      <c r="RZI51" s="76"/>
      <c r="RZJ51" s="76"/>
      <c r="RZK51" s="76"/>
      <c r="RZL51" s="76"/>
      <c r="RZM51" s="76"/>
      <c r="RZN51" s="76"/>
      <c r="RZO51" s="76"/>
      <c r="RZP51" s="76"/>
      <c r="RZQ51" s="76"/>
      <c r="RZR51" s="76"/>
      <c r="RZS51" s="76"/>
      <c r="RZT51" s="76"/>
      <c r="RZU51" s="76"/>
      <c r="RZV51" s="76"/>
      <c r="RZW51" s="76"/>
      <c r="RZX51" s="76"/>
      <c r="RZY51" s="76"/>
      <c r="RZZ51" s="76"/>
      <c r="SAA51" s="76"/>
      <c r="SAB51" s="76"/>
      <c r="SAC51" s="76"/>
      <c r="SAD51" s="76"/>
      <c r="SAE51" s="76"/>
      <c r="SAF51" s="76"/>
      <c r="SAG51" s="76"/>
      <c r="SAH51" s="76"/>
      <c r="SAI51" s="76"/>
      <c r="SAJ51" s="76"/>
      <c r="SAK51" s="76"/>
      <c r="SAL51" s="76"/>
      <c r="SAM51" s="76"/>
      <c r="SAN51" s="76"/>
      <c r="SAO51" s="76"/>
      <c r="SAP51" s="76"/>
      <c r="SAQ51" s="76"/>
      <c r="SAR51" s="76"/>
      <c r="SAS51" s="76"/>
      <c r="SAT51" s="76"/>
      <c r="SAU51" s="76"/>
      <c r="SAV51" s="76"/>
      <c r="SAW51" s="76"/>
      <c r="SAX51" s="76"/>
      <c r="SAY51" s="76"/>
      <c r="SAZ51" s="76"/>
      <c r="SBA51" s="76"/>
      <c r="SBB51" s="76"/>
      <c r="SBC51" s="76"/>
      <c r="SBD51" s="76"/>
      <c r="SBE51" s="76"/>
      <c r="SBF51" s="76"/>
      <c r="SBG51" s="76"/>
      <c r="SBH51" s="76"/>
      <c r="SBI51" s="76"/>
      <c r="SBJ51" s="76"/>
      <c r="SBK51" s="76"/>
      <c r="SBL51" s="76"/>
      <c r="SBM51" s="76"/>
      <c r="SBN51" s="76"/>
      <c r="SBO51" s="76"/>
      <c r="SBP51" s="76"/>
      <c r="SBQ51" s="76"/>
      <c r="SBR51" s="76"/>
      <c r="SBS51" s="76"/>
      <c r="SBT51" s="76"/>
      <c r="SBU51" s="76"/>
      <c r="SBV51" s="76"/>
      <c r="SBW51" s="76"/>
      <c r="SBX51" s="76"/>
      <c r="SBY51" s="76"/>
      <c r="SBZ51" s="76"/>
      <c r="SCA51" s="76"/>
      <c r="SCB51" s="76"/>
      <c r="SCC51" s="76"/>
      <c r="SCD51" s="76"/>
      <c r="SCE51" s="76"/>
      <c r="SCF51" s="76"/>
      <c r="SCG51" s="76"/>
      <c r="SCH51" s="76"/>
      <c r="SCI51" s="76"/>
      <c r="SCJ51" s="76"/>
      <c r="SCK51" s="76"/>
      <c r="SCL51" s="76"/>
      <c r="SCM51" s="76"/>
      <c r="SCN51" s="76"/>
      <c r="SCO51" s="76"/>
      <c r="SCP51" s="76"/>
      <c r="SCQ51" s="76"/>
      <c r="SCR51" s="76"/>
      <c r="SCS51" s="76"/>
      <c r="SCT51" s="76"/>
      <c r="SCU51" s="76"/>
      <c r="SCV51" s="76"/>
      <c r="SCW51" s="76"/>
      <c r="SCX51" s="76"/>
      <c r="SCY51" s="76"/>
      <c r="SCZ51" s="76"/>
      <c r="SDA51" s="76"/>
      <c r="SDB51" s="76"/>
      <c r="SDC51" s="76"/>
      <c r="SDD51" s="76"/>
      <c r="SDE51" s="76"/>
      <c r="SDF51" s="76"/>
      <c r="SDG51" s="76"/>
      <c r="SDH51" s="76"/>
      <c r="SDI51" s="76"/>
      <c r="SDJ51" s="76"/>
      <c r="SDK51" s="76"/>
      <c r="SDL51" s="76"/>
      <c r="SDM51" s="76"/>
      <c r="SDN51" s="76"/>
      <c r="SDO51" s="76"/>
      <c r="SDP51" s="76"/>
      <c r="SDQ51" s="76"/>
      <c r="SDR51" s="76"/>
      <c r="SDS51" s="76"/>
      <c r="SDT51" s="76"/>
      <c r="SDU51" s="76"/>
      <c r="SDV51" s="76"/>
      <c r="SDW51" s="76"/>
      <c r="SDX51" s="76"/>
      <c r="SDY51" s="76"/>
      <c r="SDZ51" s="76"/>
      <c r="SEA51" s="76"/>
      <c r="SEB51" s="76"/>
      <c r="SEC51" s="76"/>
      <c r="SED51" s="76"/>
      <c r="SEE51" s="76"/>
      <c r="SEF51" s="76"/>
      <c r="SEG51" s="76"/>
      <c r="SEH51" s="76"/>
      <c r="SEI51" s="76"/>
      <c r="SEJ51" s="76"/>
      <c r="SEK51" s="76"/>
      <c r="SEL51" s="76"/>
      <c r="SEM51" s="76"/>
      <c r="SEN51" s="76"/>
      <c r="SEO51" s="76"/>
      <c r="SEP51" s="76"/>
      <c r="SEQ51" s="76"/>
      <c r="SER51" s="76"/>
      <c r="SES51" s="76"/>
      <c r="SET51" s="76"/>
      <c r="SEU51" s="76"/>
      <c r="SEV51" s="76"/>
      <c r="SEW51" s="76"/>
      <c r="SEX51" s="76"/>
      <c r="SEY51" s="76"/>
      <c r="SEZ51" s="76"/>
      <c r="SFA51" s="76"/>
      <c r="SFB51" s="76"/>
      <c r="SFC51" s="76"/>
      <c r="SFD51" s="76"/>
      <c r="SFE51" s="76"/>
      <c r="SFF51" s="76"/>
      <c r="SFG51" s="76"/>
      <c r="SFH51" s="76"/>
      <c r="SFI51" s="76"/>
      <c r="SFJ51" s="76"/>
      <c r="SFK51" s="76"/>
      <c r="SFL51" s="76"/>
      <c r="SFM51" s="76"/>
      <c r="SFN51" s="76"/>
      <c r="SFO51" s="76"/>
      <c r="SFP51" s="76"/>
      <c r="SFQ51" s="76"/>
      <c r="SFR51" s="76"/>
      <c r="SFS51" s="76"/>
      <c r="SFT51" s="76"/>
      <c r="SFU51" s="76"/>
      <c r="SFV51" s="76"/>
      <c r="SFW51" s="76"/>
      <c r="SFX51" s="76"/>
      <c r="SFY51" s="76"/>
      <c r="SFZ51" s="76"/>
      <c r="SGA51" s="76"/>
      <c r="SGB51" s="76"/>
      <c r="SGC51" s="76"/>
      <c r="SGD51" s="76"/>
      <c r="SGE51" s="76"/>
      <c r="SGF51" s="76"/>
      <c r="SGG51" s="76"/>
      <c r="SGH51" s="76"/>
      <c r="SGI51" s="76"/>
      <c r="SGJ51" s="76"/>
      <c r="SGK51" s="76"/>
      <c r="SGL51" s="76"/>
      <c r="SGM51" s="76"/>
      <c r="SGN51" s="76"/>
      <c r="SGO51" s="76"/>
      <c r="SGP51" s="76"/>
      <c r="SGQ51" s="76"/>
      <c r="SGR51" s="76"/>
      <c r="SGS51" s="76"/>
      <c r="SGT51" s="76"/>
      <c r="SGU51" s="76"/>
      <c r="SGV51" s="76"/>
      <c r="SGW51" s="76"/>
      <c r="SGX51" s="76"/>
      <c r="SGY51" s="76"/>
      <c r="SGZ51" s="76"/>
      <c r="SHA51" s="76"/>
      <c r="SHB51" s="76"/>
      <c r="SHC51" s="76"/>
      <c r="SHD51" s="76"/>
      <c r="SHE51" s="76"/>
      <c r="SHF51" s="76"/>
      <c r="SHG51" s="76"/>
      <c r="SHH51" s="76"/>
      <c r="SHI51" s="76"/>
      <c r="SHJ51" s="76"/>
      <c r="SHK51" s="76"/>
      <c r="SHL51" s="76"/>
      <c r="SHM51" s="76"/>
      <c r="SHN51" s="76"/>
      <c r="SHO51" s="76"/>
      <c r="SHP51" s="76"/>
      <c r="SHQ51" s="76"/>
      <c r="SHR51" s="76"/>
      <c r="SHS51" s="76"/>
      <c r="SHT51" s="76"/>
      <c r="SHU51" s="76"/>
      <c r="SHV51" s="76"/>
      <c r="SHW51" s="76"/>
      <c r="SHX51" s="76"/>
      <c r="SHY51" s="76"/>
      <c r="SHZ51" s="76"/>
      <c r="SIA51" s="76"/>
      <c r="SIB51" s="76"/>
      <c r="SIC51" s="76"/>
      <c r="SID51" s="76"/>
      <c r="SIE51" s="76"/>
      <c r="SIF51" s="76"/>
      <c r="SIG51" s="76"/>
      <c r="SIH51" s="76"/>
      <c r="SII51" s="76"/>
      <c r="SIJ51" s="76"/>
      <c r="SIK51" s="76"/>
      <c r="SIL51" s="76"/>
      <c r="SIM51" s="76"/>
      <c r="SIN51" s="76"/>
      <c r="SIO51" s="76"/>
      <c r="SIP51" s="76"/>
      <c r="SIQ51" s="76"/>
      <c r="SIR51" s="76"/>
      <c r="SIS51" s="76"/>
      <c r="SIT51" s="76"/>
      <c r="SIU51" s="76"/>
      <c r="SIV51" s="76"/>
      <c r="SIW51" s="76"/>
      <c r="SIX51" s="76"/>
      <c r="SIY51" s="76"/>
      <c r="SIZ51" s="76"/>
      <c r="SJA51" s="76"/>
      <c r="SJB51" s="76"/>
      <c r="SJC51" s="76"/>
      <c r="SJD51" s="76"/>
      <c r="SJE51" s="76"/>
      <c r="SJF51" s="76"/>
      <c r="SJG51" s="76"/>
      <c r="SJH51" s="76"/>
      <c r="SJI51" s="76"/>
      <c r="SJJ51" s="76"/>
      <c r="SJK51" s="76"/>
      <c r="SJL51" s="76"/>
      <c r="SJM51" s="76"/>
      <c r="SJN51" s="76"/>
      <c r="SJO51" s="76"/>
      <c r="SJP51" s="76"/>
      <c r="SJQ51" s="76"/>
      <c r="SJR51" s="76"/>
      <c r="SJS51" s="76"/>
      <c r="SJT51" s="76"/>
      <c r="SJU51" s="76"/>
      <c r="SJV51" s="76"/>
      <c r="SJW51" s="76"/>
      <c r="SJX51" s="76"/>
      <c r="SJY51" s="76"/>
      <c r="SJZ51" s="76"/>
      <c r="SKA51" s="76"/>
      <c r="SKB51" s="76"/>
      <c r="SKC51" s="76"/>
      <c r="SKD51" s="76"/>
      <c r="SKE51" s="76"/>
      <c r="SKF51" s="76"/>
      <c r="SKG51" s="76"/>
      <c r="SKH51" s="76"/>
      <c r="SKI51" s="76"/>
      <c r="SKJ51" s="76"/>
      <c r="SKK51" s="76"/>
      <c r="SKL51" s="76"/>
      <c r="SKM51" s="76"/>
      <c r="SKN51" s="76"/>
      <c r="SKO51" s="76"/>
      <c r="SKP51" s="76"/>
      <c r="SKQ51" s="76"/>
      <c r="SKR51" s="76"/>
      <c r="SKS51" s="76"/>
      <c r="SKT51" s="76"/>
      <c r="SKU51" s="76"/>
      <c r="SKV51" s="76"/>
      <c r="SKW51" s="76"/>
      <c r="SKX51" s="76"/>
      <c r="SKY51" s="76"/>
      <c r="SKZ51" s="76"/>
      <c r="SLA51" s="76"/>
      <c r="SLB51" s="76"/>
      <c r="SLC51" s="76"/>
      <c r="SLD51" s="76"/>
      <c r="SLE51" s="76"/>
      <c r="SLF51" s="76"/>
      <c r="SLG51" s="76"/>
      <c r="SLH51" s="76"/>
      <c r="SLI51" s="76"/>
      <c r="SLJ51" s="76"/>
      <c r="SLK51" s="76"/>
      <c r="SLL51" s="76"/>
      <c r="SLM51" s="76"/>
      <c r="SLN51" s="76"/>
      <c r="SLO51" s="76"/>
      <c r="SLP51" s="76"/>
      <c r="SLQ51" s="76"/>
      <c r="SLR51" s="76"/>
      <c r="SLS51" s="76"/>
      <c r="SLT51" s="76"/>
      <c r="SLU51" s="76"/>
      <c r="SLV51" s="76"/>
      <c r="SLW51" s="76"/>
      <c r="SLX51" s="76"/>
      <c r="SLY51" s="76"/>
      <c r="SLZ51" s="76"/>
      <c r="SMA51" s="76"/>
      <c r="SMB51" s="76"/>
      <c r="SMC51" s="76"/>
      <c r="SMD51" s="76"/>
      <c r="SME51" s="76"/>
      <c r="SMF51" s="76"/>
      <c r="SMG51" s="76"/>
      <c r="SMH51" s="76"/>
      <c r="SMI51" s="76"/>
      <c r="SMJ51" s="76"/>
      <c r="SMK51" s="76"/>
      <c r="SML51" s="76"/>
      <c r="SMM51" s="76"/>
      <c r="SMN51" s="76"/>
      <c r="SMO51" s="76"/>
      <c r="SMP51" s="76"/>
      <c r="SMQ51" s="76"/>
      <c r="SMR51" s="76"/>
      <c r="SMS51" s="76"/>
      <c r="SMT51" s="76"/>
      <c r="SMU51" s="76"/>
      <c r="SMV51" s="76"/>
      <c r="SMW51" s="76"/>
      <c r="SMX51" s="76"/>
      <c r="SMY51" s="76"/>
      <c r="SMZ51" s="76"/>
      <c r="SNA51" s="76"/>
      <c r="SNB51" s="76"/>
      <c r="SNC51" s="76"/>
      <c r="SND51" s="76"/>
      <c r="SNE51" s="76"/>
      <c r="SNF51" s="76"/>
      <c r="SNG51" s="76"/>
      <c r="SNH51" s="76"/>
      <c r="SNI51" s="76"/>
      <c r="SNJ51" s="76"/>
      <c r="SNK51" s="76"/>
      <c r="SNL51" s="76"/>
      <c r="SNM51" s="76"/>
      <c r="SNN51" s="76"/>
      <c r="SNO51" s="76"/>
      <c r="SNP51" s="76"/>
      <c r="SNQ51" s="76"/>
      <c r="SNR51" s="76"/>
      <c r="SNS51" s="76"/>
      <c r="SNT51" s="76"/>
      <c r="SNU51" s="76"/>
      <c r="SNV51" s="76"/>
      <c r="SNW51" s="76"/>
      <c r="SNX51" s="76"/>
      <c r="SNY51" s="76"/>
      <c r="SNZ51" s="76"/>
      <c r="SOA51" s="76"/>
      <c r="SOB51" s="76"/>
      <c r="SOC51" s="76"/>
      <c r="SOD51" s="76"/>
      <c r="SOE51" s="76"/>
      <c r="SOF51" s="76"/>
      <c r="SOG51" s="76"/>
      <c r="SOH51" s="76"/>
      <c r="SOI51" s="76"/>
      <c r="SOJ51" s="76"/>
      <c r="SOK51" s="76"/>
      <c r="SOL51" s="76"/>
      <c r="SOM51" s="76"/>
      <c r="SON51" s="76"/>
      <c r="SOO51" s="76"/>
      <c r="SOP51" s="76"/>
      <c r="SOQ51" s="76"/>
      <c r="SOR51" s="76"/>
      <c r="SOS51" s="76"/>
      <c r="SOT51" s="76"/>
      <c r="SOU51" s="76"/>
      <c r="SOV51" s="76"/>
      <c r="SOW51" s="76"/>
      <c r="SOX51" s="76"/>
      <c r="SOY51" s="76"/>
      <c r="SOZ51" s="76"/>
      <c r="SPA51" s="76"/>
      <c r="SPB51" s="76"/>
      <c r="SPC51" s="76"/>
      <c r="SPD51" s="76"/>
      <c r="SPE51" s="76"/>
      <c r="SPF51" s="76"/>
      <c r="SPG51" s="76"/>
      <c r="SPH51" s="76"/>
      <c r="SPI51" s="76"/>
      <c r="SPJ51" s="76"/>
      <c r="SPK51" s="76"/>
      <c r="SPL51" s="76"/>
      <c r="SPM51" s="76"/>
      <c r="SPN51" s="76"/>
      <c r="SPO51" s="76"/>
      <c r="SPP51" s="76"/>
      <c r="SPQ51" s="76"/>
      <c r="SPR51" s="76"/>
      <c r="SPS51" s="76"/>
      <c r="SPT51" s="76"/>
      <c r="SPU51" s="76"/>
      <c r="SPV51" s="76"/>
      <c r="SPW51" s="76"/>
      <c r="SPX51" s="76"/>
      <c r="SPY51" s="76"/>
      <c r="SPZ51" s="76"/>
      <c r="SQA51" s="76"/>
      <c r="SQB51" s="76"/>
      <c r="SQC51" s="76"/>
      <c r="SQD51" s="76"/>
      <c r="SQE51" s="76"/>
      <c r="SQF51" s="76"/>
      <c r="SQG51" s="76"/>
      <c r="SQH51" s="76"/>
      <c r="SQI51" s="76"/>
      <c r="SQJ51" s="76"/>
      <c r="SQK51" s="76"/>
      <c r="SQL51" s="76"/>
      <c r="SQM51" s="76"/>
      <c r="SQN51" s="76"/>
      <c r="SQO51" s="76"/>
      <c r="SQP51" s="76"/>
      <c r="SQQ51" s="76"/>
      <c r="SQR51" s="76"/>
      <c r="SQS51" s="76"/>
      <c r="SQT51" s="76"/>
      <c r="SQU51" s="76"/>
      <c r="SQV51" s="76"/>
      <c r="SQW51" s="76"/>
      <c r="SQX51" s="76"/>
      <c r="SQY51" s="76"/>
      <c r="SQZ51" s="76"/>
      <c r="SRA51" s="76"/>
      <c r="SRB51" s="76"/>
      <c r="SRC51" s="76"/>
      <c r="SRD51" s="76"/>
      <c r="SRE51" s="76"/>
      <c r="SRF51" s="76"/>
      <c r="SRG51" s="76"/>
      <c r="SRH51" s="76"/>
      <c r="SRI51" s="76"/>
      <c r="SRJ51" s="76"/>
      <c r="SRK51" s="76"/>
      <c r="SRL51" s="76"/>
      <c r="SRM51" s="76"/>
      <c r="SRN51" s="76"/>
      <c r="SRO51" s="76"/>
      <c r="SRP51" s="76"/>
      <c r="SRQ51" s="76"/>
      <c r="SRR51" s="76"/>
      <c r="SRS51" s="76"/>
      <c r="SRT51" s="76"/>
      <c r="SRU51" s="76"/>
      <c r="SRV51" s="76"/>
      <c r="SRW51" s="76"/>
      <c r="SRX51" s="76"/>
      <c r="SRY51" s="76"/>
      <c r="SRZ51" s="76"/>
      <c r="SSA51" s="76"/>
      <c r="SSB51" s="76"/>
      <c r="SSC51" s="76"/>
      <c r="SSD51" s="76"/>
      <c r="SSE51" s="76"/>
      <c r="SSF51" s="76"/>
      <c r="SSG51" s="76"/>
      <c r="SSH51" s="76"/>
      <c r="SSI51" s="76"/>
      <c r="SSJ51" s="76"/>
      <c r="SSK51" s="76"/>
      <c r="SSL51" s="76"/>
      <c r="SSM51" s="76"/>
      <c r="SSN51" s="76"/>
      <c r="SSO51" s="76"/>
      <c r="SSP51" s="76"/>
      <c r="SSQ51" s="76"/>
      <c r="SSR51" s="76"/>
      <c r="SSS51" s="76"/>
      <c r="SST51" s="76"/>
      <c r="SSU51" s="76"/>
      <c r="SSV51" s="76"/>
      <c r="SSW51" s="76"/>
      <c r="SSX51" s="76"/>
      <c r="SSY51" s="76"/>
      <c r="SSZ51" s="76"/>
      <c r="STA51" s="76"/>
      <c r="STB51" s="76"/>
      <c r="STC51" s="76"/>
      <c r="STD51" s="76"/>
      <c r="STE51" s="76"/>
      <c r="STF51" s="76"/>
      <c r="STG51" s="76"/>
      <c r="STH51" s="76"/>
      <c r="STI51" s="76"/>
      <c r="STJ51" s="76"/>
      <c r="STK51" s="76"/>
      <c r="STL51" s="76"/>
      <c r="STM51" s="76"/>
      <c r="STN51" s="76"/>
      <c r="STO51" s="76"/>
      <c r="STP51" s="76"/>
      <c r="STQ51" s="76"/>
      <c r="STR51" s="76"/>
      <c r="STS51" s="76"/>
      <c r="STT51" s="76"/>
      <c r="STU51" s="76"/>
      <c r="STV51" s="76"/>
      <c r="STW51" s="76"/>
      <c r="STX51" s="76"/>
      <c r="STY51" s="76"/>
      <c r="STZ51" s="76"/>
      <c r="SUA51" s="76"/>
      <c r="SUB51" s="76"/>
      <c r="SUC51" s="76"/>
      <c r="SUD51" s="76"/>
      <c r="SUE51" s="76"/>
      <c r="SUF51" s="76"/>
      <c r="SUG51" s="76"/>
      <c r="SUH51" s="76"/>
      <c r="SUI51" s="76"/>
      <c r="SUJ51" s="76"/>
      <c r="SUK51" s="76"/>
      <c r="SUL51" s="76"/>
      <c r="SUM51" s="76"/>
      <c r="SUN51" s="76"/>
      <c r="SUO51" s="76"/>
      <c r="SUP51" s="76"/>
      <c r="SUQ51" s="76"/>
      <c r="SUR51" s="76"/>
      <c r="SUS51" s="76"/>
      <c r="SUT51" s="76"/>
      <c r="SUU51" s="76"/>
      <c r="SUV51" s="76"/>
      <c r="SUW51" s="76"/>
      <c r="SUX51" s="76"/>
      <c r="SUY51" s="76"/>
      <c r="SUZ51" s="76"/>
      <c r="SVA51" s="76"/>
      <c r="SVB51" s="76"/>
      <c r="SVC51" s="76"/>
      <c r="SVD51" s="76"/>
      <c r="SVE51" s="76"/>
      <c r="SVF51" s="76"/>
      <c r="SVG51" s="76"/>
      <c r="SVH51" s="76"/>
      <c r="SVI51" s="76"/>
      <c r="SVJ51" s="76"/>
      <c r="SVK51" s="76"/>
      <c r="SVL51" s="76"/>
      <c r="SVM51" s="76"/>
      <c r="SVN51" s="76"/>
      <c r="SVO51" s="76"/>
      <c r="SVP51" s="76"/>
      <c r="SVQ51" s="76"/>
      <c r="SVR51" s="76"/>
      <c r="SVS51" s="76"/>
      <c r="SVT51" s="76"/>
      <c r="SVU51" s="76"/>
      <c r="SVV51" s="76"/>
      <c r="SVW51" s="76"/>
      <c r="SVX51" s="76"/>
      <c r="SVY51" s="76"/>
      <c r="SVZ51" s="76"/>
      <c r="SWA51" s="76"/>
      <c r="SWB51" s="76"/>
      <c r="SWC51" s="76"/>
      <c r="SWD51" s="76"/>
      <c r="SWE51" s="76"/>
      <c r="SWF51" s="76"/>
      <c r="SWG51" s="76"/>
      <c r="SWH51" s="76"/>
      <c r="SWI51" s="76"/>
      <c r="SWJ51" s="76"/>
      <c r="SWK51" s="76"/>
      <c r="SWL51" s="76"/>
      <c r="SWM51" s="76"/>
      <c r="SWN51" s="76"/>
      <c r="SWO51" s="76"/>
      <c r="SWP51" s="76"/>
      <c r="SWQ51" s="76"/>
      <c r="SWR51" s="76"/>
      <c r="SWS51" s="76"/>
      <c r="SWT51" s="76"/>
      <c r="SWU51" s="76"/>
      <c r="SWV51" s="76"/>
      <c r="SWW51" s="76"/>
      <c r="SWX51" s="76"/>
      <c r="SWY51" s="76"/>
      <c r="SWZ51" s="76"/>
      <c r="SXA51" s="76"/>
      <c r="SXB51" s="76"/>
      <c r="SXC51" s="76"/>
      <c r="SXD51" s="76"/>
      <c r="SXE51" s="76"/>
      <c r="SXF51" s="76"/>
      <c r="SXG51" s="76"/>
      <c r="SXH51" s="76"/>
      <c r="SXI51" s="76"/>
      <c r="SXJ51" s="76"/>
      <c r="SXK51" s="76"/>
      <c r="SXL51" s="76"/>
      <c r="SXM51" s="76"/>
      <c r="SXN51" s="76"/>
      <c r="SXO51" s="76"/>
      <c r="SXP51" s="76"/>
      <c r="SXQ51" s="76"/>
      <c r="SXR51" s="76"/>
      <c r="SXS51" s="76"/>
      <c r="SXT51" s="76"/>
      <c r="SXU51" s="76"/>
      <c r="SXV51" s="76"/>
      <c r="SXW51" s="76"/>
      <c r="SXX51" s="76"/>
      <c r="SXY51" s="76"/>
      <c r="SXZ51" s="76"/>
      <c r="SYA51" s="76"/>
      <c r="SYB51" s="76"/>
      <c r="SYC51" s="76"/>
      <c r="SYD51" s="76"/>
      <c r="SYE51" s="76"/>
      <c r="SYF51" s="76"/>
      <c r="SYG51" s="76"/>
      <c r="SYH51" s="76"/>
      <c r="SYI51" s="76"/>
      <c r="SYJ51" s="76"/>
      <c r="SYK51" s="76"/>
      <c r="SYL51" s="76"/>
      <c r="SYM51" s="76"/>
      <c r="SYN51" s="76"/>
      <c r="SYO51" s="76"/>
      <c r="SYP51" s="76"/>
      <c r="SYQ51" s="76"/>
      <c r="SYR51" s="76"/>
      <c r="SYS51" s="76"/>
      <c r="SYT51" s="76"/>
      <c r="SYU51" s="76"/>
      <c r="SYV51" s="76"/>
      <c r="SYW51" s="76"/>
      <c r="SYX51" s="76"/>
      <c r="SYY51" s="76"/>
      <c r="SYZ51" s="76"/>
      <c r="SZA51" s="76"/>
      <c r="SZB51" s="76"/>
      <c r="SZC51" s="76"/>
      <c r="SZD51" s="76"/>
      <c r="SZE51" s="76"/>
      <c r="SZF51" s="76"/>
      <c r="SZG51" s="76"/>
      <c r="SZH51" s="76"/>
      <c r="SZI51" s="76"/>
      <c r="SZJ51" s="76"/>
      <c r="SZK51" s="76"/>
      <c r="SZL51" s="76"/>
      <c r="SZM51" s="76"/>
      <c r="SZN51" s="76"/>
      <c r="SZO51" s="76"/>
      <c r="SZP51" s="76"/>
      <c r="SZQ51" s="76"/>
      <c r="SZR51" s="76"/>
      <c r="SZS51" s="76"/>
      <c r="SZT51" s="76"/>
      <c r="SZU51" s="76"/>
      <c r="SZV51" s="76"/>
      <c r="SZW51" s="76"/>
      <c r="SZX51" s="76"/>
      <c r="SZY51" s="76"/>
      <c r="SZZ51" s="76"/>
      <c r="TAA51" s="76"/>
      <c r="TAB51" s="76"/>
      <c r="TAC51" s="76"/>
      <c r="TAD51" s="76"/>
      <c r="TAE51" s="76"/>
      <c r="TAF51" s="76"/>
      <c r="TAG51" s="76"/>
      <c r="TAH51" s="76"/>
      <c r="TAI51" s="76"/>
      <c r="TAJ51" s="76"/>
      <c r="TAK51" s="76"/>
      <c r="TAL51" s="76"/>
      <c r="TAM51" s="76"/>
      <c r="TAN51" s="76"/>
      <c r="TAO51" s="76"/>
      <c r="TAP51" s="76"/>
      <c r="TAQ51" s="76"/>
      <c r="TAR51" s="76"/>
      <c r="TAS51" s="76"/>
      <c r="TAT51" s="76"/>
      <c r="TAU51" s="76"/>
      <c r="TAV51" s="76"/>
      <c r="TAW51" s="76"/>
      <c r="TAX51" s="76"/>
      <c r="TAY51" s="76"/>
      <c r="TAZ51" s="76"/>
      <c r="TBA51" s="76"/>
      <c r="TBB51" s="76"/>
      <c r="TBC51" s="76"/>
      <c r="TBD51" s="76"/>
      <c r="TBE51" s="76"/>
      <c r="TBF51" s="76"/>
      <c r="TBG51" s="76"/>
      <c r="TBH51" s="76"/>
      <c r="TBI51" s="76"/>
      <c r="TBJ51" s="76"/>
      <c r="TBK51" s="76"/>
      <c r="TBL51" s="76"/>
      <c r="TBM51" s="76"/>
      <c r="TBN51" s="76"/>
      <c r="TBO51" s="76"/>
      <c r="TBP51" s="76"/>
      <c r="TBQ51" s="76"/>
      <c r="TBR51" s="76"/>
      <c r="TBS51" s="76"/>
      <c r="TBT51" s="76"/>
      <c r="TBU51" s="76"/>
      <c r="TBV51" s="76"/>
      <c r="TBW51" s="76"/>
      <c r="TBX51" s="76"/>
      <c r="TBY51" s="76"/>
      <c r="TBZ51" s="76"/>
      <c r="TCA51" s="76"/>
      <c r="TCB51" s="76"/>
      <c r="TCC51" s="76"/>
      <c r="TCD51" s="76"/>
      <c r="TCE51" s="76"/>
      <c r="TCF51" s="76"/>
      <c r="TCG51" s="76"/>
      <c r="TCH51" s="76"/>
      <c r="TCI51" s="76"/>
      <c r="TCJ51" s="76"/>
      <c r="TCK51" s="76"/>
      <c r="TCL51" s="76"/>
      <c r="TCM51" s="76"/>
      <c r="TCN51" s="76"/>
      <c r="TCO51" s="76"/>
      <c r="TCP51" s="76"/>
      <c r="TCQ51" s="76"/>
      <c r="TCR51" s="76"/>
      <c r="TCS51" s="76"/>
      <c r="TCT51" s="76"/>
      <c r="TCU51" s="76"/>
      <c r="TCV51" s="76"/>
      <c r="TCW51" s="76"/>
      <c r="TCX51" s="76"/>
      <c r="TCY51" s="76"/>
      <c r="TCZ51" s="76"/>
      <c r="TDA51" s="76"/>
      <c r="TDB51" s="76"/>
      <c r="TDC51" s="76"/>
      <c r="TDD51" s="76"/>
      <c r="TDE51" s="76"/>
      <c r="TDF51" s="76"/>
      <c r="TDG51" s="76"/>
      <c r="TDH51" s="76"/>
      <c r="TDI51" s="76"/>
      <c r="TDJ51" s="76"/>
      <c r="TDK51" s="76"/>
      <c r="TDL51" s="76"/>
      <c r="TDM51" s="76"/>
      <c r="TDN51" s="76"/>
      <c r="TDO51" s="76"/>
      <c r="TDP51" s="76"/>
      <c r="TDQ51" s="76"/>
      <c r="TDR51" s="76"/>
      <c r="TDS51" s="76"/>
      <c r="TDT51" s="76"/>
      <c r="TDU51" s="76"/>
      <c r="TDV51" s="76"/>
      <c r="TDW51" s="76"/>
      <c r="TDX51" s="76"/>
      <c r="TDY51" s="76"/>
      <c r="TDZ51" s="76"/>
      <c r="TEA51" s="76"/>
      <c r="TEB51" s="76"/>
      <c r="TEC51" s="76"/>
      <c r="TED51" s="76"/>
      <c r="TEE51" s="76"/>
      <c r="TEF51" s="76"/>
      <c r="TEG51" s="76"/>
      <c r="TEH51" s="76"/>
      <c r="TEI51" s="76"/>
      <c r="TEJ51" s="76"/>
      <c r="TEK51" s="76"/>
      <c r="TEL51" s="76"/>
      <c r="TEM51" s="76"/>
      <c r="TEN51" s="76"/>
      <c r="TEO51" s="76"/>
      <c r="TEP51" s="76"/>
      <c r="TEQ51" s="76"/>
      <c r="TER51" s="76"/>
      <c r="TES51" s="76"/>
      <c r="TET51" s="76"/>
      <c r="TEU51" s="76"/>
      <c r="TEV51" s="76"/>
      <c r="TEW51" s="76"/>
      <c r="TEX51" s="76"/>
      <c r="TEY51" s="76"/>
      <c r="TEZ51" s="76"/>
      <c r="TFA51" s="76"/>
      <c r="TFB51" s="76"/>
      <c r="TFC51" s="76"/>
      <c r="TFD51" s="76"/>
      <c r="TFE51" s="76"/>
      <c r="TFF51" s="76"/>
      <c r="TFG51" s="76"/>
      <c r="TFH51" s="76"/>
      <c r="TFI51" s="76"/>
      <c r="TFJ51" s="76"/>
      <c r="TFK51" s="76"/>
      <c r="TFL51" s="76"/>
      <c r="TFM51" s="76"/>
      <c r="TFN51" s="76"/>
      <c r="TFO51" s="76"/>
      <c r="TFP51" s="76"/>
      <c r="TFQ51" s="76"/>
      <c r="TFR51" s="76"/>
      <c r="TFS51" s="76"/>
      <c r="TFT51" s="76"/>
      <c r="TFU51" s="76"/>
      <c r="TFV51" s="76"/>
      <c r="TFW51" s="76"/>
      <c r="TFX51" s="76"/>
      <c r="TFY51" s="76"/>
      <c r="TFZ51" s="76"/>
      <c r="TGA51" s="76"/>
      <c r="TGB51" s="76"/>
      <c r="TGC51" s="76"/>
      <c r="TGD51" s="76"/>
      <c r="TGE51" s="76"/>
      <c r="TGF51" s="76"/>
      <c r="TGG51" s="76"/>
      <c r="TGH51" s="76"/>
      <c r="TGI51" s="76"/>
      <c r="TGJ51" s="76"/>
      <c r="TGK51" s="76"/>
      <c r="TGL51" s="76"/>
      <c r="TGM51" s="76"/>
      <c r="TGN51" s="76"/>
      <c r="TGO51" s="76"/>
      <c r="TGP51" s="76"/>
      <c r="TGQ51" s="76"/>
      <c r="TGR51" s="76"/>
      <c r="TGS51" s="76"/>
      <c r="TGT51" s="76"/>
      <c r="TGU51" s="76"/>
      <c r="TGV51" s="76"/>
      <c r="TGW51" s="76"/>
      <c r="TGX51" s="76"/>
      <c r="TGY51" s="76"/>
      <c r="TGZ51" s="76"/>
      <c r="THA51" s="76"/>
      <c r="THB51" s="76"/>
      <c r="THC51" s="76"/>
      <c r="THD51" s="76"/>
      <c r="THE51" s="76"/>
      <c r="THF51" s="76"/>
      <c r="THG51" s="76"/>
      <c r="THH51" s="76"/>
      <c r="THI51" s="76"/>
      <c r="THJ51" s="76"/>
      <c r="THK51" s="76"/>
      <c r="THL51" s="76"/>
      <c r="THM51" s="76"/>
      <c r="THN51" s="76"/>
      <c r="THO51" s="76"/>
      <c r="THP51" s="76"/>
      <c r="THQ51" s="76"/>
      <c r="THR51" s="76"/>
      <c r="THS51" s="76"/>
      <c r="THT51" s="76"/>
      <c r="THU51" s="76"/>
      <c r="THV51" s="76"/>
      <c r="THW51" s="76"/>
      <c r="THX51" s="76"/>
      <c r="THY51" s="76"/>
      <c r="THZ51" s="76"/>
      <c r="TIA51" s="76"/>
      <c r="TIB51" s="76"/>
      <c r="TIC51" s="76"/>
      <c r="TID51" s="76"/>
      <c r="TIE51" s="76"/>
      <c r="TIF51" s="76"/>
      <c r="TIG51" s="76"/>
      <c r="TIH51" s="76"/>
      <c r="TII51" s="76"/>
      <c r="TIJ51" s="76"/>
      <c r="TIK51" s="76"/>
      <c r="TIL51" s="76"/>
      <c r="TIM51" s="76"/>
      <c r="TIN51" s="76"/>
      <c r="TIO51" s="76"/>
      <c r="TIP51" s="76"/>
      <c r="TIQ51" s="76"/>
      <c r="TIR51" s="76"/>
      <c r="TIS51" s="76"/>
      <c r="TIT51" s="76"/>
      <c r="TIU51" s="76"/>
      <c r="TIV51" s="76"/>
      <c r="TIW51" s="76"/>
      <c r="TIX51" s="76"/>
      <c r="TIY51" s="76"/>
      <c r="TIZ51" s="76"/>
      <c r="TJA51" s="76"/>
      <c r="TJB51" s="76"/>
      <c r="TJC51" s="76"/>
      <c r="TJD51" s="76"/>
      <c r="TJE51" s="76"/>
      <c r="TJF51" s="76"/>
      <c r="TJG51" s="76"/>
      <c r="TJH51" s="76"/>
      <c r="TJI51" s="76"/>
      <c r="TJJ51" s="76"/>
      <c r="TJK51" s="76"/>
      <c r="TJL51" s="76"/>
      <c r="TJM51" s="76"/>
      <c r="TJN51" s="76"/>
      <c r="TJO51" s="76"/>
      <c r="TJP51" s="76"/>
      <c r="TJQ51" s="76"/>
      <c r="TJR51" s="76"/>
      <c r="TJS51" s="76"/>
      <c r="TJT51" s="76"/>
      <c r="TJU51" s="76"/>
      <c r="TJV51" s="76"/>
      <c r="TJW51" s="76"/>
      <c r="TJX51" s="76"/>
      <c r="TJY51" s="76"/>
      <c r="TJZ51" s="76"/>
      <c r="TKA51" s="76"/>
      <c r="TKB51" s="76"/>
      <c r="TKC51" s="76"/>
      <c r="TKD51" s="76"/>
      <c r="TKE51" s="76"/>
      <c r="TKF51" s="76"/>
      <c r="TKG51" s="76"/>
      <c r="TKH51" s="76"/>
      <c r="TKI51" s="76"/>
      <c r="TKJ51" s="76"/>
      <c r="TKK51" s="76"/>
      <c r="TKL51" s="76"/>
      <c r="TKM51" s="76"/>
      <c r="TKN51" s="76"/>
      <c r="TKO51" s="76"/>
      <c r="TKP51" s="76"/>
      <c r="TKQ51" s="76"/>
      <c r="TKR51" s="76"/>
      <c r="TKS51" s="76"/>
      <c r="TKT51" s="76"/>
      <c r="TKU51" s="76"/>
      <c r="TKV51" s="76"/>
      <c r="TKW51" s="76"/>
      <c r="TKX51" s="76"/>
      <c r="TKY51" s="76"/>
      <c r="TKZ51" s="76"/>
      <c r="TLA51" s="76"/>
      <c r="TLB51" s="76"/>
      <c r="TLC51" s="76"/>
      <c r="TLD51" s="76"/>
      <c r="TLE51" s="76"/>
      <c r="TLF51" s="76"/>
      <c r="TLG51" s="76"/>
      <c r="TLH51" s="76"/>
      <c r="TLI51" s="76"/>
      <c r="TLJ51" s="76"/>
      <c r="TLK51" s="76"/>
      <c r="TLL51" s="76"/>
      <c r="TLM51" s="76"/>
      <c r="TLN51" s="76"/>
      <c r="TLO51" s="76"/>
      <c r="TLP51" s="76"/>
      <c r="TLQ51" s="76"/>
      <c r="TLR51" s="76"/>
      <c r="TLS51" s="76"/>
      <c r="TLT51" s="76"/>
      <c r="TLU51" s="76"/>
      <c r="TLV51" s="76"/>
      <c r="TLW51" s="76"/>
      <c r="TLX51" s="76"/>
      <c r="TLY51" s="76"/>
      <c r="TLZ51" s="76"/>
      <c r="TMA51" s="76"/>
      <c r="TMB51" s="76"/>
      <c r="TMC51" s="76"/>
      <c r="TMD51" s="76"/>
      <c r="TME51" s="76"/>
      <c r="TMF51" s="76"/>
      <c r="TMG51" s="76"/>
      <c r="TMH51" s="76"/>
      <c r="TMI51" s="76"/>
      <c r="TMJ51" s="76"/>
      <c r="TMK51" s="76"/>
      <c r="TML51" s="76"/>
      <c r="TMM51" s="76"/>
      <c r="TMN51" s="76"/>
      <c r="TMO51" s="76"/>
      <c r="TMP51" s="76"/>
      <c r="TMQ51" s="76"/>
      <c r="TMR51" s="76"/>
      <c r="TMS51" s="76"/>
      <c r="TMT51" s="76"/>
      <c r="TMU51" s="76"/>
      <c r="TMV51" s="76"/>
      <c r="TMW51" s="76"/>
      <c r="TMX51" s="76"/>
      <c r="TMY51" s="76"/>
      <c r="TMZ51" s="76"/>
      <c r="TNA51" s="76"/>
      <c r="TNB51" s="76"/>
      <c r="TNC51" s="76"/>
      <c r="TND51" s="76"/>
      <c r="TNE51" s="76"/>
      <c r="TNF51" s="76"/>
      <c r="TNG51" s="76"/>
      <c r="TNH51" s="76"/>
      <c r="TNI51" s="76"/>
      <c r="TNJ51" s="76"/>
      <c r="TNK51" s="76"/>
      <c r="TNL51" s="76"/>
      <c r="TNM51" s="76"/>
      <c r="TNN51" s="76"/>
      <c r="TNO51" s="76"/>
      <c r="TNP51" s="76"/>
      <c r="TNQ51" s="76"/>
      <c r="TNR51" s="76"/>
      <c r="TNS51" s="76"/>
      <c r="TNT51" s="76"/>
      <c r="TNU51" s="76"/>
      <c r="TNV51" s="76"/>
      <c r="TNW51" s="76"/>
      <c r="TNX51" s="76"/>
      <c r="TNY51" s="76"/>
      <c r="TNZ51" s="76"/>
      <c r="TOA51" s="76"/>
      <c r="TOB51" s="76"/>
      <c r="TOC51" s="76"/>
      <c r="TOD51" s="76"/>
      <c r="TOE51" s="76"/>
      <c r="TOF51" s="76"/>
      <c r="TOG51" s="76"/>
      <c r="TOH51" s="76"/>
      <c r="TOI51" s="76"/>
      <c r="TOJ51" s="76"/>
      <c r="TOK51" s="76"/>
      <c r="TOL51" s="76"/>
      <c r="TOM51" s="76"/>
      <c r="TON51" s="76"/>
      <c r="TOO51" s="76"/>
      <c r="TOP51" s="76"/>
      <c r="TOQ51" s="76"/>
      <c r="TOR51" s="76"/>
      <c r="TOS51" s="76"/>
      <c r="TOT51" s="76"/>
      <c r="TOU51" s="76"/>
      <c r="TOV51" s="76"/>
      <c r="TOW51" s="76"/>
      <c r="TOX51" s="76"/>
      <c r="TOY51" s="76"/>
      <c r="TOZ51" s="76"/>
      <c r="TPA51" s="76"/>
      <c r="TPB51" s="76"/>
      <c r="TPC51" s="76"/>
      <c r="TPD51" s="76"/>
      <c r="TPE51" s="76"/>
      <c r="TPF51" s="76"/>
      <c r="TPG51" s="76"/>
      <c r="TPH51" s="76"/>
      <c r="TPI51" s="76"/>
      <c r="TPJ51" s="76"/>
      <c r="TPK51" s="76"/>
      <c r="TPL51" s="76"/>
      <c r="TPM51" s="76"/>
      <c r="TPN51" s="76"/>
      <c r="TPO51" s="76"/>
      <c r="TPP51" s="76"/>
      <c r="TPQ51" s="76"/>
      <c r="TPR51" s="76"/>
      <c r="TPS51" s="76"/>
      <c r="TPT51" s="76"/>
      <c r="TPU51" s="76"/>
      <c r="TPV51" s="76"/>
      <c r="TPW51" s="76"/>
      <c r="TPX51" s="76"/>
      <c r="TPY51" s="76"/>
      <c r="TPZ51" s="76"/>
      <c r="TQA51" s="76"/>
      <c r="TQB51" s="76"/>
      <c r="TQC51" s="76"/>
      <c r="TQD51" s="76"/>
      <c r="TQE51" s="76"/>
      <c r="TQF51" s="76"/>
      <c r="TQG51" s="76"/>
      <c r="TQH51" s="76"/>
      <c r="TQI51" s="76"/>
      <c r="TQJ51" s="76"/>
      <c r="TQK51" s="76"/>
      <c r="TQL51" s="76"/>
      <c r="TQM51" s="76"/>
      <c r="TQN51" s="76"/>
      <c r="TQO51" s="76"/>
      <c r="TQP51" s="76"/>
      <c r="TQQ51" s="76"/>
      <c r="TQR51" s="76"/>
      <c r="TQS51" s="76"/>
      <c r="TQT51" s="76"/>
      <c r="TQU51" s="76"/>
      <c r="TQV51" s="76"/>
      <c r="TQW51" s="76"/>
      <c r="TQX51" s="76"/>
      <c r="TQY51" s="76"/>
      <c r="TQZ51" s="76"/>
      <c r="TRA51" s="76"/>
      <c r="TRB51" s="76"/>
      <c r="TRC51" s="76"/>
      <c r="TRD51" s="76"/>
      <c r="TRE51" s="76"/>
      <c r="TRF51" s="76"/>
      <c r="TRG51" s="76"/>
      <c r="TRH51" s="76"/>
      <c r="TRI51" s="76"/>
      <c r="TRJ51" s="76"/>
      <c r="TRK51" s="76"/>
      <c r="TRL51" s="76"/>
      <c r="TRM51" s="76"/>
      <c r="TRN51" s="76"/>
      <c r="TRO51" s="76"/>
      <c r="TRP51" s="76"/>
      <c r="TRQ51" s="76"/>
      <c r="TRR51" s="76"/>
      <c r="TRS51" s="76"/>
      <c r="TRT51" s="76"/>
      <c r="TRU51" s="76"/>
      <c r="TRV51" s="76"/>
      <c r="TRW51" s="76"/>
      <c r="TRX51" s="76"/>
      <c r="TRY51" s="76"/>
      <c r="TRZ51" s="76"/>
      <c r="TSA51" s="76"/>
      <c r="TSB51" s="76"/>
      <c r="TSC51" s="76"/>
      <c r="TSD51" s="76"/>
      <c r="TSE51" s="76"/>
      <c r="TSF51" s="76"/>
      <c r="TSG51" s="76"/>
      <c r="TSH51" s="76"/>
      <c r="TSI51" s="76"/>
      <c r="TSJ51" s="76"/>
      <c r="TSK51" s="76"/>
      <c r="TSL51" s="76"/>
      <c r="TSM51" s="76"/>
      <c r="TSN51" s="76"/>
      <c r="TSO51" s="76"/>
      <c r="TSP51" s="76"/>
      <c r="TSQ51" s="76"/>
      <c r="TSR51" s="76"/>
      <c r="TSS51" s="76"/>
      <c r="TST51" s="76"/>
      <c r="TSU51" s="76"/>
      <c r="TSV51" s="76"/>
      <c r="TSW51" s="76"/>
      <c r="TSX51" s="76"/>
      <c r="TSY51" s="76"/>
      <c r="TSZ51" s="76"/>
      <c r="TTA51" s="76"/>
      <c r="TTB51" s="76"/>
      <c r="TTC51" s="76"/>
      <c r="TTD51" s="76"/>
      <c r="TTE51" s="76"/>
      <c r="TTF51" s="76"/>
      <c r="TTG51" s="76"/>
      <c r="TTH51" s="76"/>
      <c r="TTI51" s="76"/>
      <c r="TTJ51" s="76"/>
      <c r="TTK51" s="76"/>
      <c r="TTL51" s="76"/>
      <c r="TTM51" s="76"/>
      <c r="TTN51" s="76"/>
      <c r="TTO51" s="76"/>
      <c r="TTP51" s="76"/>
      <c r="TTQ51" s="76"/>
      <c r="TTR51" s="76"/>
      <c r="TTS51" s="76"/>
      <c r="TTT51" s="76"/>
      <c r="TTU51" s="76"/>
      <c r="TTV51" s="76"/>
      <c r="TTW51" s="76"/>
      <c r="TTX51" s="76"/>
      <c r="TTY51" s="76"/>
      <c r="TTZ51" s="76"/>
      <c r="TUA51" s="76"/>
      <c r="TUB51" s="76"/>
      <c r="TUC51" s="76"/>
      <c r="TUD51" s="76"/>
      <c r="TUE51" s="76"/>
      <c r="TUF51" s="76"/>
      <c r="TUG51" s="76"/>
      <c r="TUH51" s="76"/>
      <c r="TUI51" s="76"/>
      <c r="TUJ51" s="76"/>
      <c r="TUK51" s="76"/>
      <c r="TUL51" s="76"/>
      <c r="TUM51" s="76"/>
      <c r="TUN51" s="76"/>
      <c r="TUO51" s="76"/>
      <c r="TUP51" s="76"/>
      <c r="TUQ51" s="76"/>
      <c r="TUR51" s="76"/>
      <c r="TUS51" s="76"/>
      <c r="TUT51" s="76"/>
      <c r="TUU51" s="76"/>
      <c r="TUV51" s="76"/>
      <c r="TUW51" s="76"/>
      <c r="TUX51" s="76"/>
      <c r="TUY51" s="76"/>
      <c r="TUZ51" s="76"/>
      <c r="TVA51" s="76"/>
      <c r="TVB51" s="76"/>
      <c r="TVC51" s="76"/>
      <c r="TVD51" s="76"/>
      <c r="TVE51" s="76"/>
      <c r="TVF51" s="76"/>
      <c r="TVG51" s="76"/>
      <c r="TVH51" s="76"/>
      <c r="TVI51" s="76"/>
      <c r="TVJ51" s="76"/>
      <c r="TVK51" s="76"/>
      <c r="TVL51" s="76"/>
      <c r="TVM51" s="76"/>
      <c r="TVN51" s="76"/>
      <c r="TVO51" s="76"/>
      <c r="TVP51" s="76"/>
      <c r="TVQ51" s="76"/>
      <c r="TVR51" s="76"/>
      <c r="TVS51" s="76"/>
      <c r="TVT51" s="76"/>
      <c r="TVU51" s="76"/>
      <c r="TVV51" s="76"/>
      <c r="TVW51" s="76"/>
      <c r="TVX51" s="76"/>
      <c r="TVY51" s="76"/>
      <c r="TVZ51" s="76"/>
      <c r="TWA51" s="76"/>
      <c r="TWB51" s="76"/>
      <c r="TWC51" s="76"/>
      <c r="TWD51" s="76"/>
      <c r="TWE51" s="76"/>
      <c r="TWF51" s="76"/>
      <c r="TWG51" s="76"/>
      <c r="TWH51" s="76"/>
      <c r="TWI51" s="76"/>
      <c r="TWJ51" s="76"/>
      <c r="TWK51" s="76"/>
      <c r="TWL51" s="76"/>
      <c r="TWM51" s="76"/>
      <c r="TWN51" s="76"/>
      <c r="TWO51" s="76"/>
      <c r="TWP51" s="76"/>
      <c r="TWQ51" s="76"/>
      <c r="TWR51" s="76"/>
      <c r="TWS51" s="76"/>
      <c r="TWT51" s="76"/>
      <c r="TWU51" s="76"/>
      <c r="TWV51" s="76"/>
      <c r="TWW51" s="76"/>
      <c r="TWX51" s="76"/>
      <c r="TWY51" s="76"/>
      <c r="TWZ51" s="76"/>
      <c r="TXA51" s="76"/>
      <c r="TXB51" s="76"/>
      <c r="TXC51" s="76"/>
      <c r="TXD51" s="76"/>
      <c r="TXE51" s="76"/>
      <c r="TXF51" s="76"/>
      <c r="TXG51" s="76"/>
      <c r="TXH51" s="76"/>
      <c r="TXI51" s="76"/>
      <c r="TXJ51" s="76"/>
      <c r="TXK51" s="76"/>
      <c r="TXL51" s="76"/>
      <c r="TXM51" s="76"/>
      <c r="TXN51" s="76"/>
      <c r="TXO51" s="76"/>
      <c r="TXP51" s="76"/>
      <c r="TXQ51" s="76"/>
      <c r="TXR51" s="76"/>
      <c r="TXS51" s="76"/>
      <c r="TXT51" s="76"/>
      <c r="TXU51" s="76"/>
      <c r="TXV51" s="76"/>
      <c r="TXW51" s="76"/>
      <c r="TXX51" s="76"/>
      <c r="TXY51" s="76"/>
      <c r="TXZ51" s="76"/>
      <c r="TYA51" s="76"/>
      <c r="TYB51" s="76"/>
      <c r="TYC51" s="76"/>
      <c r="TYD51" s="76"/>
      <c r="TYE51" s="76"/>
      <c r="TYF51" s="76"/>
      <c r="TYG51" s="76"/>
      <c r="TYH51" s="76"/>
      <c r="TYI51" s="76"/>
      <c r="TYJ51" s="76"/>
      <c r="TYK51" s="76"/>
      <c r="TYL51" s="76"/>
      <c r="TYM51" s="76"/>
      <c r="TYN51" s="76"/>
      <c r="TYO51" s="76"/>
      <c r="TYP51" s="76"/>
      <c r="TYQ51" s="76"/>
      <c r="TYR51" s="76"/>
      <c r="TYS51" s="76"/>
      <c r="TYT51" s="76"/>
      <c r="TYU51" s="76"/>
      <c r="TYV51" s="76"/>
      <c r="TYW51" s="76"/>
      <c r="TYX51" s="76"/>
      <c r="TYY51" s="76"/>
      <c r="TYZ51" s="76"/>
      <c r="TZA51" s="76"/>
      <c r="TZB51" s="76"/>
      <c r="TZC51" s="76"/>
      <c r="TZD51" s="76"/>
      <c r="TZE51" s="76"/>
      <c r="TZF51" s="76"/>
      <c r="TZG51" s="76"/>
      <c r="TZH51" s="76"/>
      <c r="TZI51" s="76"/>
      <c r="TZJ51" s="76"/>
      <c r="TZK51" s="76"/>
      <c r="TZL51" s="76"/>
      <c r="TZM51" s="76"/>
      <c r="TZN51" s="76"/>
      <c r="TZO51" s="76"/>
      <c r="TZP51" s="76"/>
      <c r="TZQ51" s="76"/>
      <c r="TZR51" s="76"/>
      <c r="TZS51" s="76"/>
      <c r="TZT51" s="76"/>
      <c r="TZU51" s="76"/>
      <c r="TZV51" s="76"/>
      <c r="TZW51" s="76"/>
      <c r="TZX51" s="76"/>
      <c r="TZY51" s="76"/>
      <c r="TZZ51" s="76"/>
      <c r="UAA51" s="76"/>
      <c r="UAB51" s="76"/>
      <c r="UAC51" s="76"/>
      <c r="UAD51" s="76"/>
      <c r="UAE51" s="76"/>
      <c r="UAF51" s="76"/>
      <c r="UAG51" s="76"/>
      <c r="UAH51" s="76"/>
      <c r="UAI51" s="76"/>
      <c r="UAJ51" s="76"/>
      <c r="UAK51" s="76"/>
      <c r="UAL51" s="76"/>
      <c r="UAM51" s="76"/>
      <c r="UAN51" s="76"/>
      <c r="UAO51" s="76"/>
      <c r="UAP51" s="76"/>
      <c r="UAQ51" s="76"/>
      <c r="UAR51" s="76"/>
      <c r="UAS51" s="76"/>
      <c r="UAT51" s="76"/>
      <c r="UAU51" s="76"/>
      <c r="UAV51" s="76"/>
      <c r="UAW51" s="76"/>
      <c r="UAX51" s="76"/>
      <c r="UAY51" s="76"/>
      <c r="UAZ51" s="76"/>
      <c r="UBA51" s="76"/>
      <c r="UBB51" s="76"/>
      <c r="UBC51" s="76"/>
      <c r="UBD51" s="76"/>
      <c r="UBE51" s="76"/>
      <c r="UBF51" s="76"/>
      <c r="UBG51" s="76"/>
      <c r="UBH51" s="76"/>
      <c r="UBI51" s="76"/>
      <c r="UBJ51" s="76"/>
      <c r="UBK51" s="76"/>
      <c r="UBL51" s="76"/>
      <c r="UBM51" s="76"/>
      <c r="UBN51" s="76"/>
      <c r="UBO51" s="76"/>
      <c r="UBP51" s="76"/>
      <c r="UBQ51" s="76"/>
      <c r="UBR51" s="76"/>
      <c r="UBS51" s="76"/>
      <c r="UBT51" s="76"/>
      <c r="UBU51" s="76"/>
      <c r="UBV51" s="76"/>
      <c r="UBW51" s="76"/>
      <c r="UBX51" s="76"/>
      <c r="UBY51" s="76"/>
      <c r="UBZ51" s="76"/>
      <c r="UCA51" s="76"/>
      <c r="UCB51" s="76"/>
      <c r="UCC51" s="76"/>
      <c r="UCD51" s="76"/>
      <c r="UCE51" s="76"/>
      <c r="UCF51" s="76"/>
      <c r="UCG51" s="76"/>
      <c r="UCH51" s="76"/>
      <c r="UCI51" s="76"/>
      <c r="UCJ51" s="76"/>
      <c r="UCK51" s="76"/>
      <c r="UCL51" s="76"/>
      <c r="UCM51" s="76"/>
      <c r="UCN51" s="76"/>
      <c r="UCO51" s="76"/>
      <c r="UCP51" s="76"/>
      <c r="UCQ51" s="76"/>
      <c r="UCR51" s="76"/>
      <c r="UCS51" s="76"/>
      <c r="UCT51" s="76"/>
      <c r="UCU51" s="76"/>
      <c r="UCV51" s="76"/>
      <c r="UCW51" s="76"/>
      <c r="UCX51" s="76"/>
      <c r="UCY51" s="76"/>
      <c r="UCZ51" s="76"/>
      <c r="UDA51" s="76"/>
      <c r="UDB51" s="76"/>
      <c r="UDC51" s="76"/>
      <c r="UDD51" s="76"/>
      <c r="UDE51" s="76"/>
      <c r="UDF51" s="76"/>
      <c r="UDG51" s="76"/>
      <c r="UDH51" s="76"/>
      <c r="UDI51" s="76"/>
      <c r="UDJ51" s="76"/>
      <c r="UDK51" s="76"/>
      <c r="UDL51" s="76"/>
      <c r="UDM51" s="76"/>
      <c r="UDN51" s="76"/>
      <c r="UDO51" s="76"/>
      <c r="UDP51" s="76"/>
      <c r="UDQ51" s="76"/>
      <c r="UDR51" s="76"/>
      <c r="UDS51" s="76"/>
      <c r="UDT51" s="76"/>
      <c r="UDU51" s="76"/>
      <c r="UDV51" s="76"/>
      <c r="UDW51" s="76"/>
      <c r="UDX51" s="76"/>
      <c r="UDY51" s="76"/>
      <c r="UDZ51" s="76"/>
      <c r="UEA51" s="76"/>
      <c r="UEB51" s="76"/>
      <c r="UEC51" s="76"/>
      <c r="UED51" s="76"/>
      <c r="UEE51" s="76"/>
      <c r="UEF51" s="76"/>
      <c r="UEG51" s="76"/>
      <c r="UEH51" s="76"/>
      <c r="UEI51" s="76"/>
      <c r="UEJ51" s="76"/>
      <c r="UEK51" s="76"/>
      <c r="UEL51" s="76"/>
      <c r="UEM51" s="76"/>
      <c r="UEN51" s="76"/>
      <c r="UEO51" s="76"/>
      <c r="UEP51" s="76"/>
      <c r="UEQ51" s="76"/>
      <c r="UER51" s="76"/>
      <c r="UES51" s="76"/>
      <c r="UET51" s="76"/>
      <c r="UEU51" s="76"/>
      <c r="UEV51" s="76"/>
      <c r="UEW51" s="76"/>
      <c r="UEX51" s="76"/>
      <c r="UEY51" s="76"/>
      <c r="UEZ51" s="76"/>
      <c r="UFA51" s="76"/>
      <c r="UFB51" s="76"/>
      <c r="UFC51" s="76"/>
      <c r="UFD51" s="76"/>
      <c r="UFE51" s="76"/>
      <c r="UFF51" s="76"/>
      <c r="UFG51" s="76"/>
      <c r="UFH51" s="76"/>
      <c r="UFI51" s="76"/>
      <c r="UFJ51" s="76"/>
      <c r="UFK51" s="76"/>
      <c r="UFL51" s="76"/>
      <c r="UFM51" s="76"/>
      <c r="UFN51" s="76"/>
      <c r="UFO51" s="76"/>
      <c r="UFP51" s="76"/>
      <c r="UFQ51" s="76"/>
      <c r="UFR51" s="76"/>
      <c r="UFS51" s="76"/>
      <c r="UFT51" s="76"/>
      <c r="UFU51" s="76"/>
      <c r="UFV51" s="76"/>
      <c r="UFW51" s="76"/>
      <c r="UFX51" s="76"/>
      <c r="UFY51" s="76"/>
      <c r="UFZ51" s="76"/>
      <c r="UGA51" s="76"/>
      <c r="UGB51" s="76"/>
      <c r="UGC51" s="76"/>
      <c r="UGD51" s="76"/>
      <c r="UGE51" s="76"/>
      <c r="UGF51" s="76"/>
      <c r="UGG51" s="76"/>
      <c r="UGH51" s="76"/>
      <c r="UGI51" s="76"/>
      <c r="UGJ51" s="76"/>
      <c r="UGK51" s="76"/>
      <c r="UGL51" s="76"/>
      <c r="UGM51" s="76"/>
      <c r="UGN51" s="76"/>
      <c r="UGO51" s="76"/>
      <c r="UGP51" s="76"/>
      <c r="UGQ51" s="76"/>
      <c r="UGR51" s="76"/>
      <c r="UGS51" s="76"/>
      <c r="UGT51" s="76"/>
      <c r="UGU51" s="76"/>
      <c r="UGV51" s="76"/>
      <c r="UGW51" s="76"/>
      <c r="UGX51" s="76"/>
      <c r="UGY51" s="76"/>
      <c r="UGZ51" s="76"/>
      <c r="UHA51" s="76"/>
      <c r="UHB51" s="76"/>
      <c r="UHC51" s="76"/>
      <c r="UHD51" s="76"/>
      <c r="UHE51" s="76"/>
      <c r="UHF51" s="76"/>
      <c r="UHG51" s="76"/>
      <c r="UHH51" s="76"/>
      <c r="UHI51" s="76"/>
      <c r="UHJ51" s="76"/>
      <c r="UHK51" s="76"/>
      <c r="UHL51" s="76"/>
      <c r="UHM51" s="76"/>
      <c r="UHN51" s="76"/>
      <c r="UHO51" s="76"/>
      <c r="UHP51" s="76"/>
      <c r="UHQ51" s="76"/>
      <c r="UHR51" s="76"/>
      <c r="UHS51" s="76"/>
      <c r="UHT51" s="76"/>
      <c r="UHU51" s="76"/>
      <c r="UHV51" s="76"/>
      <c r="UHW51" s="76"/>
      <c r="UHX51" s="76"/>
      <c r="UHY51" s="76"/>
      <c r="UHZ51" s="76"/>
      <c r="UIA51" s="76"/>
      <c r="UIB51" s="76"/>
      <c r="UIC51" s="76"/>
      <c r="UID51" s="76"/>
      <c r="UIE51" s="76"/>
      <c r="UIF51" s="76"/>
      <c r="UIG51" s="76"/>
      <c r="UIH51" s="76"/>
      <c r="UII51" s="76"/>
      <c r="UIJ51" s="76"/>
      <c r="UIK51" s="76"/>
      <c r="UIL51" s="76"/>
      <c r="UIM51" s="76"/>
      <c r="UIN51" s="76"/>
      <c r="UIO51" s="76"/>
      <c r="UIP51" s="76"/>
      <c r="UIQ51" s="76"/>
      <c r="UIR51" s="76"/>
      <c r="UIS51" s="76"/>
      <c r="UIT51" s="76"/>
      <c r="UIU51" s="76"/>
      <c r="UIV51" s="76"/>
      <c r="UIW51" s="76"/>
      <c r="UIX51" s="76"/>
      <c r="UIY51" s="76"/>
      <c r="UIZ51" s="76"/>
      <c r="UJA51" s="76"/>
      <c r="UJB51" s="76"/>
      <c r="UJC51" s="76"/>
      <c r="UJD51" s="76"/>
      <c r="UJE51" s="76"/>
      <c r="UJF51" s="76"/>
      <c r="UJG51" s="76"/>
      <c r="UJH51" s="76"/>
      <c r="UJI51" s="76"/>
      <c r="UJJ51" s="76"/>
      <c r="UJK51" s="76"/>
      <c r="UJL51" s="76"/>
      <c r="UJM51" s="76"/>
      <c r="UJN51" s="76"/>
      <c r="UJO51" s="76"/>
      <c r="UJP51" s="76"/>
      <c r="UJQ51" s="76"/>
      <c r="UJR51" s="76"/>
      <c r="UJS51" s="76"/>
      <c r="UJT51" s="76"/>
      <c r="UJU51" s="76"/>
      <c r="UJV51" s="76"/>
      <c r="UJW51" s="76"/>
      <c r="UJX51" s="76"/>
      <c r="UJY51" s="76"/>
      <c r="UJZ51" s="76"/>
      <c r="UKA51" s="76"/>
      <c r="UKB51" s="76"/>
      <c r="UKC51" s="76"/>
      <c r="UKD51" s="76"/>
      <c r="UKE51" s="76"/>
      <c r="UKF51" s="76"/>
      <c r="UKG51" s="76"/>
      <c r="UKH51" s="76"/>
      <c r="UKI51" s="76"/>
      <c r="UKJ51" s="76"/>
      <c r="UKK51" s="76"/>
      <c r="UKL51" s="76"/>
      <c r="UKM51" s="76"/>
      <c r="UKN51" s="76"/>
      <c r="UKO51" s="76"/>
      <c r="UKP51" s="76"/>
      <c r="UKQ51" s="76"/>
      <c r="UKR51" s="76"/>
      <c r="UKS51" s="76"/>
      <c r="UKT51" s="76"/>
      <c r="UKU51" s="76"/>
      <c r="UKV51" s="76"/>
      <c r="UKW51" s="76"/>
      <c r="UKX51" s="76"/>
      <c r="UKY51" s="76"/>
      <c r="UKZ51" s="76"/>
      <c r="ULA51" s="76"/>
      <c r="ULB51" s="76"/>
      <c r="ULC51" s="76"/>
      <c r="ULD51" s="76"/>
      <c r="ULE51" s="76"/>
      <c r="ULF51" s="76"/>
      <c r="ULG51" s="76"/>
      <c r="ULH51" s="76"/>
      <c r="ULI51" s="76"/>
      <c r="ULJ51" s="76"/>
      <c r="ULK51" s="76"/>
      <c r="ULL51" s="76"/>
      <c r="ULM51" s="76"/>
      <c r="ULN51" s="76"/>
      <c r="ULO51" s="76"/>
      <c r="ULP51" s="76"/>
      <c r="ULQ51" s="76"/>
      <c r="ULR51" s="76"/>
      <c r="ULS51" s="76"/>
      <c r="ULT51" s="76"/>
      <c r="ULU51" s="76"/>
      <c r="ULV51" s="76"/>
      <c r="ULW51" s="76"/>
      <c r="ULX51" s="76"/>
      <c r="ULY51" s="76"/>
      <c r="ULZ51" s="76"/>
      <c r="UMA51" s="76"/>
      <c r="UMB51" s="76"/>
      <c r="UMC51" s="76"/>
      <c r="UMD51" s="76"/>
      <c r="UME51" s="76"/>
      <c r="UMF51" s="76"/>
      <c r="UMG51" s="76"/>
      <c r="UMH51" s="76"/>
      <c r="UMI51" s="76"/>
      <c r="UMJ51" s="76"/>
      <c r="UMK51" s="76"/>
      <c r="UML51" s="76"/>
      <c r="UMM51" s="76"/>
      <c r="UMN51" s="76"/>
      <c r="UMO51" s="76"/>
      <c r="UMP51" s="76"/>
      <c r="UMQ51" s="76"/>
      <c r="UMR51" s="76"/>
      <c r="UMS51" s="76"/>
      <c r="UMT51" s="76"/>
      <c r="UMU51" s="76"/>
      <c r="UMV51" s="76"/>
      <c r="UMW51" s="76"/>
      <c r="UMX51" s="76"/>
      <c r="UMY51" s="76"/>
      <c r="UMZ51" s="76"/>
      <c r="UNA51" s="76"/>
      <c r="UNB51" s="76"/>
      <c r="UNC51" s="76"/>
      <c r="UND51" s="76"/>
      <c r="UNE51" s="76"/>
      <c r="UNF51" s="76"/>
      <c r="UNG51" s="76"/>
      <c r="UNH51" s="76"/>
      <c r="UNI51" s="76"/>
      <c r="UNJ51" s="76"/>
      <c r="UNK51" s="76"/>
      <c r="UNL51" s="76"/>
      <c r="UNM51" s="76"/>
      <c r="UNN51" s="76"/>
      <c r="UNO51" s="76"/>
      <c r="UNP51" s="76"/>
      <c r="UNQ51" s="76"/>
      <c r="UNR51" s="76"/>
      <c r="UNS51" s="76"/>
      <c r="UNT51" s="76"/>
      <c r="UNU51" s="76"/>
      <c r="UNV51" s="76"/>
      <c r="UNW51" s="76"/>
      <c r="UNX51" s="76"/>
      <c r="UNY51" s="76"/>
      <c r="UNZ51" s="76"/>
      <c r="UOA51" s="76"/>
      <c r="UOB51" s="76"/>
      <c r="UOC51" s="76"/>
      <c r="UOD51" s="76"/>
      <c r="UOE51" s="76"/>
      <c r="UOF51" s="76"/>
      <c r="UOG51" s="76"/>
      <c r="UOH51" s="76"/>
      <c r="UOI51" s="76"/>
      <c r="UOJ51" s="76"/>
      <c r="UOK51" s="76"/>
      <c r="UOL51" s="76"/>
      <c r="UOM51" s="76"/>
      <c r="UON51" s="76"/>
      <c r="UOO51" s="76"/>
      <c r="UOP51" s="76"/>
      <c r="UOQ51" s="76"/>
      <c r="UOR51" s="76"/>
      <c r="UOS51" s="76"/>
      <c r="UOT51" s="76"/>
      <c r="UOU51" s="76"/>
      <c r="UOV51" s="76"/>
      <c r="UOW51" s="76"/>
      <c r="UOX51" s="76"/>
      <c r="UOY51" s="76"/>
      <c r="UOZ51" s="76"/>
      <c r="UPA51" s="76"/>
      <c r="UPB51" s="76"/>
      <c r="UPC51" s="76"/>
      <c r="UPD51" s="76"/>
      <c r="UPE51" s="76"/>
      <c r="UPF51" s="76"/>
      <c r="UPG51" s="76"/>
      <c r="UPH51" s="76"/>
      <c r="UPI51" s="76"/>
      <c r="UPJ51" s="76"/>
      <c r="UPK51" s="76"/>
      <c r="UPL51" s="76"/>
      <c r="UPM51" s="76"/>
      <c r="UPN51" s="76"/>
      <c r="UPO51" s="76"/>
      <c r="UPP51" s="76"/>
      <c r="UPQ51" s="76"/>
      <c r="UPR51" s="76"/>
      <c r="UPS51" s="76"/>
      <c r="UPT51" s="76"/>
      <c r="UPU51" s="76"/>
      <c r="UPV51" s="76"/>
      <c r="UPW51" s="76"/>
      <c r="UPX51" s="76"/>
      <c r="UPY51" s="76"/>
      <c r="UPZ51" s="76"/>
      <c r="UQA51" s="76"/>
      <c r="UQB51" s="76"/>
      <c r="UQC51" s="76"/>
      <c r="UQD51" s="76"/>
      <c r="UQE51" s="76"/>
      <c r="UQF51" s="76"/>
      <c r="UQG51" s="76"/>
      <c r="UQH51" s="76"/>
      <c r="UQI51" s="76"/>
      <c r="UQJ51" s="76"/>
      <c r="UQK51" s="76"/>
      <c r="UQL51" s="76"/>
      <c r="UQM51" s="76"/>
      <c r="UQN51" s="76"/>
      <c r="UQO51" s="76"/>
      <c r="UQP51" s="76"/>
      <c r="UQQ51" s="76"/>
      <c r="UQR51" s="76"/>
      <c r="UQS51" s="76"/>
      <c r="UQT51" s="76"/>
      <c r="UQU51" s="76"/>
      <c r="UQV51" s="76"/>
      <c r="UQW51" s="76"/>
      <c r="UQX51" s="76"/>
      <c r="UQY51" s="76"/>
      <c r="UQZ51" s="76"/>
      <c r="URA51" s="76"/>
      <c r="URB51" s="76"/>
      <c r="URC51" s="76"/>
      <c r="URD51" s="76"/>
      <c r="URE51" s="76"/>
      <c r="URF51" s="76"/>
      <c r="URG51" s="76"/>
      <c r="URH51" s="76"/>
      <c r="URI51" s="76"/>
      <c r="URJ51" s="76"/>
      <c r="URK51" s="76"/>
      <c r="URL51" s="76"/>
      <c r="URM51" s="76"/>
      <c r="URN51" s="76"/>
      <c r="URO51" s="76"/>
      <c r="URP51" s="76"/>
      <c r="URQ51" s="76"/>
      <c r="URR51" s="76"/>
      <c r="URS51" s="76"/>
      <c r="URT51" s="76"/>
      <c r="URU51" s="76"/>
      <c r="URV51" s="76"/>
      <c r="URW51" s="76"/>
      <c r="URX51" s="76"/>
      <c r="URY51" s="76"/>
      <c r="URZ51" s="76"/>
      <c r="USA51" s="76"/>
      <c r="USB51" s="76"/>
      <c r="USC51" s="76"/>
      <c r="USD51" s="76"/>
      <c r="USE51" s="76"/>
      <c r="USF51" s="76"/>
      <c r="USG51" s="76"/>
      <c r="USH51" s="76"/>
      <c r="USI51" s="76"/>
      <c r="USJ51" s="76"/>
      <c r="USK51" s="76"/>
      <c r="USL51" s="76"/>
      <c r="USM51" s="76"/>
      <c r="USN51" s="76"/>
      <c r="USO51" s="76"/>
      <c r="USP51" s="76"/>
      <c r="USQ51" s="76"/>
      <c r="USR51" s="76"/>
      <c r="USS51" s="76"/>
      <c r="UST51" s="76"/>
      <c r="USU51" s="76"/>
      <c r="USV51" s="76"/>
      <c r="USW51" s="76"/>
      <c r="USX51" s="76"/>
      <c r="USY51" s="76"/>
      <c r="USZ51" s="76"/>
      <c r="UTA51" s="76"/>
      <c r="UTB51" s="76"/>
      <c r="UTC51" s="76"/>
      <c r="UTD51" s="76"/>
      <c r="UTE51" s="76"/>
      <c r="UTF51" s="76"/>
      <c r="UTG51" s="76"/>
      <c r="UTH51" s="76"/>
      <c r="UTI51" s="76"/>
      <c r="UTJ51" s="76"/>
      <c r="UTK51" s="76"/>
      <c r="UTL51" s="76"/>
      <c r="UTM51" s="76"/>
      <c r="UTN51" s="76"/>
      <c r="UTO51" s="76"/>
      <c r="UTP51" s="76"/>
      <c r="UTQ51" s="76"/>
      <c r="UTR51" s="76"/>
      <c r="UTS51" s="76"/>
      <c r="UTT51" s="76"/>
      <c r="UTU51" s="76"/>
      <c r="UTV51" s="76"/>
      <c r="UTW51" s="76"/>
      <c r="UTX51" s="76"/>
      <c r="UTY51" s="76"/>
      <c r="UTZ51" s="76"/>
      <c r="UUA51" s="76"/>
      <c r="UUB51" s="76"/>
      <c r="UUC51" s="76"/>
      <c r="UUD51" s="76"/>
      <c r="UUE51" s="76"/>
      <c r="UUF51" s="76"/>
      <c r="UUG51" s="76"/>
      <c r="UUH51" s="76"/>
      <c r="UUI51" s="76"/>
      <c r="UUJ51" s="76"/>
      <c r="UUK51" s="76"/>
      <c r="UUL51" s="76"/>
      <c r="UUM51" s="76"/>
      <c r="UUN51" s="76"/>
      <c r="UUO51" s="76"/>
      <c r="UUP51" s="76"/>
      <c r="UUQ51" s="76"/>
      <c r="UUR51" s="76"/>
      <c r="UUS51" s="76"/>
      <c r="UUT51" s="76"/>
      <c r="UUU51" s="76"/>
      <c r="UUV51" s="76"/>
      <c r="UUW51" s="76"/>
      <c r="UUX51" s="76"/>
      <c r="UUY51" s="76"/>
      <c r="UUZ51" s="76"/>
      <c r="UVA51" s="76"/>
      <c r="UVB51" s="76"/>
      <c r="UVC51" s="76"/>
      <c r="UVD51" s="76"/>
      <c r="UVE51" s="76"/>
      <c r="UVF51" s="76"/>
      <c r="UVG51" s="76"/>
      <c r="UVH51" s="76"/>
      <c r="UVI51" s="76"/>
      <c r="UVJ51" s="76"/>
      <c r="UVK51" s="76"/>
      <c r="UVL51" s="76"/>
      <c r="UVM51" s="76"/>
      <c r="UVN51" s="76"/>
      <c r="UVO51" s="76"/>
      <c r="UVP51" s="76"/>
      <c r="UVQ51" s="76"/>
      <c r="UVR51" s="76"/>
      <c r="UVS51" s="76"/>
      <c r="UVT51" s="76"/>
      <c r="UVU51" s="76"/>
      <c r="UVV51" s="76"/>
      <c r="UVW51" s="76"/>
      <c r="UVX51" s="76"/>
      <c r="UVY51" s="76"/>
      <c r="UVZ51" s="76"/>
      <c r="UWA51" s="76"/>
      <c r="UWB51" s="76"/>
      <c r="UWC51" s="76"/>
      <c r="UWD51" s="76"/>
      <c r="UWE51" s="76"/>
      <c r="UWF51" s="76"/>
      <c r="UWG51" s="76"/>
      <c r="UWH51" s="76"/>
      <c r="UWI51" s="76"/>
      <c r="UWJ51" s="76"/>
      <c r="UWK51" s="76"/>
      <c r="UWL51" s="76"/>
      <c r="UWM51" s="76"/>
      <c r="UWN51" s="76"/>
      <c r="UWO51" s="76"/>
      <c r="UWP51" s="76"/>
      <c r="UWQ51" s="76"/>
      <c r="UWR51" s="76"/>
      <c r="UWS51" s="76"/>
      <c r="UWT51" s="76"/>
      <c r="UWU51" s="76"/>
      <c r="UWV51" s="76"/>
      <c r="UWW51" s="76"/>
      <c r="UWX51" s="76"/>
      <c r="UWY51" s="76"/>
      <c r="UWZ51" s="76"/>
      <c r="UXA51" s="76"/>
      <c r="UXB51" s="76"/>
      <c r="UXC51" s="76"/>
      <c r="UXD51" s="76"/>
      <c r="UXE51" s="76"/>
      <c r="UXF51" s="76"/>
      <c r="UXG51" s="76"/>
      <c r="UXH51" s="76"/>
      <c r="UXI51" s="76"/>
      <c r="UXJ51" s="76"/>
      <c r="UXK51" s="76"/>
      <c r="UXL51" s="76"/>
      <c r="UXM51" s="76"/>
      <c r="UXN51" s="76"/>
      <c r="UXO51" s="76"/>
      <c r="UXP51" s="76"/>
      <c r="UXQ51" s="76"/>
      <c r="UXR51" s="76"/>
      <c r="UXS51" s="76"/>
      <c r="UXT51" s="76"/>
      <c r="UXU51" s="76"/>
      <c r="UXV51" s="76"/>
      <c r="UXW51" s="76"/>
      <c r="UXX51" s="76"/>
      <c r="UXY51" s="76"/>
      <c r="UXZ51" s="76"/>
      <c r="UYA51" s="76"/>
      <c r="UYB51" s="76"/>
      <c r="UYC51" s="76"/>
      <c r="UYD51" s="76"/>
      <c r="UYE51" s="76"/>
      <c r="UYF51" s="76"/>
      <c r="UYG51" s="76"/>
      <c r="UYH51" s="76"/>
      <c r="UYI51" s="76"/>
      <c r="UYJ51" s="76"/>
      <c r="UYK51" s="76"/>
      <c r="UYL51" s="76"/>
      <c r="UYM51" s="76"/>
      <c r="UYN51" s="76"/>
      <c r="UYO51" s="76"/>
      <c r="UYP51" s="76"/>
      <c r="UYQ51" s="76"/>
      <c r="UYR51" s="76"/>
      <c r="UYS51" s="76"/>
      <c r="UYT51" s="76"/>
      <c r="UYU51" s="76"/>
      <c r="UYV51" s="76"/>
      <c r="UYW51" s="76"/>
      <c r="UYX51" s="76"/>
      <c r="UYY51" s="76"/>
      <c r="UYZ51" s="76"/>
      <c r="UZA51" s="76"/>
      <c r="UZB51" s="76"/>
      <c r="UZC51" s="76"/>
      <c r="UZD51" s="76"/>
      <c r="UZE51" s="76"/>
      <c r="UZF51" s="76"/>
      <c r="UZG51" s="76"/>
      <c r="UZH51" s="76"/>
      <c r="UZI51" s="76"/>
      <c r="UZJ51" s="76"/>
      <c r="UZK51" s="76"/>
      <c r="UZL51" s="76"/>
      <c r="UZM51" s="76"/>
      <c r="UZN51" s="76"/>
      <c r="UZO51" s="76"/>
      <c r="UZP51" s="76"/>
      <c r="UZQ51" s="76"/>
      <c r="UZR51" s="76"/>
      <c r="UZS51" s="76"/>
      <c r="UZT51" s="76"/>
      <c r="UZU51" s="76"/>
      <c r="UZV51" s="76"/>
      <c r="UZW51" s="76"/>
      <c r="UZX51" s="76"/>
      <c r="UZY51" s="76"/>
      <c r="UZZ51" s="76"/>
      <c r="VAA51" s="76"/>
      <c r="VAB51" s="76"/>
      <c r="VAC51" s="76"/>
      <c r="VAD51" s="76"/>
      <c r="VAE51" s="76"/>
      <c r="VAF51" s="76"/>
      <c r="VAG51" s="76"/>
      <c r="VAH51" s="76"/>
      <c r="VAI51" s="76"/>
      <c r="VAJ51" s="76"/>
      <c r="VAK51" s="76"/>
      <c r="VAL51" s="76"/>
      <c r="VAM51" s="76"/>
      <c r="VAN51" s="76"/>
      <c r="VAO51" s="76"/>
      <c r="VAP51" s="76"/>
      <c r="VAQ51" s="76"/>
      <c r="VAR51" s="76"/>
      <c r="VAS51" s="76"/>
      <c r="VAT51" s="76"/>
      <c r="VAU51" s="76"/>
      <c r="VAV51" s="76"/>
      <c r="VAW51" s="76"/>
      <c r="VAX51" s="76"/>
      <c r="VAY51" s="76"/>
      <c r="VAZ51" s="76"/>
      <c r="VBA51" s="76"/>
      <c r="VBB51" s="76"/>
      <c r="VBC51" s="76"/>
      <c r="VBD51" s="76"/>
      <c r="VBE51" s="76"/>
      <c r="VBF51" s="76"/>
      <c r="VBG51" s="76"/>
      <c r="VBH51" s="76"/>
      <c r="VBI51" s="76"/>
      <c r="VBJ51" s="76"/>
      <c r="VBK51" s="76"/>
      <c r="VBL51" s="76"/>
      <c r="VBM51" s="76"/>
      <c r="VBN51" s="76"/>
      <c r="VBO51" s="76"/>
      <c r="VBP51" s="76"/>
      <c r="VBQ51" s="76"/>
      <c r="VBR51" s="76"/>
      <c r="VBS51" s="76"/>
      <c r="VBT51" s="76"/>
      <c r="VBU51" s="76"/>
      <c r="VBV51" s="76"/>
      <c r="VBW51" s="76"/>
      <c r="VBX51" s="76"/>
      <c r="VBY51" s="76"/>
      <c r="VBZ51" s="76"/>
      <c r="VCA51" s="76"/>
      <c r="VCB51" s="76"/>
      <c r="VCC51" s="76"/>
      <c r="VCD51" s="76"/>
      <c r="VCE51" s="76"/>
      <c r="VCF51" s="76"/>
      <c r="VCG51" s="76"/>
      <c r="VCH51" s="76"/>
      <c r="VCI51" s="76"/>
      <c r="VCJ51" s="76"/>
      <c r="VCK51" s="76"/>
      <c r="VCL51" s="76"/>
      <c r="VCM51" s="76"/>
      <c r="VCN51" s="76"/>
      <c r="VCO51" s="76"/>
      <c r="VCP51" s="76"/>
      <c r="VCQ51" s="76"/>
      <c r="VCR51" s="76"/>
      <c r="VCS51" s="76"/>
      <c r="VCT51" s="76"/>
      <c r="VCU51" s="76"/>
      <c r="VCV51" s="76"/>
      <c r="VCW51" s="76"/>
      <c r="VCX51" s="76"/>
      <c r="VCY51" s="76"/>
      <c r="VCZ51" s="76"/>
      <c r="VDA51" s="76"/>
      <c r="VDB51" s="76"/>
      <c r="VDC51" s="76"/>
      <c r="VDD51" s="76"/>
      <c r="VDE51" s="76"/>
      <c r="VDF51" s="76"/>
      <c r="VDG51" s="76"/>
      <c r="VDH51" s="76"/>
      <c r="VDI51" s="76"/>
      <c r="VDJ51" s="76"/>
      <c r="VDK51" s="76"/>
      <c r="VDL51" s="76"/>
      <c r="VDM51" s="76"/>
      <c r="VDN51" s="76"/>
      <c r="VDO51" s="76"/>
      <c r="VDP51" s="76"/>
      <c r="VDQ51" s="76"/>
      <c r="VDR51" s="76"/>
      <c r="VDS51" s="76"/>
      <c r="VDT51" s="76"/>
      <c r="VDU51" s="76"/>
      <c r="VDV51" s="76"/>
      <c r="VDW51" s="76"/>
      <c r="VDX51" s="76"/>
      <c r="VDY51" s="76"/>
      <c r="VDZ51" s="76"/>
      <c r="VEA51" s="76"/>
      <c r="VEB51" s="76"/>
      <c r="VEC51" s="76"/>
      <c r="VED51" s="76"/>
      <c r="VEE51" s="76"/>
      <c r="VEF51" s="76"/>
      <c r="VEG51" s="76"/>
      <c r="VEH51" s="76"/>
      <c r="VEI51" s="76"/>
      <c r="VEJ51" s="76"/>
      <c r="VEK51" s="76"/>
      <c r="VEL51" s="76"/>
      <c r="VEM51" s="76"/>
      <c r="VEN51" s="76"/>
      <c r="VEO51" s="76"/>
      <c r="VEP51" s="76"/>
      <c r="VEQ51" s="76"/>
      <c r="VER51" s="76"/>
      <c r="VES51" s="76"/>
      <c r="VET51" s="76"/>
      <c r="VEU51" s="76"/>
      <c r="VEV51" s="76"/>
      <c r="VEW51" s="76"/>
      <c r="VEX51" s="76"/>
      <c r="VEY51" s="76"/>
      <c r="VEZ51" s="76"/>
      <c r="VFA51" s="76"/>
      <c r="VFB51" s="76"/>
      <c r="VFC51" s="76"/>
      <c r="VFD51" s="76"/>
      <c r="VFE51" s="76"/>
      <c r="VFF51" s="76"/>
      <c r="VFG51" s="76"/>
      <c r="VFH51" s="76"/>
      <c r="VFI51" s="76"/>
      <c r="VFJ51" s="76"/>
      <c r="VFK51" s="76"/>
      <c r="VFL51" s="76"/>
      <c r="VFM51" s="76"/>
      <c r="VFN51" s="76"/>
      <c r="VFO51" s="76"/>
      <c r="VFP51" s="76"/>
      <c r="VFQ51" s="76"/>
      <c r="VFR51" s="76"/>
      <c r="VFS51" s="76"/>
      <c r="VFT51" s="76"/>
      <c r="VFU51" s="76"/>
      <c r="VFV51" s="76"/>
      <c r="VFW51" s="76"/>
      <c r="VFX51" s="76"/>
      <c r="VFY51" s="76"/>
      <c r="VFZ51" s="76"/>
      <c r="VGA51" s="76"/>
      <c r="VGB51" s="76"/>
      <c r="VGC51" s="76"/>
      <c r="VGD51" s="76"/>
      <c r="VGE51" s="76"/>
      <c r="VGF51" s="76"/>
      <c r="VGG51" s="76"/>
      <c r="VGH51" s="76"/>
      <c r="VGI51" s="76"/>
      <c r="VGJ51" s="76"/>
      <c r="VGK51" s="76"/>
      <c r="VGL51" s="76"/>
      <c r="VGM51" s="76"/>
      <c r="VGN51" s="76"/>
      <c r="VGO51" s="76"/>
      <c r="VGP51" s="76"/>
      <c r="VGQ51" s="76"/>
      <c r="VGR51" s="76"/>
      <c r="VGS51" s="76"/>
      <c r="VGT51" s="76"/>
      <c r="VGU51" s="76"/>
      <c r="VGV51" s="76"/>
      <c r="VGW51" s="76"/>
      <c r="VGX51" s="76"/>
      <c r="VGY51" s="76"/>
      <c r="VGZ51" s="76"/>
      <c r="VHA51" s="76"/>
      <c r="VHB51" s="76"/>
      <c r="VHC51" s="76"/>
      <c r="VHD51" s="76"/>
      <c r="VHE51" s="76"/>
      <c r="VHF51" s="76"/>
      <c r="VHG51" s="76"/>
      <c r="VHH51" s="76"/>
      <c r="VHI51" s="76"/>
      <c r="VHJ51" s="76"/>
      <c r="VHK51" s="76"/>
      <c r="VHL51" s="76"/>
      <c r="VHM51" s="76"/>
      <c r="VHN51" s="76"/>
      <c r="VHO51" s="76"/>
      <c r="VHP51" s="76"/>
      <c r="VHQ51" s="76"/>
      <c r="VHR51" s="76"/>
      <c r="VHS51" s="76"/>
      <c r="VHT51" s="76"/>
      <c r="VHU51" s="76"/>
      <c r="VHV51" s="76"/>
      <c r="VHW51" s="76"/>
      <c r="VHX51" s="76"/>
      <c r="VHY51" s="76"/>
      <c r="VHZ51" s="76"/>
      <c r="VIA51" s="76"/>
      <c r="VIB51" s="76"/>
      <c r="VIC51" s="76"/>
      <c r="VID51" s="76"/>
      <c r="VIE51" s="76"/>
      <c r="VIF51" s="76"/>
      <c r="VIG51" s="76"/>
      <c r="VIH51" s="76"/>
      <c r="VII51" s="76"/>
      <c r="VIJ51" s="76"/>
      <c r="VIK51" s="76"/>
      <c r="VIL51" s="76"/>
      <c r="VIM51" s="76"/>
      <c r="VIN51" s="76"/>
      <c r="VIO51" s="76"/>
      <c r="VIP51" s="76"/>
      <c r="VIQ51" s="76"/>
      <c r="VIR51" s="76"/>
      <c r="VIS51" s="76"/>
      <c r="VIT51" s="76"/>
      <c r="VIU51" s="76"/>
      <c r="VIV51" s="76"/>
      <c r="VIW51" s="76"/>
      <c r="VIX51" s="76"/>
      <c r="VIY51" s="76"/>
      <c r="VIZ51" s="76"/>
      <c r="VJA51" s="76"/>
      <c r="VJB51" s="76"/>
      <c r="VJC51" s="76"/>
      <c r="VJD51" s="76"/>
      <c r="VJE51" s="76"/>
      <c r="VJF51" s="76"/>
      <c r="VJG51" s="76"/>
      <c r="VJH51" s="76"/>
      <c r="VJI51" s="76"/>
      <c r="VJJ51" s="76"/>
      <c r="VJK51" s="76"/>
      <c r="VJL51" s="76"/>
      <c r="VJM51" s="76"/>
      <c r="VJN51" s="76"/>
      <c r="VJO51" s="76"/>
      <c r="VJP51" s="76"/>
      <c r="VJQ51" s="76"/>
      <c r="VJR51" s="76"/>
      <c r="VJS51" s="76"/>
      <c r="VJT51" s="76"/>
      <c r="VJU51" s="76"/>
      <c r="VJV51" s="76"/>
      <c r="VJW51" s="76"/>
      <c r="VJX51" s="76"/>
      <c r="VJY51" s="76"/>
      <c r="VJZ51" s="76"/>
      <c r="VKA51" s="76"/>
      <c r="VKB51" s="76"/>
      <c r="VKC51" s="76"/>
      <c r="VKD51" s="76"/>
      <c r="VKE51" s="76"/>
      <c r="VKF51" s="76"/>
      <c r="VKG51" s="76"/>
      <c r="VKH51" s="76"/>
      <c r="VKI51" s="76"/>
      <c r="VKJ51" s="76"/>
      <c r="VKK51" s="76"/>
      <c r="VKL51" s="76"/>
      <c r="VKM51" s="76"/>
      <c r="VKN51" s="76"/>
      <c r="VKO51" s="76"/>
      <c r="VKP51" s="76"/>
      <c r="VKQ51" s="76"/>
      <c r="VKR51" s="76"/>
      <c r="VKS51" s="76"/>
      <c r="VKT51" s="76"/>
      <c r="VKU51" s="76"/>
      <c r="VKV51" s="76"/>
      <c r="VKW51" s="76"/>
      <c r="VKX51" s="76"/>
      <c r="VKY51" s="76"/>
      <c r="VKZ51" s="76"/>
      <c r="VLA51" s="76"/>
      <c r="VLB51" s="76"/>
      <c r="VLC51" s="76"/>
      <c r="VLD51" s="76"/>
      <c r="VLE51" s="76"/>
      <c r="VLF51" s="76"/>
      <c r="VLG51" s="76"/>
      <c r="VLH51" s="76"/>
      <c r="VLI51" s="76"/>
      <c r="VLJ51" s="76"/>
      <c r="VLK51" s="76"/>
      <c r="VLL51" s="76"/>
      <c r="VLM51" s="76"/>
      <c r="VLN51" s="76"/>
      <c r="VLO51" s="76"/>
      <c r="VLP51" s="76"/>
      <c r="VLQ51" s="76"/>
      <c r="VLR51" s="76"/>
      <c r="VLS51" s="76"/>
      <c r="VLT51" s="76"/>
      <c r="VLU51" s="76"/>
      <c r="VLV51" s="76"/>
      <c r="VLW51" s="76"/>
      <c r="VLX51" s="76"/>
      <c r="VLY51" s="76"/>
      <c r="VLZ51" s="76"/>
      <c r="VMA51" s="76"/>
      <c r="VMB51" s="76"/>
      <c r="VMC51" s="76"/>
      <c r="VMD51" s="76"/>
      <c r="VME51" s="76"/>
      <c r="VMF51" s="76"/>
      <c r="VMG51" s="76"/>
      <c r="VMH51" s="76"/>
      <c r="VMI51" s="76"/>
      <c r="VMJ51" s="76"/>
      <c r="VMK51" s="76"/>
      <c r="VML51" s="76"/>
      <c r="VMM51" s="76"/>
      <c r="VMN51" s="76"/>
      <c r="VMO51" s="76"/>
      <c r="VMP51" s="76"/>
      <c r="VMQ51" s="76"/>
      <c r="VMR51" s="76"/>
      <c r="VMS51" s="76"/>
      <c r="VMT51" s="76"/>
      <c r="VMU51" s="76"/>
      <c r="VMV51" s="76"/>
      <c r="VMW51" s="76"/>
      <c r="VMX51" s="76"/>
      <c r="VMY51" s="76"/>
      <c r="VMZ51" s="76"/>
      <c r="VNA51" s="76"/>
      <c r="VNB51" s="76"/>
      <c r="VNC51" s="76"/>
      <c r="VND51" s="76"/>
      <c r="VNE51" s="76"/>
      <c r="VNF51" s="76"/>
      <c r="VNG51" s="76"/>
      <c r="VNH51" s="76"/>
      <c r="VNI51" s="76"/>
      <c r="VNJ51" s="76"/>
      <c r="VNK51" s="76"/>
      <c r="VNL51" s="76"/>
      <c r="VNM51" s="76"/>
      <c r="VNN51" s="76"/>
      <c r="VNO51" s="76"/>
      <c r="VNP51" s="76"/>
      <c r="VNQ51" s="76"/>
      <c r="VNR51" s="76"/>
      <c r="VNS51" s="76"/>
      <c r="VNT51" s="76"/>
      <c r="VNU51" s="76"/>
      <c r="VNV51" s="76"/>
      <c r="VNW51" s="76"/>
      <c r="VNX51" s="76"/>
      <c r="VNY51" s="76"/>
      <c r="VNZ51" s="76"/>
      <c r="VOA51" s="76"/>
      <c r="VOB51" s="76"/>
      <c r="VOC51" s="76"/>
      <c r="VOD51" s="76"/>
      <c r="VOE51" s="76"/>
      <c r="VOF51" s="76"/>
      <c r="VOG51" s="76"/>
      <c r="VOH51" s="76"/>
      <c r="VOI51" s="76"/>
      <c r="VOJ51" s="76"/>
      <c r="VOK51" s="76"/>
      <c r="VOL51" s="76"/>
      <c r="VOM51" s="76"/>
      <c r="VON51" s="76"/>
      <c r="VOO51" s="76"/>
      <c r="VOP51" s="76"/>
      <c r="VOQ51" s="76"/>
      <c r="VOR51" s="76"/>
      <c r="VOS51" s="76"/>
      <c r="VOT51" s="76"/>
      <c r="VOU51" s="76"/>
      <c r="VOV51" s="76"/>
      <c r="VOW51" s="76"/>
      <c r="VOX51" s="76"/>
      <c r="VOY51" s="76"/>
      <c r="VOZ51" s="76"/>
      <c r="VPA51" s="76"/>
      <c r="VPB51" s="76"/>
      <c r="VPC51" s="76"/>
      <c r="VPD51" s="76"/>
      <c r="VPE51" s="76"/>
      <c r="VPF51" s="76"/>
      <c r="VPG51" s="76"/>
      <c r="VPH51" s="76"/>
      <c r="VPI51" s="76"/>
      <c r="VPJ51" s="76"/>
      <c r="VPK51" s="76"/>
      <c r="VPL51" s="76"/>
      <c r="VPM51" s="76"/>
      <c r="VPN51" s="76"/>
      <c r="VPO51" s="76"/>
      <c r="VPP51" s="76"/>
      <c r="VPQ51" s="76"/>
      <c r="VPR51" s="76"/>
      <c r="VPS51" s="76"/>
      <c r="VPT51" s="76"/>
      <c r="VPU51" s="76"/>
      <c r="VPV51" s="76"/>
      <c r="VPW51" s="76"/>
      <c r="VPX51" s="76"/>
      <c r="VPY51" s="76"/>
      <c r="VPZ51" s="76"/>
      <c r="VQA51" s="76"/>
      <c r="VQB51" s="76"/>
      <c r="VQC51" s="76"/>
      <c r="VQD51" s="76"/>
      <c r="VQE51" s="76"/>
      <c r="VQF51" s="76"/>
      <c r="VQG51" s="76"/>
      <c r="VQH51" s="76"/>
      <c r="VQI51" s="76"/>
      <c r="VQJ51" s="76"/>
      <c r="VQK51" s="76"/>
      <c r="VQL51" s="76"/>
      <c r="VQM51" s="76"/>
      <c r="VQN51" s="76"/>
      <c r="VQO51" s="76"/>
      <c r="VQP51" s="76"/>
      <c r="VQQ51" s="76"/>
      <c r="VQR51" s="76"/>
      <c r="VQS51" s="76"/>
      <c r="VQT51" s="76"/>
      <c r="VQU51" s="76"/>
      <c r="VQV51" s="76"/>
      <c r="VQW51" s="76"/>
      <c r="VQX51" s="76"/>
      <c r="VQY51" s="76"/>
      <c r="VQZ51" s="76"/>
      <c r="VRA51" s="76"/>
      <c r="VRB51" s="76"/>
      <c r="VRC51" s="76"/>
      <c r="VRD51" s="76"/>
      <c r="VRE51" s="76"/>
      <c r="VRF51" s="76"/>
      <c r="VRG51" s="76"/>
      <c r="VRH51" s="76"/>
      <c r="VRI51" s="76"/>
      <c r="VRJ51" s="76"/>
      <c r="VRK51" s="76"/>
      <c r="VRL51" s="76"/>
      <c r="VRM51" s="76"/>
      <c r="VRN51" s="76"/>
      <c r="VRO51" s="76"/>
      <c r="VRP51" s="76"/>
      <c r="VRQ51" s="76"/>
      <c r="VRR51" s="76"/>
      <c r="VRS51" s="76"/>
      <c r="VRT51" s="76"/>
      <c r="VRU51" s="76"/>
      <c r="VRV51" s="76"/>
      <c r="VRW51" s="76"/>
      <c r="VRX51" s="76"/>
      <c r="VRY51" s="76"/>
      <c r="VRZ51" s="76"/>
      <c r="VSA51" s="76"/>
      <c r="VSB51" s="76"/>
      <c r="VSC51" s="76"/>
      <c r="VSD51" s="76"/>
      <c r="VSE51" s="76"/>
      <c r="VSF51" s="76"/>
      <c r="VSG51" s="76"/>
      <c r="VSH51" s="76"/>
      <c r="VSI51" s="76"/>
      <c r="VSJ51" s="76"/>
      <c r="VSK51" s="76"/>
      <c r="VSL51" s="76"/>
      <c r="VSM51" s="76"/>
      <c r="VSN51" s="76"/>
      <c r="VSO51" s="76"/>
      <c r="VSP51" s="76"/>
      <c r="VSQ51" s="76"/>
      <c r="VSR51" s="76"/>
      <c r="VSS51" s="76"/>
      <c r="VST51" s="76"/>
      <c r="VSU51" s="76"/>
      <c r="VSV51" s="76"/>
      <c r="VSW51" s="76"/>
      <c r="VSX51" s="76"/>
      <c r="VSY51" s="76"/>
      <c r="VSZ51" s="76"/>
      <c r="VTA51" s="76"/>
      <c r="VTB51" s="76"/>
      <c r="VTC51" s="76"/>
      <c r="VTD51" s="76"/>
      <c r="VTE51" s="76"/>
      <c r="VTF51" s="76"/>
      <c r="VTG51" s="76"/>
      <c r="VTH51" s="76"/>
      <c r="VTI51" s="76"/>
      <c r="VTJ51" s="76"/>
      <c r="VTK51" s="76"/>
      <c r="VTL51" s="76"/>
      <c r="VTM51" s="76"/>
      <c r="VTN51" s="76"/>
      <c r="VTO51" s="76"/>
      <c r="VTP51" s="76"/>
      <c r="VTQ51" s="76"/>
      <c r="VTR51" s="76"/>
      <c r="VTS51" s="76"/>
      <c r="VTT51" s="76"/>
      <c r="VTU51" s="76"/>
      <c r="VTV51" s="76"/>
      <c r="VTW51" s="76"/>
      <c r="VTX51" s="76"/>
      <c r="VTY51" s="76"/>
      <c r="VTZ51" s="76"/>
      <c r="VUA51" s="76"/>
      <c r="VUB51" s="76"/>
      <c r="VUC51" s="76"/>
      <c r="VUD51" s="76"/>
      <c r="VUE51" s="76"/>
      <c r="VUF51" s="76"/>
      <c r="VUG51" s="76"/>
      <c r="VUH51" s="76"/>
      <c r="VUI51" s="76"/>
      <c r="VUJ51" s="76"/>
      <c r="VUK51" s="76"/>
      <c r="VUL51" s="76"/>
      <c r="VUM51" s="76"/>
      <c r="VUN51" s="76"/>
      <c r="VUO51" s="76"/>
      <c r="VUP51" s="76"/>
      <c r="VUQ51" s="76"/>
      <c r="VUR51" s="76"/>
      <c r="VUS51" s="76"/>
      <c r="VUT51" s="76"/>
      <c r="VUU51" s="76"/>
      <c r="VUV51" s="76"/>
      <c r="VUW51" s="76"/>
      <c r="VUX51" s="76"/>
      <c r="VUY51" s="76"/>
      <c r="VUZ51" s="76"/>
      <c r="VVA51" s="76"/>
      <c r="VVB51" s="76"/>
      <c r="VVC51" s="76"/>
      <c r="VVD51" s="76"/>
      <c r="VVE51" s="76"/>
      <c r="VVF51" s="76"/>
      <c r="VVG51" s="76"/>
      <c r="VVH51" s="76"/>
      <c r="VVI51" s="76"/>
      <c r="VVJ51" s="76"/>
      <c r="VVK51" s="76"/>
      <c r="VVL51" s="76"/>
      <c r="VVM51" s="76"/>
      <c r="VVN51" s="76"/>
      <c r="VVO51" s="76"/>
      <c r="VVP51" s="76"/>
      <c r="VVQ51" s="76"/>
      <c r="VVR51" s="76"/>
      <c r="VVS51" s="76"/>
      <c r="VVT51" s="76"/>
      <c r="VVU51" s="76"/>
      <c r="VVV51" s="76"/>
      <c r="VVW51" s="76"/>
      <c r="VVX51" s="76"/>
      <c r="VVY51" s="76"/>
      <c r="VVZ51" s="76"/>
      <c r="VWA51" s="76"/>
      <c r="VWB51" s="76"/>
      <c r="VWC51" s="76"/>
      <c r="VWD51" s="76"/>
      <c r="VWE51" s="76"/>
      <c r="VWF51" s="76"/>
      <c r="VWG51" s="76"/>
      <c r="VWH51" s="76"/>
      <c r="VWI51" s="76"/>
      <c r="VWJ51" s="76"/>
      <c r="VWK51" s="76"/>
      <c r="VWL51" s="76"/>
      <c r="VWM51" s="76"/>
      <c r="VWN51" s="76"/>
      <c r="VWO51" s="76"/>
      <c r="VWP51" s="76"/>
      <c r="VWQ51" s="76"/>
      <c r="VWR51" s="76"/>
      <c r="VWS51" s="76"/>
      <c r="VWT51" s="76"/>
      <c r="VWU51" s="76"/>
      <c r="VWV51" s="76"/>
      <c r="VWW51" s="76"/>
      <c r="VWX51" s="76"/>
      <c r="VWY51" s="76"/>
      <c r="VWZ51" s="76"/>
      <c r="VXA51" s="76"/>
      <c r="VXB51" s="76"/>
      <c r="VXC51" s="76"/>
      <c r="VXD51" s="76"/>
      <c r="VXE51" s="76"/>
      <c r="VXF51" s="76"/>
      <c r="VXG51" s="76"/>
      <c r="VXH51" s="76"/>
      <c r="VXI51" s="76"/>
      <c r="VXJ51" s="76"/>
      <c r="VXK51" s="76"/>
      <c r="VXL51" s="76"/>
      <c r="VXM51" s="76"/>
      <c r="VXN51" s="76"/>
      <c r="VXO51" s="76"/>
      <c r="VXP51" s="76"/>
      <c r="VXQ51" s="76"/>
      <c r="VXR51" s="76"/>
      <c r="VXS51" s="76"/>
      <c r="VXT51" s="76"/>
      <c r="VXU51" s="76"/>
      <c r="VXV51" s="76"/>
      <c r="VXW51" s="76"/>
      <c r="VXX51" s="76"/>
      <c r="VXY51" s="76"/>
      <c r="VXZ51" s="76"/>
      <c r="VYA51" s="76"/>
      <c r="VYB51" s="76"/>
      <c r="VYC51" s="76"/>
      <c r="VYD51" s="76"/>
      <c r="VYE51" s="76"/>
      <c r="VYF51" s="76"/>
      <c r="VYG51" s="76"/>
      <c r="VYH51" s="76"/>
      <c r="VYI51" s="76"/>
      <c r="VYJ51" s="76"/>
      <c r="VYK51" s="76"/>
      <c r="VYL51" s="76"/>
      <c r="VYM51" s="76"/>
      <c r="VYN51" s="76"/>
      <c r="VYO51" s="76"/>
      <c r="VYP51" s="76"/>
      <c r="VYQ51" s="76"/>
      <c r="VYR51" s="76"/>
      <c r="VYS51" s="76"/>
      <c r="VYT51" s="76"/>
      <c r="VYU51" s="76"/>
      <c r="VYV51" s="76"/>
      <c r="VYW51" s="76"/>
      <c r="VYX51" s="76"/>
      <c r="VYY51" s="76"/>
      <c r="VYZ51" s="76"/>
      <c r="VZA51" s="76"/>
      <c r="VZB51" s="76"/>
      <c r="VZC51" s="76"/>
      <c r="VZD51" s="76"/>
      <c r="VZE51" s="76"/>
      <c r="VZF51" s="76"/>
      <c r="VZG51" s="76"/>
      <c r="VZH51" s="76"/>
      <c r="VZI51" s="76"/>
      <c r="VZJ51" s="76"/>
      <c r="VZK51" s="76"/>
      <c r="VZL51" s="76"/>
      <c r="VZM51" s="76"/>
      <c r="VZN51" s="76"/>
      <c r="VZO51" s="76"/>
      <c r="VZP51" s="76"/>
      <c r="VZQ51" s="76"/>
      <c r="VZR51" s="76"/>
      <c r="VZS51" s="76"/>
      <c r="VZT51" s="76"/>
      <c r="VZU51" s="76"/>
      <c r="VZV51" s="76"/>
      <c r="VZW51" s="76"/>
      <c r="VZX51" s="76"/>
      <c r="VZY51" s="76"/>
      <c r="VZZ51" s="76"/>
      <c r="WAA51" s="76"/>
      <c r="WAB51" s="76"/>
      <c r="WAC51" s="76"/>
      <c r="WAD51" s="76"/>
      <c r="WAE51" s="76"/>
      <c r="WAF51" s="76"/>
      <c r="WAG51" s="76"/>
      <c r="WAH51" s="76"/>
      <c r="WAI51" s="76"/>
      <c r="WAJ51" s="76"/>
      <c r="WAK51" s="76"/>
      <c r="WAL51" s="76"/>
      <c r="WAM51" s="76"/>
      <c r="WAN51" s="76"/>
      <c r="WAO51" s="76"/>
      <c r="WAP51" s="76"/>
      <c r="WAQ51" s="76"/>
      <c r="WAR51" s="76"/>
      <c r="WAS51" s="76"/>
      <c r="WAT51" s="76"/>
      <c r="WAU51" s="76"/>
      <c r="WAV51" s="76"/>
      <c r="WAW51" s="76"/>
      <c r="WAX51" s="76"/>
      <c r="WAY51" s="76"/>
      <c r="WAZ51" s="76"/>
      <c r="WBA51" s="76"/>
      <c r="WBB51" s="76"/>
      <c r="WBC51" s="76"/>
      <c r="WBD51" s="76"/>
      <c r="WBE51" s="76"/>
      <c r="WBF51" s="76"/>
      <c r="WBG51" s="76"/>
      <c r="WBH51" s="76"/>
      <c r="WBI51" s="76"/>
      <c r="WBJ51" s="76"/>
      <c r="WBK51" s="76"/>
      <c r="WBL51" s="76"/>
      <c r="WBM51" s="76"/>
      <c r="WBN51" s="76"/>
      <c r="WBO51" s="76"/>
      <c r="WBP51" s="76"/>
      <c r="WBQ51" s="76"/>
      <c r="WBR51" s="76"/>
      <c r="WBS51" s="76"/>
      <c r="WBT51" s="76"/>
      <c r="WBU51" s="76"/>
      <c r="WBV51" s="76"/>
      <c r="WBW51" s="76"/>
      <c r="WBX51" s="76"/>
      <c r="WBY51" s="76"/>
      <c r="WBZ51" s="76"/>
      <c r="WCA51" s="76"/>
      <c r="WCB51" s="76"/>
      <c r="WCC51" s="76"/>
      <c r="WCD51" s="76"/>
      <c r="WCE51" s="76"/>
      <c r="WCF51" s="76"/>
      <c r="WCG51" s="76"/>
      <c r="WCH51" s="76"/>
      <c r="WCI51" s="76"/>
      <c r="WCJ51" s="76"/>
      <c r="WCK51" s="76"/>
      <c r="WCL51" s="76"/>
      <c r="WCM51" s="76"/>
      <c r="WCN51" s="76"/>
      <c r="WCO51" s="76"/>
      <c r="WCP51" s="76"/>
      <c r="WCQ51" s="76"/>
      <c r="WCR51" s="76"/>
      <c r="WCS51" s="76"/>
      <c r="WCT51" s="76"/>
      <c r="WCU51" s="76"/>
      <c r="WCV51" s="76"/>
      <c r="WCW51" s="76"/>
      <c r="WCX51" s="76"/>
      <c r="WCY51" s="76"/>
      <c r="WCZ51" s="76"/>
      <c r="WDA51" s="76"/>
      <c r="WDB51" s="76"/>
      <c r="WDC51" s="76"/>
      <c r="WDD51" s="76"/>
      <c r="WDE51" s="76"/>
      <c r="WDF51" s="76"/>
      <c r="WDG51" s="76"/>
      <c r="WDH51" s="76"/>
      <c r="WDI51" s="76"/>
      <c r="WDJ51" s="76"/>
      <c r="WDK51" s="76"/>
      <c r="WDL51" s="76"/>
      <c r="WDM51" s="76"/>
      <c r="WDN51" s="76"/>
      <c r="WDO51" s="76"/>
      <c r="WDP51" s="76"/>
      <c r="WDQ51" s="76"/>
      <c r="WDR51" s="76"/>
      <c r="WDS51" s="76"/>
      <c r="WDT51" s="76"/>
      <c r="WDU51" s="76"/>
      <c r="WDV51" s="76"/>
      <c r="WDW51" s="76"/>
      <c r="WDX51" s="76"/>
      <c r="WDY51" s="76"/>
      <c r="WDZ51" s="76"/>
      <c r="WEA51" s="76"/>
      <c r="WEB51" s="76"/>
      <c r="WEC51" s="76"/>
      <c r="WED51" s="76"/>
      <c r="WEE51" s="76"/>
      <c r="WEF51" s="76"/>
      <c r="WEG51" s="76"/>
      <c r="WEH51" s="76"/>
      <c r="WEI51" s="76"/>
      <c r="WEJ51" s="76"/>
      <c r="WEK51" s="76"/>
      <c r="WEL51" s="76"/>
      <c r="WEM51" s="76"/>
      <c r="WEN51" s="76"/>
      <c r="WEO51" s="76"/>
      <c r="WEP51" s="76"/>
      <c r="WEQ51" s="76"/>
      <c r="WER51" s="76"/>
      <c r="WES51" s="76"/>
      <c r="WET51" s="76"/>
      <c r="WEU51" s="76"/>
      <c r="WEV51" s="76"/>
      <c r="WEW51" s="76"/>
      <c r="WEX51" s="76"/>
      <c r="WEY51" s="76"/>
      <c r="WEZ51" s="76"/>
      <c r="WFA51" s="76"/>
      <c r="WFB51" s="76"/>
      <c r="WFC51" s="76"/>
      <c r="WFD51" s="76"/>
      <c r="WFE51" s="76"/>
      <c r="WFF51" s="76"/>
      <c r="WFG51" s="76"/>
      <c r="WFH51" s="76"/>
      <c r="WFI51" s="76"/>
      <c r="WFJ51" s="76"/>
      <c r="WFK51" s="76"/>
      <c r="WFL51" s="76"/>
      <c r="WFM51" s="76"/>
      <c r="WFN51" s="76"/>
      <c r="WFO51" s="76"/>
      <c r="WFP51" s="76"/>
      <c r="WFQ51" s="76"/>
      <c r="WFR51" s="76"/>
      <c r="WFS51" s="76"/>
      <c r="WFT51" s="76"/>
      <c r="WFU51" s="76"/>
      <c r="WFV51" s="76"/>
      <c r="WFW51" s="76"/>
      <c r="WFX51" s="76"/>
      <c r="WFY51" s="76"/>
      <c r="WFZ51" s="76"/>
      <c r="WGA51" s="76"/>
      <c r="WGB51" s="76"/>
      <c r="WGC51" s="76"/>
      <c r="WGD51" s="76"/>
      <c r="WGE51" s="76"/>
      <c r="WGF51" s="76"/>
      <c r="WGG51" s="76"/>
      <c r="WGH51" s="76"/>
      <c r="WGI51" s="76"/>
      <c r="WGJ51" s="76"/>
      <c r="WGK51" s="76"/>
      <c r="WGL51" s="76"/>
      <c r="WGM51" s="76"/>
      <c r="WGN51" s="76"/>
      <c r="WGO51" s="76"/>
      <c r="WGP51" s="76"/>
      <c r="WGQ51" s="76"/>
      <c r="WGR51" s="76"/>
      <c r="WGS51" s="76"/>
      <c r="WGT51" s="76"/>
      <c r="WGU51" s="76"/>
      <c r="WGV51" s="76"/>
      <c r="WGW51" s="76"/>
      <c r="WGX51" s="76"/>
      <c r="WGY51" s="76"/>
      <c r="WGZ51" s="76"/>
      <c r="WHA51" s="76"/>
      <c r="WHB51" s="76"/>
      <c r="WHC51" s="76"/>
      <c r="WHD51" s="76"/>
      <c r="WHE51" s="76"/>
      <c r="WHF51" s="76"/>
      <c r="WHG51" s="76"/>
      <c r="WHH51" s="76"/>
      <c r="WHI51" s="76"/>
      <c r="WHJ51" s="76"/>
      <c r="WHK51" s="76"/>
      <c r="WHL51" s="76"/>
      <c r="WHM51" s="76"/>
      <c r="WHN51" s="76"/>
      <c r="WHO51" s="76"/>
      <c r="WHP51" s="76"/>
      <c r="WHQ51" s="76"/>
      <c r="WHR51" s="76"/>
      <c r="WHS51" s="76"/>
      <c r="WHT51" s="76"/>
      <c r="WHU51" s="76"/>
      <c r="WHV51" s="76"/>
      <c r="WHW51" s="76"/>
      <c r="WHX51" s="76"/>
      <c r="WHY51" s="76"/>
      <c r="WHZ51" s="76"/>
      <c r="WIA51" s="76"/>
      <c r="WIB51" s="76"/>
      <c r="WIC51" s="76"/>
      <c r="WID51" s="76"/>
      <c r="WIE51" s="76"/>
      <c r="WIF51" s="76"/>
      <c r="WIG51" s="76"/>
      <c r="WIH51" s="76"/>
      <c r="WII51" s="76"/>
      <c r="WIJ51" s="76"/>
      <c r="WIK51" s="76"/>
      <c r="WIL51" s="76"/>
      <c r="WIM51" s="76"/>
      <c r="WIN51" s="76"/>
      <c r="WIO51" s="76"/>
      <c r="WIP51" s="76"/>
      <c r="WIQ51" s="76"/>
      <c r="WIR51" s="76"/>
      <c r="WIS51" s="76"/>
      <c r="WIT51" s="76"/>
      <c r="WIU51" s="76"/>
      <c r="WIV51" s="76"/>
      <c r="WIW51" s="76"/>
      <c r="WIX51" s="76"/>
      <c r="WIY51" s="76"/>
      <c r="WIZ51" s="76"/>
      <c r="WJA51" s="76"/>
      <c r="WJB51" s="76"/>
      <c r="WJC51" s="76"/>
      <c r="WJD51" s="76"/>
      <c r="WJE51" s="76"/>
      <c r="WJF51" s="76"/>
      <c r="WJG51" s="76"/>
      <c r="WJH51" s="76"/>
      <c r="WJI51" s="76"/>
      <c r="WJJ51" s="76"/>
      <c r="WJK51" s="76"/>
      <c r="WJL51" s="76"/>
      <c r="WJM51" s="76"/>
      <c r="WJN51" s="76"/>
      <c r="WJO51" s="76"/>
      <c r="WJP51" s="76"/>
      <c r="WJQ51" s="76"/>
      <c r="WJR51" s="76"/>
      <c r="WJS51" s="76"/>
      <c r="WJT51" s="76"/>
      <c r="WJU51" s="76"/>
      <c r="WJV51" s="76"/>
      <c r="WJW51" s="76"/>
      <c r="WJX51" s="76"/>
      <c r="WJY51" s="76"/>
      <c r="WJZ51" s="76"/>
      <c r="WKA51" s="76"/>
      <c r="WKB51" s="76"/>
      <c r="WKC51" s="76"/>
      <c r="WKD51" s="76"/>
      <c r="WKE51" s="76"/>
      <c r="WKF51" s="76"/>
      <c r="WKG51" s="76"/>
      <c r="WKH51" s="76"/>
      <c r="WKI51" s="76"/>
      <c r="WKJ51" s="76"/>
      <c r="WKK51" s="76"/>
      <c r="WKL51" s="76"/>
      <c r="WKM51" s="76"/>
      <c r="WKN51" s="76"/>
      <c r="WKO51" s="76"/>
      <c r="WKP51" s="76"/>
      <c r="WKQ51" s="76"/>
      <c r="WKR51" s="76"/>
      <c r="WKS51" s="76"/>
      <c r="WKT51" s="76"/>
      <c r="WKU51" s="76"/>
      <c r="WKV51" s="76"/>
      <c r="WKW51" s="76"/>
      <c r="WKX51" s="76"/>
      <c r="WKY51" s="76"/>
      <c r="WKZ51" s="76"/>
      <c r="WLA51" s="76"/>
      <c r="WLB51" s="76"/>
      <c r="WLC51" s="76"/>
      <c r="WLD51" s="76"/>
      <c r="WLE51" s="76"/>
      <c r="WLF51" s="76"/>
      <c r="WLG51" s="76"/>
      <c r="WLH51" s="76"/>
      <c r="WLI51" s="76"/>
      <c r="WLJ51" s="76"/>
      <c r="WLK51" s="76"/>
      <c r="WLL51" s="76"/>
      <c r="WLM51" s="76"/>
      <c r="WLN51" s="76"/>
      <c r="WLO51" s="76"/>
      <c r="WLP51" s="76"/>
      <c r="WLQ51" s="76"/>
      <c r="WLR51" s="76"/>
      <c r="WLS51" s="76"/>
      <c r="WLT51" s="76"/>
      <c r="WLU51" s="76"/>
      <c r="WLV51" s="76"/>
      <c r="WLW51" s="76"/>
      <c r="WLX51" s="76"/>
      <c r="WLY51" s="76"/>
      <c r="WLZ51" s="76"/>
      <c r="WMA51" s="76"/>
      <c r="WMB51" s="76"/>
      <c r="WMC51" s="76"/>
      <c r="WMD51" s="76"/>
      <c r="WME51" s="76"/>
      <c r="WMF51" s="76"/>
      <c r="WMG51" s="76"/>
      <c r="WMH51" s="76"/>
      <c r="WMI51" s="76"/>
      <c r="WMJ51" s="76"/>
      <c r="WMK51" s="76"/>
      <c r="WML51" s="76"/>
      <c r="WMM51" s="76"/>
      <c r="WMN51" s="76"/>
      <c r="WMO51" s="76"/>
      <c r="WMP51" s="76"/>
      <c r="WMQ51" s="76"/>
      <c r="WMR51" s="76"/>
      <c r="WMS51" s="76"/>
      <c r="WMT51" s="76"/>
      <c r="WMU51" s="76"/>
      <c r="WMV51" s="76"/>
      <c r="WMW51" s="76"/>
      <c r="WMX51" s="76"/>
      <c r="WMY51" s="76"/>
      <c r="WMZ51" s="76"/>
      <c r="WNA51" s="76"/>
      <c r="WNB51" s="76"/>
      <c r="WNC51" s="76"/>
      <c r="WND51" s="76"/>
      <c r="WNE51" s="76"/>
      <c r="WNF51" s="76"/>
      <c r="WNG51" s="76"/>
      <c r="WNH51" s="76"/>
      <c r="WNI51" s="76"/>
      <c r="WNJ51" s="76"/>
      <c r="WNK51" s="76"/>
      <c r="WNL51" s="76"/>
      <c r="WNM51" s="76"/>
      <c r="WNN51" s="76"/>
      <c r="WNO51" s="76"/>
      <c r="WNP51" s="76"/>
      <c r="WNQ51" s="76"/>
      <c r="WNR51" s="76"/>
      <c r="WNS51" s="76"/>
      <c r="WNT51" s="76"/>
      <c r="WNU51" s="76"/>
      <c r="WNV51" s="76"/>
      <c r="WNW51" s="76"/>
      <c r="WNX51" s="76"/>
      <c r="WNY51" s="76"/>
      <c r="WNZ51" s="76"/>
      <c r="WOA51" s="76"/>
      <c r="WOB51" s="76"/>
      <c r="WOC51" s="76"/>
      <c r="WOD51" s="76"/>
      <c r="WOE51" s="76"/>
      <c r="WOF51" s="76"/>
      <c r="WOG51" s="76"/>
      <c r="WOH51" s="76"/>
      <c r="WOI51" s="76"/>
      <c r="WOJ51" s="76"/>
      <c r="WOK51" s="76"/>
      <c r="WOL51" s="76"/>
      <c r="WOM51" s="76"/>
      <c r="WON51" s="76"/>
      <c r="WOO51" s="76"/>
      <c r="WOP51" s="76"/>
      <c r="WOQ51" s="76"/>
      <c r="WOR51" s="76"/>
      <c r="WOS51" s="76"/>
      <c r="WOT51" s="76"/>
      <c r="WOU51" s="76"/>
      <c r="WOV51" s="76"/>
      <c r="WOW51" s="76"/>
      <c r="WOX51" s="76"/>
      <c r="WOY51" s="76"/>
      <c r="WOZ51" s="76"/>
      <c r="WPA51" s="76"/>
      <c r="WPB51" s="76"/>
      <c r="WPC51" s="76"/>
      <c r="WPD51" s="76"/>
      <c r="WPE51" s="76"/>
      <c r="WPF51" s="76"/>
      <c r="WPG51" s="76"/>
      <c r="WPH51" s="76"/>
      <c r="WPI51" s="76"/>
      <c r="WPJ51" s="76"/>
      <c r="WPK51" s="76"/>
      <c r="WPL51" s="76"/>
      <c r="WPM51" s="76"/>
      <c r="WPN51" s="76"/>
      <c r="WPO51" s="76"/>
      <c r="WPP51" s="76"/>
      <c r="WPQ51" s="76"/>
      <c r="WPR51" s="76"/>
      <c r="WPS51" s="76"/>
      <c r="WPT51" s="76"/>
      <c r="WPU51" s="76"/>
      <c r="WPV51" s="76"/>
      <c r="WPW51" s="76"/>
      <c r="WPX51" s="76"/>
      <c r="WPY51" s="76"/>
      <c r="WPZ51" s="76"/>
      <c r="WQA51" s="76"/>
      <c r="WQB51" s="76"/>
      <c r="WQC51" s="76"/>
      <c r="WQD51" s="76"/>
      <c r="WQE51" s="76"/>
      <c r="WQF51" s="76"/>
      <c r="WQG51" s="76"/>
      <c r="WQH51" s="76"/>
      <c r="WQI51" s="76"/>
      <c r="WQJ51" s="76"/>
      <c r="WQK51" s="76"/>
      <c r="WQL51" s="76"/>
      <c r="WQM51" s="76"/>
      <c r="WQN51" s="76"/>
      <c r="WQO51" s="76"/>
      <c r="WQP51" s="76"/>
      <c r="WQQ51" s="76"/>
      <c r="WQR51" s="76"/>
      <c r="WQS51" s="76"/>
      <c r="WQT51" s="76"/>
      <c r="WQU51" s="76"/>
      <c r="WQV51" s="76"/>
      <c r="WQW51" s="76"/>
      <c r="WQX51" s="76"/>
      <c r="WQY51" s="76"/>
      <c r="WQZ51" s="76"/>
      <c r="WRA51" s="76"/>
      <c r="WRB51" s="76"/>
      <c r="WRC51" s="76"/>
      <c r="WRD51" s="76"/>
      <c r="WRE51" s="76"/>
      <c r="WRF51" s="76"/>
      <c r="WRG51" s="76"/>
      <c r="WRH51" s="76"/>
      <c r="WRI51" s="76"/>
      <c r="WRJ51" s="76"/>
      <c r="WRK51" s="76"/>
      <c r="WRL51" s="76"/>
      <c r="WRM51" s="76"/>
      <c r="WRN51" s="76"/>
      <c r="WRO51" s="76"/>
      <c r="WRP51" s="76"/>
      <c r="WRQ51" s="76"/>
      <c r="WRR51" s="76"/>
      <c r="WRS51" s="76"/>
      <c r="WRT51" s="76"/>
      <c r="WRU51" s="76"/>
      <c r="WRV51" s="76"/>
      <c r="WRW51" s="76"/>
      <c r="WRX51" s="76"/>
      <c r="WRY51" s="76"/>
      <c r="WRZ51" s="76"/>
      <c r="WSA51" s="76"/>
      <c r="WSB51" s="76"/>
      <c r="WSC51" s="76"/>
      <c r="WSD51" s="76"/>
      <c r="WSE51" s="76"/>
      <c r="WSF51" s="76"/>
      <c r="WSG51" s="76"/>
      <c r="WSH51" s="76"/>
      <c r="WSI51" s="76"/>
      <c r="WSJ51" s="76"/>
      <c r="WSK51" s="76"/>
      <c r="WSL51" s="76"/>
      <c r="WSM51" s="76"/>
      <c r="WSN51" s="76"/>
      <c r="WSO51" s="76"/>
      <c r="WSP51" s="76"/>
      <c r="WSQ51" s="76"/>
      <c r="WSR51" s="76"/>
      <c r="WSS51" s="76"/>
      <c r="WST51" s="76"/>
      <c r="WSU51" s="76"/>
      <c r="WSV51" s="76"/>
      <c r="WSW51" s="76"/>
      <c r="WSX51" s="76"/>
      <c r="WSY51" s="76"/>
      <c r="WSZ51" s="76"/>
      <c r="WTA51" s="76"/>
      <c r="WTB51" s="76"/>
      <c r="WTC51" s="76"/>
      <c r="WTD51" s="76"/>
      <c r="WTE51" s="76"/>
      <c r="WTF51" s="76"/>
      <c r="WTG51" s="76"/>
      <c r="WTH51" s="76"/>
      <c r="WTI51" s="76"/>
      <c r="WTJ51" s="76"/>
      <c r="WTK51" s="76"/>
      <c r="WTL51" s="76"/>
      <c r="WTM51" s="76"/>
      <c r="WTN51" s="76"/>
      <c r="WTO51" s="76"/>
      <c r="WTP51" s="76"/>
      <c r="WTQ51" s="76"/>
      <c r="WTR51" s="76"/>
      <c r="WTS51" s="76"/>
      <c r="WTT51" s="76"/>
      <c r="WTU51" s="76"/>
      <c r="WTV51" s="76"/>
      <c r="WTW51" s="76"/>
      <c r="WTX51" s="76"/>
      <c r="WTY51" s="76"/>
      <c r="WTZ51" s="76"/>
      <c r="WUA51" s="76"/>
      <c r="WUB51" s="76"/>
      <c r="WUC51" s="76"/>
      <c r="WUD51" s="76"/>
      <c r="WUE51" s="76"/>
      <c r="WUF51" s="76"/>
      <c r="WUG51" s="76"/>
      <c r="WUH51" s="76"/>
      <c r="WUI51" s="76"/>
      <c r="WUJ51" s="76"/>
      <c r="WUK51" s="76"/>
      <c r="WUL51" s="76"/>
      <c r="WUM51" s="76"/>
      <c r="WUN51" s="76"/>
      <c r="WUO51" s="76"/>
      <c r="WUP51" s="76"/>
      <c r="WUQ51" s="76"/>
      <c r="WUR51" s="76"/>
      <c r="WUS51" s="76"/>
      <c r="WUT51" s="76"/>
      <c r="WUU51" s="76"/>
      <c r="WUV51" s="76"/>
      <c r="WUW51" s="76"/>
      <c r="WUX51" s="76"/>
      <c r="WUY51" s="76"/>
      <c r="WUZ51" s="76"/>
      <c r="WVA51" s="76"/>
      <c r="WVB51" s="76"/>
      <c r="WVC51" s="76"/>
      <c r="WVD51" s="76"/>
      <c r="WVE51" s="76"/>
      <c r="WVF51" s="76"/>
      <c r="WVG51" s="76"/>
      <c r="WVH51" s="76"/>
      <c r="WVI51" s="76"/>
      <c r="WVJ51" s="76"/>
      <c r="WVK51" s="76"/>
      <c r="WVL51" s="76"/>
      <c r="WVM51" s="76"/>
      <c r="WVN51" s="76"/>
      <c r="WVO51" s="76"/>
      <c r="WVP51" s="76"/>
      <c r="WVQ51" s="76"/>
      <c r="WVR51" s="76"/>
      <c r="WVS51" s="76"/>
      <c r="WVT51" s="76"/>
      <c r="WVU51" s="76"/>
      <c r="WVV51" s="76"/>
      <c r="WVW51" s="76"/>
      <c r="WVX51" s="76"/>
      <c r="WVY51" s="76"/>
      <c r="WVZ51" s="76"/>
      <c r="WWA51" s="76"/>
      <c r="WWB51" s="76"/>
      <c r="WWC51" s="76"/>
      <c r="WWD51" s="76"/>
      <c r="WWE51" s="76"/>
      <c r="WWF51" s="76"/>
      <c r="WWG51" s="76"/>
      <c r="WWH51" s="76"/>
      <c r="WWI51" s="76"/>
      <c r="WWJ51" s="76"/>
      <c r="WWK51" s="76"/>
      <c r="WWL51" s="76"/>
      <c r="WWM51" s="76"/>
      <c r="WWN51" s="76"/>
      <c r="WWO51" s="76"/>
      <c r="WWP51" s="76"/>
      <c r="WWQ51" s="76"/>
      <c r="WWR51" s="76"/>
      <c r="WWS51" s="76"/>
      <c r="WWT51" s="76"/>
      <c r="WWU51" s="76"/>
      <c r="WWV51" s="76"/>
      <c r="WWW51" s="76"/>
      <c r="WWX51" s="76"/>
      <c r="WWY51" s="76"/>
      <c r="WWZ51" s="76"/>
      <c r="WXA51" s="76"/>
    </row>
    <row r="52" spans="1:16173" s="77" customFormat="1" ht="34" customHeight="1" x14ac:dyDescent="0.55000000000000004">
      <c r="A52" s="76"/>
      <c r="B52" s="76"/>
      <c r="C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  <c r="CC52" s="76"/>
      <c r="CD52" s="76"/>
      <c r="CE52" s="76"/>
      <c r="CF52" s="76"/>
      <c r="CG52" s="76"/>
      <c r="CH52" s="76"/>
      <c r="CI52" s="76"/>
      <c r="CJ52" s="76"/>
      <c r="CK52" s="76"/>
      <c r="CL52" s="76"/>
      <c r="CM52" s="76"/>
      <c r="CN52" s="76"/>
      <c r="CO52" s="76"/>
      <c r="CP52" s="76"/>
      <c r="CQ52" s="76"/>
      <c r="CR52" s="76"/>
      <c r="CS52" s="76"/>
      <c r="CT52" s="76"/>
      <c r="CU52" s="76"/>
      <c r="CV52" s="76"/>
      <c r="CW52" s="76"/>
      <c r="CX52" s="76"/>
      <c r="CY52" s="76"/>
      <c r="CZ52" s="76"/>
      <c r="DA52" s="76"/>
      <c r="DB52" s="76"/>
      <c r="DC52" s="76"/>
      <c r="DD52" s="76"/>
      <c r="DE52" s="76"/>
      <c r="DF52" s="76"/>
      <c r="DG52" s="76"/>
      <c r="DH52" s="76"/>
      <c r="DI52" s="76"/>
      <c r="DJ52" s="76"/>
      <c r="DK52" s="76"/>
      <c r="DL52" s="76"/>
      <c r="DM52" s="76"/>
      <c r="DN52" s="76"/>
      <c r="DO52" s="76"/>
      <c r="DP52" s="76"/>
      <c r="DQ52" s="76"/>
      <c r="DR52" s="76"/>
      <c r="DS52" s="76"/>
      <c r="DT52" s="76"/>
      <c r="DU52" s="76"/>
      <c r="DV52" s="76"/>
      <c r="DW52" s="76"/>
      <c r="DX52" s="76"/>
      <c r="DY52" s="76"/>
      <c r="DZ52" s="76"/>
      <c r="EA52" s="76"/>
      <c r="EB52" s="76"/>
      <c r="EC52" s="76"/>
      <c r="ED52" s="76"/>
      <c r="EE52" s="76"/>
      <c r="EF52" s="76"/>
      <c r="EG52" s="76"/>
      <c r="EH52" s="76"/>
      <c r="EI52" s="76"/>
      <c r="EJ52" s="76"/>
      <c r="EK52" s="76"/>
      <c r="EL52" s="76"/>
      <c r="EM52" s="76"/>
      <c r="EN52" s="76"/>
      <c r="EO52" s="76"/>
      <c r="EP52" s="76"/>
      <c r="EQ52" s="76"/>
      <c r="ER52" s="76"/>
      <c r="ES52" s="76"/>
      <c r="ET52" s="76"/>
      <c r="EU52" s="76"/>
      <c r="EV52" s="76"/>
      <c r="EW52" s="76"/>
      <c r="EX52" s="76"/>
      <c r="EY52" s="76"/>
      <c r="EZ52" s="76"/>
      <c r="FA52" s="76"/>
      <c r="FB52" s="76"/>
      <c r="FC52" s="76"/>
      <c r="FD52" s="76"/>
      <c r="FE52" s="76"/>
      <c r="FF52" s="76"/>
      <c r="FG52" s="76"/>
      <c r="FH52" s="76"/>
      <c r="FI52" s="76"/>
      <c r="FJ52" s="76"/>
      <c r="FK52" s="76"/>
      <c r="FL52" s="76"/>
      <c r="FM52" s="76"/>
      <c r="FN52" s="76"/>
      <c r="FO52" s="76"/>
      <c r="FP52" s="76"/>
      <c r="FQ52" s="76"/>
      <c r="FR52" s="76"/>
      <c r="FS52" s="76"/>
      <c r="FT52" s="76"/>
      <c r="FU52" s="76"/>
      <c r="FV52" s="76"/>
      <c r="FW52" s="76"/>
      <c r="FX52" s="76"/>
      <c r="FY52" s="76"/>
      <c r="FZ52" s="76"/>
      <c r="GA52" s="76"/>
      <c r="GB52" s="76"/>
      <c r="GC52" s="76"/>
      <c r="GD52" s="76"/>
      <c r="GE52" s="76"/>
      <c r="GF52" s="76"/>
      <c r="GG52" s="76"/>
      <c r="GH52" s="76"/>
      <c r="GI52" s="76"/>
      <c r="GJ52" s="76"/>
      <c r="GK52" s="76"/>
      <c r="GL52" s="76"/>
      <c r="GM52" s="76"/>
      <c r="GN52" s="76"/>
      <c r="GO52" s="76"/>
      <c r="GP52" s="76"/>
      <c r="GQ52" s="76"/>
      <c r="GR52" s="76"/>
      <c r="GS52" s="76"/>
      <c r="GT52" s="76"/>
      <c r="GU52" s="76"/>
      <c r="GV52" s="76"/>
      <c r="GW52" s="76"/>
      <c r="GX52" s="76"/>
      <c r="GY52" s="76"/>
      <c r="GZ52" s="76"/>
      <c r="HA52" s="76"/>
      <c r="HB52" s="76"/>
      <c r="HC52" s="76"/>
      <c r="HD52" s="76"/>
      <c r="HE52" s="76"/>
      <c r="HF52" s="76"/>
      <c r="HG52" s="76"/>
      <c r="HH52" s="76"/>
      <c r="HI52" s="76"/>
      <c r="HJ52" s="76"/>
      <c r="HK52" s="76"/>
      <c r="HL52" s="76"/>
      <c r="HM52" s="76"/>
      <c r="HN52" s="76"/>
      <c r="HO52" s="76"/>
      <c r="HP52" s="76"/>
      <c r="HQ52" s="76"/>
      <c r="HR52" s="76"/>
      <c r="HS52" s="76"/>
      <c r="HT52" s="76"/>
      <c r="HU52" s="76"/>
      <c r="HV52" s="76"/>
      <c r="HW52" s="76"/>
      <c r="HX52" s="76"/>
      <c r="HY52" s="76"/>
      <c r="HZ52" s="76"/>
      <c r="IA52" s="76"/>
      <c r="IB52" s="76"/>
      <c r="IC52" s="76"/>
      <c r="ID52" s="76"/>
      <c r="IE52" s="76"/>
      <c r="IF52" s="76"/>
      <c r="IG52" s="76"/>
      <c r="IH52" s="76"/>
      <c r="II52" s="76"/>
      <c r="IJ52" s="76"/>
      <c r="IK52" s="76"/>
      <c r="IL52" s="76"/>
      <c r="IM52" s="76"/>
      <c r="IN52" s="76"/>
      <c r="IO52" s="76"/>
      <c r="IP52" s="76"/>
      <c r="IQ52" s="76"/>
      <c r="IR52" s="76"/>
      <c r="IS52" s="76"/>
      <c r="IT52" s="76"/>
      <c r="IU52" s="76"/>
      <c r="IV52" s="76"/>
      <c r="IW52" s="76"/>
      <c r="IX52" s="76"/>
      <c r="IY52" s="76"/>
      <c r="IZ52" s="76"/>
      <c r="JA52" s="76"/>
      <c r="JB52" s="76"/>
      <c r="JC52" s="76"/>
      <c r="JD52" s="76"/>
      <c r="JE52" s="76"/>
      <c r="JF52" s="76"/>
      <c r="JG52" s="76"/>
      <c r="JH52" s="76"/>
      <c r="JI52" s="76"/>
      <c r="JJ52" s="76"/>
      <c r="JK52" s="76"/>
      <c r="JL52" s="76"/>
      <c r="JM52" s="76"/>
      <c r="JN52" s="76"/>
      <c r="JO52" s="76"/>
      <c r="JP52" s="76"/>
      <c r="JQ52" s="76"/>
      <c r="JR52" s="76"/>
      <c r="JS52" s="76"/>
      <c r="JT52" s="76"/>
      <c r="JU52" s="76"/>
      <c r="JV52" s="76"/>
      <c r="JW52" s="76"/>
      <c r="JX52" s="76"/>
      <c r="JY52" s="76"/>
      <c r="JZ52" s="76"/>
      <c r="KA52" s="76"/>
      <c r="KB52" s="76"/>
      <c r="KC52" s="76"/>
      <c r="KD52" s="76"/>
      <c r="KE52" s="76"/>
      <c r="KF52" s="76"/>
      <c r="KG52" s="76"/>
      <c r="KH52" s="76"/>
      <c r="KI52" s="76"/>
      <c r="KJ52" s="76"/>
      <c r="KK52" s="76"/>
      <c r="KL52" s="76"/>
      <c r="KM52" s="76"/>
      <c r="KN52" s="76"/>
      <c r="KO52" s="76"/>
      <c r="KP52" s="76"/>
      <c r="KQ52" s="76"/>
      <c r="KR52" s="76"/>
      <c r="KS52" s="76"/>
      <c r="KT52" s="76"/>
      <c r="KU52" s="76"/>
      <c r="KV52" s="76"/>
      <c r="KW52" s="76"/>
      <c r="KX52" s="76"/>
      <c r="KY52" s="76"/>
      <c r="KZ52" s="76"/>
      <c r="LA52" s="76"/>
      <c r="LB52" s="76"/>
      <c r="LC52" s="76"/>
      <c r="LD52" s="76"/>
      <c r="LE52" s="76"/>
      <c r="LF52" s="76"/>
      <c r="LG52" s="76"/>
      <c r="LH52" s="76"/>
      <c r="LI52" s="76"/>
      <c r="LJ52" s="76"/>
      <c r="LK52" s="76"/>
      <c r="LL52" s="76"/>
      <c r="LM52" s="76"/>
      <c r="LN52" s="76"/>
      <c r="LO52" s="76"/>
      <c r="LP52" s="76"/>
      <c r="LQ52" s="76"/>
      <c r="LR52" s="76"/>
      <c r="LS52" s="76"/>
      <c r="LT52" s="76"/>
      <c r="LU52" s="76"/>
      <c r="LV52" s="76"/>
      <c r="LW52" s="76"/>
      <c r="LX52" s="76"/>
      <c r="LY52" s="76"/>
      <c r="LZ52" s="76"/>
      <c r="MA52" s="76"/>
      <c r="MB52" s="76"/>
      <c r="MC52" s="76"/>
      <c r="MD52" s="76"/>
      <c r="ME52" s="76"/>
      <c r="MF52" s="76"/>
      <c r="MG52" s="76"/>
      <c r="MH52" s="76"/>
      <c r="MI52" s="76"/>
      <c r="MJ52" s="76"/>
      <c r="MK52" s="76"/>
      <c r="ML52" s="76"/>
      <c r="MM52" s="76"/>
      <c r="MN52" s="76"/>
      <c r="MO52" s="76"/>
      <c r="MP52" s="76"/>
      <c r="MQ52" s="76"/>
      <c r="MR52" s="76"/>
      <c r="MS52" s="76"/>
      <c r="MT52" s="76"/>
      <c r="MU52" s="76"/>
      <c r="MV52" s="76"/>
      <c r="MW52" s="76"/>
      <c r="MX52" s="76"/>
      <c r="MY52" s="76"/>
      <c r="MZ52" s="76"/>
      <c r="NA52" s="76"/>
      <c r="NB52" s="76"/>
      <c r="NC52" s="76"/>
      <c r="ND52" s="76"/>
      <c r="NE52" s="76"/>
      <c r="NF52" s="76"/>
      <c r="NG52" s="76"/>
      <c r="NH52" s="76"/>
      <c r="NI52" s="76"/>
      <c r="NJ52" s="76"/>
      <c r="NK52" s="76"/>
      <c r="NL52" s="76"/>
      <c r="NM52" s="76"/>
      <c r="NN52" s="76"/>
      <c r="NO52" s="76"/>
      <c r="NP52" s="76"/>
      <c r="NQ52" s="76"/>
      <c r="NR52" s="76"/>
      <c r="NS52" s="76"/>
      <c r="NT52" s="76"/>
      <c r="NU52" s="76"/>
      <c r="NV52" s="76"/>
      <c r="NW52" s="76"/>
      <c r="NX52" s="76"/>
      <c r="NY52" s="76"/>
      <c r="NZ52" s="76"/>
      <c r="OA52" s="76"/>
      <c r="OB52" s="76"/>
      <c r="OC52" s="76"/>
      <c r="OD52" s="76"/>
      <c r="OE52" s="76"/>
      <c r="OF52" s="76"/>
      <c r="OG52" s="76"/>
      <c r="OH52" s="76"/>
      <c r="OI52" s="76"/>
      <c r="OJ52" s="76"/>
      <c r="OK52" s="76"/>
      <c r="OL52" s="76"/>
      <c r="OM52" s="76"/>
      <c r="ON52" s="76"/>
      <c r="OO52" s="76"/>
      <c r="OP52" s="76"/>
      <c r="OQ52" s="76"/>
      <c r="OR52" s="76"/>
      <c r="OS52" s="76"/>
      <c r="OT52" s="76"/>
      <c r="OU52" s="76"/>
      <c r="OV52" s="76"/>
      <c r="OW52" s="76"/>
      <c r="OX52" s="76"/>
      <c r="OY52" s="76"/>
      <c r="OZ52" s="76"/>
      <c r="PA52" s="76"/>
      <c r="PB52" s="76"/>
      <c r="PC52" s="76"/>
      <c r="PD52" s="76"/>
      <c r="PE52" s="76"/>
      <c r="PF52" s="76"/>
      <c r="PG52" s="76"/>
      <c r="PH52" s="76"/>
      <c r="PI52" s="76"/>
      <c r="PJ52" s="76"/>
      <c r="PK52" s="76"/>
      <c r="PL52" s="76"/>
      <c r="PM52" s="76"/>
      <c r="PN52" s="76"/>
      <c r="PO52" s="76"/>
      <c r="PP52" s="76"/>
      <c r="PQ52" s="76"/>
      <c r="PR52" s="76"/>
      <c r="PS52" s="76"/>
      <c r="PT52" s="76"/>
      <c r="PU52" s="76"/>
      <c r="PV52" s="76"/>
      <c r="PW52" s="76"/>
      <c r="PX52" s="76"/>
      <c r="PY52" s="76"/>
      <c r="PZ52" s="76"/>
      <c r="QA52" s="76"/>
      <c r="QB52" s="76"/>
      <c r="QC52" s="76"/>
      <c r="QD52" s="76"/>
      <c r="QE52" s="76"/>
      <c r="QF52" s="76"/>
      <c r="QG52" s="76"/>
      <c r="QH52" s="76"/>
      <c r="QI52" s="76"/>
      <c r="QJ52" s="76"/>
      <c r="QK52" s="76"/>
      <c r="QL52" s="76"/>
      <c r="QM52" s="76"/>
      <c r="QN52" s="76"/>
      <c r="QO52" s="76"/>
      <c r="QP52" s="76"/>
      <c r="QQ52" s="76"/>
      <c r="QR52" s="76"/>
      <c r="QS52" s="76"/>
      <c r="QT52" s="76"/>
      <c r="QU52" s="76"/>
      <c r="QV52" s="76"/>
      <c r="QW52" s="76"/>
      <c r="QX52" s="76"/>
      <c r="QY52" s="76"/>
      <c r="QZ52" s="76"/>
      <c r="RA52" s="76"/>
      <c r="RB52" s="76"/>
      <c r="RC52" s="76"/>
      <c r="RD52" s="76"/>
      <c r="RE52" s="76"/>
      <c r="RF52" s="76"/>
      <c r="RG52" s="76"/>
      <c r="RH52" s="76"/>
      <c r="RI52" s="76"/>
      <c r="RJ52" s="76"/>
      <c r="RK52" s="76"/>
      <c r="RL52" s="76"/>
      <c r="RM52" s="76"/>
      <c r="RN52" s="76"/>
      <c r="RO52" s="76"/>
      <c r="RP52" s="76"/>
      <c r="RQ52" s="76"/>
      <c r="RR52" s="76"/>
      <c r="RS52" s="76"/>
      <c r="RT52" s="76"/>
      <c r="RU52" s="76"/>
      <c r="RV52" s="76"/>
      <c r="RW52" s="76"/>
      <c r="RX52" s="76"/>
      <c r="RY52" s="76"/>
      <c r="RZ52" s="76"/>
      <c r="SA52" s="76"/>
      <c r="SB52" s="76"/>
      <c r="SC52" s="76"/>
      <c r="SD52" s="76"/>
      <c r="SE52" s="76"/>
      <c r="SF52" s="76"/>
      <c r="SG52" s="76"/>
      <c r="SH52" s="76"/>
      <c r="SI52" s="76"/>
      <c r="SJ52" s="76"/>
      <c r="SK52" s="76"/>
      <c r="SL52" s="76"/>
      <c r="SM52" s="76"/>
      <c r="SN52" s="76"/>
      <c r="SO52" s="76"/>
      <c r="SP52" s="76"/>
      <c r="SQ52" s="76"/>
      <c r="SR52" s="76"/>
      <c r="SS52" s="76"/>
      <c r="ST52" s="76"/>
      <c r="SU52" s="76"/>
      <c r="SV52" s="76"/>
      <c r="SW52" s="76"/>
      <c r="SX52" s="76"/>
      <c r="SY52" s="76"/>
      <c r="SZ52" s="76"/>
      <c r="TA52" s="76"/>
      <c r="TB52" s="76"/>
      <c r="TC52" s="76"/>
      <c r="TD52" s="76"/>
      <c r="TE52" s="76"/>
      <c r="TF52" s="76"/>
      <c r="TG52" s="76"/>
      <c r="TH52" s="76"/>
      <c r="TI52" s="76"/>
      <c r="TJ52" s="76"/>
      <c r="TK52" s="76"/>
      <c r="TL52" s="76"/>
      <c r="TM52" s="76"/>
      <c r="TN52" s="76"/>
      <c r="TO52" s="76"/>
      <c r="TP52" s="76"/>
      <c r="TQ52" s="76"/>
      <c r="TR52" s="76"/>
      <c r="TS52" s="76"/>
      <c r="TT52" s="76"/>
      <c r="TU52" s="76"/>
      <c r="TV52" s="76"/>
      <c r="TW52" s="76"/>
      <c r="TX52" s="76"/>
      <c r="TY52" s="76"/>
      <c r="TZ52" s="76"/>
      <c r="UA52" s="76"/>
      <c r="UB52" s="76"/>
      <c r="UC52" s="76"/>
      <c r="UD52" s="76"/>
      <c r="UE52" s="76"/>
      <c r="UF52" s="76"/>
      <c r="UG52" s="76"/>
      <c r="UH52" s="76"/>
      <c r="UI52" s="76"/>
      <c r="UJ52" s="76"/>
      <c r="UK52" s="76"/>
      <c r="UL52" s="76"/>
      <c r="UM52" s="76"/>
      <c r="UN52" s="76"/>
      <c r="UO52" s="76"/>
      <c r="UP52" s="76"/>
      <c r="UQ52" s="76"/>
      <c r="UR52" s="76"/>
      <c r="US52" s="76"/>
      <c r="UT52" s="76"/>
      <c r="UU52" s="76"/>
      <c r="UV52" s="76"/>
      <c r="UW52" s="76"/>
      <c r="UX52" s="76"/>
      <c r="UY52" s="76"/>
      <c r="UZ52" s="76"/>
      <c r="VA52" s="76"/>
      <c r="VB52" s="76"/>
      <c r="VC52" s="76"/>
      <c r="VD52" s="76"/>
      <c r="VE52" s="76"/>
      <c r="VF52" s="76"/>
      <c r="VG52" s="76"/>
      <c r="VH52" s="76"/>
      <c r="VI52" s="76"/>
      <c r="VJ52" s="76"/>
      <c r="VK52" s="76"/>
      <c r="VL52" s="76"/>
      <c r="VM52" s="76"/>
      <c r="VN52" s="76"/>
      <c r="VO52" s="76"/>
      <c r="VP52" s="76"/>
      <c r="VQ52" s="76"/>
      <c r="VR52" s="76"/>
      <c r="VS52" s="76"/>
      <c r="VT52" s="76"/>
      <c r="VU52" s="76"/>
      <c r="VV52" s="76"/>
      <c r="VW52" s="76"/>
      <c r="VX52" s="76"/>
      <c r="VY52" s="76"/>
      <c r="VZ52" s="76"/>
      <c r="WA52" s="76"/>
      <c r="WB52" s="76"/>
      <c r="WC52" s="76"/>
      <c r="WD52" s="76"/>
      <c r="WE52" s="76"/>
      <c r="WF52" s="76"/>
      <c r="WG52" s="76"/>
      <c r="WH52" s="76"/>
      <c r="WI52" s="76"/>
      <c r="WJ52" s="76"/>
      <c r="WK52" s="76"/>
      <c r="WL52" s="76"/>
      <c r="WM52" s="76"/>
      <c r="WN52" s="76"/>
      <c r="WO52" s="76"/>
      <c r="WP52" s="76"/>
      <c r="WQ52" s="76"/>
      <c r="WR52" s="76"/>
      <c r="WS52" s="76"/>
      <c r="WT52" s="76"/>
      <c r="WU52" s="76"/>
      <c r="WV52" s="76"/>
      <c r="WW52" s="76"/>
      <c r="WX52" s="76"/>
      <c r="WY52" s="76"/>
      <c r="WZ52" s="76"/>
      <c r="XA52" s="76"/>
      <c r="XB52" s="76"/>
      <c r="XC52" s="76"/>
      <c r="XD52" s="76"/>
      <c r="XE52" s="76"/>
      <c r="XF52" s="76"/>
      <c r="XG52" s="76"/>
      <c r="XH52" s="76"/>
      <c r="XI52" s="76"/>
      <c r="XJ52" s="76"/>
      <c r="XK52" s="76"/>
      <c r="XL52" s="76"/>
      <c r="XM52" s="76"/>
      <c r="XN52" s="76"/>
      <c r="XO52" s="76"/>
      <c r="XP52" s="76"/>
      <c r="XQ52" s="76"/>
      <c r="XR52" s="76"/>
      <c r="XS52" s="76"/>
      <c r="XT52" s="76"/>
      <c r="XU52" s="76"/>
      <c r="XV52" s="76"/>
      <c r="XW52" s="76"/>
      <c r="XX52" s="76"/>
      <c r="XY52" s="76"/>
      <c r="XZ52" s="76"/>
      <c r="YA52" s="76"/>
      <c r="YB52" s="76"/>
      <c r="YC52" s="76"/>
      <c r="YD52" s="76"/>
      <c r="YE52" s="76"/>
      <c r="YF52" s="76"/>
      <c r="YG52" s="76"/>
      <c r="YH52" s="76"/>
      <c r="YI52" s="76"/>
      <c r="YJ52" s="76"/>
      <c r="YK52" s="76"/>
      <c r="YL52" s="76"/>
      <c r="YM52" s="76"/>
      <c r="YN52" s="76"/>
      <c r="YO52" s="76"/>
      <c r="YP52" s="76"/>
      <c r="YQ52" s="76"/>
      <c r="YR52" s="76"/>
      <c r="YS52" s="76"/>
      <c r="YT52" s="76"/>
      <c r="YU52" s="76"/>
      <c r="YV52" s="76"/>
      <c r="YW52" s="76"/>
      <c r="YX52" s="76"/>
      <c r="YY52" s="76"/>
      <c r="YZ52" s="76"/>
      <c r="ZA52" s="76"/>
      <c r="ZB52" s="76"/>
      <c r="ZC52" s="76"/>
      <c r="ZD52" s="76"/>
      <c r="ZE52" s="76"/>
      <c r="ZF52" s="76"/>
      <c r="ZG52" s="76"/>
      <c r="ZH52" s="76"/>
      <c r="ZI52" s="76"/>
      <c r="ZJ52" s="76"/>
      <c r="ZK52" s="76"/>
      <c r="ZL52" s="76"/>
      <c r="ZM52" s="76"/>
      <c r="ZN52" s="76"/>
      <c r="ZO52" s="76"/>
      <c r="ZP52" s="76"/>
      <c r="ZQ52" s="76"/>
      <c r="ZR52" s="76"/>
      <c r="ZS52" s="76"/>
      <c r="ZT52" s="76"/>
      <c r="ZU52" s="76"/>
      <c r="ZV52" s="76"/>
      <c r="ZW52" s="76"/>
      <c r="ZX52" s="76"/>
      <c r="ZY52" s="76"/>
      <c r="ZZ52" s="76"/>
      <c r="AAA52" s="76"/>
      <c r="AAB52" s="76"/>
      <c r="AAC52" s="76"/>
      <c r="AAD52" s="76"/>
      <c r="AAE52" s="76"/>
      <c r="AAF52" s="76"/>
      <c r="AAG52" s="76"/>
      <c r="AAH52" s="76"/>
      <c r="AAI52" s="76"/>
      <c r="AAJ52" s="76"/>
      <c r="AAK52" s="76"/>
      <c r="AAL52" s="76"/>
      <c r="AAM52" s="76"/>
      <c r="AAN52" s="76"/>
      <c r="AAO52" s="76"/>
      <c r="AAP52" s="76"/>
      <c r="AAQ52" s="76"/>
      <c r="AAR52" s="76"/>
      <c r="AAS52" s="76"/>
      <c r="AAT52" s="76"/>
      <c r="AAU52" s="76"/>
      <c r="AAV52" s="76"/>
      <c r="AAW52" s="76"/>
      <c r="AAX52" s="76"/>
      <c r="AAY52" s="76"/>
      <c r="AAZ52" s="76"/>
      <c r="ABA52" s="76"/>
      <c r="ABB52" s="76"/>
      <c r="ABC52" s="76"/>
      <c r="ABD52" s="76"/>
      <c r="ABE52" s="76"/>
      <c r="ABF52" s="76"/>
      <c r="ABG52" s="76"/>
      <c r="ABH52" s="76"/>
      <c r="ABI52" s="76"/>
      <c r="ABJ52" s="76"/>
      <c r="ABK52" s="76"/>
      <c r="ABL52" s="76"/>
      <c r="ABM52" s="76"/>
      <c r="ABN52" s="76"/>
      <c r="ABO52" s="76"/>
      <c r="ABP52" s="76"/>
      <c r="ABQ52" s="76"/>
      <c r="ABR52" s="76"/>
      <c r="ABS52" s="76"/>
      <c r="ABT52" s="76"/>
      <c r="ABU52" s="76"/>
      <c r="ABV52" s="76"/>
      <c r="ABW52" s="76"/>
      <c r="ABX52" s="76"/>
      <c r="ABY52" s="76"/>
      <c r="ABZ52" s="76"/>
      <c r="ACA52" s="76"/>
      <c r="ACB52" s="76"/>
      <c r="ACC52" s="76"/>
      <c r="ACD52" s="76"/>
      <c r="ACE52" s="76"/>
      <c r="ACF52" s="76"/>
      <c r="ACG52" s="76"/>
      <c r="ACH52" s="76"/>
      <c r="ACI52" s="76"/>
      <c r="ACJ52" s="76"/>
      <c r="ACK52" s="76"/>
      <c r="ACL52" s="76"/>
      <c r="ACM52" s="76"/>
      <c r="ACN52" s="76"/>
      <c r="ACO52" s="76"/>
      <c r="ACP52" s="76"/>
      <c r="ACQ52" s="76"/>
      <c r="ACR52" s="76"/>
      <c r="ACS52" s="76"/>
      <c r="ACT52" s="76"/>
      <c r="ACU52" s="76"/>
      <c r="ACV52" s="76"/>
      <c r="ACW52" s="76"/>
      <c r="ACX52" s="76"/>
      <c r="ACY52" s="76"/>
      <c r="ACZ52" s="76"/>
      <c r="ADA52" s="76"/>
      <c r="ADB52" s="76"/>
      <c r="ADC52" s="76"/>
      <c r="ADD52" s="76"/>
      <c r="ADE52" s="76"/>
      <c r="ADF52" s="76"/>
      <c r="ADG52" s="76"/>
      <c r="ADH52" s="76"/>
      <c r="ADI52" s="76"/>
      <c r="ADJ52" s="76"/>
      <c r="ADK52" s="76"/>
      <c r="ADL52" s="76"/>
      <c r="ADM52" s="76"/>
      <c r="ADN52" s="76"/>
      <c r="ADO52" s="76"/>
      <c r="ADP52" s="76"/>
      <c r="ADQ52" s="76"/>
      <c r="ADR52" s="76"/>
      <c r="ADS52" s="76"/>
      <c r="ADT52" s="76"/>
      <c r="ADU52" s="76"/>
      <c r="ADV52" s="76"/>
      <c r="ADW52" s="76"/>
      <c r="ADX52" s="76"/>
      <c r="ADY52" s="76"/>
      <c r="ADZ52" s="76"/>
      <c r="AEA52" s="76"/>
      <c r="AEB52" s="76"/>
      <c r="AEC52" s="76"/>
      <c r="AED52" s="76"/>
      <c r="AEE52" s="76"/>
      <c r="AEF52" s="76"/>
      <c r="AEG52" s="76"/>
      <c r="AEH52" s="76"/>
      <c r="AEI52" s="76"/>
      <c r="AEJ52" s="76"/>
      <c r="AEK52" s="76"/>
      <c r="AEL52" s="76"/>
      <c r="AEM52" s="76"/>
      <c r="AEN52" s="76"/>
      <c r="AEO52" s="76"/>
      <c r="AEP52" s="76"/>
      <c r="AEQ52" s="76"/>
      <c r="AER52" s="76"/>
      <c r="AES52" s="76"/>
      <c r="AET52" s="76"/>
      <c r="AEU52" s="76"/>
      <c r="AEV52" s="76"/>
      <c r="AEW52" s="76"/>
      <c r="AEX52" s="76"/>
      <c r="AEY52" s="76"/>
      <c r="AEZ52" s="76"/>
      <c r="AFA52" s="76"/>
      <c r="AFB52" s="76"/>
      <c r="AFC52" s="76"/>
      <c r="AFD52" s="76"/>
      <c r="AFE52" s="76"/>
      <c r="AFF52" s="76"/>
      <c r="AFG52" s="76"/>
      <c r="AFH52" s="76"/>
      <c r="AFI52" s="76"/>
      <c r="AFJ52" s="76"/>
      <c r="AFK52" s="76"/>
      <c r="AFL52" s="76"/>
      <c r="AFM52" s="76"/>
      <c r="AFN52" s="76"/>
      <c r="AFO52" s="76"/>
      <c r="AFP52" s="76"/>
      <c r="AFQ52" s="76"/>
      <c r="AFR52" s="76"/>
      <c r="AFS52" s="76"/>
      <c r="AFT52" s="76"/>
      <c r="AFU52" s="76"/>
      <c r="AFV52" s="76"/>
      <c r="AFW52" s="76"/>
      <c r="AFX52" s="76"/>
      <c r="AFY52" s="76"/>
      <c r="AFZ52" s="76"/>
      <c r="AGA52" s="76"/>
      <c r="AGB52" s="76"/>
      <c r="AGC52" s="76"/>
      <c r="AGD52" s="76"/>
      <c r="AGE52" s="76"/>
      <c r="AGF52" s="76"/>
      <c r="AGG52" s="76"/>
      <c r="AGH52" s="76"/>
      <c r="AGI52" s="76"/>
      <c r="AGJ52" s="76"/>
      <c r="AGK52" s="76"/>
      <c r="AGL52" s="76"/>
      <c r="AGM52" s="76"/>
      <c r="AGN52" s="76"/>
      <c r="AGO52" s="76"/>
      <c r="AGP52" s="76"/>
      <c r="AGQ52" s="76"/>
      <c r="AGR52" s="76"/>
      <c r="AGS52" s="76"/>
      <c r="AGT52" s="76"/>
      <c r="AGU52" s="76"/>
      <c r="AGV52" s="76"/>
      <c r="AGW52" s="76"/>
      <c r="AGX52" s="76"/>
      <c r="AGY52" s="76"/>
      <c r="AGZ52" s="76"/>
      <c r="AHA52" s="76"/>
      <c r="AHB52" s="76"/>
      <c r="AHC52" s="76"/>
      <c r="AHD52" s="76"/>
      <c r="AHE52" s="76"/>
      <c r="AHF52" s="76"/>
      <c r="AHG52" s="76"/>
      <c r="AHH52" s="76"/>
      <c r="AHI52" s="76"/>
      <c r="AHJ52" s="76"/>
      <c r="AHK52" s="76"/>
      <c r="AHL52" s="76"/>
      <c r="AHM52" s="76"/>
      <c r="AHN52" s="76"/>
      <c r="AHO52" s="76"/>
      <c r="AHP52" s="76"/>
      <c r="AHQ52" s="76"/>
      <c r="AHR52" s="76"/>
      <c r="AHS52" s="76"/>
      <c r="AHT52" s="76"/>
      <c r="AHU52" s="76"/>
      <c r="AHV52" s="76"/>
      <c r="AHW52" s="76"/>
      <c r="AHX52" s="76"/>
      <c r="AHY52" s="76"/>
      <c r="AHZ52" s="76"/>
      <c r="AIA52" s="76"/>
      <c r="AIB52" s="76"/>
      <c r="AIC52" s="76"/>
      <c r="AID52" s="76"/>
      <c r="AIE52" s="76"/>
      <c r="AIF52" s="76"/>
      <c r="AIG52" s="76"/>
      <c r="AIH52" s="76"/>
      <c r="AII52" s="76"/>
      <c r="AIJ52" s="76"/>
      <c r="AIK52" s="76"/>
      <c r="AIL52" s="76"/>
      <c r="AIM52" s="76"/>
      <c r="AIN52" s="76"/>
      <c r="AIO52" s="76"/>
      <c r="AIP52" s="76"/>
      <c r="AIQ52" s="76"/>
      <c r="AIR52" s="76"/>
      <c r="AIS52" s="76"/>
      <c r="AIT52" s="76"/>
      <c r="AIU52" s="76"/>
      <c r="AIV52" s="76"/>
      <c r="AIW52" s="76"/>
      <c r="AIX52" s="76"/>
      <c r="AIY52" s="76"/>
      <c r="AIZ52" s="76"/>
      <c r="AJA52" s="76"/>
      <c r="AJB52" s="76"/>
      <c r="AJC52" s="76"/>
      <c r="AJD52" s="76"/>
      <c r="AJE52" s="76"/>
      <c r="AJF52" s="76"/>
      <c r="AJG52" s="76"/>
      <c r="AJH52" s="76"/>
      <c r="AJI52" s="76"/>
      <c r="AJJ52" s="76"/>
      <c r="AJK52" s="76"/>
      <c r="AJL52" s="76"/>
      <c r="AJM52" s="76"/>
      <c r="AJN52" s="76"/>
      <c r="AJO52" s="76"/>
      <c r="AJP52" s="76"/>
      <c r="AJQ52" s="76"/>
      <c r="AJR52" s="76"/>
      <c r="AJS52" s="76"/>
      <c r="AJT52" s="76"/>
      <c r="AJU52" s="76"/>
      <c r="AJV52" s="76"/>
      <c r="AJW52" s="76"/>
      <c r="AJX52" s="76"/>
      <c r="AJY52" s="76"/>
      <c r="AJZ52" s="76"/>
      <c r="AKA52" s="76"/>
      <c r="AKB52" s="76"/>
      <c r="AKC52" s="76"/>
      <c r="AKD52" s="76"/>
      <c r="AKE52" s="76"/>
      <c r="AKF52" s="76"/>
      <c r="AKG52" s="76"/>
      <c r="AKH52" s="76"/>
      <c r="AKI52" s="76"/>
      <c r="AKJ52" s="76"/>
      <c r="AKK52" s="76"/>
      <c r="AKL52" s="76"/>
      <c r="AKM52" s="76"/>
      <c r="AKN52" s="76"/>
      <c r="AKO52" s="76"/>
      <c r="AKP52" s="76"/>
      <c r="AKQ52" s="76"/>
      <c r="AKR52" s="76"/>
      <c r="AKS52" s="76"/>
      <c r="AKT52" s="76"/>
      <c r="AKU52" s="76"/>
      <c r="AKV52" s="76"/>
      <c r="AKW52" s="76"/>
      <c r="AKX52" s="76"/>
      <c r="AKY52" s="76"/>
      <c r="AKZ52" s="76"/>
      <c r="ALA52" s="76"/>
      <c r="ALB52" s="76"/>
      <c r="ALC52" s="76"/>
      <c r="ALD52" s="76"/>
      <c r="ALE52" s="76"/>
      <c r="ALF52" s="76"/>
      <c r="ALG52" s="76"/>
      <c r="ALH52" s="76"/>
      <c r="ALI52" s="76"/>
      <c r="ALJ52" s="76"/>
      <c r="ALK52" s="76"/>
      <c r="ALL52" s="76"/>
      <c r="ALM52" s="76"/>
      <c r="ALN52" s="76"/>
      <c r="ALO52" s="76"/>
      <c r="ALP52" s="76"/>
      <c r="ALQ52" s="76"/>
      <c r="ALR52" s="76"/>
      <c r="ALS52" s="76"/>
      <c r="ALT52" s="76"/>
      <c r="ALU52" s="76"/>
      <c r="ALV52" s="76"/>
      <c r="ALW52" s="76"/>
      <c r="ALX52" s="76"/>
      <c r="ALY52" s="76"/>
      <c r="ALZ52" s="76"/>
      <c r="AMA52" s="76"/>
      <c r="AMB52" s="76"/>
      <c r="AMC52" s="76"/>
      <c r="AMD52" s="76"/>
      <c r="AME52" s="76"/>
      <c r="AMF52" s="76"/>
      <c r="AMG52" s="76"/>
      <c r="AMH52" s="76"/>
      <c r="AMI52" s="76"/>
      <c r="AMJ52" s="76"/>
      <c r="AMK52" s="76"/>
      <c r="AML52" s="76"/>
      <c r="AMM52" s="76"/>
      <c r="AMN52" s="76"/>
      <c r="AMO52" s="76"/>
      <c r="AMP52" s="76"/>
      <c r="AMQ52" s="76"/>
      <c r="AMR52" s="76"/>
      <c r="AMS52" s="76"/>
      <c r="AMT52" s="76"/>
      <c r="AMU52" s="76"/>
      <c r="AMV52" s="76"/>
      <c r="AMW52" s="76"/>
      <c r="AMX52" s="76"/>
      <c r="AMY52" s="76"/>
      <c r="AMZ52" s="76"/>
      <c r="ANA52" s="76"/>
      <c r="ANB52" s="76"/>
      <c r="ANC52" s="76"/>
      <c r="AND52" s="76"/>
      <c r="ANE52" s="76"/>
      <c r="ANF52" s="76"/>
      <c r="ANG52" s="76"/>
      <c r="ANH52" s="76"/>
      <c r="ANI52" s="76"/>
      <c r="ANJ52" s="76"/>
      <c r="ANK52" s="76"/>
      <c r="ANL52" s="76"/>
      <c r="ANM52" s="76"/>
      <c r="ANN52" s="76"/>
      <c r="ANO52" s="76"/>
      <c r="ANP52" s="76"/>
      <c r="ANQ52" s="76"/>
      <c r="ANR52" s="76"/>
      <c r="ANS52" s="76"/>
      <c r="ANT52" s="76"/>
      <c r="ANU52" s="76"/>
      <c r="ANV52" s="76"/>
      <c r="ANW52" s="76"/>
      <c r="ANX52" s="76"/>
      <c r="ANY52" s="76"/>
      <c r="ANZ52" s="76"/>
      <c r="AOA52" s="76"/>
      <c r="AOB52" s="76"/>
      <c r="AOC52" s="76"/>
      <c r="AOD52" s="76"/>
      <c r="AOE52" s="76"/>
      <c r="AOF52" s="76"/>
      <c r="AOG52" s="76"/>
      <c r="AOH52" s="76"/>
      <c r="AOI52" s="76"/>
      <c r="AOJ52" s="76"/>
      <c r="AOK52" s="76"/>
      <c r="AOL52" s="76"/>
      <c r="AOM52" s="76"/>
      <c r="AON52" s="76"/>
      <c r="AOO52" s="76"/>
      <c r="AOP52" s="76"/>
      <c r="AOQ52" s="76"/>
      <c r="AOR52" s="76"/>
      <c r="AOS52" s="76"/>
      <c r="AOT52" s="76"/>
      <c r="AOU52" s="76"/>
      <c r="AOV52" s="76"/>
      <c r="AOW52" s="76"/>
      <c r="AOX52" s="76"/>
      <c r="AOY52" s="76"/>
      <c r="AOZ52" s="76"/>
      <c r="APA52" s="76"/>
      <c r="APB52" s="76"/>
      <c r="APC52" s="76"/>
      <c r="APD52" s="76"/>
      <c r="APE52" s="76"/>
      <c r="APF52" s="76"/>
      <c r="APG52" s="76"/>
      <c r="APH52" s="76"/>
      <c r="API52" s="76"/>
      <c r="APJ52" s="76"/>
      <c r="APK52" s="76"/>
      <c r="APL52" s="76"/>
      <c r="APM52" s="76"/>
      <c r="APN52" s="76"/>
      <c r="APO52" s="76"/>
      <c r="APP52" s="76"/>
      <c r="APQ52" s="76"/>
      <c r="APR52" s="76"/>
      <c r="APS52" s="76"/>
      <c r="APT52" s="76"/>
      <c r="APU52" s="76"/>
      <c r="APV52" s="76"/>
      <c r="APW52" s="76"/>
      <c r="APX52" s="76"/>
      <c r="APY52" s="76"/>
      <c r="APZ52" s="76"/>
      <c r="AQA52" s="76"/>
      <c r="AQB52" s="76"/>
      <c r="AQC52" s="76"/>
      <c r="AQD52" s="76"/>
      <c r="AQE52" s="76"/>
      <c r="AQF52" s="76"/>
      <c r="AQG52" s="76"/>
      <c r="AQH52" s="76"/>
      <c r="AQI52" s="76"/>
      <c r="AQJ52" s="76"/>
      <c r="AQK52" s="76"/>
      <c r="AQL52" s="76"/>
      <c r="AQM52" s="76"/>
      <c r="AQN52" s="76"/>
      <c r="AQO52" s="76"/>
      <c r="AQP52" s="76"/>
      <c r="AQQ52" s="76"/>
      <c r="AQR52" s="76"/>
      <c r="AQS52" s="76"/>
      <c r="AQT52" s="76"/>
      <c r="AQU52" s="76"/>
      <c r="AQV52" s="76"/>
      <c r="AQW52" s="76"/>
      <c r="AQX52" s="76"/>
      <c r="AQY52" s="76"/>
      <c r="AQZ52" s="76"/>
      <c r="ARA52" s="76"/>
      <c r="ARB52" s="76"/>
      <c r="ARC52" s="76"/>
      <c r="ARD52" s="76"/>
      <c r="ARE52" s="76"/>
      <c r="ARF52" s="76"/>
      <c r="ARG52" s="76"/>
      <c r="ARH52" s="76"/>
      <c r="ARI52" s="76"/>
      <c r="ARJ52" s="76"/>
      <c r="ARK52" s="76"/>
      <c r="ARL52" s="76"/>
      <c r="ARM52" s="76"/>
      <c r="ARN52" s="76"/>
      <c r="ARO52" s="76"/>
      <c r="ARP52" s="76"/>
      <c r="ARQ52" s="76"/>
      <c r="ARR52" s="76"/>
      <c r="ARS52" s="76"/>
      <c r="ART52" s="76"/>
      <c r="ARU52" s="76"/>
      <c r="ARV52" s="76"/>
      <c r="ARW52" s="76"/>
      <c r="ARX52" s="76"/>
      <c r="ARY52" s="76"/>
      <c r="ARZ52" s="76"/>
      <c r="ASA52" s="76"/>
      <c r="ASB52" s="76"/>
      <c r="ASC52" s="76"/>
      <c r="ASD52" s="76"/>
      <c r="ASE52" s="76"/>
      <c r="ASF52" s="76"/>
      <c r="ASG52" s="76"/>
      <c r="ASH52" s="76"/>
      <c r="ASI52" s="76"/>
      <c r="ASJ52" s="76"/>
      <c r="ASK52" s="76"/>
      <c r="ASL52" s="76"/>
      <c r="ASM52" s="76"/>
      <c r="ASN52" s="76"/>
      <c r="ASO52" s="76"/>
      <c r="ASP52" s="76"/>
      <c r="ASQ52" s="76"/>
      <c r="ASR52" s="76"/>
      <c r="ASS52" s="76"/>
      <c r="AST52" s="76"/>
      <c r="ASU52" s="76"/>
      <c r="ASV52" s="76"/>
      <c r="ASW52" s="76"/>
      <c r="ASX52" s="76"/>
      <c r="ASY52" s="76"/>
      <c r="ASZ52" s="76"/>
      <c r="ATA52" s="76"/>
      <c r="ATB52" s="76"/>
      <c r="ATC52" s="76"/>
      <c r="ATD52" s="76"/>
      <c r="ATE52" s="76"/>
      <c r="ATF52" s="76"/>
      <c r="ATG52" s="76"/>
      <c r="ATH52" s="76"/>
      <c r="ATI52" s="76"/>
      <c r="ATJ52" s="76"/>
      <c r="ATK52" s="76"/>
      <c r="ATL52" s="76"/>
      <c r="ATM52" s="76"/>
      <c r="ATN52" s="76"/>
      <c r="ATO52" s="76"/>
      <c r="ATP52" s="76"/>
      <c r="ATQ52" s="76"/>
      <c r="ATR52" s="76"/>
      <c r="ATS52" s="76"/>
      <c r="ATT52" s="76"/>
      <c r="ATU52" s="76"/>
      <c r="ATV52" s="76"/>
      <c r="ATW52" s="76"/>
      <c r="ATX52" s="76"/>
      <c r="ATY52" s="76"/>
      <c r="ATZ52" s="76"/>
      <c r="AUA52" s="76"/>
      <c r="AUB52" s="76"/>
      <c r="AUC52" s="76"/>
      <c r="AUD52" s="76"/>
      <c r="AUE52" s="76"/>
      <c r="AUF52" s="76"/>
      <c r="AUG52" s="76"/>
      <c r="AUH52" s="76"/>
      <c r="AUI52" s="76"/>
      <c r="AUJ52" s="76"/>
      <c r="AUK52" s="76"/>
      <c r="AUL52" s="76"/>
      <c r="AUM52" s="76"/>
      <c r="AUN52" s="76"/>
      <c r="AUO52" s="76"/>
      <c r="AUP52" s="76"/>
      <c r="AUQ52" s="76"/>
      <c r="AUR52" s="76"/>
      <c r="AUS52" s="76"/>
      <c r="AUT52" s="76"/>
      <c r="AUU52" s="76"/>
      <c r="AUV52" s="76"/>
      <c r="AUW52" s="76"/>
      <c r="AUX52" s="76"/>
      <c r="AUY52" s="76"/>
      <c r="AUZ52" s="76"/>
      <c r="AVA52" s="76"/>
      <c r="AVB52" s="76"/>
      <c r="AVC52" s="76"/>
      <c r="AVD52" s="76"/>
      <c r="AVE52" s="76"/>
      <c r="AVF52" s="76"/>
      <c r="AVG52" s="76"/>
      <c r="AVH52" s="76"/>
      <c r="AVI52" s="76"/>
      <c r="AVJ52" s="76"/>
      <c r="AVK52" s="76"/>
      <c r="AVL52" s="76"/>
      <c r="AVM52" s="76"/>
      <c r="AVN52" s="76"/>
      <c r="AVO52" s="76"/>
      <c r="AVP52" s="76"/>
      <c r="AVQ52" s="76"/>
      <c r="AVR52" s="76"/>
      <c r="AVS52" s="76"/>
      <c r="AVT52" s="76"/>
      <c r="AVU52" s="76"/>
      <c r="AVV52" s="76"/>
      <c r="AVW52" s="76"/>
      <c r="AVX52" s="76"/>
      <c r="AVY52" s="76"/>
      <c r="AVZ52" s="76"/>
      <c r="AWA52" s="76"/>
      <c r="AWB52" s="76"/>
      <c r="AWC52" s="76"/>
      <c r="AWD52" s="76"/>
      <c r="AWE52" s="76"/>
      <c r="AWF52" s="76"/>
      <c r="AWG52" s="76"/>
      <c r="AWH52" s="76"/>
      <c r="AWI52" s="76"/>
      <c r="AWJ52" s="76"/>
      <c r="AWK52" s="76"/>
      <c r="AWL52" s="76"/>
      <c r="AWM52" s="76"/>
      <c r="AWN52" s="76"/>
      <c r="AWO52" s="76"/>
      <c r="AWP52" s="76"/>
      <c r="AWQ52" s="76"/>
      <c r="AWR52" s="76"/>
      <c r="AWS52" s="76"/>
      <c r="AWT52" s="76"/>
      <c r="AWU52" s="76"/>
      <c r="AWV52" s="76"/>
      <c r="AWW52" s="76"/>
      <c r="AWX52" s="76"/>
      <c r="AWY52" s="76"/>
      <c r="AWZ52" s="76"/>
      <c r="AXA52" s="76"/>
      <c r="AXB52" s="76"/>
      <c r="AXC52" s="76"/>
      <c r="AXD52" s="76"/>
      <c r="AXE52" s="76"/>
      <c r="AXF52" s="76"/>
      <c r="AXG52" s="76"/>
      <c r="AXH52" s="76"/>
      <c r="AXI52" s="76"/>
      <c r="AXJ52" s="76"/>
      <c r="AXK52" s="76"/>
      <c r="AXL52" s="76"/>
      <c r="AXM52" s="76"/>
      <c r="AXN52" s="76"/>
      <c r="AXO52" s="76"/>
      <c r="AXP52" s="76"/>
      <c r="AXQ52" s="76"/>
      <c r="AXR52" s="76"/>
      <c r="AXS52" s="76"/>
      <c r="AXT52" s="76"/>
      <c r="AXU52" s="76"/>
      <c r="AXV52" s="76"/>
      <c r="AXW52" s="76"/>
      <c r="AXX52" s="76"/>
      <c r="AXY52" s="76"/>
      <c r="AXZ52" s="76"/>
      <c r="AYA52" s="76"/>
      <c r="AYB52" s="76"/>
      <c r="AYC52" s="76"/>
      <c r="AYD52" s="76"/>
      <c r="AYE52" s="76"/>
      <c r="AYF52" s="76"/>
      <c r="AYG52" s="76"/>
      <c r="AYH52" s="76"/>
      <c r="AYI52" s="76"/>
      <c r="AYJ52" s="76"/>
      <c r="AYK52" s="76"/>
      <c r="AYL52" s="76"/>
      <c r="AYM52" s="76"/>
      <c r="AYN52" s="76"/>
      <c r="AYO52" s="76"/>
      <c r="AYP52" s="76"/>
      <c r="AYQ52" s="76"/>
      <c r="AYR52" s="76"/>
      <c r="AYS52" s="76"/>
      <c r="AYT52" s="76"/>
      <c r="AYU52" s="76"/>
      <c r="AYV52" s="76"/>
      <c r="AYW52" s="76"/>
      <c r="AYX52" s="76"/>
      <c r="AYY52" s="76"/>
      <c r="AYZ52" s="76"/>
      <c r="AZA52" s="76"/>
      <c r="AZB52" s="76"/>
      <c r="AZC52" s="76"/>
      <c r="AZD52" s="76"/>
      <c r="AZE52" s="76"/>
      <c r="AZF52" s="76"/>
      <c r="AZG52" s="76"/>
      <c r="AZH52" s="76"/>
      <c r="AZI52" s="76"/>
      <c r="AZJ52" s="76"/>
      <c r="AZK52" s="76"/>
      <c r="AZL52" s="76"/>
      <c r="AZM52" s="76"/>
      <c r="AZN52" s="76"/>
      <c r="AZO52" s="76"/>
      <c r="AZP52" s="76"/>
      <c r="AZQ52" s="76"/>
      <c r="AZR52" s="76"/>
      <c r="AZS52" s="76"/>
      <c r="AZT52" s="76"/>
      <c r="AZU52" s="76"/>
      <c r="AZV52" s="76"/>
      <c r="AZW52" s="76"/>
      <c r="AZX52" s="76"/>
      <c r="AZY52" s="76"/>
      <c r="AZZ52" s="76"/>
      <c r="BAA52" s="76"/>
      <c r="BAB52" s="76"/>
      <c r="BAC52" s="76"/>
      <c r="BAD52" s="76"/>
      <c r="BAE52" s="76"/>
      <c r="BAF52" s="76"/>
      <c r="BAG52" s="76"/>
      <c r="BAH52" s="76"/>
      <c r="BAI52" s="76"/>
      <c r="BAJ52" s="76"/>
      <c r="BAK52" s="76"/>
      <c r="BAL52" s="76"/>
      <c r="BAM52" s="76"/>
      <c r="BAN52" s="76"/>
      <c r="BAO52" s="76"/>
      <c r="BAP52" s="76"/>
      <c r="BAQ52" s="76"/>
      <c r="BAR52" s="76"/>
      <c r="BAS52" s="76"/>
      <c r="BAT52" s="76"/>
      <c r="BAU52" s="76"/>
      <c r="BAV52" s="76"/>
      <c r="BAW52" s="76"/>
      <c r="BAX52" s="76"/>
      <c r="BAY52" s="76"/>
      <c r="BAZ52" s="76"/>
      <c r="BBA52" s="76"/>
      <c r="BBB52" s="76"/>
      <c r="BBC52" s="76"/>
      <c r="BBD52" s="76"/>
      <c r="BBE52" s="76"/>
      <c r="BBF52" s="76"/>
      <c r="BBG52" s="76"/>
      <c r="BBH52" s="76"/>
      <c r="BBI52" s="76"/>
      <c r="BBJ52" s="76"/>
      <c r="BBK52" s="76"/>
      <c r="BBL52" s="76"/>
      <c r="BBM52" s="76"/>
      <c r="BBN52" s="76"/>
      <c r="BBO52" s="76"/>
      <c r="BBP52" s="76"/>
      <c r="BBQ52" s="76"/>
      <c r="BBR52" s="76"/>
      <c r="BBS52" s="76"/>
      <c r="BBT52" s="76"/>
      <c r="BBU52" s="76"/>
      <c r="BBV52" s="76"/>
      <c r="BBW52" s="76"/>
      <c r="BBX52" s="76"/>
      <c r="BBY52" s="76"/>
      <c r="BBZ52" s="76"/>
      <c r="BCA52" s="76"/>
      <c r="BCB52" s="76"/>
      <c r="BCC52" s="76"/>
      <c r="BCD52" s="76"/>
      <c r="BCE52" s="76"/>
      <c r="BCF52" s="76"/>
      <c r="BCG52" s="76"/>
      <c r="BCH52" s="76"/>
      <c r="BCI52" s="76"/>
      <c r="BCJ52" s="76"/>
      <c r="BCK52" s="76"/>
      <c r="BCL52" s="76"/>
      <c r="BCM52" s="76"/>
      <c r="BCN52" s="76"/>
      <c r="BCO52" s="76"/>
      <c r="BCP52" s="76"/>
      <c r="BCQ52" s="76"/>
      <c r="BCR52" s="76"/>
      <c r="BCS52" s="76"/>
      <c r="BCT52" s="76"/>
      <c r="BCU52" s="76"/>
      <c r="BCV52" s="76"/>
      <c r="BCW52" s="76"/>
      <c r="BCX52" s="76"/>
      <c r="BCY52" s="76"/>
      <c r="BCZ52" s="76"/>
      <c r="BDA52" s="76"/>
      <c r="BDB52" s="76"/>
      <c r="BDC52" s="76"/>
      <c r="BDD52" s="76"/>
      <c r="BDE52" s="76"/>
      <c r="BDF52" s="76"/>
      <c r="BDG52" s="76"/>
      <c r="BDH52" s="76"/>
      <c r="BDI52" s="76"/>
      <c r="BDJ52" s="76"/>
      <c r="BDK52" s="76"/>
      <c r="BDL52" s="76"/>
      <c r="BDM52" s="76"/>
      <c r="BDN52" s="76"/>
      <c r="BDO52" s="76"/>
      <c r="BDP52" s="76"/>
      <c r="BDQ52" s="76"/>
      <c r="BDR52" s="76"/>
      <c r="BDS52" s="76"/>
      <c r="BDT52" s="76"/>
      <c r="BDU52" s="76"/>
      <c r="BDV52" s="76"/>
      <c r="BDW52" s="76"/>
      <c r="BDX52" s="76"/>
      <c r="BDY52" s="76"/>
      <c r="BDZ52" s="76"/>
      <c r="BEA52" s="76"/>
      <c r="BEB52" s="76"/>
      <c r="BEC52" s="76"/>
      <c r="BED52" s="76"/>
      <c r="BEE52" s="76"/>
      <c r="BEF52" s="76"/>
      <c r="BEG52" s="76"/>
      <c r="BEH52" s="76"/>
      <c r="BEI52" s="76"/>
      <c r="BEJ52" s="76"/>
      <c r="BEK52" s="76"/>
      <c r="BEL52" s="76"/>
      <c r="BEM52" s="76"/>
      <c r="BEN52" s="76"/>
      <c r="BEO52" s="76"/>
      <c r="BEP52" s="76"/>
      <c r="BEQ52" s="76"/>
      <c r="BER52" s="76"/>
      <c r="BES52" s="76"/>
      <c r="BET52" s="76"/>
      <c r="BEU52" s="76"/>
      <c r="BEV52" s="76"/>
      <c r="BEW52" s="76"/>
      <c r="BEX52" s="76"/>
      <c r="BEY52" s="76"/>
      <c r="BEZ52" s="76"/>
      <c r="BFA52" s="76"/>
      <c r="BFB52" s="76"/>
      <c r="BFC52" s="76"/>
      <c r="BFD52" s="76"/>
      <c r="BFE52" s="76"/>
      <c r="BFF52" s="76"/>
      <c r="BFG52" s="76"/>
      <c r="BFH52" s="76"/>
      <c r="BFI52" s="76"/>
      <c r="BFJ52" s="76"/>
      <c r="BFK52" s="76"/>
      <c r="BFL52" s="76"/>
      <c r="BFM52" s="76"/>
      <c r="BFN52" s="76"/>
      <c r="BFO52" s="76"/>
      <c r="BFP52" s="76"/>
      <c r="BFQ52" s="76"/>
      <c r="BFR52" s="76"/>
      <c r="BFS52" s="76"/>
      <c r="BFT52" s="76"/>
      <c r="BFU52" s="76"/>
      <c r="BFV52" s="76"/>
      <c r="BFW52" s="76"/>
      <c r="BFX52" s="76"/>
      <c r="BFY52" s="76"/>
      <c r="BFZ52" s="76"/>
      <c r="BGA52" s="76"/>
      <c r="BGB52" s="76"/>
      <c r="BGC52" s="76"/>
      <c r="BGD52" s="76"/>
      <c r="BGE52" s="76"/>
      <c r="BGF52" s="76"/>
      <c r="BGG52" s="76"/>
      <c r="BGH52" s="76"/>
      <c r="BGI52" s="76"/>
      <c r="BGJ52" s="76"/>
      <c r="BGK52" s="76"/>
      <c r="BGL52" s="76"/>
      <c r="BGM52" s="76"/>
      <c r="BGN52" s="76"/>
      <c r="BGO52" s="76"/>
      <c r="BGP52" s="76"/>
      <c r="BGQ52" s="76"/>
      <c r="BGR52" s="76"/>
      <c r="BGS52" s="76"/>
      <c r="BGT52" s="76"/>
      <c r="BGU52" s="76"/>
      <c r="BGV52" s="76"/>
      <c r="BGW52" s="76"/>
      <c r="BGX52" s="76"/>
      <c r="BGY52" s="76"/>
      <c r="BGZ52" s="76"/>
      <c r="BHA52" s="76"/>
      <c r="BHB52" s="76"/>
      <c r="BHC52" s="76"/>
      <c r="BHD52" s="76"/>
      <c r="BHE52" s="76"/>
      <c r="BHF52" s="76"/>
      <c r="BHG52" s="76"/>
      <c r="BHH52" s="76"/>
      <c r="BHI52" s="76"/>
      <c r="BHJ52" s="76"/>
      <c r="BHK52" s="76"/>
      <c r="BHL52" s="76"/>
      <c r="BHM52" s="76"/>
      <c r="BHN52" s="76"/>
      <c r="BHO52" s="76"/>
      <c r="BHP52" s="76"/>
      <c r="BHQ52" s="76"/>
      <c r="BHR52" s="76"/>
      <c r="BHS52" s="76"/>
      <c r="BHT52" s="76"/>
      <c r="BHU52" s="76"/>
      <c r="BHV52" s="76"/>
      <c r="BHW52" s="76"/>
      <c r="BHX52" s="76"/>
      <c r="BHY52" s="76"/>
      <c r="BHZ52" s="76"/>
      <c r="BIA52" s="76"/>
      <c r="BIB52" s="76"/>
      <c r="BIC52" s="76"/>
      <c r="BID52" s="76"/>
      <c r="BIE52" s="76"/>
      <c r="BIF52" s="76"/>
      <c r="BIG52" s="76"/>
      <c r="BIH52" s="76"/>
      <c r="BII52" s="76"/>
      <c r="BIJ52" s="76"/>
      <c r="BIK52" s="76"/>
      <c r="BIL52" s="76"/>
      <c r="BIM52" s="76"/>
      <c r="BIN52" s="76"/>
      <c r="BIO52" s="76"/>
      <c r="BIP52" s="76"/>
      <c r="BIQ52" s="76"/>
      <c r="BIR52" s="76"/>
      <c r="BIS52" s="76"/>
      <c r="BIT52" s="76"/>
      <c r="BIU52" s="76"/>
      <c r="BIV52" s="76"/>
      <c r="BIW52" s="76"/>
      <c r="BIX52" s="76"/>
      <c r="BIY52" s="76"/>
      <c r="BIZ52" s="76"/>
      <c r="BJA52" s="76"/>
      <c r="BJB52" s="76"/>
      <c r="BJC52" s="76"/>
      <c r="BJD52" s="76"/>
      <c r="BJE52" s="76"/>
      <c r="BJF52" s="76"/>
      <c r="BJG52" s="76"/>
      <c r="BJH52" s="76"/>
      <c r="BJI52" s="76"/>
      <c r="BJJ52" s="76"/>
      <c r="BJK52" s="76"/>
      <c r="BJL52" s="76"/>
      <c r="BJM52" s="76"/>
      <c r="BJN52" s="76"/>
      <c r="BJO52" s="76"/>
      <c r="BJP52" s="76"/>
      <c r="BJQ52" s="76"/>
      <c r="BJR52" s="76"/>
      <c r="BJS52" s="76"/>
      <c r="BJT52" s="76"/>
      <c r="BJU52" s="76"/>
      <c r="BJV52" s="76"/>
      <c r="BJW52" s="76"/>
      <c r="BJX52" s="76"/>
      <c r="BJY52" s="76"/>
      <c r="BJZ52" s="76"/>
      <c r="BKA52" s="76"/>
      <c r="BKB52" s="76"/>
      <c r="BKC52" s="76"/>
      <c r="BKD52" s="76"/>
      <c r="BKE52" s="76"/>
      <c r="BKF52" s="76"/>
      <c r="BKG52" s="76"/>
      <c r="BKH52" s="76"/>
      <c r="BKI52" s="76"/>
      <c r="BKJ52" s="76"/>
      <c r="BKK52" s="76"/>
      <c r="BKL52" s="76"/>
      <c r="BKM52" s="76"/>
      <c r="BKN52" s="76"/>
      <c r="BKO52" s="76"/>
      <c r="BKP52" s="76"/>
      <c r="BKQ52" s="76"/>
      <c r="BKR52" s="76"/>
      <c r="BKS52" s="76"/>
      <c r="BKT52" s="76"/>
      <c r="BKU52" s="76"/>
      <c r="BKV52" s="76"/>
      <c r="BKW52" s="76"/>
      <c r="BKX52" s="76"/>
      <c r="BKY52" s="76"/>
      <c r="BKZ52" s="76"/>
      <c r="BLA52" s="76"/>
      <c r="BLB52" s="76"/>
      <c r="BLC52" s="76"/>
      <c r="BLD52" s="76"/>
      <c r="BLE52" s="76"/>
      <c r="BLF52" s="76"/>
      <c r="BLG52" s="76"/>
      <c r="BLH52" s="76"/>
      <c r="BLI52" s="76"/>
      <c r="BLJ52" s="76"/>
      <c r="BLK52" s="76"/>
      <c r="BLL52" s="76"/>
      <c r="BLM52" s="76"/>
      <c r="BLN52" s="76"/>
      <c r="BLO52" s="76"/>
      <c r="BLP52" s="76"/>
      <c r="BLQ52" s="76"/>
      <c r="BLR52" s="76"/>
      <c r="BLS52" s="76"/>
      <c r="BLT52" s="76"/>
      <c r="BLU52" s="76"/>
      <c r="BLV52" s="76"/>
      <c r="BLW52" s="76"/>
      <c r="BLX52" s="76"/>
      <c r="BLY52" s="76"/>
      <c r="BLZ52" s="76"/>
      <c r="BMA52" s="76"/>
      <c r="BMB52" s="76"/>
      <c r="BMC52" s="76"/>
      <c r="BMD52" s="76"/>
      <c r="BME52" s="76"/>
      <c r="BMF52" s="76"/>
      <c r="BMG52" s="76"/>
      <c r="BMH52" s="76"/>
      <c r="BMI52" s="76"/>
      <c r="BMJ52" s="76"/>
      <c r="BMK52" s="76"/>
      <c r="BML52" s="76"/>
      <c r="BMM52" s="76"/>
      <c r="BMN52" s="76"/>
      <c r="BMO52" s="76"/>
      <c r="BMP52" s="76"/>
      <c r="BMQ52" s="76"/>
      <c r="BMR52" s="76"/>
      <c r="BMS52" s="76"/>
      <c r="BMT52" s="76"/>
      <c r="BMU52" s="76"/>
      <c r="BMV52" s="76"/>
      <c r="BMW52" s="76"/>
      <c r="BMX52" s="76"/>
      <c r="BMY52" s="76"/>
      <c r="BMZ52" s="76"/>
      <c r="BNA52" s="76"/>
      <c r="BNB52" s="76"/>
      <c r="BNC52" s="76"/>
      <c r="BND52" s="76"/>
      <c r="BNE52" s="76"/>
      <c r="BNF52" s="76"/>
      <c r="BNG52" s="76"/>
      <c r="BNH52" s="76"/>
      <c r="BNI52" s="76"/>
      <c r="BNJ52" s="76"/>
      <c r="BNK52" s="76"/>
      <c r="BNL52" s="76"/>
      <c r="BNM52" s="76"/>
      <c r="BNN52" s="76"/>
      <c r="BNO52" s="76"/>
      <c r="BNP52" s="76"/>
      <c r="BNQ52" s="76"/>
      <c r="BNR52" s="76"/>
      <c r="BNS52" s="76"/>
      <c r="BNT52" s="76"/>
      <c r="BNU52" s="76"/>
      <c r="BNV52" s="76"/>
      <c r="BNW52" s="76"/>
      <c r="BNX52" s="76"/>
      <c r="BNY52" s="76"/>
      <c r="BNZ52" s="76"/>
      <c r="BOA52" s="76"/>
      <c r="BOB52" s="76"/>
      <c r="BOC52" s="76"/>
      <c r="BOD52" s="76"/>
      <c r="BOE52" s="76"/>
      <c r="BOF52" s="76"/>
      <c r="BOG52" s="76"/>
      <c r="BOH52" s="76"/>
      <c r="BOI52" s="76"/>
      <c r="BOJ52" s="76"/>
      <c r="BOK52" s="76"/>
      <c r="BOL52" s="76"/>
      <c r="BOM52" s="76"/>
      <c r="BON52" s="76"/>
      <c r="BOO52" s="76"/>
      <c r="BOP52" s="76"/>
      <c r="BOQ52" s="76"/>
      <c r="BOR52" s="76"/>
      <c r="BOS52" s="76"/>
      <c r="BOT52" s="76"/>
      <c r="BOU52" s="76"/>
      <c r="BOV52" s="76"/>
      <c r="BOW52" s="76"/>
      <c r="BOX52" s="76"/>
      <c r="BOY52" s="76"/>
      <c r="BOZ52" s="76"/>
      <c r="BPA52" s="76"/>
      <c r="BPB52" s="76"/>
      <c r="BPC52" s="76"/>
      <c r="BPD52" s="76"/>
      <c r="BPE52" s="76"/>
      <c r="BPF52" s="76"/>
      <c r="BPG52" s="76"/>
      <c r="BPH52" s="76"/>
      <c r="BPI52" s="76"/>
      <c r="BPJ52" s="76"/>
      <c r="BPK52" s="76"/>
      <c r="BPL52" s="76"/>
      <c r="BPM52" s="76"/>
      <c r="BPN52" s="76"/>
      <c r="BPO52" s="76"/>
      <c r="BPP52" s="76"/>
      <c r="BPQ52" s="76"/>
      <c r="BPR52" s="76"/>
      <c r="BPS52" s="76"/>
      <c r="BPT52" s="76"/>
      <c r="BPU52" s="76"/>
      <c r="BPV52" s="76"/>
      <c r="BPW52" s="76"/>
      <c r="BPX52" s="76"/>
      <c r="BPY52" s="76"/>
      <c r="BPZ52" s="76"/>
      <c r="BQA52" s="76"/>
      <c r="BQB52" s="76"/>
      <c r="BQC52" s="76"/>
      <c r="BQD52" s="76"/>
      <c r="BQE52" s="76"/>
      <c r="BQF52" s="76"/>
      <c r="BQG52" s="76"/>
      <c r="BQH52" s="76"/>
      <c r="BQI52" s="76"/>
      <c r="BQJ52" s="76"/>
      <c r="BQK52" s="76"/>
      <c r="BQL52" s="76"/>
      <c r="BQM52" s="76"/>
      <c r="BQN52" s="76"/>
      <c r="BQO52" s="76"/>
      <c r="BQP52" s="76"/>
      <c r="BQQ52" s="76"/>
      <c r="BQR52" s="76"/>
      <c r="BQS52" s="76"/>
      <c r="BQT52" s="76"/>
      <c r="BQU52" s="76"/>
      <c r="BQV52" s="76"/>
      <c r="BQW52" s="76"/>
      <c r="BQX52" s="76"/>
      <c r="BQY52" s="76"/>
      <c r="BQZ52" s="76"/>
      <c r="BRA52" s="76"/>
      <c r="BRB52" s="76"/>
      <c r="BRC52" s="76"/>
      <c r="BRD52" s="76"/>
      <c r="BRE52" s="76"/>
      <c r="BRF52" s="76"/>
      <c r="BRG52" s="76"/>
      <c r="BRH52" s="76"/>
      <c r="BRI52" s="76"/>
      <c r="BRJ52" s="76"/>
      <c r="BRK52" s="76"/>
      <c r="BRL52" s="76"/>
      <c r="BRM52" s="76"/>
      <c r="BRN52" s="76"/>
      <c r="BRO52" s="76"/>
      <c r="BRP52" s="76"/>
      <c r="BRQ52" s="76"/>
      <c r="BRR52" s="76"/>
      <c r="BRS52" s="76"/>
      <c r="BRT52" s="76"/>
      <c r="BRU52" s="76"/>
      <c r="BRV52" s="76"/>
      <c r="BRW52" s="76"/>
      <c r="BRX52" s="76"/>
      <c r="BRY52" s="76"/>
      <c r="BRZ52" s="76"/>
      <c r="BSA52" s="76"/>
      <c r="BSB52" s="76"/>
      <c r="BSC52" s="76"/>
      <c r="BSD52" s="76"/>
      <c r="BSE52" s="76"/>
      <c r="BSF52" s="76"/>
      <c r="BSG52" s="76"/>
      <c r="BSH52" s="76"/>
      <c r="BSI52" s="76"/>
      <c r="BSJ52" s="76"/>
      <c r="BSK52" s="76"/>
      <c r="BSL52" s="76"/>
      <c r="BSM52" s="76"/>
      <c r="BSN52" s="76"/>
      <c r="BSO52" s="76"/>
      <c r="BSP52" s="76"/>
      <c r="BSQ52" s="76"/>
      <c r="BSR52" s="76"/>
      <c r="BSS52" s="76"/>
      <c r="BST52" s="76"/>
      <c r="BSU52" s="76"/>
      <c r="BSV52" s="76"/>
      <c r="BSW52" s="76"/>
      <c r="BSX52" s="76"/>
      <c r="BSY52" s="76"/>
      <c r="BSZ52" s="76"/>
      <c r="BTA52" s="76"/>
      <c r="BTB52" s="76"/>
      <c r="BTC52" s="76"/>
      <c r="BTD52" s="76"/>
      <c r="BTE52" s="76"/>
      <c r="BTF52" s="76"/>
      <c r="BTG52" s="76"/>
      <c r="BTH52" s="76"/>
      <c r="BTI52" s="76"/>
      <c r="BTJ52" s="76"/>
      <c r="BTK52" s="76"/>
      <c r="BTL52" s="76"/>
      <c r="BTM52" s="76"/>
      <c r="BTN52" s="76"/>
      <c r="BTO52" s="76"/>
      <c r="BTP52" s="76"/>
      <c r="BTQ52" s="76"/>
      <c r="BTR52" s="76"/>
      <c r="BTS52" s="76"/>
      <c r="BTT52" s="76"/>
      <c r="BTU52" s="76"/>
      <c r="BTV52" s="76"/>
      <c r="BTW52" s="76"/>
      <c r="BTX52" s="76"/>
      <c r="BTY52" s="76"/>
      <c r="BTZ52" s="76"/>
      <c r="BUA52" s="76"/>
      <c r="BUB52" s="76"/>
      <c r="BUC52" s="76"/>
      <c r="BUD52" s="76"/>
      <c r="BUE52" s="76"/>
      <c r="BUF52" s="76"/>
      <c r="BUG52" s="76"/>
      <c r="BUH52" s="76"/>
      <c r="BUI52" s="76"/>
      <c r="BUJ52" s="76"/>
      <c r="BUK52" s="76"/>
      <c r="BUL52" s="76"/>
      <c r="BUM52" s="76"/>
      <c r="BUN52" s="76"/>
      <c r="BUO52" s="76"/>
      <c r="BUP52" s="76"/>
      <c r="BUQ52" s="76"/>
      <c r="BUR52" s="76"/>
      <c r="BUS52" s="76"/>
      <c r="BUT52" s="76"/>
      <c r="BUU52" s="76"/>
      <c r="BUV52" s="76"/>
      <c r="BUW52" s="76"/>
      <c r="BUX52" s="76"/>
      <c r="BUY52" s="76"/>
      <c r="BUZ52" s="76"/>
      <c r="BVA52" s="76"/>
      <c r="BVB52" s="76"/>
      <c r="BVC52" s="76"/>
      <c r="BVD52" s="76"/>
      <c r="BVE52" s="76"/>
      <c r="BVF52" s="76"/>
      <c r="BVG52" s="76"/>
      <c r="BVH52" s="76"/>
      <c r="BVI52" s="76"/>
      <c r="BVJ52" s="76"/>
      <c r="BVK52" s="76"/>
      <c r="BVL52" s="76"/>
      <c r="BVM52" s="76"/>
      <c r="BVN52" s="76"/>
      <c r="BVO52" s="76"/>
      <c r="BVP52" s="76"/>
      <c r="BVQ52" s="76"/>
      <c r="BVR52" s="76"/>
      <c r="BVS52" s="76"/>
      <c r="BVT52" s="76"/>
      <c r="BVU52" s="76"/>
      <c r="BVV52" s="76"/>
      <c r="BVW52" s="76"/>
      <c r="BVX52" s="76"/>
      <c r="BVY52" s="76"/>
      <c r="BVZ52" s="76"/>
      <c r="BWA52" s="76"/>
      <c r="BWB52" s="76"/>
      <c r="BWC52" s="76"/>
      <c r="BWD52" s="76"/>
      <c r="BWE52" s="76"/>
      <c r="BWF52" s="76"/>
      <c r="BWG52" s="76"/>
      <c r="BWH52" s="76"/>
      <c r="BWI52" s="76"/>
      <c r="BWJ52" s="76"/>
      <c r="BWK52" s="76"/>
      <c r="BWL52" s="76"/>
      <c r="BWM52" s="76"/>
      <c r="BWN52" s="76"/>
      <c r="BWO52" s="76"/>
      <c r="BWP52" s="76"/>
      <c r="BWQ52" s="76"/>
      <c r="BWR52" s="76"/>
      <c r="BWS52" s="76"/>
      <c r="BWT52" s="76"/>
      <c r="BWU52" s="76"/>
      <c r="BWV52" s="76"/>
      <c r="BWW52" s="76"/>
      <c r="BWX52" s="76"/>
      <c r="BWY52" s="76"/>
      <c r="BWZ52" s="76"/>
      <c r="BXA52" s="76"/>
      <c r="BXB52" s="76"/>
      <c r="BXC52" s="76"/>
      <c r="BXD52" s="76"/>
      <c r="BXE52" s="76"/>
      <c r="BXF52" s="76"/>
      <c r="BXG52" s="76"/>
      <c r="BXH52" s="76"/>
      <c r="BXI52" s="76"/>
      <c r="BXJ52" s="76"/>
      <c r="BXK52" s="76"/>
      <c r="BXL52" s="76"/>
      <c r="BXM52" s="76"/>
      <c r="BXN52" s="76"/>
      <c r="BXO52" s="76"/>
      <c r="BXP52" s="76"/>
      <c r="BXQ52" s="76"/>
      <c r="BXR52" s="76"/>
      <c r="BXS52" s="76"/>
      <c r="BXT52" s="76"/>
      <c r="BXU52" s="76"/>
      <c r="BXV52" s="76"/>
      <c r="BXW52" s="76"/>
      <c r="BXX52" s="76"/>
      <c r="BXY52" s="76"/>
      <c r="BXZ52" s="76"/>
      <c r="BYA52" s="76"/>
      <c r="BYB52" s="76"/>
      <c r="BYC52" s="76"/>
      <c r="BYD52" s="76"/>
      <c r="BYE52" s="76"/>
      <c r="BYF52" s="76"/>
      <c r="BYG52" s="76"/>
      <c r="BYH52" s="76"/>
      <c r="BYI52" s="76"/>
      <c r="BYJ52" s="76"/>
      <c r="BYK52" s="76"/>
      <c r="BYL52" s="76"/>
      <c r="BYM52" s="76"/>
      <c r="BYN52" s="76"/>
      <c r="BYO52" s="76"/>
      <c r="BYP52" s="76"/>
      <c r="BYQ52" s="76"/>
      <c r="BYR52" s="76"/>
      <c r="BYS52" s="76"/>
      <c r="BYT52" s="76"/>
      <c r="BYU52" s="76"/>
      <c r="BYV52" s="76"/>
      <c r="BYW52" s="76"/>
      <c r="BYX52" s="76"/>
      <c r="BYY52" s="76"/>
      <c r="BYZ52" s="76"/>
      <c r="BZA52" s="76"/>
      <c r="BZB52" s="76"/>
      <c r="BZC52" s="76"/>
      <c r="BZD52" s="76"/>
      <c r="BZE52" s="76"/>
      <c r="BZF52" s="76"/>
      <c r="BZG52" s="76"/>
      <c r="BZH52" s="76"/>
      <c r="BZI52" s="76"/>
      <c r="BZJ52" s="76"/>
      <c r="BZK52" s="76"/>
      <c r="BZL52" s="76"/>
      <c r="BZM52" s="76"/>
      <c r="BZN52" s="76"/>
      <c r="BZO52" s="76"/>
      <c r="BZP52" s="76"/>
      <c r="BZQ52" s="76"/>
      <c r="BZR52" s="76"/>
      <c r="BZS52" s="76"/>
      <c r="BZT52" s="76"/>
      <c r="BZU52" s="76"/>
      <c r="BZV52" s="76"/>
      <c r="BZW52" s="76"/>
      <c r="BZX52" s="76"/>
      <c r="BZY52" s="76"/>
      <c r="BZZ52" s="76"/>
      <c r="CAA52" s="76"/>
      <c r="CAB52" s="76"/>
      <c r="CAC52" s="76"/>
      <c r="CAD52" s="76"/>
      <c r="CAE52" s="76"/>
      <c r="CAF52" s="76"/>
      <c r="CAG52" s="76"/>
      <c r="CAH52" s="76"/>
      <c r="CAI52" s="76"/>
      <c r="CAJ52" s="76"/>
      <c r="CAK52" s="76"/>
      <c r="CAL52" s="76"/>
      <c r="CAM52" s="76"/>
      <c r="CAN52" s="76"/>
      <c r="CAO52" s="76"/>
      <c r="CAP52" s="76"/>
      <c r="CAQ52" s="76"/>
      <c r="CAR52" s="76"/>
      <c r="CAS52" s="76"/>
      <c r="CAT52" s="76"/>
      <c r="CAU52" s="76"/>
      <c r="CAV52" s="76"/>
      <c r="CAW52" s="76"/>
      <c r="CAX52" s="76"/>
      <c r="CAY52" s="76"/>
      <c r="CAZ52" s="76"/>
      <c r="CBA52" s="76"/>
      <c r="CBB52" s="76"/>
      <c r="CBC52" s="76"/>
      <c r="CBD52" s="76"/>
      <c r="CBE52" s="76"/>
      <c r="CBF52" s="76"/>
      <c r="CBG52" s="76"/>
      <c r="CBH52" s="76"/>
      <c r="CBI52" s="76"/>
      <c r="CBJ52" s="76"/>
      <c r="CBK52" s="76"/>
      <c r="CBL52" s="76"/>
      <c r="CBM52" s="76"/>
      <c r="CBN52" s="76"/>
      <c r="CBO52" s="76"/>
      <c r="CBP52" s="76"/>
      <c r="CBQ52" s="76"/>
      <c r="CBR52" s="76"/>
      <c r="CBS52" s="76"/>
      <c r="CBT52" s="76"/>
      <c r="CBU52" s="76"/>
      <c r="CBV52" s="76"/>
      <c r="CBW52" s="76"/>
      <c r="CBX52" s="76"/>
      <c r="CBY52" s="76"/>
      <c r="CBZ52" s="76"/>
      <c r="CCA52" s="76"/>
      <c r="CCB52" s="76"/>
      <c r="CCC52" s="76"/>
      <c r="CCD52" s="76"/>
      <c r="CCE52" s="76"/>
      <c r="CCF52" s="76"/>
      <c r="CCG52" s="76"/>
      <c r="CCH52" s="76"/>
      <c r="CCI52" s="76"/>
      <c r="CCJ52" s="76"/>
      <c r="CCK52" s="76"/>
      <c r="CCL52" s="76"/>
      <c r="CCM52" s="76"/>
      <c r="CCN52" s="76"/>
      <c r="CCO52" s="76"/>
      <c r="CCP52" s="76"/>
      <c r="CCQ52" s="76"/>
      <c r="CCR52" s="76"/>
      <c r="CCS52" s="76"/>
      <c r="CCT52" s="76"/>
      <c r="CCU52" s="76"/>
      <c r="CCV52" s="76"/>
      <c r="CCW52" s="76"/>
      <c r="CCX52" s="76"/>
      <c r="CCY52" s="76"/>
      <c r="CCZ52" s="76"/>
      <c r="CDA52" s="76"/>
      <c r="CDB52" s="76"/>
      <c r="CDC52" s="76"/>
      <c r="CDD52" s="76"/>
      <c r="CDE52" s="76"/>
      <c r="CDF52" s="76"/>
      <c r="CDG52" s="76"/>
      <c r="CDH52" s="76"/>
      <c r="CDI52" s="76"/>
      <c r="CDJ52" s="76"/>
      <c r="CDK52" s="76"/>
      <c r="CDL52" s="76"/>
      <c r="CDM52" s="76"/>
      <c r="CDN52" s="76"/>
      <c r="CDO52" s="76"/>
      <c r="CDP52" s="76"/>
      <c r="CDQ52" s="76"/>
      <c r="CDR52" s="76"/>
      <c r="CDS52" s="76"/>
      <c r="CDT52" s="76"/>
      <c r="CDU52" s="76"/>
      <c r="CDV52" s="76"/>
      <c r="CDW52" s="76"/>
      <c r="CDX52" s="76"/>
      <c r="CDY52" s="76"/>
      <c r="CDZ52" s="76"/>
      <c r="CEA52" s="76"/>
      <c r="CEB52" s="76"/>
      <c r="CEC52" s="76"/>
      <c r="CED52" s="76"/>
      <c r="CEE52" s="76"/>
      <c r="CEF52" s="76"/>
      <c r="CEG52" s="76"/>
      <c r="CEH52" s="76"/>
      <c r="CEI52" s="76"/>
      <c r="CEJ52" s="76"/>
      <c r="CEK52" s="76"/>
      <c r="CEL52" s="76"/>
      <c r="CEM52" s="76"/>
      <c r="CEN52" s="76"/>
      <c r="CEO52" s="76"/>
      <c r="CEP52" s="76"/>
      <c r="CEQ52" s="76"/>
      <c r="CER52" s="76"/>
      <c r="CES52" s="76"/>
      <c r="CET52" s="76"/>
      <c r="CEU52" s="76"/>
      <c r="CEV52" s="76"/>
      <c r="CEW52" s="76"/>
      <c r="CEX52" s="76"/>
      <c r="CEY52" s="76"/>
      <c r="CEZ52" s="76"/>
      <c r="CFA52" s="76"/>
      <c r="CFB52" s="76"/>
      <c r="CFC52" s="76"/>
      <c r="CFD52" s="76"/>
      <c r="CFE52" s="76"/>
      <c r="CFF52" s="76"/>
      <c r="CFG52" s="76"/>
      <c r="CFH52" s="76"/>
      <c r="CFI52" s="76"/>
      <c r="CFJ52" s="76"/>
      <c r="CFK52" s="76"/>
      <c r="CFL52" s="76"/>
      <c r="CFM52" s="76"/>
      <c r="CFN52" s="76"/>
      <c r="CFO52" s="76"/>
      <c r="CFP52" s="76"/>
      <c r="CFQ52" s="76"/>
      <c r="CFR52" s="76"/>
      <c r="CFS52" s="76"/>
      <c r="CFT52" s="76"/>
      <c r="CFU52" s="76"/>
      <c r="CFV52" s="76"/>
      <c r="CFW52" s="76"/>
      <c r="CFX52" s="76"/>
      <c r="CFY52" s="76"/>
      <c r="CFZ52" s="76"/>
      <c r="CGA52" s="76"/>
      <c r="CGB52" s="76"/>
      <c r="CGC52" s="76"/>
      <c r="CGD52" s="76"/>
      <c r="CGE52" s="76"/>
      <c r="CGF52" s="76"/>
      <c r="CGG52" s="76"/>
      <c r="CGH52" s="76"/>
      <c r="CGI52" s="76"/>
      <c r="CGJ52" s="76"/>
      <c r="CGK52" s="76"/>
      <c r="CGL52" s="76"/>
      <c r="CGM52" s="76"/>
      <c r="CGN52" s="76"/>
      <c r="CGO52" s="76"/>
      <c r="CGP52" s="76"/>
      <c r="CGQ52" s="76"/>
      <c r="CGR52" s="76"/>
      <c r="CGS52" s="76"/>
      <c r="CGT52" s="76"/>
      <c r="CGU52" s="76"/>
      <c r="CGV52" s="76"/>
      <c r="CGW52" s="76"/>
      <c r="CGX52" s="76"/>
      <c r="CGY52" s="76"/>
      <c r="CGZ52" s="76"/>
      <c r="CHA52" s="76"/>
      <c r="CHB52" s="76"/>
      <c r="CHC52" s="76"/>
      <c r="CHD52" s="76"/>
      <c r="CHE52" s="76"/>
      <c r="CHF52" s="76"/>
      <c r="CHG52" s="76"/>
      <c r="CHH52" s="76"/>
      <c r="CHI52" s="76"/>
      <c r="CHJ52" s="76"/>
      <c r="CHK52" s="76"/>
      <c r="CHL52" s="76"/>
      <c r="CHM52" s="76"/>
      <c r="CHN52" s="76"/>
      <c r="CHO52" s="76"/>
      <c r="CHP52" s="76"/>
      <c r="CHQ52" s="76"/>
      <c r="CHR52" s="76"/>
      <c r="CHS52" s="76"/>
      <c r="CHT52" s="76"/>
      <c r="CHU52" s="76"/>
      <c r="CHV52" s="76"/>
      <c r="CHW52" s="76"/>
      <c r="CHX52" s="76"/>
      <c r="CHY52" s="76"/>
      <c r="CHZ52" s="76"/>
      <c r="CIA52" s="76"/>
      <c r="CIB52" s="76"/>
      <c r="CIC52" s="76"/>
      <c r="CID52" s="76"/>
      <c r="CIE52" s="76"/>
      <c r="CIF52" s="76"/>
      <c r="CIG52" s="76"/>
      <c r="CIH52" s="76"/>
      <c r="CII52" s="76"/>
      <c r="CIJ52" s="76"/>
      <c r="CIK52" s="76"/>
      <c r="CIL52" s="76"/>
      <c r="CIM52" s="76"/>
      <c r="CIN52" s="76"/>
      <c r="CIO52" s="76"/>
      <c r="CIP52" s="76"/>
      <c r="CIQ52" s="76"/>
      <c r="CIR52" s="76"/>
      <c r="CIS52" s="76"/>
      <c r="CIT52" s="76"/>
      <c r="CIU52" s="76"/>
      <c r="CIV52" s="76"/>
      <c r="CIW52" s="76"/>
      <c r="CIX52" s="76"/>
      <c r="CIY52" s="76"/>
      <c r="CIZ52" s="76"/>
      <c r="CJA52" s="76"/>
      <c r="CJB52" s="76"/>
      <c r="CJC52" s="76"/>
      <c r="CJD52" s="76"/>
      <c r="CJE52" s="76"/>
      <c r="CJF52" s="76"/>
      <c r="CJG52" s="76"/>
      <c r="CJH52" s="76"/>
      <c r="CJI52" s="76"/>
      <c r="CJJ52" s="76"/>
      <c r="CJK52" s="76"/>
      <c r="CJL52" s="76"/>
      <c r="CJM52" s="76"/>
      <c r="CJN52" s="76"/>
      <c r="CJO52" s="76"/>
      <c r="CJP52" s="76"/>
      <c r="CJQ52" s="76"/>
      <c r="CJR52" s="76"/>
      <c r="CJS52" s="76"/>
      <c r="CJT52" s="76"/>
      <c r="CJU52" s="76"/>
      <c r="CJV52" s="76"/>
      <c r="CJW52" s="76"/>
      <c r="CJX52" s="76"/>
      <c r="CJY52" s="76"/>
      <c r="CJZ52" s="76"/>
      <c r="CKA52" s="76"/>
      <c r="CKB52" s="76"/>
      <c r="CKC52" s="76"/>
      <c r="CKD52" s="76"/>
      <c r="CKE52" s="76"/>
      <c r="CKF52" s="76"/>
      <c r="CKG52" s="76"/>
      <c r="CKH52" s="76"/>
      <c r="CKI52" s="76"/>
      <c r="CKJ52" s="76"/>
      <c r="CKK52" s="76"/>
      <c r="CKL52" s="76"/>
      <c r="CKM52" s="76"/>
      <c r="CKN52" s="76"/>
      <c r="CKO52" s="76"/>
      <c r="CKP52" s="76"/>
      <c r="CKQ52" s="76"/>
      <c r="CKR52" s="76"/>
      <c r="CKS52" s="76"/>
      <c r="CKT52" s="76"/>
      <c r="CKU52" s="76"/>
      <c r="CKV52" s="76"/>
      <c r="CKW52" s="76"/>
      <c r="CKX52" s="76"/>
      <c r="CKY52" s="76"/>
      <c r="CKZ52" s="76"/>
      <c r="CLA52" s="76"/>
      <c r="CLB52" s="76"/>
      <c r="CLC52" s="76"/>
      <c r="CLD52" s="76"/>
      <c r="CLE52" s="76"/>
      <c r="CLF52" s="76"/>
      <c r="CLG52" s="76"/>
      <c r="CLH52" s="76"/>
      <c r="CLI52" s="76"/>
      <c r="CLJ52" s="76"/>
      <c r="CLK52" s="76"/>
      <c r="CLL52" s="76"/>
      <c r="CLM52" s="76"/>
      <c r="CLN52" s="76"/>
      <c r="CLO52" s="76"/>
      <c r="CLP52" s="76"/>
      <c r="CLQ52" s="76"/>
      <c r="CLR52" s="76"/>
      <c r="CLS52" s="76"/>
      <c r="CLT52" s="76"/>
      <c r="CLU52" s="76"/>
      <c r="CLV52" s="76"/>
      <c r="CLW52" s="76"/>
      <c r="CLX52" s="76"/>
      <c r="CLY52" s="76"/>
      <c r="CLZ52" s="76"/>
      <c r="CMA52" s="76"/>
      <c r="CMB52" s="76"/>
      <c r="CMC52" s="76"/>
      <c r="CMD52" s="76"/>
      <c r="CME52" s="76"/>
      <c r="CMF52" s="76"/>
      <c r="CMG52" s="76"/>
      <c r="CMH52" s="76"/>
      <c r="CMI52" s="76"/>
      <c r="CMJ52" s="76"/>
      <c r="CMK52" s="76"/>
      <c r="CML52" s="76"/>
      <c r="CMM52" s="76"/>
      <c r="CMN52" s="76"/>
      <c r="CMO52" s="76"/>
      <c r="CMP52" s="76"/>
      <c r="CMQ52" s="76"/>
      <c r="CMR52" s="76"/>
      <c r="CMS52" s="76"/>
      <c r="CMT52" s="76"/>
      <c r="CMU52" s="76"/>
      <c r="CMV52" s="76"/>
      <c r="CMW52" s="76"/>
      <c r="CMX52" s="76"/>
      <c r="CMY52" s="76"/>
      <c r="CMZ52" s="76"/>
      <c r="CNA52" s="76"/>
      <c r="CNB52" s="76"/>
      <c r="CNC52" s="76"/>
      <c r="CND52" s="76"/>
      <c r="CNE52" s="76"/>
      <c r="CNF52" s="76"/>
      <c r="CNG52" s="76"/>
      <c r="CNH52" s="76"/>
      <c r="CNI52" s="76"/>
      <c r="CNJ52" s="76"/>
      <c r="CNK52" s="76"/>
      <c r="CNL52" s="76"/>
      <c r="CNM52" s="76"/>
      <c r="CNN52" s="76"/>
      <c r="CNO52" s="76"/>
      <c r="CNP52" s="76"/>
      <c r="CNQ52" s="76"/>
      <c r="CNR52" s="76"/>
      <c r="CNS52" s="76"/>
      <c r="CNT52" s="76"/>
      <c r="CNU52" s="76"/>
      <c r="CNV52" s="76"/>
      <c r="CNW52" s="76"/>
      <c r="CNX52" s="76"/>
      <c r="CNY52" s="76"/>
      <c r="CNZ52" s="76"/>
      <c r="COA52" s="76"/>
      <c r="COB52" s="76"/>
      <c r="COC52" s="76"/>
      <c r="COD52" s="76"/>
      <c r="COE52" s="76"/>
      <c r="COF52" s="76"/>
      <c r="COG52" s="76"/>
      <c r="COH52" s="76"/>
      <c r="COI52" s="76"/>
      <c r="COJ52" s="76"/>
      <c r="COK52" s="76"/>
      <c r="COL52" s="76"/>
      <c r="COM52" s="76"/>
      <c r="CON52" s="76"/>
      <c r="COO52" s="76"/>
      <c r="COP52" s="76"/>
      <c r="COQ52" s="76"/>
      <c r="COR52" s="76"/>
      <c r="COS52" s="76"/>
      <c r="COT52" s="76"/>
      <c r="COU52" s="76"/>
      <c r="COV52" s="76"/>
      <c r="COW52" s="76"/>
      <c r="COX52" s="76"/>
      <c r="COY52" s="76"/>
      <c r="COZ52" s="76"/>
      <c r="CPA52" s="76"/>
      <c r="CPB52" s="76"/>
      <c r="CPC52" s="76"/>
      <c r="CPD52" s="76"/>
      <c r="CPE52" s="76"/>
      <c r="CPF52" s="76"/>
      <c r="CPG52" s="76"/>
      <c r="CPH52" s="76"/>
      <c r="CPI52" s="76"/>
      <c r="CPJ52" s="76"/>
      <c r="CPK52" s="76"/>
      <c r="CPL52" s="76"/>
      <c r="CPM52" s="76"/>
      <c r="CPN52" s="76"/>
      <c r="CPO52" s="76"/>
      <c r="CPP52" s="76"/>
      <c r="CPQ52" s="76"/>
      <c r="CPR52" s="76"/>
      <c r="CPS52" s="76"/>
      <c r="CPT52" s="76"/>
      <c r="CPU52" s="76"/>
      <c r="CPV52" s="76"/>
      <c r="CPW52" s="76"/>
      <c r="CPX52" s="76"/>
      <c r="CPY52" s="76"/>
      <c r="CPZ52" s="76"/>
      <c r="CQA52" s="76"/>
      <c r="CQB52" s="76"/>
      <c r="CQC52" s="76"/>
      <c r="CQD52" s="76"/>
      <c r="CQE52" s="76"/>
      <c r="CQF52" s="76"/>
      <c r="CQG52" s="76"/>
      <c r="CQH52" s="76"/>
      <c r="CQI52" s="76"/>
      <c r="CQJ52" s="76"/>
      <c r="CQK52" s="76"/>
      <c r="CQL52" s="76"/>
      <c r="CQM52" s="76"/>
      <c r="CQN52" s="76"/>
      <c r="CQO52" s="76"/>
      <c r="CQP52" s="76"/>
      <c r="CQQ52" s="76"/>
      <c r="CQR52" s="76"/>
      <c r="CQS52" s="76"/>
      <c r="CQT52" s="76"/>
      <c r="CQU52" s="76"/>
      <c r="CQV52" s="76"/>
      <c r="CQW52" s="76"/>
      <c r="CQX52" s="76"/>
      <c r="CQY52" s="76"/>
      <c r="CQZ52" s="76"/>
      <c r="CRA52" s="76"/>
      <c r="CRB52" s="76"/>
      <c r="CRC52" s="76"/>
      <c r="CRD52" s="76"/>
      <c r="CRE52" s="76"/>
      <c r="CRF52" s="76"/>
      <c r="CRG52" s="76"/>
      <c r="CRH52" s="76"/>
      <c r="CRI52" s="76"/>
      <c r="CRJ52" s="76"/>
      <c r="CRK52" s="76"/>
      <c r="CRL52" s="76"/>
      <c r="CRM52" s="76"/>
      <c r="CRN52" s="76"/>
      <c r="CRO52" s="76"/>
      <c r="CRP52" s="76"/>
      <c r="CRQ52" s="76"/>
      <c r="CRR52" s="76"/>
      <c r="CRS52" s="76"/>
      <c r="CRT52" s="76"/>
      <c r="CRU52" s="76"/>
      <c r="CRV52" s="76"/>
      <c r="CRW52" s="76"/>
      <c r="CRX52" s="76"/>
      <c r="CRY52" s="76"/>
      <c r="CRZ52" s="76"/>
      <c r="CSA52" s="76"/>
      <c r="CSB52" s="76"/>
      <c r="CSC52" s="76"/>
      <c r="CSD52" s="76"/>
      <c r="CSE52" s="76"/>
      <c r="CSF52" s="76"/>
      <c r="CSG52" s="76"/>
      <c r="CSH52" s="76"/>
      <c r="CSI52" s="76"/>
      <c r="CSJ52" s="76"/>
      <c r="CSK52" s="76"/>
      <c r="CSL52" s="76"/>
      <c r="CSM52" s="76"/>
      <c r="CSN52" s="76"/>
      <c r="CSO52" s="76"/>
      <c r="CSP52" s="76"/>
      <c r="CSQ52" s="76"/>
      <c r="CSR52" s="76"/>
      <c r="CSS52" s="76"/>
      <c r="CST52" s="76"/>
      <c r="CSU52" s="76"/>
      <c r="CSV52" s="76"/>
      <c r="CSW52" s="76"/>
      <c r="CSX52" s="76"/>
      <c r="CSY52" s="76"/>
      <c r="CSZ52" s="76"/>
      <c r="CTA52" s="76"/>
      <c r="CTB52" s="76"/>
      <c r="CTC52" s="76"/>
      <c r="CTD52" s="76"/>
      <c r="CTE52" s="76"/>
      <c r="CTF52" s="76"/>
      <c r="CTG52" s="76"/>
      <c r="CTH52" s="76"/>
      <c r="CTI52" s="76"/>
      <c r="CTJ52" s="76"/>
      <c r="CTK52" s="76"/>
      <c r="CTL52" s="76"/>
      <c r="CTM52" s="76"/>
      <c r="CTN52" s="76"/>
      <c r="CTO52" s="76"/>
      <c r="CTP52" s="76"/>
      <c r="CTQ52" s="76"/>
      <c r="CTR52" s="76"/>
      <c r="CTS52" s="76"/>
      <c r="CTT52" s="76"/>
      <c r="CTU52" s="76"/>
      <c r="CTV52" s="76"/>
      <c r="CTW52" s="76"/>
      <c r="CTX52" s="76"/>
      <c r="CTY52" s="76"/>
      <c r="CTZ52" s="76"/>
      <c r="CUA52" s="76"/>
      <c r="CUB52" s="76"/>
      <c r="CUC52" s="76"/>
      <c r="CUD52" s="76"/>
      <c r="CUE52" s="76"/>
      <c r="CUF52" s="76"/>
      <c r="CUG52" s="76"/>
      <c r="CUH52" s="76"/>
      <c r="CUI52" s="76"/>
      <c r="CUJ52" s="76"/>
      <c r="CUK52" s="76"/>
      <c r="CUL52" s="76"/>
      <c r="CUM52" s="76"/>
      <c r="CUN52" s="76"/>
      <c r="CUO52" s="76"/>
      <c r="CUP52" s="76"/>
      <c r="CUQ52" s="76"/>
      <c r="CUR52" s="76"/>
      <c r="CUS52" s="76"/>
      <c r="CUT52" s="76"/>
      <c r="CUU52" s="76"/>
      <c r="CUV52" s="76"/>
      <c r="CUW52" s="76"/>
      <c r="CUX52" s="76"/>
      <c r="CUY52" s="76"/>
      <c r="CUZ52" s="76"/>
      <c r="CVA52" s="76"/>
      <c r="CVB52" s="76"/>
      <c r="CVC52" s="76"/>
      <c r="CVD52" s="76"/>
      <c r="CVE52" s="76"/>
      <c r="CVF52" s="76"/>
      <c r="CVG52" s="76"/>
      <c r="CVH52" s="76"/>
      <c r="CVI52" s="76"/>
      <c r="CVJ52" s="76"/>
      <c r="CVK52" s="76"/>
      <c r="CVL52" s="76"/>
      <c r="CVM52" s="76"/>
      <c r="CVN52" s="76"/>
      <c r="CVO52" s="76"/>
      <c r="CVP52" s="76"/>
      <c r="CVQ52" s="76"/>
      <c r="CVR52" s="76"/>
      <c r="CVS52" s="76"/>
      <c r="CVT52" s="76"/>
      <c r="CVU52" s="76"/>
      <c r="CVV52" s="76"/>
      <c r="CVW52" s="76"/>
      <c r="CVX52" s="76"/>
      <c r="CVY52" s="76"/>
      <c r="CVZ52" s="76"/>
      <c r="CWA52" s="76"/>
      <c r="CWB52" s="76"/>
      <c r="CWC52" s="76"/>
      <c r="CWD52" s="76"/>
      <c r="CWE52" s="76"/>
      <c r="CWF52" s="76"/>
      <c r="CWG52" s="76"/>
      <c r="CWH52" s="76"/>
      <c r="CWI52" s="76"/>
      <c r="CWJ52" s="76"/>
      <c r="CWK52" s="76"/>
      <c r="CWL52" s="76"/>
      <c r="CWM52" s="76"/>
      <c r="CWN52" s="76"/>
      <c r="CWO52" s="76"/>
      <c r="CWP52" s="76"/>
      <c r="CWQ52" s="76"/>
      <c r="CWR52" s="76"/>
      <c r="CWS52" s="76"/>
      <c r="CWT52" s="76"/>
      <c r="CWU52" s="76"/>
      <c r="CWV52" s="76"/>
      <c r="CWW52" s="76"/>
      <c r="CWX52" s="76"/>
      <c r="CWY52" s="76"/>
      <c r="CWZ52" s="76"/>
      <c r="CXA52" s="76"/>
      <c r="CXB52" s="76"/>
      <c r="CXC52" s="76"/>
      <c r="CXD52" s="76"/>
      <c r="CXE52" s="76"/>
      <c r="CXF52" s="76"/>
      <c r="CXG52" s="76"/>
      <c r="CXH52" s="76"/>
      <c r="CXI52" s="76"/>
      <c r="CXJ52" s="76"/>
      <c r="CXK52" s="76"/>
      <c r="CXL52" s="76"/>
      <c r="CXM52" s="76"/>
      <c r="CXN52" s="76"/>
      <c r="CXO52" s="76"/>
      <c r="CXP52" s="76"/>
      <c r="CXQ52" s="76"/>
      <c r="CXR52" s="76"/>
      <c r="CXS52" s="76"/>
      <c r="CXT52" s="76"/>
      <c r="CXU52" s="76"/>
      <c r="CXV52" s="76"/>
      <c r="CXW52" s="76"/>
      <c r="CXX52" s="76"/>
      <c r="CXY52" s="76"/>
      <c r="CXZ52" s="76"/>
      <c r="CYA52" s="76"/>
      <c r="CYB52" s="76"/>
      <c r="CYC52" s="76"/>
      <c r="CYD52" s="76"/>
      <c r="CYE52" s="76"/>
      <c r="CYF52" s="76"/>
      <c r="CYG52" s="76"/>
      <c r="CYH52" s="76"/>
      <c r="CYI52" s="76"/>
      <c r="CYJ52" s="76"/>
      <c r="CYK52" s="76"/>
      <c r="CYL52" s="76"/>
      <c r="CYM52" s="76"/>
      <c r="CYN52" s="76"/>
      <c r="CYO52" s="76"/>
      <c r="CYP52" s="76"/>
      <c r="CYQ52" s="76"/>
      <c r="CYR52" s="76"/>
      <c r="CYS52" s="76"/>
      <c r="CYT52" s="76"/>
      <c r="CYU52" s="76"/>
      <c r="CYV52" s="76"/>
      <c r="CYW52" s="76"/>
      <c r="CYX52" s="76"/>
      <c r="CYY52" s="76"/>
      <c r="CYZ52" s="76"/>
      <c r="CZA52" s="76"/>
      <c r="CZB52" s="76"/>
      <c r="CZC52" s="76"/>
      <c r="CZD52" s="76"/>
      <c r="CZE52" s="76"/>
      <c r="CZF52" s="76"/>
      <c r="CZG52" s="76"/>
      <c r="CZH52" s="76"/>
      <c r="CZI52" s="76"/>
      <c r="CZJ52" s="76"/>
      <c r="CZK52" s="76"/>
      <c r="CZL52" s="76"/>
      <c r="CZM52" s="76"/>
      <c r="CZN52" s="76"/>
      <c r="CZO52" s="76"/>
      <c r="CZP52" s="76"/>
      <c r="CZQ52" s="76"/>
      <c r="CZR52" s="76"/>
      <c r="CZS52" s="76"/>
      <c r="CZT52" s="76"/>
      <c r="CZU52" s="76"/>
      <c r="CZV52" s="76"/>
      <c r="CZW52" s="76"/>
      <c r="CZX52" s="76"/>
      <c r="CZY52" s="76"/>
      <c r="CZZ52" s="76"/>
      <c r="DAA52" s="76"/>
      <c r="DAB52" s="76"/>
      <c r="DAC52" s="76"/>
      <c r="DAD52" s="76"/>
      <c r="DAE52" s="76"/>
      <c r="DAF52" s="76"/>
      <c r="DAG52" s="76"/>
      <c r="DAH52" s="76"/>
      <c r="DAI52" s="76"/>
      <c r="DAJ52" s="76"/>
      <c r="DAK52" s="76"/>
      <c r="DAL52" s="76"/>
      <c r="DAM52" s="76"/>
      <c r="DAN52" s="76"/>
      <c r="DAO52" s="76"/>
      <c r="DAP52" s="76"/>
      <c r="DAQ52" s="76"/>
      <c r="DAR52" s="76"/>
      <c r="DAS52" s="76"/>
      <c r="DAT52" s="76"/>
      <c r="DAU52" s="76"/>
      <c r="DAV52" s="76"/>
      <c r="DAW52" s="76"/>
      <c r="DAX52" s="76"/>
      <c r="DAY52" s="76"/>
      <c r="DAZ52" s="76"/>
      <c r="DBA52" s="76"/>
      <c r="DBB52" s="76"/>
      <c r="DBC52" s="76"/>
      <c r="DBD52" s="76"/>
      <c r="DBE52" s="76"/>
      <c r="DBF52" s="76"/>
      <c r="DBG52" s="76"/>
      <c r="DBH52" s="76"/>
      <c r="DBI52" s="76"/>
      <c r="DBJ52" s="76"/>
      <c r="DBK52" s="76"/>
      <c r="DBL52" s="76"/>
      <c r="DBM52" s="76"/>
      <c r="DBN52" s="76"/>
      <c r="DBO52" s="76"/>
      <c r="DBP52" s="76"/>
      <c r="DBQ52" s="76"/>
      <c r="DBR52" s="76"/>
      <c r="DBS52" s="76"/>
      <c r="DBT52" s="76"/>
      <c r="DBU52" s="76"/>
      <c r="DBV52" s="76"/>
      <c r="DBW52" s="76"/>
      <c r="DBX52" s="76"/>
      <c r="DBY52" s="76"/>
      <c r="DBZ52" s="76"/>
      <c r="DCA52" s="76"/>
      <c r="DCB52" s="76"/>
      <c r="DCC52" s="76"/>
      <c r="DCD52" s="76"/>
      <c r="DCE52" s="76"/>
      <c r="DCF52" s="76"/>
      <c r="DCG52" s="76"/>
      <c r="DCH52" s="76"/>
      <c r="DCI52" s="76"/>
      <c r="DCJ52" s="76"/>
      <c r="DCK52" s="76"/>
      <c r="DCL52" s="76"/>
      <c r="DCM52" s="76"/>
      <c r="DCN52" s="76"/>
      <c r="DCO52" s="76"/>
      <c r="DCP52" s="76"/>
      <c r="DCQ52" s="76"/>
      <c r="DCR52" s="76"/>
      <c r="DCS52" s="76"/>
      <c r="DCT52" s="76"/>
      <c r="DCU52" s="76"/>
      <c r="DCV52" s="76"/>
      <c r="DCW52" s="76"/>
      <c r="DCX52" s="76"/>
      <c r="DCY52" s="76"/>
      <c r="DCZ52" s="76"/>
      <c r="DDA52" s="76"/>
      <c r="DDB52" s="76"/>
      <c r="DDC52" s="76"/>
      <c r="DDD52" s="76"/>
      <c r="DDE52" s="76"/>
      <c r="DDF52" s="76"/>
      <c r="DDG52" s="76"/>
      <c r="DDH52" s="76"/>
      <c r="DDI52" s="76"/>
      <c r="DDJ52" s="76"/>
      <c r="DDK52" s="76"/>
      <c r="DDL52" s="76"/>
      <c r="DDM52" s="76"/>
      <c r="DDN52" s="76"/>
      <c r="DDO52" s="76"/>
      <c r="DDP52" s="76"/>
      <c r="DDQ52" s="76"/>
      <c r="DDR52" s="76"/>
      <c r="DDS52" s="76"/>
      <c r="DDT52" s="76"/>
      <c r="DDU52" s="76"/>
      <c r="DDV52" s="76"/>
      <c r="DDW52" s="76"/>
      <c r="DDX52" s="76"/>
      <c r="DDY52" s="76"/>
      <c r="DDZ52" s="76"/>
      <c r="DEA52" s="76"/>
      <c r="DEB52" s="76"/>
      <c r="DEC52" s="76"/>
      <c r="DED52" s="76"/>
      <c r="DEE52" s="76"/>
      <c r="DEF52" s="76"/>
      <c r="DEG52" s="76"/>
      <c r="DEH52" s="76"/>
      <c r="DEI52" s="76"/>
      <c r="DEJ52" s="76"/>
      <c r="DEK52" s="76"/>
      <c r="DEL52" s="76"/>
      <c r="DEM52" s="76"/>
      <c r="DEN52" s="76"/>
      <c r="DEO52" s="76"/>
      <c r="DEP52" s="76"/>
      <c r="DEQ52" s="76"/>
      <c r="DER52" s="76"/>
      <c r="DES52" s="76"/>
      <c r="DET52" s="76"/>
      <c r="DEU52" s="76"/>
      <c r="DEV52" s="76"/>
      <c r="DEW52" s="76"/>
      <c r="DEX52" s="76"/>
      <c r="DEY52" s="76"/>
      <c r="DEZ52" s="76"/>
      <c r="DFA52" s="76"/>
      <c r="DFB52" s="76"/>
      <c r="DFC52" s="76"/>
      <c r="DFD52" s="76"/>
      <c r="DFE52" s="76"/>
      <c r="DFF52" s="76"/>
      <c r="DFG52" s="76"/>
      <c r="DFH52" s="76"/>
      <c r="DFI52" s="76"/>
      <c r="DFJ52" s="76"/>
      <c r="DFK52" s="76"/>
      <c r="DFL52" s="76"/>
      <c r="DFM52" s="76"/>
      <c r="DFN52" s="76"/>
      <c r="DFO52" s="76"/>
      <c r="DFP52" s="76"/>
      <c r="DFQ52" s="76"/>
      <c r="DFR52" s="76"/>
      <c r="DFS52" s="76"/>
      <c r="DFT52" s="76"/>
      <c r="DFU52" s="76"/>
      <c r="DFV52" s="76"/>
      <c r="DFW52" s="76"/>
      <c r="DFX52" s="76"/>
      <c r="DFY52" s="76"/>
      <c r="DFZ52" s="76"/>
      <c r="DGA52" s="76"/>
      <c r="DGB52" s="76"/>
      <c r="DGC52" s="76"/>
      <c r="DGD52" s="76"/>
      <c r="DGE52" s="76"/>
      <c r="DGF52" s="76"/>
      <c r="DGG52" s="76"/>
      <c r="DGH52" s="76"/>
      <c r="DGI52" s="76"/>
      <c r="DGJ52" s="76"/>
      <c r="DGK52" s="76"/>
      <c r="DGL52" s="76"/>
      <c r="DGM52" s="76"/>
      <c r="DGN52" s="76"/>
      <c r="DGO52" s="76"/>
      <c r="DGP52" s="76"/>
      <c r="DGQ52" s="76"/>
      <c r="DGR52" s="76"/>
      <c r="DGS52" s="76"/>
      <c r="DGT52" s="76"/>
      <c r="DGU52" s="76"/>
      <c r="DGV52" s="76"/>
      <c r="DGW52" s="76"/>
      <c r="DGX52" s="76"/>
      <c r="DGY52" s="76"/>
      <c r="DGZ52" s="76"/>
      <c r="DHA52" s="76"/>
      <c r="DHB52" s="76"/>
      <c r="DHC52" s="76"/>
      <c r="DHD52" s="76"/>
      <c r="DHE52" s="76"/>
      <c r="DHF52" s="76"/>
      <c r="DHG52" s="76"/>
      <c r="DHH52" s="76"/>
      <c r="DHI52" s="76"/>
      <c r="DHJ52" s="76"/>
      <c r="DHK52" s="76"/>
      <c r="DHL52" s="76"/>
      <c r="DHM52" s="76"/>
      <c r="DHN52" s="76"/>
      <c r="DHO52" s="76"/>
      <c r="DHP52" s="76"/>
      <c r="DHQ52" s="76"/>
      <c r="DHR52" s="76"/>
      <c r="DHS52" s="76"/>
      <c r="DHT52" s="76"/>
      <c r="DHU52" s="76"/>
      <c r="DHV52" s="76"/>
      <c r="DHW52" s="76"/>
      <c r="DHX52" s="76"/>
      <c r="DHY52" s="76"/>
      <c r="DHZ52" s="76"/>
      <c r="DIA52" s="76"/>
      <c r="DIB52" s="76"/>
      <c r="DIC52" s="76"/>
      <c r="DID52" s="76"/>
      <c r="DIE52" s="76"/>
      <c r="DIF52" s="76"/>
      <c r="DIG52" s="76"/>
      <c r="DIH52" s="76"/>
      <c r="DII52" s="76"/>
      <c r="DIJ52" s="76"/>
      <c r="DIK52" s="76"/>
      <c r="DIL52" s="76"/>
      <c r="DIM52" s="76"/>
      <c r="DIN52" s="76"/>
      <c r="DIO52" s="76"/>
      <c r="DIP52" s="76"/>
      <c r="DIQ52" s="76"/>
      <c r="DIR52" s="76"/>
      <c r="DIS52" s="76"/>
      <c r="DIT52" s="76"/>
      <c r="DIU52" s="76"/>
      <c r="DIV52" s="76"/>
      <c r="DIW52" s="76"/>
      <c r="DIX52" s="76"/>
      <c r="DIY52" s="76"/>
      <c r="DIZ52" s="76"/>
      <c r="DJA52" s="76"/>
      <c r="DJB52" s="76"/>
      <c r="DJC52" s="76"/>
      <c r="DJD52" s="76"/>
      <c r="DJE52" s="76"/>
      <c r="DJF52" s="76"/>
      <c r="DJG52" s="76"/>
      <c r="DJH52" s="76"/>
      <c r="DJI52" s="76"/>
      <c r="DJJ52" s="76"/>
      <c r="DJK52" s="76"/>
      <c r="DJL52" s="76"/>
      <c r="DJM52" s="76"/>
      <c r="DJN52" s="76"/>
      <c r="DJO52" s="76"/>
      <c r="DJP52" s="76"/>
      <c r="DJQ52" s="76"/>
      <c r="DJR52" s="76"/>
      <c r="DJS52" s="76"/>
      <c r="DJT52" s="76"/>
      <c r="DJU52" s="76"/>
      <c r="DJV52" s="76"/>
      <c r="DJW52" s="76"/>
      <c r="DJX52" s="76"/>
      <c r="DJY52" s="76"/>
      <c r="DJZ52" s="76"/>
      <c r="DKA52" s="76"/>
      <c r="DKB52" s="76"/>
      <c r="DKC52" s="76"/>
      <c r="DKD52" s="76"/>
      <c r="DKE52" s="76"/>
      <c r="DKF52" s="76"/>
      <c r="DKG52" s="76"/>
      <c r="DKH52" s="76"/>
      <c r="DKI52" s="76"/>
      <c r="DKJ52" s="76"/>
      <c r="DKK52" s="76"/>
      <c r="DKL52" s="76"/>
      <c r="DKM52" s="76"/>
      <c r="DKN52" s="76"/>
      <c r="DKO52" s="76"/>
      <c r="DKP52" s="76"/>
      <c r="DKQ52" s="76"/>
      <c r="DKR52" s="76"/>
      <c r="DKS52" s="76"/>
      <c r="DKT52" s="76"/>
      <c r="DKU52" s="76"/>
      <c r="DKV52" s="76"/>
      <c r="DKW52" s="76"/>
      <c r="DKX52" s="76"/>
      <c r="DKY52" s="76"/>
      <c r="DKZ52" s="76"/>
      <c r="DLA52" s="76"/>
      <c r="DLB52" s="76"/>
      <c r="DLC52" s="76"/>
      <c r="DLD52" s="76"/>
      <c r="DLE52" s="76"/>
      <c r="DLF52" s="76"/>
      <c r="DLG52" s="76"/>
      <c r="DLH52" s="76"/>
      <c r="DLI52" s="76"/>
      <c r="DLJ52" s="76"/>
      <c r="DLK52" s="76"/>
      <c r="DLL52" s="76"/>
      <c r="DLM52" s="76"/>
      <c r="DLN52" s="76"/>
      <c r="DLO52" s="76"/>
      <c r="DLP52" s="76"/>
      <c r="DLQ52" s="76"/>
      <c r="DLR52" s="76"/>
      <c r="DLS52" s="76"/>
      <c r="DLT52" s="76"/>
      <c r="DLU52" s="76"/>
      <c r="DLV52" s="76"/>
      <c r="DLW52" s="76"/>
      <c r="DLX52" s="76"/>
      <c r="DLY52" s="76"/>
      <c r="DLZ52" s="76"/>
      <c r="DMA52" s="76"/>
      <c r="DMB52" s="76"/>
      <c r="DMC52" s="76"/>
      <c r="DMD52" s="76"/>
      <c r="DME52" s="76"/>
      <c r="DMF52" s="76"/>
      <c r="DMG52" s="76"/>
      <c r="DMH52" s="76"/>
      <c r="DMI52" s="76"/>
      <c r="DMJ52" s="76"/>
      <c r="DMK52" s="76"/>
      <c r="DML52" s="76"/>
      <c r="DMM52" s="76"/>
      <c r="DMN52" s="76"/>
      <c r="DMO52" s="76"/>
      <c r="DMP52" s="76"/>
      <c r="DMQ52" s="76"/>
      <c r="DMR52" s="76"/>
      <c r="DMS52" s="76"/>
      <c r="DMT52" s="76"/>
      <c r="DMU52" s="76"/>
      <c r="DMV52" s="76"/>
      <c r="DMW52" s="76"/>
      <c r="DMX52" s="76"/>
      <c r="DMY52" s="76"/>
      <c r="DMZ52" s="76"/>
      <c r="DNA52" s="76"/>
      <c r="DNB52" s="76"/>
      <c r="DNC52" s="76"/>
      <c r="DND52" s="76"/>
      <c r="DNE52" s="76"/>
      <c r="DNF52" s="76"/>
      <c r="DNG52" s="76"/>
      <c r="DNH52" s="76"/>
      <c r="DNI52" s="76"/>
      <c r="DNJ52" s="76"/>
      <c r="DNK52" s="76"/>
      <c r="DNL52" s="76"/>
      <c r="DNM52" s="76"/>
      <c r="DNN52" s="76"/>
      <c r="DNO52" s="76"/>
      <c r="DNP52" s="76"/>
      <c r="DNQ52" s="76"/>
      <c r="DNR52" s="76"/>
      <c r="DNS52" s="76"/>
      <c r="DNT52" s="76"/>
      <c r="DNU52" s="76"/>
      <c r="DNV52" s="76"/>
      <c r="DNW52" s="76"/>
      <c r="DNX52" s="76"/>
      <c r="DNY52" s="76"/>
      <c r="DNZ52" s="76"/>
      <c r="DOA52" s="76"/>
      <c r="DOB52" s="76"/>
      <c r="DOC52" s="76"/>
      <c r="DOD52" s="76"/>
      <c r="DOE52" s="76"/>
      <c r="DOF52" s="76"/>
      <c r="DOG52" s="76"/>
      <c r="DOH52" s="76"/>
      <c r="DOI52" s="76"/>
      <c r="DOJ52" s="76"/>
      <c r="DOK52" s="76"/>
      <c r="DOL52" s="76"/>
      <c r="DOM52" s="76"/>
      <c r="DON52" s="76"/>
      <c r="DOO52" s="76"/>
      <c r="DOP52" s="76"/>
      <c r="DOQ52" s="76"/>
      <c r="DOR52" s="76"/>
      <c r="DOS52" s="76"/>
      <c r="DOT52" s="76"/>
      <c r="DOU52" s="76"/>
      <c r="DOV52" s="76"/>
      <c r="DOW52" s="76"/>
      <c r="DOX52" s="76"/>
      <c r="DOY52" s="76"/>
      <c r="DOZ52" s="76"/>
      <c r="DPA52" s="76"/>
      <c r="DPB52" s="76"/>
      <c r="DPC52" s="76"/>
      <c r="DPD52" s="76"/>
      <c r="DPE52" s="76"/>
      <c r="DPF52" s="76"/>
      <c r="DPG52" s="76"/>
      <c r="DPH52" s="76"/>
      <c r="DPI52" s="76"/>
      <c r="DPJ52" s="76"/>
      <c r="DPK52" s="76"/>
      <c r="DPL52" s="76"/>
      <c r="DPM52" s="76"/>
      <c r="DPN52" s="76"/>
      <c r="DPO52" s="76"/>
      <c r="DPP52" s="76"/>
      <c r="DPQ52" s="76"/>
      <c r="DPR52" s="76"/>
      <c r="DPS52" s="76"/>
      <c r="DPT52" s="76"/>
      <c r="DPU52" s="76"/>
      <c r="DPV52" s="76"/>
      <c r="DPW52" s="76"/>
      <c r="DPX52" s="76"/>
      <c r="DPY52" s="76"/>
      <c r="DPZ52" s="76"/>
      <c r="DQA52" s="76"/>
      <c r="DQB52" s="76"/>
      <c r="DQC52" s="76"/>
      <c r="DQD52" s="76"/>
      <c r="DQE52" s="76"/>
      <c r="DQF52" s="76"/>
      <c r="DQG52" s="76"/>
      <c r="DQH52" s="76"/>
      <c r="DQI52" s="76"/>
      <c r="DQJ52" s="76"/>
      <c r="DQK52" s="76"/>
      <c r="DQL52" s="76"/>
      <c r="DQM52" s="76"/>
      <c r="DQN52" s="76"/>
      <c r="DQO52" s="76"/>
      <c r="DQP52" s="76"/>
      <c r="DQQ52" s="76"/>
      <c r="DQR52" s="76"/>
      <c r="DQS52" s="76"/>
      <c r="DQT52" s="76"/>
      <c r="DQU52" s="76"/>
      <c r="DQV52" s="76"/>
      <c r="DQW52" s="76"/>
      <c r="DQX52" s="76"/>
      <c r="DQY52" s="76"/>
      <c r="DQZ52" s="76"/>
      <c r="DRA52" s="76"/>
      <c r="DRB52" s="76"/>
      <c r="DRC52" s="76"/>
      <c r="DRD52" s="76"/>
      <c r="DRE52" s="76"/>
      <c r="DRF52" s="76"/>
      <c r="DRG52" s="76"/>
      <c r="DRH52" s="76"/>
      <c r="DRI52" s="76"/>
      <c r="DRJ52" s="76"/>
      <c r="DRK52" s="76"/>
      <c r="DRL52" s="76"/>
      <c r="DRM52" s="76"/>
      <c r="DRN52" s="76"/>
      <c r="DRO52" s="76"/>
      <c r="DRP52" s="76"/>
      <c r="DRQ52" s="76"/>
      <c r="DRR52" s="76"/>
      <c r="DRS52" s="76"/>
      <c r="DRT52" s="76"/>
      <c r="DRU52" s="76"/>
      <c r="DRV52" s="76"/>
      <c r="DRW52" s="76"/>
      <c r="DRX52" s="76"/>
      <c r="DRY52" s="76"/>
      <c r="DRZ52" s="76"/>
      <c r="DSA52" s="76"/>
      <c r="DSB52" s="76"/>
      <c r="DSC52" s="76"/>
      <c r="DSD52" s="76"/>
      <c r="DSE52" s="76"/>
      <c r="DSF52" s="76"/>
      <c r="DSG52" s="76"/>
      <c r="DSH52" s="76"/>
      <c r="DSI52" s="76"/>
      <c r="DSJ52" s="76"/>
      <c r="DSK52" s="76"/>
      <c r="DSL52" s="76"/>
      <c r="DSM52" s="76"/>
      <c r="DSN52" s="76"/>
      <c r="DSO52" s="76"/>
      <c r="DSP52" s="76"/>
      <c r="DSQ52" s="76"/>
      <c r="DSR52" s="76"/>
      <c r="DSS52" s="76"/>
      <c r="DST52" s="76"/>
      <c r="DSU52" s="76"/>
      <c r="DSV52" s="76"/>
      <c r="DSW52" s="76"/>
      <c r="DSX52" s="76"/>
      <c r="DSY52" s="76"/>
      <c r="DSZ52" s="76"/>
      <c r="DTA52" s="76"/>
      <c r="DTB52" s="76"/>
      <c r="DTC52" s="76"/>
      <c r="DTD52" s="76"/>
      <c r="DTE52" s="76"/>
      <c r="DTF52" s="76"/>
      <c r="DTG52" s="76"/>
      <c r="DTH52" s="76"/>
      <c r="DTI52" s="76"/>
      <c r="DTJ52" s="76"/>
      <c r="DTK52" s="76"/>
      <c r="DTL52" s="76"/>
      <c r="DTM52" s="76"/>
      <c r="DTN52" s="76"/>
      <c r="DTO52" s="76"/>
      <c r="DTP52" s="76"/>
      <c r="DTQ52" s="76"/>
      <c r="DTR52" s="76"/>
      <c r="DTS52" s="76"/>
      <c r="DTT52" s="76"/>
      <c r="DTU52" s="76"/>
      <c r="DTV52" s="76"/>
      <c r="DTW52" s="76"/>
      <c r="DTX52" s="76"/>
      <c r="DTY52" s="76"/>
      <c r="DTZ52" s="76"/>
      <c r="DUA52" s="76"/>
      <c r="DUB52" s="76"/>
      <c r="DUC52" s="76"/>
      <c r="DUD52" s="76"/>
      <c r="DUE52" s="76"/>
      <c r="DUF52" s="76"/>
      <c r="DUG52" s="76"/>
      <c r="DUH52" s="76"/>
      <c r="DUI52" s="76"/>
      <c r="DUJ52" s="76"/>
      <c r="DUK52" s="76"/>
      <c r="DUL52" s="76"/>
      <c r="DUM52" s="76"/>
      <c r="DUN52" s="76"/>
      <c r="DUO52" s="76"/>
      <c r="DUP52" s="76"/>
      <c r="DUQ52" s="76"/>
      <c r="DUR52" s="76"/>
      <c r="DUS52" s="76"/>
      <c r="DUT52" s="76"/>
      <c r="DUU52" s="76"/>
      <c r="DUV52" s="76"/>
      <c r="DUW52" s="76"/>
      <c r="DUX52" s="76"/>
      <c r="DUY52" s="76"/>
      <c r="DUZ52" s="76"/>
      <c r="DVA52" s="76"/>
      <c r="DVB52" s="76"/>
      <c r="DVC52" s="76"/>
      <c r="DVD52" s="76"/>
      <c r="DVE52" s="76"/>
      <c r="DVF52" s="76"/>
      <c r="DVG52" s="76"/>
      <c r="DVH52" s="76"/>
      <c r="DVI52" s="76"/>
      <c r="DVJ52" s="76"/>
      <c r="DVK52" s="76"/>
      <c r="DVL52" s="76"/>
      <c r="DVM52" s="76"/>
      <c r="DVN52" s="76"/>
      <c r="DVO52" s="76"/>
      <c r="DVP52" s="76"/>
      <c r="DVQ52" s="76"/>
      <c r="DVR52" s="76"/>
      <c r="DVS52" s="76"/>
      <c r="DVT52" s="76"/>
      <c r="DVU52" s="76"/>
      <c r="DVV52" s="76"/>
      <c r="DVW52" s="76"/>
      <c r="DVX52" s="76"/>
      <c r="DVY52" s="76"/>
      <c r="DVZ52" s="76"/>
      <c r="DWA52" s="76"/>
      <c r="DWB52" s="76"/>
      <c r="DWC52" s="76"/>
      <c r="DWD52" s="76"/>
      <c r="DWE52" s="76"/>
      <c r="DWF52" s="76"/>
      <c r="DWG52" s="76"/>
      <c r="DWH52" s="76"/>
      <c r="DWI52" s="76"/>
      <c r="DWJ52" s="76"/>
      <c r="DWK52" s="76"/>
      <c r="DWL52" s="76"/>
      <c r="DWM52" s="76"/>
      <c r="DWN52" s="76"/>
      <c r="DWO52" s="76"/>
      <c r="DWP52" s="76"/>
      <c r="DWQ52" s="76"/>
      <c r="DWR52" s="76"/>
      <c r="DWS52" s="76"/>
      <c r="DWT52" s="76"/>
      <c r="DWU52" s="76"/>
      <c r="DWV52" s="76"/>
      <c r="DWW52" s="76"/>
      <c r="DWX52" s="76"/>
      <c r="DWY52" s="76"/>
      <c r="DWZ52" s="76"/>
      <c r="DXA52" s="76"/>
      <c r="DXB52" s="76"/>
      <c r="DXC52" s="76"/>
      <c r="DXD52" s="76"/>
      <c r="DXE52" s="76"/>
      <c r="DXF52" s="76"/>
      <c r="DXG52" s="76"/>
      <c r="DXH52" s="76"/>
      <c r="DXI52" s="76"/>
      <c r="DXJ52" s="76"/>
      <c r="DXK52" s="76"/>
      <c r="DXL52" s="76"/>
      <c r="DXM52" s="76"/>
      <c r="DXN52" s="76"/>
      <c r="DXO52" s="76"/>
      <c r="DXP52" s="76"/>
      <c r="DXQ52" s="76"/>
      <c r="DXR52" s="76"/>
      <c r="DXS52" s="76"/>
      <c r="DXT52" s="76"/>
      <c r="DXU52" s="76"/>
      <c r="DXV52" s="76"/>
      <c r="DXW52" s="76"/>
      <c r="DXX52" s="76"/>
      <c r="DXY52" s="76"/>
      <c r="DXZ52" s="76"/>
      <c r="DYA52" s="76"/>
      <c r="DYB52" s="76"/>
      <c r="DYC52" s="76"/>
      <c r="DYD52" s="76"/>
      <c r="DYE52" s="76"/>
      <c r="DYF52" s="76"/>
      <c r="DYG52" s="76"/>
      <c r="DYH52" s="76"/>
      <c r="DYI52" s="76"/>
      <c r="DYJ52" s="76"/>
      <c r="DYK52" s="76"/>
      <c r="DYL52" s="76"/>
      <c r="DYM52" s="76"/>
      <c r="DYN52" s="76"/>
      <c r="DYO52" s="76"/>
      <c r="DYP52" s="76"/>
      <c r="DYQ52" s="76"/>
      <c r="DYR52" s="76"/>
      <c r="DYS52" s="76"/>
      <c r="DYT52" s="76"/>
      <c r="DYU52" s="76"/>
      <c r="DYV52" s="76"/>
      <c r="DYW52" s="76"/>
      <c r="DYX52" s="76"/>
      <c r="DYY52" s="76"/>
      <c r="DYZ52" s="76"/>
      <c r="DZA52" s="76"/>
      <c r="DZB52" s="76"/>
      <c r="DZC52" s="76"/>
      <c r="DZD52" s="76"/>
      <c r="DZE52" s="76"/>
      <c r="DZF52" s="76"/>
      <c r="DZG52" s="76"/>
      <c r="DZH52" s="76"/>
      <c r="DZI52" s="76"/>
      <c r="DZJ52" s="76"/>
      <c r="DZK52" s="76"/>
      <c r="DZL52" s="76"/>
      <c r="DZM52" s="76"/>
      <c r="DZN52" s="76"/>
      <c r="DZO52" s="76"/>
      <c r="DZP52" s="76"/>
      <c r="DZQ52" s="76"/>
      <c r="DZR52" s="76"/>
      <c r="DZS52" s="76"/>
      <c r="DZT52" s="76"/>
      <c r="DZU52" s="76"/>
      <c r="DZV52" s="76"/>
      <c r="DZW52" s="76"/>
      <c r="DZX52" s="76"/>
      <c r="DZY52" s="76"/>
      <c r="DZZ52" s="76"/>
      <c r="EAA52" s="76"/>
      <c r="EAB52" s="76"/>
      <c r="EAC52" s="76"/>
      <c r="EAD52" s="76"/>
      <c r="EAE52" s="76"/>
      <c r="EAF52" s="76"/>
      <c r="EAG52" s="76"/>
      <c r="EAH52" s="76"/>
      <c r="EAI52" s="76"/>
      <c r="EAJ52" s="76"/>
      <c r="EAK52" s="76"/>
      <c r="EAL52" s="76"/>
      <c r="EAM52" s="76"/>
      <c r="EAN52" s="76"/>
      <c r="EAO52" s="76"/>
      <c r="EAP52" s="76"/>
      <c r="EAQ52" s="76"/>
      <c r="EAR52" s="76"/>
      <c r="EAS52" s="76"/>
      <c r="EAT52" s="76"/>
      <c r="EAU52" s="76"/>
      <c r="EAV52" s="76"/>
      <c r="EAW52" s="76"/>
      <c r="EAX52" s="76"/>
      <c r="EAY52" s="76"/>
      <c r="EAZ52" s="76"/>
      <c r="EBA52" s="76"/>
      <c r="EBB52" s="76"/>
      <c r="EBC52" s="76"/>
      <c r="EBD52" s="76"/>
      <c r="EBE52" s="76"/>
      <c r="EBF52" s="76"/>
      <c r="EBG52" s="76"/>
      <c r="EBH52" s="76"/>
      <c r="EBI52" s="76"/>
      <c r="EBJ52" s="76"/>
      <c r="EBK52" s="76"/>
      <c r="EBL52" s="76"/>
      <c r="EBM52" s="76"/>
      <c r="EBN52" s="76"/>
      <c r="EBO52" s="76"/>
      <c r="EBP52" s="76"/>
      <c r="EBQ52" s="76"/>
      <c r="EBR52" s="76"/>
      <c r="EBS52" s="76"/>
      <c r="EBT52" s="76"/>
      <c r="EBU52" s="76"/>
      <c r="EBV52" s="76"/>
      <c r="EBW52" s="76"/>
      <c r="EBX52" s="76"/>
      <c r="EBY52" s="76"/>
      <c r="EBZ52" s="76"/>
      <c r="ECA52" s="76"/>
      <c r="ECB52" s="76"/>
      <c r="ECC52" s="76"/>
      <c r="ECD52" s="76"/>
      <c r="ECE52" s="76"/>
      <c r="ECF52" s="76"/>
      <c r="ECG52" s="76"/>
      <c r="ECH52" s="76"/>
      <c r="ECI52" s="76"/>
      <c r="ECJ52" s="76"/>
      <c r="ECK52" s="76"/>
      <c r="ECL52" s="76"/>
      <c r="ECM52" s="76"/>
      <c r="ECN52" s="76"/>
      <c r="ECO52" s="76"/>
      <c r="ECP52" s="76"/>
      <c r="ECQ52" s="76"/>
      <c r="ECR52" s="76"/>
      <c r="ECS52" s="76"/>
      <c r="ECT52" s="76"/>
      <c r="ECU52" s="76"/>
      <c r="ECV52" s="76"/>
      <c r="ECW52" s="76"/>
      <c r="ECX52" s="76"/>
      <c r="ECY52" s="76"/>
      <c r="ECZ52" s="76"/>
      <c r="EDA52" s="76"/>
      <c r="EDB52" s="76"/>
      <c r="EDC52" s="76"/>
      <c r="EDD52" s="76"/>
      <c r="EDE52" s="76"/>
      <c r="EDF52" s="76"/>
      <c r="EDG52" s="76"/>
      <c r="EDH52" s="76"/>
      <c r="EDI52" s="76"/>
      <c r="EDJ52" s="76"/>
      <c r="EDK52" s="76"/>
      <c r="EDL52" s="76"/>
      <c r="EDM52" s="76"/>
      <c r="EDN52" s="76"/>
      <c r="EDO52" s="76"/>
      <c r="EDP52" s="76"/>
      <c r="EDQ52" s="76"/>
      <c r="EDR52" s="76"/>
      <c r="EDS52" s="76"/>
      <c r="EDT52" s="76"/>
      <c r="EDU52" s="76"/>
      <c r="EDV52" s="76"/>
      <c r="EDW52" s="76"/>
      <c r="EDX52" s="76"/>
      <c r="EDY52" s="76"/>
      <c r="EDZ52" s="76"/>
      <c r="EEA52" s="76"/>
      <c r="EEB52" s="76"/>
      <c r="EEC52" s="76"/>
      <c r="EED52" s="76"/>
      <c r="EEE52" s="76"/>
      <c r="EEF52" s="76"/>
      <c r="EEG52" s="76"/>
      <c r="EEH52" s="76"/>
      <c r="EEI52" s="76"/>
      <c r="EEJ52" s="76"/>
      <c r="EEK52" s="76"/>
      <c r="EEL52" s="76"/>
      <c r="EEM52" s="76"/>
      <c r="EEN52" s="76"/>
      <c r="EEO52" s="76"/>
      <c r="EEP52" s="76"/>
      <c r="EEQ52" s="76"/>
      <c r="EER52" s="76"/>
      <c r="EES52" s="76"/>
      <c r="EET52" s="76"/>
      <c r="EEU52" s="76"/>
      <c r="EEV52" s="76"/>
      <c r="EEW52" s="76"/>
      <c r="EEX52" s="76"/>
      <c r="EEY52" s="76"/>
      <c r="EEZ52" s="76"/>
      <c r="EFA52" s="76"/>
      <c r="EFB52" s="76"/>
      <c r="EFC52" s="76"/>
      <c r="EFD52" s="76"/>
      <c r="EFE52" s="76"/>
      <c r="EFF52" s="76"/>
      <c r="EFG52" s="76"/>
      <c r="EFH52" s="76"/>
      <c r="EFI52" s="76"/>
      <c r="EFJ52" s="76"/>
      <c r="EFK52" s="76"/>
      <c r="EFL52" s="76"/>
      <c r="EFM52" s="76"/>
      <c r="EFN52" s="76"/>
      <c r="EFO52" s="76"/>
      <c r="EFP52" s="76"/>
      <c r="EFQ52" s="76"/>
      <c r="EFR52" s="76"/>
      <c r="EFS52" s="76"/>
      <c r="EFT52" s="76"/>
      <c r="EFU52" s="76"/>
      <c r="EFV52" s="76"/>
      <c r="EFW52" s="76"/>
      <c r="EFX52" s="76"/>
      <c r="EFY52" s="76"/>
      <c r="EFZ52" s="76"/>
      <c r="EGA52" s="76"/>
      <c r="EGB52" s="76"/>
      <c r="EGC52" s="76"/>
      <c r="EGD52" s="76"/>
      <c r="EGE52" s="76"/>
      <c r="EGF52" s="76"/>
      <c r="EGG52" s="76"/>
      <c r="EGH52" s="76"/>
      <c r="EGI52" s="76"/>
      <c r="EGJ52" s="76"/>
      <c r="EGK52" s="76"/>
      <c r="EGL52" s="76"/>
      <c r="EGM52" s="76"/>
      <c r="EGN52" s="76"/>
      <c r="EGO52" s="76"/>
      <c r="EGP52" s="76"/>
      <c r="EGQ52" s="76"/>
      <c r="EGR52" s="76"/>
      <c r="EGS52" s="76"/>
      <c r="EGT52" s="76"/>
      <c r="EGU52" s="76"/>
      <c r="EGV52" s="76"/>
      <c r="EGW52" s="76"/>
      <c r="EGX52" s="76"/>
      <c r="EGY52" s="76"/>
      <c r="EGZ52" s="76"/>
      <c r="EHA52" s="76"/>
      <c r="EHB52" s="76"/>
      <c r="EHC52" s="76"/>
      <c r="EHD52" s="76"/>
      <c r="EHE52" s="76"/>
      <c r="EHF52" s="76"/>
      <c r="EHG52" s="76"/>
      <c r="EHH52" s="76"/>
      <c r="EHI52" s="76"/>
      <c r="EHJ52" s="76"/>
      <c r="EHK52" s="76"/>
      <c r="EHL52" s="76"/>
      <c r="EHM52" s="76"/>
      <c r="EHN52" s="76"/>
      <c r="EHO52" s="76"/>
      <c r="EHP52" s="76"/>
      <c r="EHQ52" s="76"/>
      <c r="EHR52" s="76"/>
      <c r="EHS52" s="76"/>
      <c r="EHT52" s="76"/>
      <c r="EHU52" s="76"/>
      <c r="EHV52" s="76"/>
      <c r="EHW52" s="76"/>
      <c r="EHX52" s="76"/>
      <c r="EHY52" s="76"/>
      <c r="EHZ52" s="76"/>
      <c r="EIA52" s="76"/>
      <c r="EIB52" s="76"/>
      <c r="EIC52" s="76"/>
      <c r="EID52" s="76"/>
      <c r="EIE52" s="76"/>
      <c r="EIF52" s="76"/>
      <c r="EIG52" s="76"/>
      <c r="EIH52" s="76"/>
      <c r="EII52" s="76"/>
      <c r="EIJ52" s="76"/>
      <c r="EIK52" s="76"/>
      <c r="EIL52" s="76"/>
      <c r="EIM52" s="76"/>
      <c r="EIN52" s="76"/>
      <c r="EIO52" s="76"/>
      <c r="EIP52" s="76"/>
      <c r="EIQ52" s="76"/>
      <c r="EIR52" s="76"/>
      <c r="EIS52" s="76"/>
      <c r="EIT52" s="76"/>
      <c r="EIU52" s="76"/>
      <c r="EIV52" s="76"/>
      <c r="EIW52" s="76"/>
      <c r="EIX52" s="76"/>
      <c r="EIY52" s="76"/>
      <c r="EIZ52" s="76"/>
      <c r="EJA52" s="76"/>
      <c r="EJB52" s="76"/>
      <c r="EJC52" s="76"/>
      <c r="EJD52" s="76"/>
      <c r="EJE52" s="76"/>
      <c r="EJF52" s="76"/>
      <c r="EJG52" s="76"/>
      <c r="EJH52" s="76"/>
      <c r="EJI52" s="76"/>
      <c r="EJJ52" s="76"/>
      <c r="EJK52" s="76"/>
      <c r="EJL52" s="76"/>
      <c r="EJM52" s="76"/>
      <c r="EJN52" s="76"/>
      <c r="EJO52" s="76"/>
      <c r="EJP52" s="76"/>
      <c r="EJQ52" s="76"/>
      <c r="EJR52" s="76"/>
      <c r="EJS52" s="76"/>
      <c r="EJT52" s="76"/>
      <c r="EJU52" s="76"/>
      <c r="EJV52" s="76"/>
      <c r="EJW52" s="76"/>
      <c r="EJX52" s="76"/>
      <c r="EJY52" s="76"/>
      <c r="EJZ52" s="76"/>
      <c r="EKA52" s="76"/>
      <c r="EKB52" s="76"/>
      <c r="EKC52" s="76"/>
      <c r="EKD52" s="76"/>
      <c r="EKE52" s="76"/>
      <c r="EKF52" s="76"/>
      <c r="EKG52" s="76"/>
      <c r="EKH52" s="76"/>
      <c r="EKI52" s="76"/>
      <c r="EKJ52" s="76"/>
      <c r="EKK52" s="76"/>
      <c r="EKL52" s="76"/>
      <c r="EKM52" s="76"/>
      <c r="EKN52" s="76"/>
      <c r="EKO52" s="76"/>
      <c r="EKP52" s="76"/>
      <c r="EKQ52" s="76"/>
      <c r="EKR52" s="76"/>
      <c r="EKS52" s="76"/>
      <c r="EKT52" s="76"/>
      <c r="EKU52" s="76"/>
      <c r="EKV52" s="76"/>
      <c r="EKW52" s="76"/>
      <c r="EKX52" s="76"/>
      <c r="EKY52" s="76"/>
      <c r="EKZ52" s="76"/>
      <c r="ELA52" s="76"/>
      <c r="ELB52" s="76"/>
      <c r="ELC52" s="76"/>
      <c r="ELD52" s="76"/>
      <c r="ELE52" s="76"/>
      <c r="ELF52" s="76"/>
      <c r="ELG52" s="76"/>
      <c r="ELH52" s="76"/>
      <c r="ELI52" s="76"/>
      <c r="ELJ52" s="76"/>
      <c r="ELK52" s="76"/>
      <c r="ELL52" s="76"/>
      <c r="ELM52" s="76"/>
      <c r="ELN52" s="76"/>
      <c r="ELO52" s="76"/>
      <c r="ELP52" s="76"/>
      <c r="ELQ52" s="76"/>
      <c r="ELR52" s="76"/>
      <c r="ELS52" s="76"/>
      <c r="ELT52" s="76"/>
      <c r="ELU52" s="76"/>
      <c r="ELV52" s="76"/>
      <c r="ELW52" s="76"/>
      <c r="ELX52" s="76"/>
      <c r="ELY52" s="76"/>
      <c r="ELZ52" s="76"/>
      <c r="EMA52" s="76"/>
      <c r="EMB52" s="76"/>
      <c r="EMC52" s="76"/>
      <c r="EMD52" s="76"/>
      <c r="EME52" s="76"/>
      <c r="EMF52" s="76"/>
      <c r="EMG52" s="76"/>
      <c r="EMH52" s="76"/>
      <c r="EMI52" s="76"/>
      <c r="EMJ52" s="76"/>
      <c r="EMK52" s="76"/>
      <c r="EML52" s="76"/>
      <c r="EMM52" s="76"/>
      <c r="EMN52" s="76"/>
      <c r="EMO52" s="76"/>
      <c r="EMP52" s="76"/>
      <c r="EMQ52" s="76"/>
      <c r="EMR52" s="76"/>
      <c r="EMS52" s="76"/>
      <c r="EMT52" s="76"/>
      <c r="EMU52" s="76"/>
      <c r="EMV52" s="76"/>
      <c r="EMW52" s="76"/>
      <c r="EMX52" s="76"/>
      <c r="EMY52" s="76"/>
      <c r="EMZ52" s="76"/>
      <c r="ENA52" s="76"/>
      <c r="ENB52" s="76"/>
      <c r="ENC52" s="76"/>
      <c r="END52" s="76"/>
      <c r="ENE52" s="76"/>
      <c r="ENF52" s="76"/>
      <c r="ENG52" s="76"/>
      <c r="ENH52" s="76"/>
      <c r="ENI52" s="76"/>
      <c r="ENJ52" s="76"/>
      <c r="ENK52" s="76"/>
      <c r="ENL52" s="76"/>
      <c r="ENM52" s="76"/>
      <c r="ENN52" s="76"/>
      <c r="ENO52" s="76"/>
      <c r="ENP52" s="76"/>
      <c r="ENQ52" s="76"/>
      <c r="ENR52" s="76"/>
      <c r="ENS52" s="76"/>
      <c r="ENT52" s="76"/>
      <c r="ENU52" s="76"/>
      <c r="ENV52" s="76"/>
      <c r="ENW52" s="76"/>
      <c r="ENX52" s="76"/>
      <c r="ENY52" s="76"/>
      <c r="ENZ52" s="76"/>
      <c r="EOA52" s="76"/>
      <c r="EOB52" s="76"/>
      <c r="EOC52" s="76"/>
      <c r="EOD52" s="76"/>
      <c r="EOE52" s="76"/>
      <c r="EOF52" s="76"/>
      <c r="EOG52" s="76"/>
      <c r="EOH52" s="76"/>
      <c r="EOI52" s="76"/>
      <c r="EOJ52" s="76"/>
      <c r="EOK52" s="76"/>
      <c r="EOL52" s="76"/>
      <c r="EOM52" s="76"/>
      <c r="EON52" s="76"/>
      <c r="EOO52" s="76"/>
      <c r="EOP52" s="76"/>
      <c r="EOQ52" s="76"/>
      <c r="EOR52" s="76"/>
      <c r="EOS52" s="76"/>
      <c r="EOT52" s="76"/>
      <c r="EOU52" s="76"/>
      <c r="EOV52" s="76"/>
      <c r="EOW52" s="76"/>
      <c r="EOX52" s="76"/>
      <c r="EOY52" s="76"/>
      <c r="EOZ52" s="76"/>
      <c r="EPA52" s="76"/>
      <c r="EPB52" s="76"/>
      <c r="EPC52" s="76"/>
      <c r="EPD52" s="76"/>
      <c r="EPE52" s="76"/>
      <c r="EPF52" s="76"/>
      <c r="EPG52" s="76"/>
      <c r="EPH52" s="76"/>
      <c r="EPI52" s="76"/>
      <c r="EPJ52" s="76"/>
      <c r="EPK52" s="76"/>
      <c r="EPL52" s="76"/>
      <c r="EPM52" s="76"/>
      <c r="EPN52" s="76"/>
      <c r="EPO52" s="76"/>
      <c r="EPP52" s="76"/>
      <c r="EPQ52" s="76"/>
      <c r="EPR52" s="76"/>
      <c r="EPS52" s="76"/>
      <c r="EPT52" s="76"/>
      <c r="EPU52" s="76"/>
      <c r="EPV52" s="76"/>
      <c r="EPW52" s="76"/>
      <c r="EPX52" s="76"/>
      <c r="EPY52" s="76"/>
      <c r="EPZ52" s="76"/>
      <c r="EQA52" s="76"/>
      <c r="EQB52" s="76"/>
      <c r="EQC52" s="76"/>
      <c r="EQD52" s="76"/>
      <c r="EQE52" s="76"/>
      <c r="EQF52" s="76"/>
      <c r="EQG52" s="76"/>
      <c r="EQH52" s="76"/>
      <c r="EQI52" s="76"/>
      <c r="EQJ52" s="76"/>
      <c r="EQK52" s="76"/>
      <c r="EQL52" s="76"/>
      <c r="EQM52" s="76"/>
      <c r="EQN52" s="76"/>
      <c r="EQO52" s="76"/>
      <c r="EQP52" s="76"/>
      <c r="EQQ52" s="76"/>
      <c r="EQR52" s="76"/>
      <c r="EQS52" s="76"/>
      <c r="EQT52" s="76"/>
      <c r="EQU52" s="76"/>
      <c r="EQV52" s="76"/>
      <c r="EQW52" s="76"/>
      <c r="EQX52" s="76"/>
      <c r="EQY52" s="76"/>
      <c r="EQZ52" s="76"/>
      <c r="ERA52" s="76"/>
      <c r="ERB52" s="76"/>
      <c r="ERC52" s="76"/>
      <c r="ERD52" s="76"/>
      <c r="ERE52" s="76"/>
      <c r="ERF52" s="76"/>
      <c r="ERG52" s="76"/>
      <c r="ERH52" s="76"/>
      <c r="ERI52" s="76"/>
      <c r="ERJ52" s="76"/>
      <c r="ERK52" s="76"/>
      <c r="ERL52" s="76"/>
      <c r="ERM52" s="76"/>
      <c r="ERN52" s="76"/>
      <c r="ERO52" s="76"/>
      <c r="ERP52" s="76"/>
      <c r="ERQ52" s="76"/>
      <c r="ERR52" s="76"/>
      <c r="ERS52" s="76"/>
      <c r="ERT52" s="76"/>
      <c r="ERU52" s="76"/>
      <c r="ERV52" s="76"/>
      <c r="ERW52" s="76"/>
      <c r="ERX52" s="76"/>
      <c r="ERY52" s="76"/>
      <c r="ERZ52" s="76"/>
      <c r="ESA52" s="76"/>
      <c r="ESB52" s="76"/>
      <c r="ESC52" s="76"/>
      <c r="ESD52" s="76"/>
      <c r="ESE52" s="76"/>
      <c r="ESF52" s="76"/>
      <c r="ESG52" s="76"/>
      <c r="ESH52" s="76"/>
      <c r="ESI52" s="76"/>
      <c r="ESJ52" s="76"/>
      <c r="ESK52" s="76"/>
      <c r="ESL52" s="76"/>
      <c r="ESM52" s="76"/>
      <c r="ESN52" s="76"/>
      <c r="ESO52" s="76"/>
      <c r="ESP52" s="76"/>
      <c r="ESQ52" s="76"/>
      <c r="ESR52" s="76"/>
      <c r="ESS52" s="76"/>
      <c r="EST52" s="76"/>
      <c r="ESU52" s="76"/>
      <c r="ESV52" s="76"/>
      <c r="ESW52" s="76"/>
      <c r="ESX52" s="76"/>
      <c r="ESY52" s="76"/>
      <c r="ESZ52" s="76"/>
      <c r="ETA52" s="76"/>
      <c r="ETB52" s="76"/>
      <c r="ETC52" s="76"/>
      <c r="ETD52" s="76"/>
      <c r="ETE52" s="76"/>
      <c r="ETF52" s="76"/>
      <c r="ETG52" s="76"/>
      <c r="ETH52" s="76"/>
      <c r="ETI52" s="76"/>
      <c r="ETJ52" s="76"/>
      <c r="ETK52" s="76"/>
      <c r="ETL52" s="76"/>
      <c r="ETM52" s="76"/>
      <c r="ETN52" s="76"/>
      <c r="ETO52" s="76"/>
      <c r="ETP52" s="76"/>
      <c r="ETQ52" s="76"/>
      <c r="ETR52" s="76"/>
      <c r="ETS52" s="76"/>
      <c r="ETT52" s="76"/>
      <c r="ETU52" s="76"/>
      <c r="ETV52" s="76"/>
      <c r="ETW52" s="76"/>
      <c r="ETX52" s="76"/>
      <c r="ETY52" s="76"/>
      <c r="ETZ52" s="76"/>
      <c r="EUA52" s="76"/>
      <c r="EUB52" s="76"/>
      <c r="EUC52" s="76"/>
      <c r="EUD52" s="76"/>
      <c r="EUE52" s="76"/>
      <c r="EUF52" s="76"/>
      <c r="EUG52" s="76"/>
      <c r="EUH52" s="76"/>
      <c r="EUI52" s="76"/>
      <c r="EUJ52" s="76"/>
      <c r="EUK52" s="76"/>
      <c r="EUL52" s="76"/>
      <c r="EUM52" s="76"/>
      <c r="EUN52" s="76"/>
      <c r="EUO52" s="76"/>
      <c r="EUP52" s="76"/>
      <c r="EUQ52" s="76"/>
      <c r="EUR52" s="76"/>
      <c r="EUS52" s="76"/>
      <c r="EUT52" s="76"/>
      <c r="EUU52" s="76"/>
      <c r="EUV52" s="76"/>
      <c r="EUW52" s="76"/>
      <c r="EUX52" s="76"/>
      <c r="EUY52" s="76"/>
      <c r="EUZ52" s="76"/>
      <c r="EVA52" s="76"/>
      <c r="EVB52" s="76"/>
      <c r="EVC52" s="76"/>
      <c r="EVD52" s="76"/>
      <c r="EVE52" s="76"/>
      <c r="EVF52" s="76"/>
      <c r="EVG52" s="76"/>
      <c r="EVH52" s="76"/>
      <c r="EVI52" s="76"/>
      <c r="EVJ52" s="76"/>
      <c r="EVK52" s="76"/>
      <c r="EVL52" s="76"/>
      <c r="EVM52" s="76"/>
      <c r="EVN52" s="76"/>
      <c r="EVO52" s="76"/>
      <c r="EVP52" s="76"/>
      <c r="EVQ52" s="76"/>
      <c r="EVR52" s="76"/>
      <c r="EVS52" s="76"/>
      <c r="EVT52" s="76"/>
      <c r="EVU52" s="76"/>
      <c r="EVV52" s="76"/>
      <c r="EVW52" s="76"/>
      <c r="EVX52" s="76"/>
      <c r="EVY52" s="76"/>
      <c r="EVZ52" s="76"/>
      <c r="EWA52" s="76"/>
      <c r="EWB52" s="76"/>
      <c r="EWC52" s="76"/>
      <c r="EWD52" s="76"/>
      <c r="EWE52" s="76"/>
      <c r="EWF52" s="76"/>
      <c r="EWG52" s="76"/>
      <c r="EWH52" s="76"/>
      <c r="EWI52" s="76"/>
      <c r="EWJ52" s="76"/>
      <c r="EWK52" s="76"/>
      <c r="EWL52" s="76"/>
      <c r="EWM52" s="76"/>
      <c r="EWN52" s="76"/>
      <c r="EWO52" s="76"/>
      <c r="EWP52" s="76"/>
      <c r="EWQ52" s="76"/>
      <c r="EWR52" s="76"/>
      <c r="EWS52" s="76"/>
      <c r="EWT52" s="76"/>
      <c r="EWU52" s="76"/>
      <c r="EWV52" s="76"/>
      <c r="EWW52" s="76"/>
      <c r="EWX52" s="76"/>
      <c r="EWY52" s="76"/>
      <c r="EWZ52" s="76"/>
      <c r="EXA52" s="76"/>
      <c r="EXB52" s="76"/>
      <c r="EXC52" s="76"/>
      <c r="EXD52" s="76"/>
      <c r="EXE52" s="76"/>
      <c r="EXF52" s="76"/>
      <c r="EXG52" s="76"/>
      <c r="EXH52" s="76"/>
      <c r="EXI52" s="76"/>
      <c r="EXJ52" s="76"/>
      <c r="EXK52" s="76"/>
      <c r="EXL52" s="76"/>
      <c r="EXM52" s="76"/>
      <c r="EXN52" s="76"/>
      <c r="EXO52" s="76"/>
      <c r="EXP52" s="76"/>
      <c r="EXQ52" s="76"/>
      <c r="EXR52" s="76"/>
      <c r="EXS52" s="76"/>
      <c r="EXT52" s="76"/>
      <c r="EXU52" s="76"/>
      <c r="EXV52" s="76"/>
      <c r="EXW52" s="76"/>
      <c r="EXX52" s="76"/>
      <c r="EXY52" s="76"/>
      <c r="EXZ52" s="76"/>
      <c r="EYA52" s="76"/>
      <c r="EYB52" s="76"/>
      <c r="EYC52" s="76"/>
      <c r="EYD52" s="76"/>
      <c r="EYE52" s="76"/>
      <c r="EYF52" s="76"/>
      <c r="EYG52" s="76"/>
      <c r="EYH52" s="76"/>
      <c r="EYI52" s="76"/>
      <c r="EYJ52" s="76"/>
      <c r="EYK52" s="76"/>
      <c r="EYL52" s="76"/>
      <c r="EYM52" s="76"/>
      <c r="EYN52" s="76"/>
      <c r="EYO52" s="76"/>
      <c r="EYP52" s="76"/>
      <c r="EYQ52" s="76"/>
      <c r="EYR52" s="76"/>
      <c r="EYS52" s="76"/>
      <c r="EYT52" s="76"/>
      <c r="EYU52" s="76"/>
      <c r="EYV52" s="76"/>
      <c r="EYW52" s="76"/>
      <c r="EYX52" s="76"/>
      <c r="EYY52" s="76"/>
      <c r="EYZ52" s="76"/>
      <c r="EZA52" s="76"/>
      <c r="EZB52" s="76"/>
      <c r="EZC52" s="76"/>
      <c r="EZD52" s="76"/>
      <c r="EZE52" s="76"/>
      <c r="EZF52" s="76"/>
      <c r="EZG52" s="76"/>
      <c r="EZH52" s="76"/>
      <c r="EZI52" s="76"/>
      <c r="EZJ52" s="76"/>
      <c r="EZK52" s="76"/>
      <c r="EZL52" s="76"/>
      <c r="EZM52" s="76"/>
      <c r="EZN52" s="76"/>
      <c r="EZO52" s="76"/>
      <c r="EZP52" s="76"/>
      <c r="EZQ52" s="76"/>
      <c r="EZR52" s="76"/>
      <c r="EZS52" s="76"/>
      <c r="EZT52" s="76"/>
      <c r="EZU52" s="76"/>
      <c r="EZV52" s="76"/>
      <c r="EZW52" s="76"/>
      <c r="EZX52" s="76"/>
      <c r="EZY52" s="76"/>
      <c r="EZZ52" s="76"/>
      <c r="FAA52" s="76"/>
      <c r="FAB52" s="76"/>
      <c r="FAC52" s="76"/>
      <c r="FAD52" s="76"/>
      <c r="FAE52" s="76"/>
      <c r="FAF52" s="76"/>
      <c r="FAG52" s="76"/>
      <c r="FAH52" s="76"/>
      <c r="FAI52" s="76"/>
      <c r="FAJ52" s="76"/>
      <c r="FAK52" s="76"/>
      <c r="FAL52" s="76"/>
      <c r="FAM52" s="76"/>
      <c r="FAN52" s="76"/>
      <c r="FAO52" s="76"/>
      <c r="FAP52" s="76"/>
      <c r="FAQ52" s="76"/>
      <c r="FAR52" s="76"/>
      <c r="FAS52" s="76"/>
      <c r="FAT52" s="76"/>
      <c r="FAU52" s="76"/>
      <c r="FAV52" s="76"/>
      <c r="FAW52" s="76"/>
      <c r="FAX52" s="76"/>
      <c r="FAY52" s="76"/>
      <c r="FAZ52" s="76"/>
      <c r="FBA52" s="76"/>
      <c r="FBB52" s="76"/>
      <c r="FBC52" s="76"/>
      <c r="FBD52" s="76"/>
      <c r="FBE52" s="76"/>
      <c r="FBF52" s="76"/>
      <c r="FBG52" s="76"/>
      <c r="FBH52" s="76"/>
      <c r="FBI52" s="76"/>
      <c r="FBJ52" s="76"/>
      <c r="FBK52" s="76"/>
      <c r="FBL52" s="76"/>
      <c r="FBM52" s="76"/>
      <c r="FBN52" s="76"/>
      <c r="FBO52" s="76"/>
      <c r="FBP52" s="76"/>
      <c r="FBQ52" s="76"/>
      <c r="FBR52" s="76"/>
      <c r="FBS52" s="76"/>
      <c r="FBT52" s="76"/>
      <c r="FBU52" s="76"/>
      <c r="FBV52" s="76"/>
      <c r="FBW52" s="76"/>
      <c r="FBX52" s="76"/>
      <c r="FBY52" s="76"/>
      <c r="FBZ52" s="76"/>
      <c r="FCA52" s="76"/>
      <c r="FCB52" s="76"/>
      <c r="FCC52" s="76"/>
      <c r="FCD52" s="76"/>
      <c r="FCE52" s="76"/>
      <c r="FCF52" s="76"/>
      <c r="FCG52" s="76"/>
      <c r="FCH52" s="76"/>
      <c r="FCI52" s="76"/>
      <c r="FCJ52" s="76"/>
      <c r="FCK52" s="76"/>
      <c r="FCL52" s="76"/>
      <c r="FCM52" s="76"/>
      <c r="FCN52" s="76"/>
      <c r="FCO52" s="76"/>
      <c r="FCP52" s="76"/>
      <c r="FCQ52" s="76"/>
      <c r="FCR52" s="76"/>
      <c r="FCS52" s="76"/>
      <c r="FCT52" s="76"/>
      <c r="FCU52" s="76"/>
      <c r="FCV52" s="76"/>
      <c r="FCW52" s="76"/>
      <c r="FCX52" s="76"/>
      <c r="FCY52" s="76"/>
      <c r="FCZ52" s="76"/>
      <c r="FDA52" s="76"/>
      <c r="FDB52" s="76"/>
      <c r="FDC52" s="76"/>
      <c r="FDD52" s="76"/>
      <c r="FDE52" s="76"/>
      <c r="FDF52" s="76"/>
      <c r="FDG52" s="76"/>
      <c r="FDH52" s="76"/>
      <c r="FDI52" s="76"/>
      <c r="FDJ52" s="76"/>
      <c r="FDK52" s="76"/>
      <c r="FDL52" s="76"/>
      <c r="FDM52" s="76"/>
      <c r="FDN52" s="76"/>
      <c r="FDO52" s="76"/>
      <c r="FDP52" s="76"/>
      <c r="FDQ52" s="76"/>
      <c r="FDR52" s="76"/>
      <c r="FDS52" s="76"/>
      <c r="FDT52" s="76"/>
      <c r="FDU52" s="76"/>
      <c r="FDV52" s="76"/>
      <c r="FDW52" s="76"/>
      <c r="FDX52" s="76"/>
      <c r="FDY52" s="76"/>
      <c r="FDZ52" s="76"/>
      <c r="FEA52" s="76"/>
      <c r="FEB52" s="76"/>
      <c r="FEC52" s="76"/>
      <c r="FED52" s="76"/>
      <c r="FEE52" s="76"/>
      <c r="FEF52" s="76"/>
      <c r="FEG52" s="76"/>
      <c r="FEH52" s="76"/>
      <c r="FEI52" s="76"/>
      <c r="FEJ52" s="76"/>
      <c r="FEK52" s="76"/>
      <c r="FEL52" s="76"/>
      <c r="FEM52" s="76"/>
      <c r="FEN52" s="76"/>
      <c r="FEO52" s="76"/>
      <c r="FEP52" s="76"/>
      <c r="FEQ52" s="76"/>
      <c r="FER52" s="76"/>
      <c r="FES52" s="76"/>
      <c r="FET52" s="76"/>
      <c r="FEU52" s="76"/>
      <c r="FEV52" s="76"/>
      <c r="FEW52" s="76"/>
      <c r="FEX52" s="76"/>
      <c r="FEY52" s="76"/>
      <c r="FEZ52" s="76"/>
      <c r="FFA52" s="76"/>
      <c r="FFB52" s="76"/>
      <c r="FFC52" s="76"/>
      <c r="FFD52" s="76"/>
      <c r="FFE52" s="76"/>
      <c r="FFF52" s="76"/>
      <c r="FFG52" s="76"/>
      <c r="FFH52" s="76"/>
      <c r="FFI52" s="76"/>
      <c r="FFJ52" s="76"/>
      <c r="FFK52" s="76"/>
      <c r="FFL52" s="76"/>
      <c r="FFM52" s="76"/>
      <c r="FFN52" s="76"/>
      <c r="FFO52" s="76"/>
      <c r="FFP52" s="76"/>
      <c r="FFQ52" s="76"/>
      <c r="FFR52" s="76"/>
      <c r="FFS52" s="76"/>
      <c r="FFT52" s="76"/>
      <c r="FFU52" s="76"/>
      <c r="FFV52" s="76"/>
      <c r="FFW52" s="76"/>
      <c r="FFX52" s="76"/>
      <c r="FFY52" s="76"/>
      <c r="FFZ52" s="76"/>
      <c r="FGA52" s="76"/>
      <c r="FGB52" s="76"/>
      <c r="FGC52" s="76"/>
      <c r="FGD52" s="76"/>
      <c r="FGE52" s="76"/>
      <c r="FGF52" s="76"/>
      <c r="FGG52" s="76"/>
      <c r="FGH52" s="76"/>
      <c r="FGI52" s="76"/>
      <c r="FGJ52" s="76"/>
      <c r="FGK52" s="76"/>
      <c r="FGL52" s="76"/>
      <c r="FGM52" s="76"/>
      <c r="FGN52" s="76"/>
      <c r="FGO52" s="76"/>
      <c r="FGP52" s="76"/>
      <c r="FGQ52" s="76"/>
      <c r="FGR52" s="76"/>
      <c r="FGS52" s="76"/>
      <c r="FGT52" s="76"/>
      <c r="FGU52" s="76"/>
      <c r="FGV52" s="76"/>
      <c r="FGW52" s="76"/>
      <c r="FGX52" s="76"/>
      <c r="FGY52" s="76"/>
      <c r="FGZ52" s="76"/>
      <c r="FHA52" s="76"/>
      <c r="FHB52" s="76"/>
      <c r="FHC52" s="76"/>
      <c r="FHD52" s="76"/>
      <c r="FHE52" s="76"/>
      <c r="FHF52" s="76"/>
      <c r="FHG52" s="76"/>
      <c r="FHH52" s="76"/>
      <c r="FHI52" s="76"/>
      <c r="FHJ52" s="76"/>
      <c r="FHK52" s="76"/>
      <c r="FHL52" s="76"/>
      <c r="FHM52" s="76"/>
      <c r="FHN52" s="76"/>
      <c r="FHO52" s="76"/>
      <c r="FHP52" s="76"/>
      <c r="FHQ52" s="76"/>
      <c r="FHR52" s="76"/>
      <c r="FHS52" s="76"/>
      <c r="FHT52" s="76"/>
      <c r="FHU52" s="76"/>
      <c r="FHV52" s="76"/>
      <c r="FHW52" s="76"/>
      <c r="FHX52" s="76"/>
      <c r="FHY52" s="76"/>
      <c r="FHZ52" s="76"/>
      <c r="FIA52" s="76"/>
      <c r="FIB52" s="76"/>
      <c r="FIC52" s="76"/>
      <c r="FID52" s="76"/>
      <c r="FIE52" s="76"/>
      <c r="FIF52" s="76"/>
      <c r="FIG52" s="76"/>
      <c r="FIH52" s="76"/>
      <c r="FII52" s="76"/>
      <c r="FIJ52" s="76"/>
      <c r="FIK52" s="76"/>
      <c r="FIL52" s="76"/>
      <c r="FIM52" s="76"/>
      <c r="FIN52" s="76"/>
      <c r="FIO52" s="76"/>
      <c r="FIP52" s="76"/>
      <c r="FIQ52" s="76"/>
      <c r="FIR52" s="76"/>
      <c r="FIS52" s="76"/>
      <c r="FIT52" s="76"/>
      <c r="FIU52" s="76"/>
      <c r="FIV52" s="76"/>
      <c r="FIW52" s="76"/>
      <c r="FIX52" s="76"/>
      <c r="FIY52" s="76"/>
      <c r="FIZ52" s="76"/>
      <c r="FJA52" s="76"/>
      <c r="FJB52" s="76"/>
      <c r="FJC52" s="76"/>
      <c r="FJD52" s="76"/>
      <c r="FJE52" s="76"/>
      <c r="FJF52" s="76"/>
      <c r="FJG52" s="76"/>
      <c r="FJH52" s="76"/>
      <c r="FJI52" s="76"/>
      <c r="FJJ52" s="76"/>
      <c r="FJK52" s="76"/>
      <c r="FJL52" s="76"/>
      <c r="FJM52" s="76"/>
      <c r="FJN52" s="76"/>
      <c r="FJO52" s="76"/>
      <c r="FJP52" s="76"/>
      <c r="FJQ52" s="76"/>
      <c r="FJR52" s="76"/>
      <c r="FJS52" s="76"/>
      <c r="FJT52" s="76"/>
      <c r="FJU52" s="76"/>
      <c r="FJV52" s="76"/>
      <c r="FJW52" s="76"/>
      <c r="FJX52" s="76"/>
      <c r="FJY52" s="76"/>
      <c r="FJZ52" s="76"/>
      <c r="FKA52" s="76"/>
      <c r="FKB52" s="76"/>
      <c r="FKC52" s="76"/>
      <c r="FKD52" s="76"/>
      <c r="FKE52" s="76"/>
      <c r="FKF52" s="76"/>
      <c r="FKG52" s="76"/>
      <c r="FKH52" s="76"/>
      <c r="FKI52" s="76"/>
      <c r="FKJ52" s="76"/>
      <c r="FKK52" s="76"/>
      <c r="FKL52" s="76"/>
      <c r="FKM52" s="76"/>
      <c r="FKN52" s="76"/>
      <c r="FKO52" s="76"/>
      <c r="FKP52" s="76"/>
      <c r="FKQ52" s="76"/>
      <c r="FKR52" s="76"/>
      <c r="FKS52" s="76"/>
      <c r="FKT52" s="76"/>
      <c r="FKU52" s="76"/>
      <c r="FKV52" s="76"/>
      <c r="FKW52" s="76"/>
      <c r="FKX52" s="76"/>
      <c r="FKY52" s="76"/>
      <c r="FKZ52" s="76"/>
      <c r="FLA52" s="76"/>
      <c r="FLB52" s="76"/>
      <c r="FLC52" s="76"/>
      <c r="FLD52" s="76"/>
      <c r="FLE52" s="76"/>
      <c r="FLF52" s="76"/>
      <c r="FLG52" s="76"/>
      <c r="FLH52" s="76"/>
      <c r="FLI52" s="76"/>
      <c r="FLJ52" s="76"/>
      <c r="FLK52" s="76"/>
      <c r="FLL52" s="76"/>
      <c r="FLM52" s="76"/>
      <c r="FLN52" s="76"/>
      <c r="FLO52" s="76"/>
      <c r="FLP52" s="76"/>
      <c r="FLQ52" s="76"/>
      <c r="FLR52" s="76"/>
      <c r="FLS52" s="76"/>
      <c r="FLT52" s="76"/>
      <c r="FLU52" s="76"/>
      <c r="FLV52" s="76"/>
      <c r="FLW52" s="76"/>
      <c r="FLX52" s="76"/>
      <c r="FLY52" s="76"/>
      <c r="FLZ52" s="76"/>
      <c r="FMA52" s="76"/>
      <c r="FMB52" s="76"/>
      <c r="FMC52" s="76"/>
      <c r="FMD52" s="76"/>
      <c r="FME52" s="76"/>
      <c r="FMF52" s="76"/>
      <c r="FMG52" s="76"/>
      <c r="FMH52" s="76"/>
      <c r="FMI52" s="76"/>
      <c r="FMJ52" s="76"/>
      <c r="FMK52" s="76"/>
      <c r="FML52" s="76"/>
      <c r="FMM52" s="76"/>
      <c r="FMN52" s="76"/>
      <c r="FMO52" s="76"/>
      <c r="FMP52" s="76"/>
      <c r="FMQ52" s="76"/>
      <c r="FMR52" s="76"/>
      <c r="FMS52" s="76"/>
      <c r="FMT52" s="76"/>
      <c r="FMU52" s="76"/>
      <c r="FMV52" s="76"/>
      <c r="FMW52" s="76"/>
      <c r="FMX52" s="76"/>
      <c r="FMY52" s="76"/>
      <c r="FMZ52" s="76"/>
      <c r="FNA52" s="76"/>
      <c r="FNB52" s="76"/>
      <c r="FNC52" s="76"/>
      <c r="FND52" s="76"/>
      <c r="FNE52" s="76"/>
      <c r="FNF52" s="76"/>
      <c r="FNG52" s="76"/>
      <c r="FNH52" s="76"/>
      <c r="FNI52" s="76"/>
      <c r="FNJ52" s="76"/>
      <c r="FNK52" s="76"/>
      <c r="FNL52" s="76"/>
      <c r="FNM52" s="76"/>
      <c r="FNN52" s="76"/>
      <c r="FNO52" s="76"/>
      <c r="FNP52" s="76"/>
      <c r="FNQ52" s="76"/>
      <c r="FNR52" s="76"/>
      <c r="FNS52" s="76"/>
      <c r="FNT52" s="76"/>
      <c r="FNU52" s="76"/>
      <c r="FNV52" s="76"/>
      <c r="FNW52" s="76"/>
      <c r="FNX52" s="76"/>
      <c r="FNY52" s="76"/>
      <c r="FNZ52" s="76"/>
      <c r="FOA52" s="76"/>
      <c r="FOB52" s="76"/>
      <c r="FOC52" s="76"/>
      <c r="FOD52" s="76"/>
      <c r="FOE52" s="76"/>
      <c r="FOF52" s="76"/>
      <c r="FOG52" s="76"/>
      <c r="FOH52" s="76"/>
      <c r="FOI52" s="76"/>
      <c r="FOJ52" s="76"/>
      <c r="FOK52" s="76"/>
      <c r="FOL52" s="76"/>
      <c r="FOM52" s="76"/>
      <c r="FON52" s="76"/>
      <c r="FOO52" s="76"/>
      <c r="FOP52" s="76"/>
      <c r="FOQ52" s="76"/>
      <c r="FOR52" s="76"/>
      <c r="FOS52" s="76"/>
      <c r="FOT52" s="76"/>
      <c r="FOU52" s="76"/>
      <c r="FOV52" s="76"/>
      <c r="FOW52" s="76"/>
      <c r="FOX52" s="76"/>
      <c r="FOY52" s="76"/>
      <c r="FOZ52" s="76"/>
      <c r="FPA52" s="76"/>
      <c r="FPB52" s="76"/>
      <c r="FPC52" s="76"/>
      <c r="FPD52" s="76"/>
      <c r="FPE52" s="76"/>
      <c r="FPF52" s="76"/>
      <c r="FPG52" s="76"/>
      <c r="FPH52" s="76"/>
      <c r="FPI52" s="76"/>
      <c r="FPJ52" s="76"/>
      <c r="FPK52" s="76"/>
      <c r="FPL52" s="76"/>
      <c r="FPM52" s="76"/>
      <c r="FPN52" s="76"/>
      <c r="FPO52" s="76"/>
      <c r="FPP52" s="76"/>
      <c r="FPQ52" s="76"/>
      <c r="FPR52" s="76"/>
      <c r="FPS52" s="76"/>
      <c r="FPT52" s="76"/>
      <c r="FPU52" s="76"/>
      <c r="FPV52" s="76"/>
      <c r="FPW52" s="76"/>
      <c r="FPX52" s="76"/>
      <c r="FPY52" s="76"/>
      <c r="FPZ52" s="76"/>
      <c r="FQA52" s="76"/>
      <c r="FQB52" s="76"/>
      <c r="FQC52" s="76"/>
      <c r="FQD52" s="76"/>
      <c r="FQE52" s="76"/>
      <c r="FQF52" s="76"/>
      <c r="FQG52" s="76"/>
      <c r="FQH52" s="76"/>
      <c r="FQI52" s="76"/>
      <c r="FQJ52" s="76"/>
      <c r="FQK52" s="76"/>
      <c r="FQL52" s="76"/>
      <c r="FQM52" s="76"/>
      <c r="FQN52" s="76"/>
      <c r="FQO52" s="76"/>
      <c r="FQP52" s="76"/>
      <c r="FQQ52" s="76"/>
      <c r="FQR52" s="76"/>
      <c r="FQS52" s="76"/>
      <c r="FQT52" s="76"/>
      <c r="FQU52" s="76"/>
      <c r="FQV52" s="76"/>
      <c r="FQW52" s="76"/>
      <c r="FQX52" s="76"/>
      <c r="FQY52" s="76"/>
      <c r="FQZ52" s="76"/>
      <c r="FRA52" s="76"/>
      <c r="FRB52" s="76"/>
      <c r="FRC52" s="76"/>
      <c r="FRD52" s="76"/>
      <c r="FRE52" s="76"/>
      <c r="FRF52" s="76"/>
      <c r="FRG52" s="76"/>
      <c r="FRH52" s="76"/>
      <c r="FRI52" s="76"/>
      <c r="FRJ52" s="76"/>
      <c r="FRK52" s="76"/>
      <c r="FRL52" s="76"/>
      <c r="FRM52" s="76"/>
      <c r="FRN52" s="76"/>
      <c r="FRO52" s="76"/>
      <c r="FRP52" s="76"/>
      <c r="FRQ52" s="76"/>
      <c r="FRR52" s="76"/>
      <c r="FRS52" s="76"/>
      <c r="FRT52" s="76"/>
      <c r="FRU52" s="76"/>
      <c r="FRV52" s="76"/>
      <c r="FRW52" s="76"/>
      <c r="FRX52" s="76"/>
      <c r="FRY52" s="76"/>
      <c r="FRZ52" s="76"/>
      <c r="FSA52" s="76"/>
      <c r="FSB52" s="76"/>
      <c r="FSC52" s="76"/>
      <c r="FSD52" s="76"/>
      <c r="FSE52" s="76"/>
      <c r="FSF52" s="76"/>
      <c r="FSG52" s="76"/>
      <c r="FSH52" s="76"/>
      <c r="FSI52" s="76"/>
      <c r="FSJ52" s="76"/>
      <c r="FSK52" s="76"/>
      <c r="FSL52" s="76"/>
      <c r="FSM52" s="76"/>
      <c r="FSN52" s="76"/>
      <c r="FSO52" s="76"/>
      <c r="FSP52" s="76"/>
      <c r="FSQ52" s="76"/>
      <c r="FSR52" s="76"/>
      <c r="FSS52" s="76"/>
      <c r="FST52" s="76"/>
      <c r="FSU52" s="76"/>
      <c r="FSV52" s="76"/>
      <c r="FSW52" s="76"/>
      <c r="FSX52" s="76"/>
      <c r="FSY52" s="76"/>
      <c r="FSZ52" s="76"/>
      <c r="FTA52" s="76"/>
      <c r="FTB52" s="76"/>
      <c r="FTC52" s="76"/>
      <c r="FTD52" s="76"/>
      <c r="FTE52" s="76"/>
      <c r="FTF52" s="76"/>
      <c r="FTG52" s="76"/>
      <c r="FTH52" s="76"/>
      <c r="FTI52" s="76"/>
      <c r="FTJ52" s="76"/>
      <c r="FTK52" s="76"/>
      <c r="FTL52" s="76"/>
      <c r="FTM52" s="76"/>
      <c r="FTN52" s="76"/>
      <c r="FTO52" s="76"/>
      <c r="FTP52" s="76"/>
      <c r="FTQ52" s="76"/>
      <c r="FTR52" s="76"/>
      <c r="FTS52" s="76"/>
      <c r="FTT52" s="76"/>
      <c r="FTU52" s="76"/>
      <c r="FTV52" s="76"/>
      <c r="FTW52" s="76"/>
      <c r="FTX52" s="76"/>
      <c r="FTY52" s="76"/>
      <c r="FTZ52" s="76"/>
      <c r="FUA52" s="76"/>
      <c r="FUB52" s="76"/>
      <c r="FUC52" s="76"/>
      <c r="FUD52" s="76"/>
      <c r="FUE52" s="76"/>
      <c r="FUF52" s="76"/>
      <c r="FUG52" s="76"/>
      <c r="FUH52" s="76"/>
      <c r="FUI52" s="76"/>
      <c r="FUJ52" s="76"/>
      <c r="FUK52" s="76"/>
      <c r="FUL52" s="76"/>
      <c r="FUM52" s="76"/>
      <c r="FUN52" s="76"/>
      <c r="FUO52" s="76"/>
      <c r="FUP52" s="76"/>
      <c r="FUQ52" s="76"/>
      <c r="FUR52" s="76"/>
      <c r="FUS52" s="76"/>
      <c r="FUT52" s="76"/>
      <c r="FUU52" s="76"/>
      <c r="FUV52" s="76"/>
      <c r="FUW52" s="76"/>
      <c r="FUX52" s="76"/>
      <c r="FUY52" s="76"/>
      <c r="FUZ52" s="76"/>
      <c r="FVA52" s="76"/>
      <c r="FVB52" s="76"/>
      <c r="FVC52" s="76"/>
      <c r="FVD52" s="76"/>
      <c r="FVE52" s="76"/>
      <c r="FVF52" s="76"/>
      <c r="FVG52" s="76"/>
      <c r="FVH52" s="76"/>
      <c r="FVI52" s="76"/>
      <c r="FVJ52" s="76"/>
      <c r="FVK52" s="76"/>
      <c r="FVL52" s="76"/>
      <c r="FVM52" s="76"/>
      <c r="FVN52" s="76"/>
      <c r="FVO52" s="76"/>
      <c r="FVP52" s="76"/>
      <c r="FVQ52" s="76"/>
      <c r="FVR52" s="76"/>
      <c r="FVS52" s="76"/>
      <c r="FVT52" s="76"/>
      <c r="FVU52" s="76"/>
      <c r="FVV52" s="76"/>
      <c r="FVW52" s="76"/>
      <c r="FVX52" s="76"/>
      <c r="FVY52" s="76"/>
      <c r="FVZ52" s="76"/>
      <c r="FWA52" s="76"/>
      <c r="FWB52" s="76"/>
      <c r="FWC52" s="76"/>
      <c r="FWD52" s="76"/>
      <c r="FWE52" s="76"/>
      <c r="FWF52" s="76"/>
      <c r="FWG52" s="76"/>
      <c r="FWH52" s="76"/>
      <c r="FWI52" s="76"/>
      <c r="FWJ52" s="76"/>
      <c r="FWK52" s="76"/>
      <c r="FWL52" s="76"/>
      <c r="FWM52" s="76"/>
      <c r="FWN52" s="76"/>
      <c r="FWO52" s="76"/>
      <c r="FWP52" s="76"/>
      <c r="FWQ52" s="76"/>
      <c r="FWR52" s="76"/>
      <c r="FWS52" s="76"/>
      <c r="FWT52" s="76"/>
      <c r="FWU52" s="76"/>
      <c r="FWV52" s="76"/>
      <c r="FWW52" s="76"/>
      <c r="FWX52" s="76"/>
      <c r="FWY52" s="76"/>
      <c r="FWZ52" s="76"/>
      <c r="FXA52" s="76"/>
      <c r="FXB52" s="76"/>
      <c r="FXC52" s="76"/>
      <c r="FXD52" s="76"/>
      <c r="FXE52" s="76"/>
      <c r="FXF52" s="76"/>
      <c r="FXG52" s="76"/>
      <c r="FXH52" s="76"/>
      <c r="FXI52" s="76"/>
      <c r="FXJ52" s="76"/>
      <c r="FXK52" s="76"/>
      <c r="FXL52" s="76"/>
      <c r="FXM52" s="76"/>
      <c r="FXN52" s="76"/>
      <c r="FXO52" s="76"/>
      <c r="FXP52" s="76"/>
      <c r="FXQ52" s="76"/>
      <c r="FXR52" s="76"/>
      <c r="FXS52" s="76"/>
      <c r="FXT52" s="76"/>
      <c r="FXU52" s="76"/>
      <c r="FXV52" s="76"/>
      <c r="FXW52" s="76"/>
      <c r="FXX52" s="76"/>
      <c r="FXY52" s="76"/>
      <c r="FXZ52" s="76"/>
      <c r="FYA52" s="76"/>
      <c r="FYB52" s="76"/>
      <c r="FYC52" s="76"/>
      <c r="FYD52" s="76"/>
      <c r="FYE52" s="76"/>
      <c r="FYF52" s="76"/>
      <c r="FYG52" s="76"/>
      <c r="FYH52" s="76"/>
      <c r="FYI52" s="76"/>
      <c r="FYJ52" s="76"/>
      <c r="FYK52" s="76"/>
      <c r="FYL52" s="76"/>
      <c r="FYM52" s="76"/>
      <c r="FYN52" s="76"/>
      <c r="FYO52" s="76"/>
      <c r="FYP52" s="76"/>
      <c r="FYQ52" s="76"/>
      <c r="FYR52" s="76"/>
      <c r="FYS52" s="76"/>
      <c r="FYT52" s="76"/>
      <c r="FYU52" s="76"/>
      <c r="FYV52" s="76"/>
      <c r="FYW52" s="76"/>
      <c r="FYX52" s="76"/>
      <c r="FYY52" s="76"/>
      <c r="FYZ52" s="76"/>
      <c r="FZA52" s="76"/>
      <c r="FZB52" s="76"/>
      <c r="FZC52" s="76"/>
      <c r="FZD52" s="76"/>
      <c r="FZE52" s="76"/>
      <c r="FZF52" s="76"/>
      <c r="FZG52" s="76"/>
      <c r="FZH52" s="76"/>
      <c r="FZI52" s="76"/>
      <c r="FZJ52" s="76"/>
      <c r="FZK52" s="76"/>
      <c r="FZL52" s="76"/>
      <c r="FZM52" s="76"/>
      <c r="FZN52" s="76"/>
      <c r="FZO52" s="76"/>
      <c r="FZP52" s="76"/>
      <c r="FZQ52" s="76"/>
      <c r="FZR52" s="76"/>
      <c r="FZS52" s="76"/>
      <c r="FZT52" s="76"/>
      <c r="FZU52" s="76"/>
      <c r="FZV52" s="76"/>
      <c r="FZW52" s="76"/>
      <c r="FZX52" s="76"/>
      <c r="FZY52" s="76"/>
      <c r="FZZ52" s="76"/>
      <c r="GAA52" s="76"/>
      <c r="GAB52" s="76"/>
      <c r="GAC52" s="76"/>
      <c r="GAD52" s="76"/>
      <c r="GAE52" s="76"/>
      <c r="GAF52" s="76"/>
      <c r="GAG52" s="76"/>
      <c r="GAH52" s="76"/>
      <c r="GAI52" s="76"/>
      <c r="GAJ52" s="76"/>
      <c r="GAK52" s="76"/>
      <c r="GAL52" s="76"/>
      <c r="GAM52" s="76"/>
      <c r="GAN52" s="76"/>
      <c r="GAO52" s="76"/>
      <c r="GAP52" s="76"/>
      <c r="GAQ52" s="76"/>
      <c r="GAR52" s="76"/>
      <c r="GAS52" s="76"/>
      <c r="GAT52" s="76"/>
      <c r="GAU52" s="76"/>
      <c r="GAV52" s="76"/>
      <c r="GAW52" s="76"/>
      <c r="GAX52" s="76"/>
      <c r="GAY52" s="76"/>
      <c r="GAZ52" s="76"/>
      <c r="GBA52" s="76"/>
      <c r="GBB52" s="76"/>
      <c r="GBC52" s="76"/>
      <c r="GBD52" s="76"/>
      <c r="GBE52" s="76"/>
      <c r="GBF52" s="76"/>
      <c r="GBG52" s="76"/>
      <c r="GBH52" s="76"/>
      <c r="GBI52" s="76"/>
      <c r="GBJ52" s="76"/>
      <c r="GBK52" s="76"/>
      <c r="GBL52" s="76"/>
      <c r="GBM52" s="76"/>
      <c r="GBN52" s="76"/>
      <c r="GBO52" s="76"/>
      <c r="GBP52" s="76"/>
      <c r="GBQ52" s="76"/>
      <c r="GBR52" s="76"/>
      <c r="GBS52" s="76"/>
      <c r="GBT52" s="76"/>
      <c r="GBU52" s="76"/>
      <c r="GBV52" s="76"/>
      <c r="GBW52" s="76"/>
      <c r="GBX52" s="76"/>
      <c r="GBY52" s="76"/>
      <c r="GBZ52" s="76"/>
      <c r="GCA52" s="76"/>
      <c r="GCB52" s="76"/>
      <c r="GCC52" s="76"/>
      <c r="GCD52" s="76"/>
      <c r="GCE52" s="76"/>
      <c r="GCF52" s="76"/>
      <c r="GCG52" s="76"/>
      <c r="GCH52" s="76"/>
      <c r="GCI52" s="76"/>
      <c r="GCJ52" s="76"/>
      <c r="GCK52" s="76"/>
      <c r="GCL52" s="76"/>
      <c r="GCM52" s="76"/>
      <c r="GCN52" s="76"/>
      <c r="GCO52" s="76"/>
      <c r="GCP52" s="76"/>
      <c r="GCQ52" s="76"/>
      <c r="GCR52" s="76"/>
      <c r="GCS52" s="76"/>
      <c r="GCT52" s="76"/>
      <c r="GCU52" s="76"/>
      <c r="GCV52" s="76"/>
      <c r="GCW52" s="76"/>
      <c r="GCX52" s="76"/>
      <c r="GCY52" s="76"/>
      <c r="GCZ52" s="76"/>
      <c r="GDA52" s="76"/>
      <c r="GDB52" s="76"/>
      <c r="GDC52" s="76"/>
      <c r="GDD52" s="76"/>
      <c r="GDE52" s="76"/>
      <c r="GDF52" s="76"/>
      <c r="GDG52" s="76"/>
      <c r="GDH52" s="76"/>
      <c r="GDI52" s="76"/>
      <c r="GDJ52" s="76"/>
      <c r="GDK52" s="76"/>
      <c r="GDL52" s="76"/>
      <c r="GDM52" s="76"/>
      <c r="GDN52" s="76"/>
      <c r="GDO52" s="76"/>
      <c r="GDP52" s="76"/>
      <c r="GDQ52" s="76"/>
      <c r="GDR52" s="76"/>
      <c r="GDS52" s="76"/>
      <c r="GDT52" s="76"/>
      <c r="GDU52" s="76"/>
      <c r="GDV52" s="76"/>
      <c r="GDW52" s="76"/>
      <c r="GDX52" s="76"/>
      <c r="GDY52" s="76"/>
      <c r="GDZ52" s="76"/>
      <c r="GEA52" s="76"/>
      <c r="GEB52" s="76"/>
      <c r="GEC52" s="76"/>
      <c r="GED52" s="76"/>
      <c r="GEE52" s="76"/>
      <c r="GEF52" s="76"/>
      <c r="GEG52" s="76"/>
      <c r="GEH52" s="76"/>
      <c r="GEI52" s="76"/>
      <c r="GEJ52" s="76"/>
      <c r="GEK52" s="76"/>
      <c r="GEL52" s="76"/>
      <c r="GEM52" s="76"/>
      <c r="GEN52" s="76"/>
      <c r="GEO52" s="76"/>
      <c r="GEP52" s="76"/>
      <c r="GEQ52" s="76"/>
      <c r="GER52" s="76"/>
      <c r="GES52" s="76"/>
      <c r="GET52" s="76"/>
      <c r="GEU52" s="76"/>
      <c r="GEV52" s="76"/>
      <c r="GEW52" s="76"/>
      <c r="GEX52" s="76"/>
      <c r="GEY52" s="76"/>
      <c r="GEZ52" s="76"/>
      <c r="GFA52" s="76"/>
      <c r="GFB52" s="76"/>
      <c r="GFC52" s="76"/>
      <c r="GFD52" s="76"/>
      <c r="GFE52" s="76"/>
      <c r="GFF52" s="76"/>
      <c r="GFG52" s="76"/>
      <c r="GFH52" s="76"/>
      <c r="GFI52" s="76"/>
      <c r="GFJ52" s="76"/>
      <c r="GFK52" s="76"/>
      <c r="GFL52" s="76"/>
      <c r="GFM52" s="76"/>
      <c r="GFN52" s="76"/>
      <c r="GFO52" s="76"/>
      <c r="GFP52" s="76"/>
      <c r="GFQ52" s="76"/>
      <c r="GFR52" s="76"/>
      <c r="GFS52" s="76"/>
      <c r="GFT52" s="76"/>
      <c r="GFU52" s="76"/>
      <c r="GFV52" s="76"/>
      <c r="GFW52" s="76"/>
      <c r="GFX52" s="76"/>
      <c r="GFY52" s="76"/>
      <c r="GFZ52" s="76"/>
      <c r="GGA52" s="76"/>
      <c r="GGB52" s="76"/>
      <c r="GGC52" s="76"/>
      <c r="GGD52" s="76"/>
      <c r="GGE52" s="76"/>
      <c r="GGF52" s="76"/>
      <c r="GGG52" s="76"/>
      <c r="GGH52" s="76"/>
      <c r="GGI52" s="76"/>
      <c r="GGJ52" s="76"/>
      <c r="GGK52" s="76"/>
      <c r="GGL52" s="76"/>
      <c r="GGM52" s="76"/>
      <c r="GGN52" s="76"/>
      <c r="GGO52" s="76"/>
      <c r="GGP52" s="76"/>
      <c r="GGQ52" s="76"/>
      <c r="GGR52" s="76"/>
      <c r="GGS52" s="76"/>
      <c r="GGT52" s="76"/>
      <c r="GGU52" s="76"/>
      <c r="GGV52" s="76"/>
      <c r="GGW52" s="76"/>
      <c r="GGX52" s="76"/>
      <c r="GGY52" s="76"/>
      <c r="GGZ52" s="76"/>
      <c r="GHA52" s="76"/>
      <c r="GHB52" s="76"/>
      <c r="GHC52" s="76"/>
      <c r="GHD52" s="76"/>
      <c r="GHE52" s="76"/>
      <c r="GHF52" s="76"/>
      <c r="GHG52" s="76"/>
      <c r="GHH52" s="76"/>
      <c r="GHI52" s="76"/>
      <c r="GHJ52" s="76"/>
      <c r="GHK52" s="76"/>
      <c r="GHL52" s="76"/>
      <c r="GHM52" s="76"/>
      <c r="GHN52" s="76"/>
      <c r="GHO52" s="76"/>
      <c r="GHP52" s="76"/>
      <c r="GHQ52" s="76"/>
      <c r="GHR52" s="76"/>
      <c r="GHS52" s="76"/>
      <c r="GHT52" s="76"/>
      <c r="GHU52" s="76"/>
      <c r="GHV52" s="76"/>
      <c r="GHW52" s="76"/>
      <c r="GHX52" s="76"/>
      <c r="GHY52" s="76"/>
      <c r="GHZ52" s="76"/>
      <c r="GIA52" s="76"/>
      <c r="GIB52" s="76"/>
      <c r="GIC52" s="76"/>
      <c r="GID52" s="76"/>
      <c r="GIE52" s="76"/>
      <c r="GIF52" s="76"/>
      <c r="GIG52" s="76"/>
      <c r="GIH52" s="76"/>
      <c r="GII52" s="76"/>
      <c r="GIJ52" s="76"/>
      <c r="GIK52" s="76"/>
      <c r="GIL52" s="76"/>
      <c r="GIM52" s="76"/>
      <c r="GIN52" s="76"/>
      <c r="GIO52" s="76"/>
      <c r="GIP52" s="76"/>
      <c r="GIQ52" s="76"/>
      <c r="GIR52" s="76"/>
      <c r="GIS52" s="76"/>
      <c r="GIT52" s="76"/>
      <c r="GIU52" s="76"/>
      <c r="GIV52" s="76"/>
      <c r="GIW52" s="76"/>
      <c r="GIX52" s="76"/>
      <c r="GIY52" s="76"/>
      <c r="GIZ52" s="76"/>
      <c r="GJA52" s="76"/>
      <c r="GJB52" s="76"/>
      <c r="GJC52" s="76"/>
      <c r="GJD52" s="76"/>
      <c r="GJE52" s="76"/>
      <c r="GJF52" s="76"/>
      <c r="GJG52" s="76"/>
      <c r="GJH52" s="76"/>
      <c r="GJI52" s="76"/>
      <c r="GJJ52" s="76"/>
      <c r="GJK52" s="76"/>
      <c r="GJL52" s="76"/>
      <c r="GJM52" s="76"/>
      <c r="GJN52" s="76"/>
      <c r="GJO52" s="76"/>
      <c r="GJP52" s="76"/>
      <c r="GJQ52" s="76"/>
      <c r="GJR52" s="76"/>
      <c r="GJS52" s="76"/>
      <c r="GJT52" s="76"/>
      <c r="GJU52" s="76"/>
      <c r="GJV52" s="76"/>
      <c r="GJW52" s="76"/>
      <c r="GJX52" s="76"/>
      <c r="GJY52" s="76"/>
      <c r="GJZ52" s="76"/>
      <c r="GKA52" s="76"/>
      <c r="GKB52" s="76"/>
      <c r="GKC52" s="76"/>
      <c r="GKD52" s="76"/>
      <c r="GKE52" s="76"/>
      <c r="GKF52" s="76"/>
      <c r="GKG52" s="76"/>
      <c r="GKH52" s="76"/>
      <c r="GKI52" s="76"/>
      <c r="GKJ52" s="76"/>
      <c r="GKK52" s="76"/>
      <c r="GKL52" s="76"/>
      <c r="GKM52" s="76"/>
      <c r="GKN52" s="76"/>
      <c r="GKO52" s="76"/>
      <c r="GKP52" s="76"/>
      <c r="GKQ52" s="76"/>
      <c r="GKR52" s="76"/>
      <c r="GKS52" s="76"/>
      <c r="GKT52" s="76"/>
      <c r="GKU52" s="76"/>
      <c r="GKV52" s="76"/>
      <c r="GKW52" s="76"/>
      <c r="GKX52" s="76"/>
      <c r="GKY52" s="76"/>
      <c r="GKZ52" s="76"/>
      <c r="GLA52" s="76"/>
      <c r="GLB52" s="76"/>
      <c r="GLC52" s="76"/>
      <c r="GLD52" s="76"/>
      <c r="GLE52" s="76"/>
      <c r="GLF52" s="76"/>
      <c r="GLG52" s="76"/>
      <c r="GLH52" s="76"/>
      <c r="GLI52" s="76"/>
      <c r="GLJ52" s="76"/>
      <c r="GLK52" s="76"/>
      <c r="GLL52" s="76"/>
      <c r="GLM52" s="76"/>
      <c r="GLN52" s="76"/>
      <c r="GLO52" s="76"/>
      <c r="GLP52" s="76"/>
      <c r="GLQ52" s="76"/>
      <c r="GLR52" s="76"/>
      <c r="GLS52" s="76"/>
      <c r="GLT52" s="76"/>
      <c r="GLU52" s="76"/>
      <c r="GLV52" s="76"/>
      <c r="GLW52" s="76"/>
      <c r="GLX52" s="76"/>
      <c r="GLY52" s="76"/>
      <c r="GLZ52" s="76"/>
      <c r="GMA52" s="76"/>
      <c r="GMB52" s="76"/>
      <c r="GMC52" s="76"/>
      <c r="GMD52" s="76"/>
      <c r="GME52" s="76"/>
      <c r="GMF52" s="76"/>
      <c r="GMG52" s="76"/>
      <c r="GMH52" s="76"/>
      <c r="GMI52" s="76"/>
      <c r="GMJ52" s="76"/>
      <c r="GMK52" s="76"/>
      <c r="GML52" s="76"/>
      <c r="GMM52" s="76"/>
      <c r="GMN52" s="76"/>
      <c r="GMO52" s="76"/>
      <c r="GMP52" s="76"/>
      <c r="GMQ52" s="76"/>
      <c r="GMR52" s="76"/>
      <c r="GMS52" s="76"/>
      <c r="GMT52" s="76"/>
      <c r="GMU52" s="76"/>
      <c r="GMV52" s="76"/>
      <c r="GMW52" s="76"/>
      <c r="GMX52" s="76"/>
      <c r="GMY52" s="76"/>
      <c r="GMZ52" s="76"/>
      <c r="GNA52" s="76"/>
      <c r="GNB52" s="76"/>
      <c r="GNC52" s="76"/>
      <c r="GND52" s="76"/>
      <c r="GNE52" s="76"/>
      <c r="GNF52" s="76"/>
      <c r="GNG52" s="76"/>
      <c r="GNH52" s="76"/>
      <c r="GNI52" s="76"/>
      <c r="GNJ52" s="76"/>
      <c r="GNK52" s="76"/>
      <c r="GNL52" s="76"/>
      <c r="GNM52" s="76"/>
      <c r="GNN52" s="76"/>
      <c r="GNO52" s="76"/>
      <c r="GNP52" s="76"/>
      <c r="GNQ52" s="76"/>
      <c r="GNR52" s="76"/>
      <c r="GNS52" s="76"/>
      <c r="GNT52" s="76"/>
      <c r="GNU52" s="76"/>
      <c r="GNV52" s="76"/>
      <c r="GNW52" s="76"/>
      <c r="GNX52" s="76"/>
      <c r="GNY52" s="76"/>
      <c r="GNZ52" s="76"/>
      <c r="GOA52" s="76"/>
      <c r="GOB52" s="76"/>
      <c r="GOC52" s="76"/>
      <c r="GOD52" s="76"/>
      <c r="GOE52" s="76"/>
      <c r="GOF52" s="76"/>
      <c r="GOG52" s="76"/>
      <c r="GOH52" s="76"/>
      <c r="GOI52" s="76"/>
      <c r="GOJ52" s="76"/>
      <c r="GOK52" s="76"/>
      <c r="GOL52" s="76"/>
      <c r="GOM52" s="76"/>
      <c r="GON52" s="76"/>
      <c r="GOO52" s="76"/>
      <c r="GOP52" s="76"/>
      <c r="GOQ52" s="76"/>
      <c r="GOR52" s="76"/>
      <c r="GOS52" s="76"/>
      <c r="GOT52" s="76"/>
      <c r="GOU52" s="76"/>
      <c r="GOV52" s="76"/>
      <c r="GOW52" s="76"/>
      <c r="GOX52" s="76"/>
      <c r="GOY52" s="76"/>
      <c r="GOZ52" s="76"/>
      <c r="GPA52" s="76"/>
      <c r="GPB52" s="76"/>
      <c r="GPC52" s="76"/>
      <c r="GPD52" s="76"/>
      <c r="GPE52" s="76"/>
      <c r="GPF52" s="76"/>
      <c r="GPG52" s="76"/>
      <c r="GPH52" s="76"/>
      <c r="GPI52" s="76"/>
      <c r="GPJ52" s="76"/>
      <c r="GPK52" s="76"/>
      <c r="GPL52" s="76"/>
      <c r="GPM52" s="76"/>
      <c r="GPN52" s="76"/>
      <c r="GPO52" s="76"/>
      <c r="GPP52" s="76"/>
      <c r="GPQ52" s="76"/>
      <c r="GPR52" s="76"/>
      <c r="GPS52" s="76"/>
      <c r="GPT52" s="76"/>
      <c r="GPU52" s="76"/>
      <c r="GPV52" s="76"/>
      <c r="GPW52" s="76"/>
      <c r="GPX52" s="76"/>
      <c r="GPY52" s="76"/>
      <c r="GPZ52" s="76"/>
      <c r="GQA52" s="76"/>
      <c r="GQB52" s="76"/>
      <c r="GQC52" s="76"/>
      <c r="GQD52" s="76"/>
      <c r="GQE52" s="76"/>
      <c r="GQF52" s="76"/>
      <c r="GQG52" s="76"/>
      <c r="GQH52" s="76"/>
      <c r="GQI52" s="76"/>
      <c r="GQJ52" s="76"/>
      <c r="GQK52" s="76"/>
      <c r="GQL52" s="76"/>
      <c r="GQM52" s="76"/>
      <c r="GQN52" s="76"/>
      <c r="GQO52" s="76"/>
      <c r="GQP52" s="76"/>
      <c r="GQQ52" s="76"/>
      <c r="GQR52" s="76"/>
      <c r="GQS52" s="76"/>
      <c r="GQT52" s="76"/>
      <c r="GQU52" s="76"/>
      <c r="GQV52" s="76"/>
      <c r="GQW52" s="76"/>
      <c r="GQX52" s="76"/>
      <c r="GQY52" s="76"/>
      <c r="GQZ52" s="76"/>
      <c r="GRA52" s="76"/>
      <c r="GRB52" s="76"/>
      <c r="GRC52" s="76"/>
      <c r="GRD52" s="76"/>
      <c r="GRE52" s="76"/>
      <c r="GRF52" s="76"/>
      <c r="GRG52" s="76"/>
      <c r="GRH52" s="76"/>
      <c r="GRI52" s="76"/>
      <c r="GRJ52" s="76"/>
      <c r="GRK52" s="76"/>
      <c r="GRL52" s="76"/>
      <c r="GRM52" s="76"/>
      <c r="GRN52" s="76"/>
      <c r="GRO52" s="76"/>
      <c r="GRP52" s="76"/>
      <c r="GRQ52" s="76"/>
      <c r="GRR52" s="76"/>
      <c r="GRS52" s="76"/>
      <c r="GRT52" s="76"/>
      <c r="GRU52" s="76"/>
      <c r="GRV52" s="76"/>
      <c r="GRW52" s="76"/>
      <c r="GRX52" s="76"/>
      <c r="GRY52" s="76"/>
      <c r="GRZ52" s="76"/>
      <c r="GSA52" s="76"/>
      <c r="GSB52" s="76"/>
      <c r="GSC52" s="76"/>
      <c r="GSD52" s="76"/>
      <c r="GSE52" s="76"/>
      <c r="GSF52" s="76"/>
      <c r="GSG52" s="76"/>
      <c r="GSH52" s="76"/>
      <c r="GSI52" s="76"/>
      <c r="GSJ52" s="76"/>
      <c r="GSK52" s="76"/>
      <c r="GSL52" s="76"/>
      <c r="GSM52" s="76"/>
      <c r="GSN52" s="76"/>
      <c r="GSO52" s="76"/>
      <c r="GSP52" s="76"/>
      <c r="GSQ52" s="76"/>
      <c r="GSR52" s="76"/>
      <c r="GSS52" s="76"/>
      <c r="GST52" s="76"/>
      <c r="GSU52" s="76"/>
      <c r="GSV52" s="76"/>
      <c r="GSW52" s="76"/>
      <c r="GSX52" s="76"/>
      <c r="GSY52" s="76"/>
      <c r="GSZ52" s="76"/>
      <c r="GTA52" s="76"/>
      <c r="GTB52" s="76"/>
      <c r="GTC52" s="76"/>
      <c r="GTD52" s="76"/>
      <c r="GTE52" s="76"/>
      <c r="GTF52" s="76"/>
      <c r="GTG52" s="76"/>
      <c r="GTH52" s="76"/>
      <c r="GTI52" s="76"/>
      <c r="GTJ52" s="76"/>
      <c r="GTK52" s="76"/>
      <c r="GTL52" s="76"/>
      <c r="GTM52" s="76"/>
      <c r="GTN52" s="76"/>
      <c r="GTO52" s="76"/>
      <c r="GTP52" s="76"/>
      <c r="GTQ52" s="76"/>
      <c r="GTR52" s="76"/>
      <c r="GTS52" s="76"/>
      <c r="GTT52" s="76"/>
      <c r="GTU52" s="76"/>
      <c r="GTV52" s="76"/>
      <c r="GTW52" s="76"/>
      <c r="GTX52" s="76"/>
      <c r="GTY52" s="76"/>
      <c r="GTZ52" s="76"/>
      <c r="GUA52" s="76"/>
      <c r="GUB52" s="76"/>
      <c r="GUC52" s="76"/>
      <c r="GUD52" s="76"/>
      <c r="GUE52" s="76"/>
      <c r="GUF52" s="76"/>
      <c r="GUG52" s="76"/>
      <c r="GUH52" s="76"/>
      <c r="GUI52" s="76"/>
      <c r="GUJ52" s="76"/>
      <c r="GUK52" s="76"/>
      <c r="GUL52" s="76"/>
      <c r="GUM52" s="76"/>
      <c r="GUN52" s="76"/>
      <c r="GUO52" s="76"/>
      <c r="GUP52" s="76"/>
      <c r="GUQ52" s="76"/>
      <c r="GUR52" s="76"/>
      <c r="GUS52" s="76"/>
      <c r="GUT52" s="76"/>
      <c r="GUU52" s="76"/>
      <c r="GUV52" s="76"/>
      <c r="GUW52" s="76"/>
      <c r="GUX52" s="76"/>
      <c r="GUY52" s="76"/>
      <c r="GUZ52" s="76"/>
      <c r="GVA52" s="76"/>
      <c r="GVB52" s="76"/>
      <c r="GVC52" s="76"/>
      <c r="GVD52" s="76"/>
      <c r="GVE52" s="76"/>
      <c r="GVF52" s="76"/>
      <c r="GVG52" s="76"/>
      <c r="GVH52" s="76"/>
      <c r="GVI52" s="76"/>
      <c r="GVJ52" s="76"/>
      <c r="GVK52" s="76"/>
      <c r="GVL52" s="76"/>
      <c r="GVM52" s="76"/>
      <c r="GVN52" s="76"/>
      <c r="GVO52" s="76"/>
      <c r="GVP52" s="76"/>
      <c r="GVQ52" s="76"/>
      <c r="GVR52" s="76"/>
      <c r="GVS52" s="76"/>
      <c r="GVT52" s="76"/>
      <c r="GVU52" s="76"/>
      <c r="GVV52" s="76"/>
      <c r="GVW52" s="76"/>
      <c r="GVX52" s="76"/>
      <c r="GVY52" s="76"/>
      <c r="GVZ52" s="76"/>
      <c r="GWA52" s="76"/>
      <c r="GWB52" s="76"/>
      <c r="GWC52" s="76"/>
      <c r="GWD52" s="76"/>
      <c r="GWE52" s="76"/>
      <c r="GWF52" s="76"/>
      <c r="GWG52" s="76"/>
      <c r="GWH52" s="76"/>
      <c r="GWI52" s="76"/>
      <c r="GWJ52" s="76"/>
      <c r="GWK52" s="76"/>
      <c r="GWL52" s="76"/>
      <c r="GWM52" s="76"/>
      <c r="GWN52" s="76"/>
      <c r="GWO52" s="76"/>
      <c r="GWP52" s="76"/>
      <c r="GWQ52" s="76"/>
      <c r="GWR52" s="76"/>
      <c r="GWS52" s="76"/>
      <c r="GWT52" s="76"/>
      <c r="GWU52" s="76"/>
      <c r="GWV52" s="76"/>
      <c r="GWW52" s="76"/>
      <c r="GWX52" s="76"/>
      <c r="GWY52" s="76"/>
      <c r="GWZ52" s="76"/>
      <c r="GXA52" s="76"/>
      <c r="GXB52" s="76"/>
      <c r="GXC52" s="76"/>
      <c r="GXD52" s="76"/>
      <c r="GXE52" s="76"/>
      <c r="GXF52" s="76"/>
      <c r="GXG52" s="76"/>
      <c r="GXH52" s="76"/>
      <c r="GXI52" s="76"/>
      <c r="GXJ52" s="76"/>
      <c r="GXK52" s="76"/>
      <c r="GXL52" s="76"/>
      <c r="GXM52" s="76"/>
      <c r="GXN52" s="76"/>
      <c r="GXO52" s="76"/>
      <c r="GXP52" s="76"/>
      <c r="GXQ52" s="76"/>
      <c r="GXR52" s="76"/>
      <c r="GXS52" s="76"/>
      <c r="GXT52" s="76"/>
      <c r="GXU52" s="76"/>
      <c r="GXV52" s="76"/>
      <c r="GXW52" s="76"/>
      <c r="GXX52" s="76"/>
      <c r="GXY52" s="76"/>
      <c r="GXZ52" s="76"/>
      <c r="GYA52" s="76"/>
      <c r="GYB52" s="76"/>
      <c r="GYC52" s="76"/>
      <c r="GYD52" s="76"/>
      <c r="GYE52" s="76"/>
      <c r="GYF52" s="76"/>
      <c r="GYG52" s="76"/>
      <c r="GYH52" s="76"/>
      <c r="GYI52" s="76"/>
      <c r="GYJ52" s="76"/>
      <c r="GYK52" s="76"/>
      <c r="GYL52" s="76"/>
      <c r="GYM52" s="76"/>
      <c r="GYN52" s="76"/>
      <c r="GYO52" s="76"/>
      <c r="GYP52" s="76"/>
      <c r="GYQ52" s="76"/>
      <c r="GYR52" s="76"/>
      <c r="GYS52" s="76"/>
      <c r="GYT52" s="76"/>
      <c r="GYU52" s="76"/>
      <c r="GYV52" s="76"/>
      <c r="GYW52" s="76"/>
      <c r="GYX52" s="76"/>
      <c r="GYY52" s="76"/>
      <c r="GYZ52" s="76"/>
      <c r="GZA52" s="76"/>
      <c r="GZB52" s="76"/>
      <c r="GZC52" s="76"/>
      <c r="GZD52" s="76"/>
      <c r="GZE52" s="76"/>
      <c r="GZF52" s="76"/>
      <c r="GZG52" s="76"/>
      <c r="GZH52" s="76"/>
      <c r="GZI52" s="76"/>
      <c r="GZJ52" s="76"/>
      <c r="GZK52" s="76"/>
      <c r="GZL52" s="76"/>
      <c r="GZM52" s="76"/>
      <c r="GZN52" s="76"/>
      <c r="GZO52" s="76"/>
      <c r="GZP52" s="76"/>
      <c r="GZQ52" s="76"/>
      <c r="GZR52" s="76"/>
      <c r="GZS52" s="76"/>
      <c r="GZT52" s="76"/>
      <c r="GZU52" s="76"/>
      <c r="GZV52" s="76"/>
      <c r="GZW52" s="76"/>
      <c r="GZX52" s="76"/>
      <c r="GZY52" s="76"/>
      <c r="GZZ52" s="76"/>
      <c r="HAA52" s="76"/>
      <c r="HAB52" s="76"/>
      <c r="HAC52" s="76"/>
      <c r="HAD52" s="76"/>
      <c r="HAE52" s="76"/>
      <c r="HAF52" s="76"/>
      <c r="HAG52" s="76"/>
      <c r="HAH52" s="76"/>
      <c r="HAI52" s="76"/>
      <c r="HAJ52" s="76"/>
      <c r="HAK52" s="76"/>
      <c r="HAL52" s="76"/>
      <c r="HAM52" s="76"/>
      <c r="HAN52" s="76"/>
      <c r="HAO52" s="76"/>
      <c r="HAP52" s="76"/>
      <c r="HAQ52" s="76"/>
      <c r="HAR52" s="76"/>
      <c r="HAS52" s="76"/>
      <c r="HAT52" s="76"/>
      <c r="HAU52" s="76"/>
      <c r="HAV52" s="76"/>
      <c r="HAW52" s="76"/>
      <c r="HAX52" s="76"/>
      <c r="HAY52" s="76"/>
      <c r="HAZ52" s="76"/>
      <c r="HBA52" s="76"/>
      <c r="HBB52" s="76"/>
      <c r="HBC52" s="76"/>
      <c r="HBD52" s="76"/>
      <c r="HBE52" s="76"/>
      <c r="HBF52" s="76"/>
      <c r="HBG52" s="76"/>
      <c r="HBH52" s="76"/>
      <c r="HBI52" s="76"/>
      <c r="HBJ52" s="76"/>
      <c r="HBK52" s="76"/>
      <c r="HBL52" s="76"/>
      <c r="HBM52" s="76"/>
      <c r="HBN52" s="76"/>
      <c r="HBO52" s="76"/>
      <c r="HBP52" s="76"/>
      <c r="HBQ52" s="76"/>
      <c r="HBR52" s="76"/>
      <c r="HBS52" s="76"/>
      <c r="HBT52" s="76"/>
      <c r="HBU52" s="76"/>
      <c r="HBV52" s="76"/>
      <c r="HBW52" s="76"/>
      <c r="HBX52" s="76"/>
      <c r="HBY52" s="76"/>
      <c r="HBZ52" s="76"/>
      <c r="HCA52" s="76"/>
      <c r="HCB52" s="76"/>
      <c r="HCC52" s="76"/>
      <c r="HCD52" s="76"/>
      <c r="HCE52" s="76"/>
      <c r="HCF52" s="76"/>
      <c r="HCG52" s="76"/>
      <c r="HCH52" s="76"/>
      <c r="HCI52" s="76"/>
      <c r="HCJ52" s="76"/>
      <c r="HCK52" s="76"/>
      <c r="HCL52" s="76"/>
      <c r="HCM52" s="76"/>
      <c r="HCN52" s="76"/>
      <c r="HCO52" s="76"/>
      <c r="HCP52" s="76"/>
      <c r="HCQ52" s="76"/>
      <c r="HCR52" s="76"/>
      <c r="HCS52" s="76"/>
      <c r="HCT52" s="76"/>
      <c r="HCU52" s="76"/>
      <c r="HCV52" s="76"/>
      <c r="HCW52" s="76"/>
      <c r="HCX52" s="76"/>
      <c r="HCY52" s="76"/>
      <c r="HCZ52" s="76"/>
      <c r="HDA52" s="76"/>
      <c r="HDB52" s="76"/>
      <c r="HDC52" s="76"/>
      <c r="HDD52" s="76"/>
      <c r="HDE52" s="76"/>
      <c r="HDF52" s="76"/>
      <c r="HDG52" s="76"/>
      <c r="HDH52" s="76"/>
      <c r="HDI52" s="76"/>
      <c r="HDJ52" s="76"/>
      <c r="HDK52" s="76"/>
      <c r="HDL52" s="76"/>
      <c r="HDM52" s="76"/>
      <c r="HDN52" s="76"/>
      <c r="HDO52" s="76"/>
      <c r="HDP52" s="76"/>
      <c r="HDQ52" s="76"/>
      <c r="HDR52" s="76"/>
      <c r="HDS52" s="76"/>
      <c r="HDT52" s="76"/>
      <c r="HDU52" s="76"/>
      <c r="HDV52" s="76"/>
      <c r="HDW52" s="76"/>
      <c r="HDX52" s="76"/>
      <c r="HDY52" s="76"/>
      <c r="HDZ52" s="76"/>
      <c r="HEA52" s="76"/>
      <c r="HEB52" s="76"/>
      <c r="HEC52" s="76"/>
      <c r="HED52" s="76"/>
      <c r="HEE52" s="76"/>
      <c r="HEF52" s="76"/>
      <c r="HEG52" s="76"/>
      <c r="HEH52" s="76"/>
      <c r="HEI52" s="76"/>
      <c r="HEJ52" s="76"/>
      <c r="HEK52" s="76"/>
      <c r="HEL52" s="76"/>
      <c r="HEM52" s="76"/>
      <c r="HEN52" s="76"/>
      <c r="HEO52" s="76"/>
      <c r="HEP52" s="76"/>
      <c r="HEQ52" s="76"/>
      <c r="HER52" s="76"/>
      <c r="HES52" s="76"/>
      <c r="HET52" s="76"/>
      <c r="HEU52" s="76"/>
      <c r="HEV52" s="76"/>
      <c r="HEW52" s="76"/>
      <c r="HEX52" s="76"/>
      <c r="HEY52" s="76"/>
      <c r="HEZ52" s="76"/>
      <c r="HFA52" s="76"/>
      <c r="HFB52" s="76"/>
      <c r="HFC52" s="76"/>
      <c r="HFD52" s="76"/>
      <c r="HFE52" s="76"/>
      <c r="HFF52" s="76"/>
      <c r="HFG52" s="76"/>
      <c r="HFH52" s="76"/>
      <c r="HFI52" s="76"/>
      <c r="HFJ52" s="76"/>
      <c r="HFK52" s="76"/>
      <c r="HFL52" s="76"/>
      <c r="HFM52" s="76"/>
      <c r="HFN52" s="76"/>
      <c r="HFO52" s="76"/>
      <c r="HFP52" s="76"/>
      <c r="HFQ52" s="76"/>
      <c r="HFR52" s="76"/>
      <c r="HFS52" s="76"/>
      <c r="HFT52" s="76"/>
      <c r="HFU52" s="76"/>
      <c r="HFV52" s="76"/>
      <c r="HFW52" s="76"/>
      <c r="HFX52" s="76"/>
      <c r="HFY52" s="76"/>
      <c r="HFZ52" s="76"/>
      <c r="HGA52" s="76"/>
      <c r="HGB52" s="76"/>
      <c r="HGC52" s="76"/>
      <c r="HGD52" s="76"/>
      <c r="HGE52" s="76"/>
      <c r="HGF52" s="76"/>
      <c r="HGG52" s="76"/>
      <c r="HGH52" s="76"/>
      <c r="HGI52" s="76"/>
      <c r="HGJ52" s="76"/>
      <c r="HGK52" s="76"/>
      <c r="HGL52" s="76"/>
      <c r="HGM52" s="76"/>
      <c r="HGN52" s="76"/>
      <c r="HGO52" s="76"/>
      <c r="HGP52" s="76"/>
      <c r="HGQ52" s="76"/>
      <c r="HGR52" s="76"/>
      <c r="HGS52" s="76"/>
      <c r="HGT52" s="76"/>
      <c r="HGU52" s="76"/>
      <c r="HGV52" s="76"/>
      <c r="HGW52" s="76"/>
      <c r="HGX52" s="76"/>
      <c r="HGY52" s="76"/>
      <c r="HGZ52" s="76"/>
      <c r="HHA52" s="76"/>
      <c r="HHB52" s="76"/>
      <c r="HHC52" s="76"/>
      <c r="HHD52" s="76"/>
      <c r="HHE52" s="76"/>
      <c r="HHF52" s="76"/>
      <c r="HHG52" s="76"/>
      <c r="HHH52" s="76"/>
      <c r="HHI52" s="76"/>
      <c r="HHJ52" s="76"/>
      <c r="HHK52" s="76"/>
      <c r="HHL52" s="76"/>
      <c r="HHM52" s="76"/>
      <c r="HHN52" s="76"/>
      <c r="HHO52" s="76"/>
      <c r="HHP52" s="76"/>
      <c r="HHQ52" s="76"/>
      <c r="HHR52" s="76"/>
      <c r="HHS52" s="76"/>
      <c r="HHT52" s="76"/>
      <c r="HHU52" s="76"/>
      <c r="HHV52" s="76"/>
      <c r="HHW52" s="76"/>
      <c r="HHX52" s="76"/>
      <c r="HHY52" s="76"/>
      <c r="HHZ52" s="76"/>
      <c r="HIA52" s="76"/>
      <c r="HIB52" s="76"/>
      <c r="HIC52" s="76"/>
      <c r="HID52" s="76"/>
      <c r="HIE52" s="76"/>
      <c r="HIF52" s="76"/>
      <c r="HIG52" s="76"/>
      <c r="HIH52" s="76"/>
      <c r="HII52" s="76"/>
      <c r="HIJ52" s="76"/>
      <c r="HIK52" s="76"/>
      <c r="HIL52" s="76"/>
      <c r="HIM52" s="76"/>
      <c r="HIN52" s="76"/>
      <c r="HIO52" s="76"/>
      <c r="HIP52" s="76"/>
      <c r="HIQ52" s="76"/>
      <c r="HIR52" s="76"/>
      <c r="HIS52" s="76"/>
      <c r="HIT52" s="76"/>
      <c r="HIU52" s="76"/>
      <c r="HIV52" s="76"/>
      <c r="HIW52" s="76"/>
      <c r="HIX52" s="76"/>
      <c r="HIY52" s="76"/>
      <c r="HIZ52" s="76"/>
      <c r="HJA52" s="76"/>
      <c r="HJB52" s="76"/>
      <c r="HJC52" s="76"/>
      <c r="HJD52" s="76"/>
      <c r="HJE52" s="76"/>
      <c r="HJF52" s="76"/>
      <c r="HJG52" s="76"/>
      <c r="HJH52" s="76"/>
      <c r="HJI52" s="76"/>
      <c r="HJJ52" s="76"/>
      <c r="HJK52" s="76"/>
      <c r="HJL52" s="76"/>
      <c r="HJM52" s="76"/>
      <c r="HJN52" s="76"/>
      <c r="HJO52" s="76"/>
      <c r="HJP52" s="76"/>
      <c r="HJQ52" s="76"/>
      <c r="HJR52" s="76"/>
      <c r="HJS52" s="76"/>
      <c r="HJT52" s="76"/>
      <c r="HJU52" s="76"/>
      <c r="HJV52" s="76"/>
      <c r="HJW52" s="76"/>
      <c r="HJX52" s="76"/>
      <c r="HJY52" s="76"/>
      <c r="HJZ52" s="76"/>
      <c r="HKA52" s="76"/>
      <c r="HKB52" s="76"/>
      <c r="HKC52" s="76"/>
      <c r="HKD52" s="76"/>
      <c r="HKE52" s="76"/>
      <c r="HKF52" s="76"/>
      <c r="HKG52" s="76"/>
      <c r="HKH52" s="76"/>
      <c r="HKI52" s="76"/>
      <c r="HKJ52" s="76"/>
      <c r="HKK52" s="76"/>
      <c r="HKL52" s="76"/>
      <c r="HKM52" s="76"/>
      <c r="HKN52" s="76"/>
      <c r="HKO52" s="76"/>
      <c r="HKP52" s="76"/>
      <c r="HKQ52" s="76"/>
      <c r="HKR52" s="76"/>
      <c r="HKS52" s="76"/>
      <c r="HKT52" s="76"/>
      <c r="HKU52" s="76"/>
      <c r="HKV52" s="76"/>
      <c r="HKW52" s="76"/>
      <c r="HKX52" s="76"/>
      <c r="HKY52" s="76"/>
      <c r="HKZ52" s="76"/>
      <c r="HLA52" s="76"/>
      <c r="HLB52" s="76"/>
      <c r="HLC52" s="76"/>
      <c r="HLD52" s="76"/>
      <c r="HLE52" s="76"/>
      <c r="HLF52" s="76"/>
      <c r="HLG52" s="76"/>
      <c r="HLH52" s="76"/>
      <c r="HLI52" s="76"/>
      <c r="HLJ52" s="76"/>
      <c r="HLK52" s="76"/>
      <c r="HLL52" s="76"/>
      <c r="HLM52" s="76"/>
      <c r="HLN52" s="76"/>
      <c r="HLO52" s="76"/>
      <c r="HLP52" s="76"/>
      <c r="HLQ52" s="76"/>
      <c r="HLR52" s="76"/>
      <c r="HLS52" s="76"/>
      <c r="HLT52" s="76"/>
      <c r="HLU52" s="76"/>
      <c r="HLV52" s="76"/>
      <c r="HLW52" s="76"/>
      <c r="HLX52" s="76"/>
      <c r="HLY52" s="76"/>
      <c r="HLZ52" s="76"/>
      <c r="HMA52" s="76"/>
      <c r="HMB52" s="76"/>
      <c r="HMC52" s="76"/>
      <c r="HMD52" s="76"/>
      <c r="HME52" s="76"/>
      <c r="HMF52" s="76"/>
      <c r="HMG52" s="76"/>
      <c r="HMH52" s="76"/>
      <c r="HMI52" s="76"/>
      <c r="HMJ52" s="76"/>
      <c r="HMK52" s="76"/>
      <c r="HML52" s="76"/>
      <c r="HMM52" s="76"/>
      <c r="HMN52" s="76"/>
      <c r="HMO52" s="76"/>
      <c r="HMP52" s="76"/>
      <c r="HMQ52" s="76"/>
      <c r="HMR52" s="76"/>
      <c r="HMS52" s="76"/>
      <c r="HMT52" s="76"/>
      <c r="HMU52" s="76"/>
      <c r="HMV52" s="76"/>
      <c r="HMW52" s="76"/>
      <c r="HMX52" s="76"/>
      <c r="HMY52" s="76"/>
      <c r="HMZ52" s="76"/>
      <c r="HNA52" s="76"/>
      <c r="HNB52" s="76"/>
      <c r="HNC52" s="76"/>
      <c r="HND52" s="76"/>
      <c r="HNE52" s="76"/>
      <c r="HNF52" s="76"/>
      <c r="HNG52" s="76"/>
      <c r="HNH52" s="76"/>
      <c r="HNI52" s="76"/>
      <c r="HNJ52" s="76"/>
      <c r="HNK52" s="76"/>
      <c r="HNL52" s="76"/>
      <c r="HNM52" s="76"/>
      <c r="HNN52" s="76"/>
      <c r="HNO52" s="76"/>
      <c r="HNP52" s="76"/>
      <c r="HNQ52" s="76"/>
      <c r="HNR52" s="76"/>
      <c r="HNS52" s="76"/>
      <c r="HNT52" s="76"/>
      <c r="HNU52" s="76"/>
      <c r="HNV52" s="76"/>
      <c r="HNW52" s="76"/>
      <c r="HNX52" s="76"/>
      <c r="HNY52" s="76"/>
      <c r="HNZ52" s="76"/>
      <c r="HOA52" s="76"/>
      <c r="HOB52" s="76"/>
      <c r="HOC52" s="76"/>
      <c r="HOD52" s="76"/>
      <c r="HOE52" s="76"/>
      <c r="HOF52" s="76"/>
      <c r="HOG52" s="76"/>
      <c r="HOH52" s="76"/>
      <c r="HOI52" s="76"/>
      <c r="HOJ52" s="76"/>
      <c r="HOK52" s="76"/>
      <c r="HOL52" s="76"/>
      <c r="HOM52" s="76"/>
      <c r="HON52" s="76"/>
      <c r="HOO52" s="76"/>
      <c r="HOP52" s="76"/>
      <c r="HOQ52" s="76"/>
      <c r="HOR52" s="76"/>
      <c r="HOS52" s="76"/>
      <c r="HOT52" s="76"/>
      <c r="HOU52" s="76"/>
      <c r="HOV52" s="76"/>
      <c r="HOW52" s="76"/>
      <c r="HOX52" s="76"/>
      <c r="HOY52" s="76"/>
      <c r="HOZ52" s="76"/>
      <c r="HPA52" s="76"/>
      <c r="HPB52" s="76"/>
      <c r="HPC52" s="76"/>
      <c r="HPD52" s="76"/>
      <c r="HPE52" s="76"/>
      <c r="HPF52" s="76"/>
      <c r="HPG52" s="76"/>
      <c r="HPH52" s="76"/>
      <c r="HPI52" s="76"/>
      <c r="HPJ52" s="76"/>
      <c r="HPK52" s="76"/>
      <c r="HPL52" s="76"/>
      <c r="HPM52" s="76"/>
      <c r="HPN52" s="76"/>
      <c r="HPO52" s="76"/>
      <c r="HPP52" s="76"/>
      <c r="HPQ52" s="76"/>
      <c r="HPR52" s="76"/>
      <c r="HPS52" s="76"/>
      <c r="HPT52" s="76"/>
      <c r="HPU52" s="76"/>
      <c r="HPV52" s="76"/>
      <c r="HPW52" s="76"/>
      <c r="HPX52" s="76"/>
      <c r="HPY52" s="76"/>
      <c r="HPZ52" s="76"/>
      <c r="HQA52" s="76"/>
      <c r="HQB52" s="76"/>
      <c r="HQC52" s="76"/>
      <c r="HQD52" s="76"/>
      <c r="HQE52" s="76"/>
      <c r="HQF52" s="76"/>
      <c r="HQG52" s="76"/>
      <c r="HQH52" s="76"/>
      <c r="HQI52" s="76"/>
      <c r="HQJ52" s="76"/>
      <c r="HQK52" s="76"/>
      <c r="HQL52" s="76"/>
      <c r="HQM52" s="76"/>
      <c r="HQN52" s="76"/>
      <c r="HQO52" s="76"/>
      <c r="HQP52" s="76"/>
      <c r="HQQ52" s="76"/>
      <c r="HQR52" s="76"/>
      <c r="HQS52" s="76"/>
      <c r="HQT52" s="76"/>
      <c r="HQU52" s="76"/>
      <c r="HQV52" s="76"/>
      <c r="HQW52" s="76"/>
      <c r="HQX52" s="76"/>
      <c r="HQY52" s="76"/>
      <c r="HQZ52" s="76"/>
      <c r="HRA52" s="76"/>
      <c r="HRB52" s="76"/>
      <c r="HRC52" s="76"/>
      <c r="HRD52" s="76"/>
      <c r="HRE52" s="76"/>
      <c r="HRF52" s="76"/>
      <c r="HRG52" s="76"/>
      <c r="HRH52" s="76"/>
      <c r="HRI52" s="76"/>
      <c r="HRJ52" s="76"/>
      <c r="HRK52" s="76"/>
      <c r="HRL52" s="76"/>
      <c r="HRM52" s="76"/>
      <c r="HRN52" s="76"/>
      <c r="HRO52" s="76"/>
      <c r="HRP52" s="76"/>
      <c r="HRQ52" s="76"/>
      <c r="HRR52" s="76"/>
      <c r="HRS52" s="76"/>
      <c r="HRT52" s="76"/>
      <c r="HRU52" s="76"/>
      <c r="HRV52" s="76"/>
      <c r="HRW52" s="76"/>
      <c r="HRX52" s="76"/>
      <c r="HRY52" s="76"/>
      <c r="HRZ52" s="76"/>
      <c r="HSA52" s="76"/>
      <c r="HSB52" s="76"/>
      <c r="HSC52" s="76"/>
      <c r="HSD52" s="76"/>
      <c r="HSE52" s="76"/>
      <c r="HSF52" s="76"/>
      <c r="HSG52" s="76"/>
      <c r="HSH52" s="76"/>
      <c r="HSI52" s="76"/>
      <c r="HSJ52" s="76"/>
      <c r="HSK52" s="76"/>
      <c r="HSL52" s="76"/>
      <c r="HSM52" s="76"/>
      <c r="HSN52" s="76"/>
      <c r="HSO52" s="76"/>
      <c r="HSP52" s="76"/>
      <c r="HSQ52" s="76"/>
      <c r="HSR52" s="76"/>
      <c r="HSS52" s="76"/>
      <c r="HST52" s="76"/>
      <c r="HSU52" s="76"/>
      <c r="HSV52" s="76"/>
      <c r="HSW52" s="76"/>
      <c r="HSX52" s="76"/>
      <c r="HSY52" s="76"/>
      <c r="HSZ52" s="76"/>
      <c r="HTA52" s="76"/>
      <c r="HTB52" s="76"/>
      <c r="HTC52" s="76"/>
      <c r="HTD52" s="76"/>
      <c r="HTE52" s="76"/>
      <c r="HTF52" s="76"/>
      <c r="HTG52" s="76"/>
      <c r="HTH52" s="76"/>
      <c r="HTI52" s="76"/>
      <c r="HTJ52" s="76"/>
      <c r="HTK52" s="76"/>
      <c r="HTL52" s="76"/>
      <c r="HTM52" s="76"/>
      <c r="HTN52" s="76"/>
      <c r="HTO52" s="76"/>
      <c r="HTP52" s="76"/>
      <c r="HTQ52" s="76"/>
      <c r="HTR52" s="76"/>
      <c r="HTS52" s="76"/>
      <c r="HTT52" s="76"/>
      <c r="HTU52" s="76"/>
      <c r="HTV52" s="76"/>
      <c r="HTW52" s="76"/>
      <c r="HTX52" s="76"/>
      <c r="HTY52" s="76"/>
      <c r="HTZ52" s="76"/>
      <c r="HUA52" s="76"/>
      <c r="HUB52" s="76"/>
      <c r="HUC52" s="76"/>
      <c r="HUD52" s="76"/>
      <c r="HUE52" s="76"/>
      <c r="HUF52" s="76"/>
      <c r="HUG52" s="76"/>
      <c r="HUH52" s="76"/>
      <c r="HUI52" s="76"/>
      <c r="HUJ52" s="76"/>
      <c r="HUK52" s="76"/>
      <c r="HUL52" s="76"/>
      <c r="HUM52" s="76"/>
      <c r="HUN52" s="76"/>
      <c r="HUO52" s="76"/>
      <c r="HUP52" s="76"/>
      <c r="HUQ52" s="76"/>
      <c r="HUR52" s="76"/>
      <c r="HUS52" s="76"/>
      <c r="HUT52" s="76"/>
      <c r="HUU52" s="76"/>
      <c r="HUV52" s="76"/>
      <c r="HUW52" s="76"/>
      <c r="HUX52" s="76"/>
      <c r="HUY52" s="76"/>
      <c r="HUZ52" s="76"/>
      <c r="HVA52" s="76"/>
      <c r="HVB52" s="76"/>
      <c r="HVC52" s="76"/>
      <c r="HVD52" s="76"/>
      <c r="HVE52" s="76"/>
      <c r="HVF52" s="76"/>
      <c r="HVG52" s="76"/>
      <c r="HVH52" s="76"/>
      <c r="HVI52" s="76"/>
      <c r="HVJ52" s="76"/>
      <c r="HVK52" s="76"/>
      <c r="HVL52" s="76"/>
      <c r="HVM52" s="76"/>
      <c r="HVN52" s="76"/>
      <c r="HVO52" s="76"/>
      <c r="HVP52" s="76"/>
      <c r="HVQ52" s="76"/>
      <c r="HVR52" s="76"/>
      <c r="HVS52" s="76"/>
      <c r="HVT52" s="76"/>
      <c r="HVU52" s="76"/>
      <c r="HVV52" s="76"/>
      <c r="HVW52" s="76"/>
      <c r="HVX52" s="76"/>
      <c r="HVY52" s="76"/>
      <c r="HVZ52" s="76"/>
      <c r="HWA52" s="76"/>
      <c r="HWB52" s="76"/>
      <c r="HWC52" s="76"/>
      <c r="HWD52" s="76"/>
      <c r="HWE52" s="76"/>
      <c r="HWF52" s="76"/>
      <c r="HWG52" s="76"/>
      <c r="HWH52" s="76"/>
      <c r="HWI52" s="76"/>
      <c r="HWJ52" s="76"/>
      <c r="HWK52" s="76"/>
      <c r="HWL52" s="76"/>
      <c r="HWM52" s="76"/>
      <c r="HWN52" s="76"/>
      <c r="HWO52" s="76"/>
      <c r="HWP52" s="76"/>
      <c r="HWQ52" s="76"/>
      <c r="HWR52" s="76"/>
      <c r="HWS52" s="76"/>
      <c r="HWT52" s="76"/>
      <c r="HWU52" s="76"/>
      <c r="HWV52" s="76"/>
      <c r="HWW52" s="76"/>
      <c r="HWX52" s="76"/>
      <c r="HWY52" s="76"/>
      <c r="HWZ52" s="76"/>
      <c r="HXA52" s="76"/>
      <c r="HXB52" s="76"/>
      <c r="HXC52" s="76"/>
      <c r="HXD52" s="76"/>
      <c r="HXE52" s="76"/>
      <c r="HXF52" s="76"/>
      <c r="HXG52" s="76"/>
      <c r="HXH52" s="76"/>
      <c r="HXI52" s="76"/>
      <c r="HXJ52" s="76"/>
      <c r="HXK52" s="76"/>
      <c r="HXL52" s="76"/>
      <c r="HXM52" s="76"/>
      <c r="HXN52" s="76"/>
      <c r="HXO52" s="76"/>
      <c r="HXP52" s="76"/>
      <c r="HXQ52" s="76"/>
      <c r="HXR52" s="76"/>
      <c r="HXS52" s="76"/>
      <c r="HXT52" s="76"/>
      <c r="HXU52" s="76"/>
      <c r="HXV52" s="76"/>
      <c r="HXW52" s="76"/>
      <c r="HXX52" s="76"/>
      <c r="HXY52" s="76"/>
      <c r="HXZ52" s="76"/>
      <c r="HYA52" s="76"/>
      <c r="HYB52" s="76"/>
      <c r="HYC52" s="76"/>
      <c r="HYD52" s="76"/>
      <c r="HYE52" s="76"/>
      <c r="HYF52" s="76"/>
      <c r="HYG52" s="76"/>
      <c r="HYH52" s="76"/>
      <c r="HYI52" s="76"/>
      <c r="HYJ52" s="76"/>
      <c r="HYK52" s="76"/>
      <c r="HYL52" s="76"/>
      <c r="HYM52" s="76"/>
      <c r="HYN52" s="76"/>
      <c r="HYO52" s="76"/>
      <c r="HYP52" s="76"/>
      <c r="HYQ52" s="76"/>
      <c r="HYR52" s="76"/>
      <c r="HYS52" s="76"/>
      <c r="HYT52" s="76"/>
      <c r="HYU52" s="76"/>
      <c r="HYV52" s="76"/>
      <c r="HYW52" s="76"/>
      <c r="HYX52" s="76"/>
      <c r="HYY52" s="76"/>
      <c r="HYZ52" s="76"/>
      <c r="HZA52" s="76"/>
      <c r="HZB52" s="76"/>
      <c r="HZC52" s="76"/>
      <c r="HZD52" s="76"/>
      <c r="HZE52" s="76"/>
      <c r="HZF52" s="76"/>
      <c r="HZG52" s="76"/>
      <c r="HZH52" s="76"/>
      <c r="HZI52" s="76"/>
      <c r="HZJ52" s="76"/>
      <c r="HZK52" s="76"/>
      <c r="HZL52" s="76"/>
      <c r="HZM52" s="76"/>
      <c r="HZN52" s="76"/>
      <c r="HZO52" s="76"/>
      <c r="HZP52" s="76"/>
      <c r="HZQ52" s="76"/>
      <c r="HZR52" s="76"/>
      <c r="HZS52" s="76"/>
      <c r="HZT52" s="76"/>
      <c r="HZU52" s="76"/>
      <c r="HZV52" s="76"/>
      <c r="HZW52" s="76"/>
      <c r="HZX52" s="76"/>
      <c r="HZY52" s="76"/>
      <c r="HZZ52" s="76"/>
      <c r="IAA52" s="76"/>
      <c r="IAB52" s="76"/>
      <c r="IAC52" s="76"/>
      <c r="IAD52" s="76"/>
      <c r="IAE52" s="76"/>
      <c r="IAF52" s="76"/>
      <c r="IAG52" s="76"/>
      <c r="IAH52" s="76"/>
      <c r="IAI52" s="76"/>
      <c r="IAJ52" s="76"/>
      <c r="IAK52" s="76"/>
      <c r="IAL52" s="76"/>
      <c r="IAM52" s="76"/>
      <c r="IAN52" s="76"/>
      <c r="IAO52" s="76"/>
      <c r="IAP52" s="76"/>
      <c r="IAQ52" s="76"/>
      <c r="IAR52" s="76"/>
      <c r="IAS52" s="76"/>
      <c r="IAT52" s="76"/>
      <c r="IAU52" s="76"/>
      <c r="IAV52" s="76"/>
      <c r="IAW52" s="76"/>
      <c r="IAX52" s="76"/>
      <c r="IAY52" s="76"/>
      <c r="IAZ52" s="76"/>
      <c r="IBA52" s="76"/>
      <c r="IBB52" s="76"/>
      <c r="IBC52" s="76"/>
      <c r="IBD52" s="76"/>
      <c r="IBE52" s="76"/>
      <c r="IBF52" s="76"/>
      <c r="IBG52" s="76"/>
      <c r="IBH52" s="76"/>
      <c r="IBI52" s="76"/>
      <c r="IBJ52" s="76"/>
      <c r="IBK52" s="76"/>
      <c r="IBL52" s="76"/>
      <c r="IBM52" s="76"/>
      <c r="IBN52" s="76"/>
      <c r="IBO52" s="76"/>
      <c r="IBP52" s="76"/>
      <c r="IBQ52" s="76"/>
      <c r="IBR52" s="76"/>
      <c r="IBS52" s="76"/>
      <c r="IBT52" s="76"/>
      <c r="IBU52" s="76"/>
      <c r="IBV52" s="76"/>
      <c r="IBW52" s="76"/>
      <c r="IBX52" s="76"/>
      <c r="IBY52" s="76"/>
      <c r="IBZ52" s="76"/>
      <c r="ICA52" s="76"/>
      <c r="ICB52" s="76"/>
      <c r="ICC52" s="76"/>
      <c r="ICD52" s="76"/>
      <c r="ICE52" s="76"/>
      <c r="ICF52" s="76"/>
      <c r="ICG52" s="76"/>
      <c r="ICH52" s="76"/>
      <c r="ICI52" s="76"/>
      <c r="ICJ52" s="76"/>
      <c r="ICK52" s="76"/>
      <c r="ICL52" s="76"/>
      <c r="ICM52" s="76"/>
      <c r="ICN52" s="76"/>
      <c r="ICO52" s="76"/>
      <c r="ICP52" s="76"/>
      <c r="ICQ52" s="76"/>
      <c r="ICR52" s="76"/>
      <c r="ICS52" s="76"/>
      <c r="ICT52" s="76"/>
      <c r="ICU52" s="76"/>
      <c r="ICV52" s="76"/>
      <c r="ICW52" s="76"/>
      <c r="ICX52" s="76"/>
      <c r="ICY52" s="76"/>
      <c r="ICZ52" s="76"/>
      <c r="IDA52" s="76"/>
      <c r="IDB52" s="76"/>
      <c r="IDC52" s="76"/>
      <c r="IDD52" s="76"/>
      <c r="IDE52" s="76"/>
      <c r="IDF52" s="76"/>
      <c r="IDG52" s="76"/>
      <c r="IDH52" s="76"/>
      <c r="IDI52" s="76"/>
      <c r="IDJ52" s="76"/>
      <c r="IDK52" s="76"/>
      <c r="IDL52" s="76"/>
      <c r="IDM52" s="76"/>
      <c r="IDN52" s="76"/>
      <c r="IDO52" s="76"/>
      <c r="IDP52" s="76"/>
      <c r="IDQ52" s="76"/>
      <c r="IDR52" s="76"/>
      <c r="IDS52" s="76"/>
      <c r="IDT52" s="76"/>
      <c r="IDU52" s="76"/>
      <c r="IDV52" s="76"/>
      <c r="IDW52" s="76"/>
      <c r="IDX52" s="76"/>
      <c r="IDY52" s="76"/>
      <c r="IDZ52" s="76"/>
      <c r="IEA52" s="76"/>
      <c r="IEB52" s="76"/>
      <c r="IEC52" s="76"/>
      <c r="IED52" s="76"/>
      <c r="IEE52" s="76"/>
      <c r="IEF52" s="76"/>
      <c r="IEG52" s="76"/>
      <c r="IEH52" s="76"/>
      <c r="IEI52" s="76"/>
      <c r="IEJ52" s="76"/>
      <c r="IEK52" s="76"/>
      <c r="IEL52" s="76"/>
      <c r="IEM52" s="76"/>
      <c r="IEN52" s="76"/>
      <c r="IEO52" s="76"/>
      <c r="IEP52" s="76"/>
      <c r="IEQ52" s="76"/>
      <c r="IER52" s="76"/>
      <c r="IES52" s="76"/>
      <c r="IET52" s="76"/>
      <c r="IEU52" s="76"/>
      <c r="IEV52" s="76"/>
      <c r="IEW52" s="76"/>
      <c r="IEX52" s="76"/>
      <c r="IEY52" s="76"/>
      <c r="IEZ52" s="76"/>
      <c r="IFA52" s="76"/>
      <c r="IFB52" s="76"/>
      <c r="IFC52" s="76"/>
      <c r="IFD52" s="76"/>
      <c r="IFE52" s="76"/>
      <c r="IFF52" s="76"/>
      <c r="IFG52" s="76"/>
      <c r="IFH52" s="76"/>
      <c r="IFI52" s="76"/>
      <c r="IFJ52" s="76"/>
      <c r="IFK52" s="76"/>
      <c r="IFL52" s="76"/>
      <c r="IFM52" s="76"/>
      <c r="IFN52" s="76"/>
      <c r="IFO52" s="76"/>
      <c r="IFP52" s="76"/>
      <c r="IFQ52" s="76"/>
      <c r="IFR52" s="76"/>
      <c r="IFS52" s="76"/>
      <c r="IFT52" s="76"/>
      <c r="IFU52" s="76"/>
      <c r="IFV52" s="76"/>
      <c r="IFW52" s="76"/>
      <c r="IFX52" s="76"/>
      <c r="IFY52" s="76"/>
      <c r="IFZ52" s="76"/>
      <c r="IGA52" s="76"/>
      <c r="IGB52" s="76"/>
      <c r="IGC52" s="76"/>
      <c r="IGD52" s="76"/>
      <c r="IGE52" s="76"/>
      <c r="IGF52" s="76"/>
      <c r="IGG52" s="76"/>
      <c r="IGH52" s="76"/>
      <c r="IGI52" s="76"/>
      <c r="IGJ52" s="76"/>
      <c r="IGK52" s="76"/>
      <c r="IGL52" s="76"/>
      <c r="IGM52" s="76"/>
      <c r="IGN52" s="76"/>
      <c r="IGO52" s="76"/>
      <c r="IGP52" s="76"/>
      <c r="IGQ52" s="76"/>
      <c r="IGR52" s="76"/>
      <c r="IGS52" s="76"/>
      <c r="IGT52" s="76"/>
      <c r="IGU52" s="76"/>
      <c r="IGV52" s="76"/>
      <c r="IGW52" s="76"/>
      <c r="IGX52" s="76"/>
      <c r="IGY52" s="76"/>
      <c r="IGZ52" s="76"/>
      <c r="IHA52" s="76"/>
      <c r="IHB52" s="76"/>
      <c r="IHC52" s="76"/>
      <c r="IHD52" s="76"/>
      <c r="IHE52" s="76"/>
      <c r="IHF52" s="76"/>
      <c r="IHG52" s="76"/>
      <c r="IHH52" s="76"/>
      <c r="IHI52" s="76"/>
      <c r="IHJ52" s="76"/>
      <c r="IHK52" s="76"/>
      <c r="IHL52" s="76"/>
      <c r="IHM52" s="76"/>
      <c r="IHN52" s="76"/>
      <c r="IHO52" s="76"/>
      <c r="IHP52" s="76"/>
      <c r="IHQ52" s="76"/>
      <c r="IHR52" s="76"/>
      <c r="IHS52" s="76"/>
      <c r="IHT52" s="76"/>
      <c r="IHU52" s="76"/>
      <c r="IHV52" s="76"/>
      <c r="IHW52" s="76"/>
      <c r="IHX52" s="76"/>
      <c r="IHY52" s="76"/>
      <c r="IHZ52" s="76"/>
      <c r="IIA52" s="76"/>
      <c r="IIB52" s="76"/>
      <c r="IIC52" s="76"/>
      <c r="IID52" s="76"/>
      <c r="IIE52" s="76"/>
      <c r="IIF52" s="76"/>
      <c r="IIG52" s="76"/>
      <c r="IIH52" s="76"/>
      <c r="III52" s="76"/>
      <c r="IIJ52" s="76"/>
      <c r="IIK52" s="76"/>
      <c r="IIL52" s="76"/>
      <c r="IIM52" s="76"/>
      <c r="IIN52" s="76"/>
      <c r="IIO52" s="76"/>
      <c r="IIP52" s="76"/>
      <c r="IIQ52" s="76"/>
      <c r="IIR52" s="76"/>
      <c r="IIS52" s="76"/>
      <c r="IIT52" s="76"/>
      <c r="IIU52" s="76"/>
      <c r="IIV52" s="76"/>
      <c r="IIW52" s="76"/>
      <c r="IIX52" s="76"/>
      <c r="IIY52" s="76"/>
      <c r="IIZ52" s="76"/>
      <c r="IJA52" s="76"/>
      <c r="IJB52" s="76"/>
      <c r="IJC52" s="76"/>
      <c r="IJD52" s="76"/>
      <c r="IJE52" s="76"/>
      <c r="IJF52" s="76"/>
      <c r="IJG52" s="76"/>
      <c r="IJH52" s="76"/>
      <c r="IJI52" s="76"/>
      <c r="IJJ52" s="76"/>
      <c r="IJK52" s="76"/>
      <c r="IJL52" s="76"/>
      <c r="IJM52" s="76"/>
      <c r="IJN52" s="76"/>
      <c r="IJO52" s="76"/>
      <c r="IJP52" s="76"/>
      <c r="IJQ52" s="76"/>
      <c r="IJR52" s="76"/>
      <c r="IJS52" s="76"/>
      <c r="IJT52" s="76"/>
      <c r="IJU52" s="76"/>
      <c r="IJV52" s="76"/>
      <c r="IJW52" s="76"/>
      <c r="IJX52" s="76"/>
      <c r="IJY52" s="76"/>
      <c r="IJZ52" s="76"/>
      <c r="IKA52" s="76"/>
      <c r="IKB52" s="76"/>
      <c r="IKC52" s="76"/>
      <c r="IKD52" s="76"/>
      <c r="IKE52" s="76"/>
      <c r="IKF52" s="76"/>
      <c r="IKG52" s="76"/>
      <c r="IKH52" s="76"/>
      <c r="IKI52" s="76"/>
      <c r="IKJ52" s="76"/>
      <c r="IKK52" s="76"/>
      <c r="IKL52" s="76"/>
      <c r="IKM52" s="76"/>
      <c r="IKN52" s="76"/>
      <c r="IKO52" s="76"/>
      <c r="IKP52" s="76"/>
      <c r="IKQ52" s="76"/>
      <c r="IKR52" s="76"/>
      <c r="IKS52" s="76"/>
      <c r="IKT52" s="76"/>
      <c r="IKU52" s="76"/>
      <c r="IKV52" s="76"/>
      <c r="IKW52" s="76"/>
      <c r="IKX52" s="76"/>
      <c r="IKY52" s="76"/>
      <c r="IKZ52" s="76"/>
      <c r="ILA52" s="76"/>
      <c r="ILB52" s="76"/>
      <c r="ILC52" s="76"/>
      <c r="ILD52" s="76"/>
      <c r="ILE52" s="76"/>
      <c r="ILF52" s="76"/>
      <c r="ILG52" s="76"/>
      <c r="ILH52" s="76"/>
      <c r="ILI52" s="76"/>
      <c r="ILJ52" s="76"/>
      <c r="ILK52" s="76"/>
      <c r="ILL52" s="76"/>
      <c r="ILM52" s="76"/>
      <c r="ILN52" s="76"/>
      <c r="ILO52" s="76"/>
      <c r="ILP52" s="76"/>
      <c r="ILQ52" s="76"/>
      <c r="ILR52" s="76"/>
      <c r="ILS52" s="76"/>
      <c r="ILT52" s="76"/>
      <c r="ILU52" s="76"/>
      <c r="ILV52" s="76"/>
      <c r="ILW52" s="76"/>
      <c r="ILX52" s="76"/>
      <c r="ILY52" s="76"/>
      <c r="ILZ52" s="76"/>
      <c r="IMA52" s="76"/>
      <c r="IMB52" s="76"/>
      <c r="IMC52" s="76"/>
      <c r="IMD52" s="76"/>
      <c r="IME52" s="76"/>
      <c r="IMF52" s="76"/>
      <c r="IMG52" s="76"/>
      <c r="IMH52" s="76"/>
      <c r="IMI52" s="76"/>
      <c r="IMJ52" s="76"/>
      <c r="IMK52" s="76"/>
      <c r="IML52" s="76"/>
      <c r="IMM52" s="76"/>
      <c r="IMN52" s="76"/>
      <c r="IMO52" s="76"/>
      <c r="IMP52" s="76"/>
      <c r="IMQ52" s="76"/>
      <c r="IMR52" s="76"/>
      <c r="IMS52" s="76"/>
      <c r="IMT52" s="76"/>
      <c r="IMU52" s="76"/>
      <c r="IMV52" s="76"/>
      <c r="IMW52" s="76"/>
      <c r="IMX52" s="76"/>
      <c r="IMY52" s="76"/>
      <c r="IMZ52" s="76"/>
      <c r="INA52" s="76"/>
      <c r="INB52" s="76"/>
      <c r="INC52" s="76"/>
      <c r="IND52" s="76"/>
      <c r="INE52" s="76"/>
      <c r="INF52" s="76"/>
      <c r="ING52" s="76"/>
      <c r="INH52" s="76"/>
      <c r="INI52" s="76"/>
      <c r="INJ52" s="76"/>
      <c r="INK52" s="76"/>
      <c r="INL52" s="76"/>
      <c r="INM52" s="76"/>
      <c r="INN52" s="76"/>
      <c r="INO52" s="76"/>
      <c r="INP52" s="76"/>
      <c r="INQ52" s="76"/>
      <c r="INR52" s="76"/>
      <c r="INS52" s="76"/>
      <c r="INT52" s="76"/>
      <c r="INU52" s="76"/>
      <c r="INV52" s="76"/>
      <c r="INW52" s="76"/>
      <c r="INX52" s="76"/>
      <c r="INY52" s="76"/>
      <c r="INZ52" s="76"/>
      <c r="IOA52" s="76"/>
      <c r="IOB52" s="76"/>
      <c r="IOC52" s="76"/>
      <c r="IOD52" s="76"/>
      <c r="IOE52" s="76"/>
      <c r="IOF52" s="76"/>
      <c r="IOG52" s="76"/>
      <c r="IOH52" s="76"/>
      <c r="IOI52" s="76"/>
      <c r="IOJ52" s="76"/>
      <c r="IOK52" s="76"/>
      <c r="IOL52" s="76"/>
      <c r="IOM52" s="76"/>
      <c r="ION52" s="76"/>
      <c r="IOO52" s="76"/>
      <c r="IOP52" s="76"/>
      <c r="IOQ52" s="76"/>
      <c r="IOR52" s="76"/>
      <c r="IOS52" s="76"/>
      <c r="IOT52" s="76"/>
      <c r="IOU52" s="76"/>
      <c r="IOV52" s="76"/>
      <c r="IOW52" s="76"/>
      <c r="IOX52" s="76"/>
      <c r="IOY52" s="76"/>
      <c r="IOZ52" s="76"/>
      <c r="IPA52" s="76"/>
      <c r="IPB52" s="76"/>
      <c r="IPC52" s="76"/>
      <c r="IPD52" s="76"/>
      <c r="IPE52" s="76"/>
      <c r="IPF52" s="76"/>
      <c r="IPG52" s="76"/>
      <c r="IPH52" s="76"/>
      <c r="IPI52" s="76"/>
      <c r="IPJ52" s="76"/>
      <c r="IPK52" s="76"/>
      <c r="IPL52" s="76"/>
      <c r="IPM52" s="76"/>
      <c r="IPN52" s="76"/>
      <c r="IPO52" s="76"/>
      <c r="IPP52" s="76"/>
      <c r="IPQ52" s="76"/>
      <c r="IPR52" s="76"/>
      <c r="IPS52" s="76"/>
      <c r="IPT52" s="76"/>
      <c r="IPU52" s="76"/>
      <c r="IPV52" s="76"/>
      <c r="IPW52" s="76"/>
      <c r="IPX52" s="76"/>
      <c r="IPY52" s="76"/>
      <c r="IPZ52" s="76"/>
      <c r="IQA52" s="76"/>
      <c r="IQB52" s="76"/>
      <c r="IQC52" s="76"/>
      <c r="IQD52" s="76"/>
      <c r="IQE52" s="76"/>
      <c r="IQF52" s="76"/>
      <c r="IQG52" s="76"/>
      <c r="IQH52" s="76"/>
      <c r="IQI52" s="76"/>
      <c r="IQJ52" s="76"/>
      <c r="IQK52" s="76"/>
      <c r="IQL52" s="76"/>
      <c r="IQM52" s="76"/>
      <c r="IQN52" s="76"/>
      <c r="IQO52" s="76"/>
      <c r="IQP52" s="76"/>
      <c r="IQQ52" s="76"/>
      <c r="IQR52" s="76"/>
      <c r="IQS52" s="76"/>
      <c r="IQT52" s="76"/>
      <c r="IQU52" s="76"/>
      <c r="IQV52" s="76"/>
      <c r="IQW52" s="76"/>
      <c r="IQX52" s="76"/>
      <c r="IQY52" s="76"/>
      <c r="IQZ52" s="76"/>
      <c r="IRA52" s="76"/>
      <c r="IRB52" s="76"/>
      <c r="IRC52" s="76"/>
      <c r="IRD52" s="76"/>
      <c r="IRE52" s="76"/>
      <c r="IRF52" s="76"/>
      <c r="IRG52" s="76"/>
      <c r="IRH52" s="76"/>
      <c r="IRI52" s="76"/>
      <c r="IRJ52" s="76"/>
      <c r="IRK52" s="76"/>
      <c r="IRL52" s="76"/>
      <c r="IRM52" s="76"/>
      <c r="IRN52" s="76"/>
      <c r="IRO52" s="76"/>
      <c r="IRP52" s="76"/>
      <c r="IRQ52" s="76"/>
      <c r="IRR52" s="76"/>
      <c r="IRS52" s="76"/>
      <c r="IRT52" s="76"/>
      <c r="IRU52" s="76"/>
      <c r="IRV52" s="76"/>
      <c r="IRW52" s="76"/>
      <c r="IRX52" s="76"/>
      <c r="IRY52" s="76"/>
      <c r="IRZ52" s="76"/>
      <c r="ISA52" s="76"/>
      <c r="ISB52" s="76"/>
      <c r="ISC52" s="76"/>
      <c r="ISD52" s="76"/>
      <c r="ISE52" s="76"/>
      <c r="ISF52" s="76"/>
      <c r="ISG52" s="76"/>
      <c r="ISH52" s="76"/>
      <c r="ISI52" s="76"/>
      <c r="ISJ52" s="76"/>
      <c r="ISK52" s="76"/>
      <c r="ISL52" s="76"/>
      <c r="ISM52" s="76"/>
      <c r="ISN52" s="76"/>
      <c r="ISO52" s="76"/>
      <c r="ISP52" s="76"/>
      <c r="ISQ52" s="76"/>
      <c r="ISR52" s="76"/>
      <c r="ISS52" s="76"/>
      <c r="IST52" s="76"/>
      <c r="ISU52" s="76"/>
      <c r="ISV52" s="76"/>
      <c r="ISW52" s="76"/>
      <c r="ISX52" s="76"/>
      <c r="ISY52" s="76"/>
      <c r="ISZ52" s="76"/>
      <c r="ITA52" s="76"/>
      <c r="ITB52" s="76"/>
      <c r="ITC52" s="76"/>
      <c r="ITD52" s="76"/>
      <c r="ITE52" s="76"/>
      <c r="ITF52" s="76"/>
      <c r="ITG52" s="76"/>
      <c r="ITH52" s="76"/>
      <c r="ITI52" s="76"/>
      <c r="ITJ52" s="76"/>
      <c r="ITK52" s="76"/>
      <c r="ITL52" s="76"/>
      <c r="ITM52" s="76"/>
      <c r="ITN52" s="76"/>
      <c r="ITO52" s="76"/>
      <c r="ITP52" s="76"/>
      <c r="ITQ52" s="76"/>
      <c r="ITR52" s="76"/>
      <c r="ITS52" s="76"/>
      <c r="ITT52" s="76"/>
      <c r="ITU52" s="76"/>
      <c r="ITV52" s="76"/>
      <c r="ITW52" s="76"/>
      <c r="ITX52" s="76"/>
      <c r="ITY52" s="76"/>
      <c r="ITZ52" s="76"/>
      <c r="IUA52" s="76"/>
      <c r="IUB52" s="76"/>
      <c r="IUC52" s="76"/>
      <c r="IUD52" s="76"/>
      <c r="IUE52" s="76"/>
      <c r="IUF52" s="76"/>
      <c r="IUG52" s="76"/>
      <c r="IUH52" s="76"/>
      <c r="IUI52" s="76"/>
      <c r="IUJ52" s="76"/>
      <c r="IUK52" s="76"/>
      <c r="IUL52" s="76"/>
      <c r="IUM52" s="76"/>
      <c r="IUN52" s="76"/>
      <c r="IUO52" s="76"/>
      <c r="IUP52" s="76"/>
      <c r="IUQ52" s="76"/>
      <c r="IUR52" s="76"/>
      <c r="IUS52" s="76"/>
      <c r="IUT52" s="76"/>
      <c r="IUU52" s="76"/>
      <c r="IUV52" s="76"/>
      <c r="IUW52" s="76"/>
      <c r="IUX52" s="76"/>
      <c r="IUY52" s="76"/>
      <c r="IUZ52" s="76"/>
      <c r="IVA52" s="76"/>
      <c r="IVB52" s="76"/>
      <c r="IVC52" s="76"/>
      <c r="IVD52" s="76"/>
      <c r="IVE52" s="76"/>
      <c r="IVF52" s="76"/>
      <c r="IVG52" s="76"/>
      <c r="IVH52" s="76"/>
      <c r="IVI52" s="76"/>
      <c r="IVJ52" s="76"/>
      <c r="IVK52" s="76"/>
      <c r="IVL52" s="76"/>
      <c r="IVM52" s="76"/>
      <c r="IVN52" s="76"/>
      <c r="IVO52" s="76"/>
      <c r="IVP52" s="76"/>
      <c r="IVQ52" s="76"/>
      <c r="IVR52" s="76"/>
      <c r="IVS52" s="76"/>
      <c r="IVT52" s="76"/>
      <c r="IVU52" s="76"/>
      <c r="IVV52" s="76"/>
      <c r="IVW52" s="76"/>
      <c r="IVX52" s="76"/>
      <c r="IVY52" s="76"/>
      <c r="IVZ52" s="76"/>
      <c r="IWA52" s="76"/>
      <c r="IWB52" s="76"/>
      <c r="IWC52" s="76"/>
      <c r="IWD52" s="76"/>
      <c r="IWE52" s="76"/>
      <c r="IWF52" s="76"/>
      <c r="IWG52" s="76"/>
      <c r="IWH52" s="76"/>
      <c r="IWI52" s="76"/>
      <c r="IWJ52" s="76"/>
      <c r="IWK52" s="76"/>
      <c r="IWL52" s="76"/>
      <c r="IWM52" s="76"/>
      <c r="IWN52" s="76"/>
      <c r="IWO52" s="76"/>
      <c r="IWP52" s="76"/>
      <c r="IWQ52" s="76"/>
      <c r="IWR52" s="76"/>
      <c r="IWS52" s="76"/>
      <c r="IWT52" s="76"/>
      <c r="IWU52" s="76"/>
      <c r="IWV52" s="76"/>
      <c r="IWW52" s="76"/>
      <c r="IWX52" s="76"/>
      <c r="IWY52" s="76"/>
      <c r="IWZ52" s="76"/>
      <c r="IXA52" s="76"/>
      <c r="IXB52" s="76"/>
      <c r="IXC52" s="76"/>
      <c r="IXD52" s="76"/>
      <c r="IXE52" s="76"/>
      <c r="IXF52" s="76"/>
      <c r="IXG52" s="76"/>
      <c r="IXH52" s="76"/>
      <c r="IXI52" s="76"/>
      <c r="IXJ52" s="76"/>
      <c r="IXK52" s="76"/>
      <c r="IXL52" s="76"/>
      <c r="IXM52" s="76"/>
      <c r="IXN52" s="76"/>
      <c r="IXO52" s="76"/>
      <c r="IXP52" s="76"/>
      <c r="IXQ52" s="76"/>
      <c r="IXR52" s="76"/>
      <c r="IXS52" s="76"/>
      <c r="IXT52" s="76"/>
      <c r="IXU52" s="76"/>
      <c r="IXV52" s="76"/>
      <c r="IXW52" s="76"/>
      <c r="IXX52" s="76"/>
      <c r="IXY52" s="76"/>
      <c r="IXZ52" s="76"/>
      <c r="IYA52" s="76"/>
      <c r="IYB52" s="76"/>
      <c r="IYC52" s="76"/>
      <c r="IYD52" s="76"/>
      <c r="IYE52" s="76"/>
      <c r="IYF52" s="76"/>
      <c r="IYG52" s="76"/>
      <c r="IYH52" s="76"/>
      <c r="IYI52" s="76"/>
      <c r="IYJ52" s="76"/>
      <c r="IYK52" s="76"/>
      <c r="IYL52" s="76"/>
      <c r="IYM52" s="76"/>
      <c r="IYN52" s="76"/>
      <c r="IYO52" s="76"/>
      <c r="IYP52" s="76"/>
      <c r="IYQ52" s="76"/>
      <c r="IYR52" s="76"/>
      <c r="IYS52" s="76"/>
      <c r="IYT52" s="76"/>
      <c r="IYU52" s="76"/>
      <c r="IYV52" s="76"/>
      <c r="IYW52" s="76"/>
      <c r="IYX52" s="76"/>
      <c r="IYY52" s="76"/>
      <c r="IYZ52" s="76"/>
      <c r="IZA52" s="76"/>
      <c r="IZB52" s="76"/>
      <c r="IZC52" s="76"/>
      <c r="IZD52" s="76"/>
      <c r="IZE52" s="76"/>
      <c r="IZF52" s="76"/>
      <c r="IZG52" s="76"/>
      <c r="IZH52" s="76"/>
      <c r="IZI52" s="76"/>
      <c r="IZJ52" s="76"/>
      <c r="IZK52" s="76"/>
      <c r="IZL52" s="76"/>
      <c r="IZM52" s="76"/>
      <c r="IZN52" s="76"/>
      <c r="IZO52" s="76"/>
      <c r="IZP52" s="76"/>
      <c r="IZQ52" s="76"/>
      <c r="IZR52" s="76"/>
      <c r="IZS52" s="76"/>
      <c r="IZT52" s="76"/>
      <c r="IZU52" s="76"/>
      <c r="IZV52" s="76"/>
      <c r="IZW52" s="76"/>
      <c r="IZX52" s="76"/>
      <c r="IZY52" s="76"/>
      <c r="IZZ52" s="76"/>
      <c r="JAA52" s="76"/>
      <c r="JAB52" s="76"/>
      <c r="JAC52" s="76"/>
      <c r="JAD52" s="76"/>
      <c r="JAE52" s="76"/>
      <c r="JAF52" s="76"/>
      <c r="JAG52" s="76"/>
      <c r="JAH52" s="76"/>
      <c r="JAI52" s="76"/>
      <c r="JAJ52" s="76"/>
      <c r="JAK52" s="76"/>
      <c r="JAL52" s="76"/>
      <c r="JAM52" s="76"/>
      <c r="JAN52" s="76"/>
      <c r="JAO52" s="76"/>
      <c r="JAP52" s="76"/>
      <c r="JAQ52" s="76"/>
      <c r="JAR52" s="76"/>
      <c r="JAS52" s="76"/>
      <c r="JAT52" s="76"/>
      <c r="JAU52" s="76"/>
      <c r="JAV52" s="76"/>
      <c r="JAW52" s="76"/>
      <c r="JAX52" s="76"/>
      <c r="JAY52" s="76"/>
      <c r="JAZ52" s="76"/>
      <c r="JBA52" s="76"/>
      <c r="JBB52" s="76"/>
      <c r="JBC52" s="76"/>
      <c r="JBD52" s="76"/>
      <c r="JBE52" s="76"/>
      <c r="JBF52" s="76"/>
      <c r="JBG52" s="76"/>
      <c r="JBH52" s="76"/>
      <c r="JBI52" s="76"/>
      <c r="JBJ52" s="76"/>
      <c r="JBK52" s="76"/>
      <c r="JBL52" s="76"/>
      <c r="JBM52" s="76"/>
      <c r="JBN52" s="76"/>
      <c r="JBO52" s="76"/>
      <c r="JBP52" s="76"/>
      <c r="JBQ52" s="76"/>
      <c r="JBR52" s="76"/>
      <c r="JBS52" s="76"/>
      <c r="JBT52" s="76"/>
      <c r="JBU52" s="76"/>
      <c r="JBV52" s="76"/>
      <c r="JBW52" s="76"/>
      <c r="JBX52" s="76"/>
      <c r="JBY52" s="76"/>
      <c r="JBZ52" s="76"/>
      <c r="JCA52" s="76"/>
      <c r="JCB52" s="76"/>
      <c r="JCC52" s="76"/>
      <c r="JCD52" s="76"/>
      <c r="JCE52" s="76"/>
      <c r="JCF52" s="76"/>
      <c r="JCG52" s="76"/>
      <c r="JCH52" s="76"/>
      <c r="JCI52" s="76"/>
      <c r="JCJ52" s="76"/>
      <c r="JCK52" s="76"/>
      <c r="JCL52" s="76"/>
      <c r="JCM52" s="76"/>
      <c r="JCN52" s="76"/>
      <c r="JCO52" s="76"/>
      <c r="JCP52" s="76"/>
      <c r="JCQ52" s="76"/>
      <c r="JCR52" s="76"/>
      <c r="JCS52" s="76"/>
      <c r="JCT52" s="76"/>
      <c r="JCU52" s="76"/>
      <c r="JCV52" s="76"/>
      <c r="JCW52" s="76"/>
      <c r="JCX52" s="76"/>
      <c r="JCY52" s="76"/>
      <c r="JCZ52" s="76"/>
      <c r="JDA52" s="76"/>
      <c r="JDB52" s="76"/>
      <c r="JDC52" s="76"/>
      <c r="JDD52" s="76"/>
      <c r="JDE52" s="76"/>
      <c r="JDF52" s="76"/>
      <c r="JDG52" s="76"/>
      <c r="JDH52" s="76"/>
      <c r="JDI52" s="76"/>
      <c r="JDJ52" s="76"/>
      <c r="JDK52" s="76"/>
      <c r="JDL52" s="76"/>
      <c r="JDM52" s="76"/>
      <c r="JDN52" s="76"/>
      <c r="JDO52" s="76"/>
      <c r="JDP52" s="76"/>
      <c r="JDQ52" s="76"/>
      <c r="JDR52" s="76"/>
      <c r="JDS52" s="76"/>
      <c r="JDT52" s="76"/>
      <c r="JDU52" s="76"/>
      <c r="JDV52" s="76"/>
      <c r="JDW52" s="76"/>
      <c r="JDX52" s="76"/>
      <c r="JDY52" s="76"/>
      <c r="JDZ52" s="76"/>
      <c r="JEA52" s="76"/>
      <c r="JEB52" s="76"/>
      <c r="JEC52" s="76"/>
      <c r="JED52" s="76"/>
      <c r="JEE52" s="76"/>
      <c r="JEF52" s="76"/>
      <c r="JEG52" s="76"/>
      <c r="JEH52" s="76"/>
      <c r="JEI52" s="76"/>
      <c r="JEJ52" s="76"/>
      <c r="JEK52" s="76"/>
      <c r="JEL52" s="76"/>
      <c r="JEM52" s="76"/>
      <c r="JEN52" s="76"/>
      <c r="JEO52" s="76"/>
      <c r="JEP52" s="76"/>
      <c r="JEQ52" s="76"/>
      <c r="JER52" s="76"/>
      <c r="JES52" s="76"/>
      <c r="JET52" s="76"/>
      <c r="JEU52" s="76"/>
      <c r="JEV52" s="76"/>
      <c r="JEW52" s="76"/>
      <c r="JEX52" s="76"/>
      <c r="JEY52" s="76"/>
      <c r="JEZ52" s="76"/>
      <c r="JFA52" s="76"/>
      <c r="JFB52" s="76"/>
      <c r="JFC52" s="76"/>
      <c r="JFD52" s="76"/>
      <c r="JFE52" s="76"/>
      <c r="JFF52" s="76"/>
      <c r="JFG52" s="76"/>
      <c r="JFH52" s="76"/>
      <c r="JFI52" s="76"/>
      <c r="JFJ52" s="76"/>
      <c r="JFK52" s="76"/>
      <c r="JFL52" s="76"/>
      <c r="JFM52" s="76"/>
      <c r="JFN52" s="76"/>
      <c r="JFO52" s="76"/>
      <c r="JFP52" s="76"/>
      <c r="JFQ52" s="76"/>
      <c r="JFR52" s="76"/>
      <c r="JFS52" s="76"/>
      <c r="JFT52" s="76"/>
      <c r="JFU52" s="76"/>
      <c r="JFV52" s="76"/>
      <c r="JFW52" s="76"/>
      <c r="JFX52" s="76"/>
      <c r="JFY52" s="76"/>
      <c r="JFZ52" s="76"/>
      <c r="JGA52" s="76"/>
      <c r="JGB52" s="76"/>
      <c r="JGC52" s="76"/>
      <c r="JGD52" s="76"/>
      <c r="JGE52" s="76"/>
      <c r="JGF52" s="76"/>
      <c r="JGG52" s="76"/>
      <c r="JGH52" s="76"/>
      <c r="JGI52" s="76"/>
      <c r="JGJ52" s="76"/>
      <c r="JGK52" s="76"/>
      <c r="JGL52" s="76"/>
      <c r="JGM52" s="76"/>
      <c r="JGN52" s="76"/>
      <c r="JGO52" s="76"/>
      <c r="JGP52" s="76"/>
      <c r="JGQ52" s="76"/>
      <c r="JGR52" s="76"/>
      <c r="JGS52" s="76"/>
      <c r="JGT52" s="76"/>
      <c r="JGU52" s="76"/>
      <c r="JGV52" s="76"/>
      <c r="JGW52" s="76"/>
      <c r="JGX52" s="76"/>
      <c r="JGY52" s="76"/>
      <c r="JGZ52" s="76"/>
      <c r="JHA52" s="76"/>
      <c r="JHB52" s="76"/>
      <c r="JHC52" s="76"/>
      <c r="JHD52" s="76"/>
      <c r="JHE52" s="76"/>
      <c r="JHF52" s="76"/>
      <c r="JHG52" s="76"/>
      <c r="JHH52" s="76"/>
      <c r="JHI52" s="76"/>
      <c r="JHJ52" s="76"/>
      <c r="JHK52" s="76"/>
      <c r="JHL52" s="76"/>
      <c r="JHM52" s="76"/>
      <c r="JHN52" s="76"/>
      <c r="JHO52" s="76"/>
      <c r="JHP52" s="76"/>
      <c r="JHQ52" s="76"/>
      <c r="JHR52" s="76"/>
      <c r="JHS52" s="76"/>
      <c r="JHT52" s="76"/>
      <c r="JHU52" s="76"/>
      <c r="JHV52" s="76"/>
      <c r="JHW52" s="76"/>
      <c r="JHX52" s="76"/>
      <c r="JHY52" s="76"/>
      <c r="JHZ52" s="76"/>
      <c r="JIA52" s="76"/>
      <c r="JIB52" s="76"/>
      <c r="JIC52" s="76"/>
      <c r="JID52" s="76"/>
      <c r="JIE52" s="76"/>
      <c r="JIF52" s="76"/>
      <c r="JIG52" s="76"/>
      <c r="JIH52" s="76"/>
      <c r="JII52" s="76"/>
      <c r="JIJ52" s="76"/>
      <c r="JIK52" s="76"/>
      <c r="JIL52" s="76"/>
      <c r="JIM52" s="76"/>
      <c r="JIN52" s="76"/>
      <c r="JIO52" s="76"/>
      <c r="JIP52" s="76"/>
      <c r="JIQ52" s="76"/>
      <c r="JIR52" s="76"/>
      <c r="JIS52" s="76"/>
      <c r="JIT52" s="76"/>
      <c r="JIU52" s="76"/>
      <c r="JIV52" s="76"/>
      <c r="JIW52" s="76"/>
      <c r="JIX52" s="76"/>
      <c r="JIY52" s="76"/>
      <c r="JIZ52" s="76"/>
      <c r="JJA52" s="76"/>
      <c r="JJB52" s="76"/>
      <c r="JJC52" s="76"/>
      <c r="JJD52" s="76"/>
      <c r="JJE52" s="76"/>
      <c r="JJF52" s="76"/>
      <c r="JJG52" s="76"/>
      <c r="JJH52" s="76"/>
      <c r="JJI52" s="76"/>
      <c r="JJJ52" s="76"/>
      <c r="JJK52" s="76"/>
      <c r="JJL52" s="76"/>
      <c r="JJM52" s="76"/>
      <c r="JJN52" s="76"/>
      <c r="JJO52" s="76"/>
      <c r="JJP52" s="76"/>
      <c r="JJQ52" s="76"/>
      <c r="JJR52" s="76"/>
      <c r="JJS52" s="76"/>
      <c r="JJT52" s="76"/>
      <c r="JJU52" s="76"/>
      <c r="JJV52" s="76"/>
      <c r="JJW52" s="76"/>
      <c r="JJX52" s="76"/>
      <c r="JJY52" s="76"/>
      <c r="JJZ52" s="76"/>
      <c r="JKA52" s="76"/>
      <c r="JKB52" s="76"/>
      <c r="JKC52" s="76"/>
      <c r="JKD52" s="76"/>
      <c r="JKE52" s="76"/>
      <c r="JKF52" s="76"/>
      <c r="JKG52" s="76"/>
      <c r="JKH52" s="76"/>
      <c r="JKI52" s="76"/>
      <c r="JKJ52" s="76"/>
      <c r="JKK52" s="76"/>
      <c r="JKL52" s="76"/>
      <c r="JKM52" s="76"/>
      <c r="JKN52" s="76"/>
      <c r="JKO52" s="76"/>
      <c r="JKP52" s="76"/>
      <c r="JKQ52" s="76"/>
      <c r="JKR52" s="76"/>
      <c r="JKS52" s="76"/>
      <c r="JKT52" s="76"/>
      <c r="JKU52" s="76"/>
      <c r="JKV52" s="76"/>
      <c r="JKW52" s="76"/>
      <c r="JKX52" s="76"/>
      <c r="JKY52" s="76"/>
      <c r="JKZ52" s="76"/>
      <c r="JLA52" s="76"/>
      <c r="JLB52" s="76"/>
      <c r="JLC52" s="76"/>
      <c r="JLD52" s="76"/>
      <c r="JLE52" s="76"/>
      <c r="JLF52" s="76"/>
      <c r="JLG52" s="76"/>
      <c r="JLH52" s="76"/>
      <c r="JLI52" s="76"/>
      <c r="JLJ52" s="76"/>
      <c r="JLK52" s="76"/>
      <c r="JLL52" s="76"/>
      <c r="JLM52" s="76"/>
      <c r="JLN52" s="76"/>
      <c r="JLO52" s="76"/>
      <c r="JLP52" s="76"/>
      <c r="JLQ52" s="76"/>
      <c r="JLR52" s="76"/>
      <c r="JLS52" s="76"/>
      <c r="JLT52" s="76"/>
      <c r="JLU52" s="76"/>
      <c r="JLV52" s="76"/>
      <c r="JLW52" s="76"/>
      <c r="JLX52" s="76"/>
      <c r="JLY52" s="76"/>
      <c r="JLZ52" s="76"/>
      <c r="JMA52" s="76"/>
      <c r="JMB52" s="76"/>
      <c r="JMC52" s="76"/>
      <c r="JMD52" s="76"/>
      <c r="JME52" s="76"/>
      <c r="JMF52" s="76"/>
      <c r="JMG52" s="76"/>
      <c r="JMH52" s="76"/>
      <c r="JMI52" s="76"/>
      <c r="JMJ52" s="76"/>
      <c r="JMK52" s="76"/>
      <c r="JML52" s="76"/>
      <c r="JMM52" s="76"/>
      <c r="JMN52" s="76"/>
      <c r="JMO52" s="76"/>
      <c r="JMP52" s="76"/>
      <c r="JMQ52" s="76"/>
      <c r="JMR52" s="76"/>
      <c r="JMS52" s="76"/>
      <c r="JMT52" s="76"/>
      <c r="JMU52" s="76"/>
      <c r="JMV52" s="76"/>
      <c r="JMW52" s="76"/>
      <c r="JMX52" s="76"/>
      <c r="JMY52" s="76"/>
      <c r="JMZ52" s="76"/>
      <c r="JNA52" s="76"/>
      <c r="JNB52" s="76"/>
      <c r="JNC52" s="76"/>
      <c r="JND52" s="76"/>
      <c r="JNE52" s="76"/>
      <c r="JNF52" s="76"/>
      <c r="JNG52" s="76"/>
      <c r="JNH52" s="76"/>
      <c r="JNI52" s="76"/>
      <c r="JNJ52" s="76"/>
      <c r="JNK52" s="76"/>
      <c r="JNL52" s="76"/>
      <c r="JNM52" s="76"/>
      <c r="JNN52" s="76"/>
      <c r="JNO52" s="76"/>
      <c r="JNP52" s="76"/>
      <c r="JNQ52" s="76"/>
      <c r="JNR52" s="76"/>
      <c r="JNS52" s="76"/>
      <c r="JNT52" s="76"/>
      <c r="JNU52" s="76"/>
      <c r="JNV52" s="76"/>
      <c r="JNW52" s="76"/>
      <c r="JNX52" s="76"/>
      <c r="JNY52" s="76"/>
      <c r="JNZ52" s="76"/>
      <c r="JOA52" s="76"/>
      <c r="JOB52" s="76"/>
      <c r="JOC52" s="76"/>
      <c r="JOD52" s="76"/>
      <c r="JOE52" s="76"/>
      <c r="JOF52" s="76"/>
      <c r="JOG52" s="76"/>
      <c r="JOH52" s="76"/>
      <c r="JOI52" s="76"/>
      <c r="JOJ52" s="76"/>
      <c r="JOK52" s="76"/>
      <c r="JOL52" s="76"/>
      <c r="JOM52" s="76"/>
      <c r="JON52" s="76"/>
      <c r="JOO52" s="76"/>
      <c r="JOP52" s="76"/>
      <c r="JOQ52" s="76"/>
      <c r="JOR52" s="76"/>
      <c r="JOS52" s="76"/>
      <c r="JOT52" s="76"/>
      <c r="JOU52" s="76"/>
      <c r="JOV52" s="76"/>
      <c r="JOW52" s="76"/>
      <c r="JOX52" s="76"/>
      <c r="JOY52" s="76"/>
      <c r="JOZ52" s="76"/>
      <c r="JPA52" s="76"/>
      <c r="JPB52" s="76"/>
      <c r="JPC52" s="76"/>
      <c r="JPD52" s="76"/>
      <c r="JPE52" s="76"/>
      <c r="JPF52" s="76"/>
      <c r="JPG52" s="76"/>
      <c r="JPH52" s="76"/>
      <c r="JPI52" s="76"/>
      <c r="JPJ52" s="76"/>
      <c r="JPK52" s="76"/>
      <c r="JPL52" s="76"/>
      <c r="JPM52" s="76"/>
      <c r="JPN52" s="76"/>
      <c r="JPO52" s="76"/>
      <c r="JPP52" s="76"/>
      <c r="JPQ52" s="76"/>
      <c r="JPR52" s="76"/>
      <c r="JPS52" s="76"/>
      <c r="JPT52" s="76"/>
      <c r="JPU52" s="76"/>
      <c r="JPV52" s="76"/>
      <c r="JPW52" s="76"/>
      <c r="JPX52" s="76"/>
      <c r="JPY52" s="76"/>
      <c r="JPZ52" s="76"/>
      <c r="JQA52" s="76"/>
      <c r="JQB52" s="76"/>
      <c r="JQC52" s="76"/>
      <c r="JQD52" s="76"/>
      <c r="JQE52" s="76"/>
      <c r="JQF52" s="76"/>
      <c r="JQG52" s="76"/>
      <c r="JQH52" s="76"/>
      <c r="JQI52" s="76"/>
      <c r="JQJ52" s="76"/>
      <c r="JQK52" s="76"/>
      <c r="JQL52" s="76"/>
      <c r="JQM52" s="76"/>
      <c r="JQN52" s="76"/>
      <c r="JQO52" s="76"/>
      <c r="JQP52" s="76"/>
      <c r="JQQ52" s="76"/>
      <c r="JQR52" s="76"/>
      <c r="JQS52" s="76"/>
      <c r="JQT52" s="76"/>
      <c r="JQU52" s="76"/>
      <c r="JQV52" s="76"/>
      <c r="JQW52" s="76"/>
      <c r="JQX52" s="76"/>
      <c r="JQY52" s="76"/>
      <c r="JQZ52" s="76"/>
      <c r="JRA52" s="76"/>
      <c r="JRB52" s="76"/>
      <c r="JRC52" s="76"/>
      <c r="JRD52" s="76"/>
      <c r="JRE52" s="76"/>
      <c r="JRF52" s="76"/>
      <c r="JRG52" s="76"/>
      <c r="JRH52" s="76"/>
      <c r="JRI52" s="76"/>
      <c r="JRJ52" s="76"/>
      <c r="JRK52" s="76"/>
      <c r="JRL52" s="76"/>
      <c r="JRM52" s="76"/>
      <c r="JRN52" s="76"/>
      <c r="JRO52" s="76"/>
      <c r="JRP52" s="76"/>
      <c r="JRQ52" s="76"/>
      <c r="JRR52" s="76"/>
      <c r="JRS52" s="76"/>
      <c r="JRT52" s="76"/>
      <c r="JRU52" s="76"/>
      <c r="JRV52" s="76"/>
      <c r="JRW52" s="76"/>
      <c r="JRX52" s="76"/>
      <c r="JRY52" s="76"/>
      <c r="JRZ52" s="76"/>
      <c r="JSA52" s="76"/>
      <c r="JSB52" s="76"/>
      <c r="JSC52" s="76"/>
      <c r="JSD52" s="76"/>
      <c r="JSE52" s="76"/>
      <c r="JSF52" s="76"/>
      <c r="JSG52" s="76"/>
      <c r="JSH52" s="76"/>
      <c r="JSI52" s="76"/>
      <c r="JSJ52" s="76"/>
      <c r="JSK52" s="76"/>
      <c r="JSL52" s="76"/>
      <c r="JSM52" s="76"/>
      <c r="JSN52" s="76"/>
      <c r="JSO52" s="76"/>
      <c r="JSP52" s="76"/>
      <c r="JSQ52" s="76"/>
      <c r="JSR52" s="76"/>
      <c r="JSS52" s="76"/>
      <c r="JST52" s="76"/>
      <c r="JSU52" s="76"/>
      <c r="JSV52" s="76"/>
      <c r="JSW52" s="76"/>
      <c r="JSX52" s="76"/>
      <c r="JSY52" s="76"/>
      <c r="JSZ52" s="76"/>
      <c r="JTA52" s="76"/>
      <c r="JTB52" s="76"/>
      <c r="JTC52" s="76"/>
      <c r="JTD52" s="76"/>
      <c r="JTE52" s="76"/>
      <c r="JTF52" s="76"/>
      <c r="JTG52" s="76"/>
      <c r="JTH52" s="76"/>
      <c r="JTI52" s="76"/>
      <c r="JTJ52" s="76"/>
      <c r="JTK52" s="76"/>
      <c r="JTL52" s="76"/>
      <c r="JTM52" s="76"/>
      <c r="JTN52" s="76"/>
      <c r="JTO52" s="76"/>
      <c r="JTP52" s="76"/>
      <c r="JTQ52" s="76"/>
      <c r="JTR52" s="76"/>
      <c r="JTS52" s="76"/>
      <c r="JTT52" s="76"/>
      <c r="JTU52" s="76"/>
      <c r="JTV52" s="76"/>
      <c r="JTW52" s="76"/>
      <c r="JTX52" s="76"/>
      <c r="JTY52" s="76"/>
      <c r="JTZ52" s="76"/>
      <c r="JUA52" s="76"/>
      <c r="JUB52" s="76"/>
      <c r="JUC52" s="76"/>
      <c r="JUD52" s="76"/>
      <c r="JUE52" s="76"/>
      <c r="JUF52" s="76"/>
      <c r="JUG52" s="76"/>
      <c r="JUH52" s="76"/>
      <c r="JUI52" s="76"/>
      <c r="JUJ52" s="76"/>
      <c r="JUK52" s="76"/>
      <c r="JUL52" s="76"/>
      <c r="JUM52" s="76"/>
      <c r="JUN52" s="76"/>
      <c r="JUO52" s="76"/>
      <c r="JUP52" s="76"/>
      <c r="JUQ52" s="76"/>
      <c r="JUR52" s="76"/>
      <c r="JUS52" s="76"/>
      <c r="JUT52" s="76"/>
      <c r="JUU52" s="76"/>
      <c r="JUV52" s="76"/>
      <c r="JUW52" s="76"/>
      <c r="JUX52" s="76"/>
      <c r="JUY52" s="76"/>
      <c r="JUZ52" s="76"/>
      <c r="JVA52" s="76"/>
      <c r="JVB52" s="76"/>
      <c r="JVC52" s="76"/>
      <c r="JVD52" s="76"/>
      <c r="JVE52" s="76"/>
      <c r="JVF52" s="76"/>
      <c r="JVG52" s="76"/>
      <c r="JVH52" s="76"/>
      <c r="JVI52" s="76"/>
      <c r="JVJ52" s="76"/>
      <c r="JVK52" s="76"/>
      <c r="JVL52" s="76"/>
      <c r="JVM52" s="76"/>
      <c r="JVN52" s="76"/>
      <c r="JVO52" s="76"/>
      <c r="JVP52" s="76"/>
      <c r="JVQ52" s="76"/>
      <c r="JVR52" s="76"/>
      <c r="JVS52" s="76"/>
      <c r="JVT52" s="76"/>
      <c r="JVU52" s="76"/>
      <c r="JVV52" s="76"/>
      <c r="JVW52" s="76"/>
      <c r="JVX52" s="76"/>
      <c r="JVY52" s="76"/>
      <c r="JVZ52" s="76"/>
      <c r="JWA52" s="76"/>
      <c r="JWB52" s="76"/>
      <c r="JWC52" s="76"/>
      <c r="JWD52" s="76"/>
      <c r="JWE52" s="76"/>
      <c r="JWF52" s="76"/>
      <c r="JWG52" s="76"/>
      <c r="JWH52" s="76"/>
      <c r="JWI52" s="76"/>
      <c r="JWJ52" s="76"/>
      <c r="JWK52" s="76"/>
      <c r="JWL52" s="76"/>
      <c r="JWM52" s="76"/>
      <c r="JWN52" s="76"/>
      <c r="JWO52" s="76"/>
      <c r="JWP52" s="76"/>
      <c r="JWQ52" s="76"/>
      <c r="JWR52" s="76"/>
      <c r="JWS52" s="76"/>
      <c r="JWT52" s="76"/>
      <c r="JWU52" s="76"/>
      <c r="JWV52" s="76"/>
      <c r="JWW52" s="76"/>
      <c r="JWX52" s="76"/>
      <c r="JWY52" s="76"/>
      <c r="JWZ52" s="76"/>
      <c r="JXA52" s="76"/>
      <c r="JXB52" s="76"/>
      <c r="JXC52" s="76"/>
      <c r="JXD52" s="76"/>
      <c r="JXE52" s="76"/>
      <c r="JXF52" s="76"/>
      <c r="JXG52" s="76"/>
      <c r="JXH52" s="76"/>
      <c r="JXI52" s="76"/>
      <c r="JXJ52" s="76"/>
      <c r="JXK52" s="76"/>
      <c r="JXL52" s="76"/>
      <c r="JXM52" s="76"/>
      <c r="JXN52" s="76"/>
      <c r="JXO52" s="76"/>
      <c r="JXP52" s="76"/>
      <c r="JXQ52" s="76"/>
      <c r="JXR52" s="76"/>
      <c r="JXS52" s="76"/>
      <c r="JXT52" s="76"/>
      <c r="JXU52" s="76"/>
      <c r="JXV52" s="76"/>
      <c r="JXW52" s="76"/>
      <c r="JXX52" s="76"/>
      <c r="JXY52" s="76"/>
      <c r="JXZ52" s="76"/>
      <c r="JYA52" s="76"/>
      <c r="JYB52" s="76"/>
      <c r="JYC52" s="76"/>
      <c r="JYD52" s="76"/>
      <c r="JYE52" s="76"/>
      <c r="JYF52" s="76"/>
      <c r="JYG52" s="76"/>
      <c r="JYH52" s="76"/>
      <c r="JYI52" s="76"/>
      <c r="JYJ52" s="76"/>
      <c r="JYK52" s="76"/>
      <c r="JYL52" s="76"/>
      <c r="JYM52" s="76"/>
      <c r="JYN52" s="76"/>
      <c r="JYO52" s="76"/>
      <c r="JYP52" s="76"/>
      <c r="JYQ52" s="76"/>
      <c r="JYR52" s="76"/>
      <c r="JYS52" s="76"/>
      <c r="JYT52" s="76"/>
      <c r="JYU52" s="76"/>
      <c r="JYV52" s="76"/>
      <c r="JYW52" s="76"/>
      <c r="JYX52" s="76"/>
      <c r="JYY52" s="76"/>
      <c r="JYZ52" s="76"/>
      <c r="JZA52" s="76"/>
      <c r="JZB52" s="76"/>
      <c r="JZC52" s="76"/>
      <c r="JZD52" s="76"/>
      <c r="JZE52" s="76"/>
      <c r="JZF52" s="76"/>
      <c r="JZG52" s="76"/>
      <c r="JZH52" s="76"/>
      <c r="JZI52" s="76"/>
      <c r="JZJ52" s="76"/>
      <c r="JZK52" s="76"/>
      <c r="JZL52" s="76"/>
      <c r="JZM52" s="76"/>
      <c r="JZN52" s="76"/>
      <c r="JZO52" s="76"/>
      <c r="JZP52" s="76"/>
      <c r="JZQ52" s="76"/>
      <c r="JZR52" s="76"/>
      <c r="JZS52" s="76"/>
      <c r="JZT52" s="76"/>
      <c r="JZU52" s="76"/>
      <c r="JZV52" s="76"/>
      <c r="JZW52" s="76"/>
      <c r="JZX52" s="76"/>
      <c r="JZY52" s="76"/>
      <c r="JZZ52" s="76"/>
      <c r="KAA52" s="76"/>
      <c r="KAB52" s="76"/>
      <c r="KAC52" s="76"/>
      <c r="KAD52" s="76"/>
      <c r="KAE52" s="76"/>
      <c r="KAF52" s="76"/>
      <c r="KAG52" s="76"/>
      <c r="KAH52" s="76"/>
      <c r="KAI52" s="76"/>
      <c r="KAJ52" s="76"/>
      <c r="KAK52" s="76"/>
      <c r="KAL52" s="76"/>
      <c r="KAM52" s="76"/>
      <c r="KAN52" s="76"/>
      <c r="KAO52" s="76"/>
      <c r="KAP52" s="76"/>
      <c r="KAQ52" s="76"/>
      <c r="KAR52" s="76"/>
      <c r="KAS52" s="76"/>
      <c r="KAT52" s="76"/>
      <c r="KAU52" s="76"/>
      <c r="KAV52" s="76"/>
      <c r="KAW52" s="76"/>
      <c r="KAX52" s="76"/>
      <c r="KAY52" s="76"/>
      <c r="KAZ52" s="76"/>
      <c r="KBA52" s="76"/>
      <c r="KBB52" s="76"/>
      <c r="KBC52" s="76"/>
      <c r="KBD52" s="76"/>
      <c r="KBE52" s="76"/>
      <c r="KBF52" s="76"/>
      <c r="KBG52" s="76"/>
      <c r="KBH52" s="76"/>
      <c r="KBI52" s="76"/>
      <c r="KBJ52" s="76"/>
      <c r="KBK52" s="76"/>
      <c r="KBL52" s="76"/>
      <c r="KBM52" s="76"/>
      <c r="KBN52" s="76"/>
      <c r="KBO52" s="76"/>
      <c r="KBP52" s="76"/>
      <c r="KBQ52" s="76"/>
      <c r="KBR52" s="76"/>
      <c r="KBS52" s="76"/>
      <c r="KBT52" s="76"/>
      <c r="KBU52" s="76"/>
      <c r="KBV52" s="76"/>
      <c r="KBW52" s="76"/>
      <c r="KBX52" s="76"/>
      <c r="KBY52" s="76"/>
      <c r="KBZ52" s="76"/>
      <c r="KCA52" s="76"/>
      <c r="KCB52" s="76"/>
      <c r="KCC52" s="76"/>
      <c r="KCD52" s="76"/>
      <c r="KCE52" s="76"/>
      <c r="KCF52" s="76"/>
      <c r="KCG52" s="76"/>
      <c r="KCH52" s="76"/>
      <c r="KCI52" s="76"/>
      <c r="KCJ52" s="76"/>
      <c r="KCK52" s="76"/>
      <c r="KCL52" s="76"/>
      <c r="KCM52" s="76"/>
      <c r="KCN52" s="76"/>
      <c r="KCO52" s="76"/>
      <c r="KCP52" s="76"/>
      <c r="KCQ52" s="76"/>
      <c r="KCR52" s="76"/>
      <c r="KCS52" s="76"/>
      <c r="KCT52" s="76"/>
      <c r="KCU52" s="76"/>
      <c r="KCV52" s="76"/>
      <c r="KCW52" s="76"/>
      <c r="KCX52" s="76"/>
      <c r="KCY52" s="76"/>
      <c r="KCZ52" s="76"/>
      <c r="KDA52" s="76"/>
      <c r="KDB52" s="76"/>
      <c r="KDC52" s="76"/>
      <c r="KDD52" s="76"/>
      <c r="KDE52" s="76"/>
      <c r="KDF52" s="76"/>
      <c r="KDG52" s="76"/>
      <c r="KDH52" s="76"/>
      <c r="KDI52" s="76"/>
      <c r="KDJ52" s="76"/>
      <c r="KDK52" s="76"/>
      <c r="KDL52" s="76"/>
      <c r="KDM52" s="76"/>
      <c r="KDN52" s="76"/>
      <c r="KDO52" s="76"/>
      <c r="KDP52" s="76"/>
      <c r="KDQ52" s="76"/>
      <c r="KDR52" s="76"/>
      <c r="KDS52" s="76"/>
      <c r="KDT52" s="76"/>
      <c r="KDU52" s="76"/>
      <c r="KDV52" s="76"/>
      <c r="KDW52" s="76"/>
      <c r="KDX52" s="76"/>
      <c r="KDY52" s="76"/>
      <c r="KDZ52" s="76"/>
      <c r="KEA52" s="76"/>
      <c r="KEB52" s="76"/>
      <c r="KEC52" s="76"/>
      <c r="KED52" s="76"/>
      <c r="KEE52" s="76"/>
      <c r="KEF52" s="76"/>
      <c r="KEG52" s="76"/>
      <c r="KEH52" s="76"/>
      <c r="KEI52" s="76"/>
      <c r="KEJ52" s="76"/>
      <c r="KEK52" s="76"/>
      <c r="KEL52" s="76"/>
      <c r="KEM52" s="76"/>
      <c r="KEN52" s="76"/>
      <c r="KEO52" s="76"/>
      <c r="KEP52" s="76"/>
      <c r="KEQ52" s="76"/>
      <c r="KER52" s="76"/>
      <c r="KES52" s="76"/>
      <c r="KET52" s="76"/>
      <c r="KEU52" s="76"/>
      <c r="KEV52" s="76"/>
      <c r="KEW52" s="76"/>
      <c r="KEX52" s="76"/>
      <c r="KEY52" s="76"/>
      <c r="KEZ52" s="76"/>
      <c r="KFA52" s="76"/>
      <c r="KFB52" s="76"/>
      <c r="KFC52" s="76"/>
      <c r="KFD52" s="76"/>
      <c r="KFE52" s="76"/>
      <c r="KFF52" s="76"/>
      <c r="KFG52" s="76"/>
      <c r="KFH52" s="76"/>
      <c r="KFI52" s="76"/>
      <c r="KFJ52" s="76"/>
      <c r="KFK52" s="76"/>
      <c r="KFL52" s="76"/>
      <c r="KFM52" s="76"/>
      <c r="KFN52" s="76"/>
      <c r="KFO52" s="76"/>
      <c r="KFP52" s="76"/>
      <c r="KFQ52" s="76"/>
      <c r="KFR52" s="76"/>
      <c r="KFS52" s="76"/>
      <c r="KFT52" s="76"/>
      <c r="KFU52" s="76"/>
      <c r="KFV52" s="76"/>
      <c r="KFW52" s="76"/>
      <c r="KFX52" s="76"/>
      <c r="KFY52" s="76"/>
      <c r="KFZ52" s="76"/>
      <c r="KGA52" s="76"/>
      <c r="KGB52" s="76"/>
      <c r="KGC52" s="76"/>
      <c r="KGD52" s="76"/>
      <c r="KGE52" s="76"/>
      <c r="KGF52" s="76"/>
      <c r="KGG52" s="76"/>
      <c r="KGH52" s="76"/>
      <c r="KGI52" s="76"/>
      <c r="KGJ52" s="76"/>
      <c r="KGK52" s="76"/>
      <c r="KGL52" s="76"/>
      <c r="KGM52" s="76"/>
      <c r="KGN52" s="76"/>
      <c r="KGO52" s="76"/>
      <c r="KGP52" s="76"/>
      <c r="KGQ52" s="76"/>
      <c r="KGR52" s="76"/>
      <c r="KGS52" s="76"/>
      <c r="KGT52" s="76"/>
      <c r="KGU52" s="76"/>
      <c r="KGV52" s="76"/>
      <c r="KGW52" s="76"/>
      <c r="KGX52" s="76"/>
      <c r="KGY52" s="76"/>
      <c r="KGZ52" s="76"/>
      <c r="KHA52" s="76"/>
      <c r="KHB52" s="76"/>
      <c r="KHC52" s="76"/>
      <c r="KHD52" s="76"/>
      <c r="KHE52" s="76"/>
      <c r="KHF52" s="76"/>
      <c r="KHG52" s="76"/>
      <c r="KHH52" s="76"/>
      <c r="KHI52" s="76"/>
      <c r="KHJ52" s="76"/>
      <c r="KHK52" s="76"/>
      <c r="KHL52" s="76"/>
      <c r="KHM52" s="76"/>
      <c r="KHN52" s="76"/>
      <c r="KHO52" s="76"/>
      <c r="KHP52" s="76"/>
      <c r="KHQ52" s="76"/>
      <c r="KHR52" s="76"/>
      <c r="KHS52" s="76"/>
      <c r="KHT52" s="76"/>
      <c r="KHU52" s="76"/>
      <c r="KHV52" s="76"/>
      <c r="KHW52" s="76"/>
      <c r="KHX52" s="76"/>
      <c r="KHY52" s="76"/>
      <c r="KHZ52" s="76"/>
      <c r="KIA52" s="76"/>
      <c r="KIB52" s="76"/>
      <c r="KIC52" s="76"/>
      <c r="KID52" s="76"/>
      <c r="KIE52" s="76"/>
      <c r="KIF52" s="76"/>
      <c r="KIG52" s="76"/>
      <c r="KIH52" s="76"/>
      <c r="KII52" s="76"/>
      <c r="KIJ52" s="76"/>
      <c r="KIK52" s="76"/>
      <c r="KIL52" s="76"/>
      <c r="KIM52" s="76"/>
      <c r="KIN52" s="76"/>
      <c r="KIO52" s="76"/>
      <c r="KIP52" s="76"/>
      <c r="KIQ52" s="76"/>
      <c r="KIR52" s="76"/>
      <c r="KIS52" s="76"/>
      <c r="KIT52" s="76"/>
      <c r="KIU52" s="76"/>
      <c r="KIV52" s="76"/>
      <c r="KIW52" s="76"/>
      <c r="KIX52" s="76"/>
      <c r="KIY52" s="76"/>
      <c r="KIZ52" s="76"/>
      <c r="KJA52" s="76"/>
      <c r="KJB52" s="76"/>
      <c r="KJC52" s="76"/>
      <c r="KJD52" s="76"/>
      <c r="KJE52" s="76"/>
      <c r="KJF52" s="76"/>
      <c r="KJG52" s="76"/>
      <c r="KJH52" s="76"/>
      <c r="KJI52" s="76"/>
      <c r="KJJ52" s="76"/>
      <c r="KJK52" s="76"/>
      <c r="KJL52" s="76"/>
      <c r="KJM52" s="76"/>
      <c r="KJN52" s="76"/>
      <c r="KJO52" s="76"/>
      <c r="KJP52" s="76"/>
      <c r="KJQ52" s="76"/>
      <c r="KJR52" s="76"/>
      <c r="KJS52" s="76"/>
      <c r="KJT52" s="76"/>
      <c r="KJU52" s="76"/>
      <c r="KJV52" s="76"/>
      <c r="KJW52" s="76"/>
      <c r="KJX52" s="76"/>
      <c r="KJY52" s="76"/>
      <c r="KJZ52" s="76"/>
      <c r="KKA52" s="76"/>
      <c r="KKB52" s="76"/>
      <c r="KKC52" s="76"/>
      <c r="KKD52" s="76"/>
      <c r="KKE52" s="76"/>
      <c r="KKF52" s="76"/>
      <c r="KKG52" s="76"/>
      <c r="KKH52" s="76"/>
      <c r="KKI52" s="76"/>
      <c r="KKJ52" s="76"/>
      <c r="KKK52" s="76"/>
      <c r="KKL52" s="76"/>
      <c r="KKM52" s="76"/>
      <c r="KKN52" s="76"/>
      <c r="KKO52" s="76"/>
      <c r="KKP52" s="76"/>
      <c r="KKQ52" s="76"/>
      <c r="KKR52" s="76"/>
      <c r="KKS52" s="76"/>
      <c r="KKT52" s="76"/>
      <c r="KKU52" s="76"/>
      <c r="KKV52" s="76"/>
      <c r="KKW52" s="76"/>
      <c r="KKX52" s="76"/>
      <c r="KKY52" s="76"/>
      <c r="KKZ52" s="76"/>
      <c r="KLA52" s="76"/>
      <c r="KLB52" s="76"/>
      <c r="KLC52" s="76"/>
      <c r="KLD52" s="76"/>
      <c r="KLE52" s="76"/>
      <c r="KLF52" s="76"/>
      <c r="KLG52" s="76"/>
      <c r="KLH52" s="76"/>
      <c r="KLI52" s="76"/>
      <c r="KLJ52" s="76"/>
      <c r="KLK52" s="76"/>
      <c r="KLL52" s="76"/>
      <c r="KLM52" s="76"/>
      <c r="KLN52" s="76"/>
      <c r="KLO52" s="76"/>
      <c r="KLP52" s="76"/>
      <c r="KLQ52" s="76"/>
      <c r="KLR52" s="76"/>
      <c r="KLS52" s="76"/>
      <c r="KLT52" s="76"/>
      <c r="KLU52" s="76"/>
      <c r="KLV52" s="76"/>
      <c r="KLW52" s="76"/>
      <c r="KLX52" s="76"/>
      <c r="KLY52" s="76"/>
      <c r="KLZ52" s="76"/>
      <c r="KMA52" s="76"/>
      <c r="KMB52" s="76"/>
      <c r="KMC52" s="76"/>
      <c r="KMD52" s="76"/>
      <c r="KME52" s="76"/>
      <c r="KMF52" s="76"/>
      <c r="KMG52" s="76"/>
      <c r="KMH52" s="76"/>
      <c r="KMI52" s="76"/>
      <c r="KMJ52" s="76"/>
      <c r="KMK52" s="76"/>
      <c r="KML52" s="76"/>
      <c r="KMM52" s="76"/>
      <c r="KMN52" s="76"/>
      <c r="KMO52" s="76"/>
      <c r="KMP52" s="76"/>
      <c r="KMQ52" s="76"/>
      <c r="KMR52" s="76"/>
      <c r="KMS52" s="76"/>
      <c r="KMT52" s="76"/>
      <c r="KMU52" s="76"/>
      <c r="KMV52" s="76"/>
      <c r="KMW52" s="76"/>
      <c r="KMX52" s="76"/>
      <c r="KMY52" s="76"/>
      <c r="KMZ52" s="76"/>
      <c r="KNA52" s="76"/>
      <c r="KNB52" s="76"/>
      <c r="KNC52" s="76"/>
      <c r="KND52" s="76"/>
      <c r="KNE52" s="76"/>
      <c r="KNF52" s="76"/>
      <c r="KNG52" s="76"/>
      <c r="KNH52" s="76"/>
      <c r="KNI52" s="76"/>
      <c r="KNJ52" s="76"/>
      <c r="KNK52" s="76"/>
      <c r="KNL52" s="76"/>
      <c r="KNM52" s="76"/>
      <c r="KNN52" s="76"/>
      <c r="KNO52" s="76"/>
      <c r="KNP52" s="76"/>
      <c r="KNQ52" s="76"/>
      <c r="KNR52" s="76"/>
      <c r="KNS52" s="76"/>
      <c r="KNT52" s="76"/>
      <c r="KNU52" s="76"/>
      <c r="KNV52" s="76"/>
      <c r="KNW52" s="76"/>
      <c r="KNX52" s="76"/>
      <c r="KNY52" s="76"/>
      <c r="KNZ52" s="76"/>
      <c r="KOA52" s="76"/>
      <c r="KOB52" s="76"/>
      <c r="KOC52" s="76"/>
      <c r="KOD52" s="76"/>
      <c r="KOE52" s="76"/>
      <c r="KOF52" s="76"/>
      <c r="KOG52" s="76"/>
      <c r="KOH52" s="76"/>
      <c r="KOI52" s="76"/>
      <c r="KOJ52" s="76"/>
      <c r="KOK52" s="76"/>
      <c r="KOL52" s="76"/>
      <c r="KOM52" s="76"/>
      <c r="KON52" s="76"/>
      <c r="KOO52" s="76"/>
      <c r="KOP52" s="76"/>
      <c r="KOQ52" s="76"/>
      <c r="KOR52" s="76"/>
      <c r="KOS52" s="76"/>
      <c r="KOT52" s="76"/>
      <c r="KOU52" s="76"/>
      <c r="KOV52" s="76"/>
      <c r="KOW52" s="76"/>
      <c r="KOX52" s="76"/>
      <c r="KOY52" s="76"/>
      <c r="KOZ52" s="76"/>
      <c r="KPA52" s="76"/>
      <c r="KPB52" s="76"/>
      <c r="KPC52" s="76"/>
      <c r="KPD52" s="76"/>
      <c r="KPE52" s="76"/>
      <c r="KPF52" s="76"/>
      <c r="KPG52" s="76"/>
      <c r="KPH52" s="76"/>
      <c r="KPI52" s="76"/>
      <c r="KPJ52" s="76"/>
      <c r="KPK52" s="76"/>
      <c r="KPL52" s="76"/>
      <c r="KPM52" s="76"/>
      <c r="KPN52" s="76"/>
      <c r="KPO52" s="76"/>
      <c r="KPP52" s="76"/>
      <c r="KPQ52" s="76"/>
      <c r="KPR52" s="76"/>
      <c r="KPS52" s="76"/>
      <c r="KPT52" s="76"/>
      <c r="KPU52" s="76"/>
      <c r="KPV52" s="76"/>
      <c r="KPW52" s="76"/>
      <c r="KPX52" s="76"/>
      <c r="KPY52" s="76"/>
      <c r="KPZ52" s="76"/>
      <c r="KQA52" s="76"/>
      <c r="KQB52" s="76"/>
      <c r="KQC52" s="76"/>
      <c r="KQD52" s="76"/>
      <c r="KQE52" s="76"/>
      <c r="KQF52" s="76"/>
      <c r="KQG52" s="76"/>
      <c r="KQH52" s="76"/>
      <c r="KQI52" s="76"/>
      <c r="KQJ52" s="76"/>
      <c r="KQK52" s="76"/>
      <c r="KQL52" s="76"/>
      <c r="KQM52" s="76"/>
      <c r="KQN52" s="76"/>
      <c r="KQO52" s="76"/>
      <c r="KQP52" s="76"/>
      <c r="KQQ52" s="76"/>
      <c r="KQR52" s="76"/>
      <c r="KQS52" s="76"/>
      <c r="KQT52" s="76"/>
      <c r="KQU52" s="76"/>
      <c r="KQV52" s="76"/>
      <c r="KQW52" s="76"/>
      <c r="KQX52" s="76"/>
      <c r="KQY52" s="76"/>
      <c r="KQZ52" s="76"/>
      <c r="KRA52" s="76"/>
      <c r="KRB52" s="76"/>
      <c r="KRC52" s="76"/>
      <c r="KRD52" s="76"/>
      <c r="KRE52" s="76"/>
      <c r="KRF52" s="76"/>
      <c r="KRG52" s="76"/>
      <c r="KRH52" s="76"/>
      <c r="KRI52" s="76"/>
      <c r="KRJ52" s="76"/>
      <c r="KRK52" s="76"/>
      <c r="KRL52" s="76"/>
      <c r="KRM52" s="76"/>
      <c r="KRN52" s="76"/>
      <c r="KRO52" s="76"/>
      <c r="KRP52" s="76"/>
      <c r="KRQ52" s="76"/>
      <c r="KRR52" s="76"/>
      <c r="KRS52" s="76"/>
      <c r="KRT52" s="76"/>
      <c r="KRU52" s="76"/>
      <c r="KRV52" s="76"/>
      <c r="KRW52" s="76"/>
      <c r="KRX52" s="76"/>
      <c r="KRY52" s="76"/>
      <c r="KRZ52" s="76"/>
      <c r="KSA52" s="76"/>
      <c r="KSB52" s="76"/>
      <c r="KSC52" s="76"/>
      <c r="KSD52" s="76"/>
      <c r="KSE52" s="76"/>
      <c r="KSF52" s="76"/>
      <c r="KSG52" s="76"/>
      <c r="KSH52" s="76"/>
      <c r="KSI52" s="76"/>
      <c r="KSJ52" s="76"/>
      <c r="KSK52" s="76"/>
      <c r="KSL52" s="76"/>
      <c r="KSM52" s="76"/>
      <c r="KSN52" s="76"/>
      <c r="KSO52" s="76"/>
      <c r="KSP52" s="76"/>
      <c r="KSQ52" s="76"/>
      <c r="KSR52" s="76"/>
      <c r="KSS52" s="76"/>
      <c r="KST52" s="76"/>
      <c r="KSU52" s="76"/>
      <c r="KSV52" s="76"/>
      <c r="KSW52" s="76"/>
      <c r="KSX52" s="76"/>
      <c r="KSY52" s="76"/>
      <c r="KSZ52" s="76"/>
      <c r="KTA52" s="76"/>
      <c r="KTB52" s="76"/>
      <c r="KTC52" s="76"/>
      <c r="KTD52" s="76"/>
      <c r="KTE52" s="76"/>
      <c r="KTF52" s="76"/>
      <c r="KTG52" s="76"/>
      <c r="KTH52" s="76"/>
      <c r="KTI52" s="76"/>
      <c r="KTJ52" s="76"/>
      <c r="KTK52" s="76"/>
      <c r="KTL52" s="76"/>
      <c r="KTM52" s="76"/>
      <c r="KTN52" s="76"/>
      <c r="KTO52" s="76"/>
      <c r="KTP52" s="76"/>
      <c r="KTQ52" s="76"/>
      <c r="KTR52" s="76"/>
      <c r="KTS52" s="76"/>
      <c r="KTT52" s="76"/>
      <c r="KTU52" s="76"/>
      <c r="KTV52" s="76"/>
      <c r="KTW52" s="76"/>
      <c r="KTX52" s="76"/>
      <c r="KTY52" s="76"/>
      <c r="KTZ52" s="76"/>
      <c r="KUA52" s="76"/>
      <c r="KUB52" s="76"/>
      <c r="KUC52" s="76"/>
      <c r="KUD52" s="76"/>
      <c r="KUE52" s="76"/>
      <c r="KUF52" s="76"/>
      <c r="KUG52" s="76"/>
      <c r="KUH52" s="76"/>
      <c r="KUI52" s="76"/>
      <c r="KUJ52" s="76"/>
      <c r="KUK52" s="76"/>
      <c r="KUL52" s="76"/>
      <c r="KUM52" s="76"/>
      <c r="KUN52" s="76"/>
      <c r="KUO52" s="76"/>
      <c r="KUP52" s="76"/>
      <c r="KUQ52" s="76"/>
      <c r="KUR52" s="76"/>
      <c r="KUS52" s="76"/>
      <c r="KUT52" s="76"/>
      <c r="KUU52" s="76"/>
      <c r="KUV52" s="76"/>
      <c r="KUW52" s="76"/>
      <c r="KUX52" s="76"/>
      <c r="KUY52" s="76"/>
      <c r="KUZ52" s="76"/>
      <c r="KVA52" s="76"/>
      <c r="KVB52" s="76"/>
      <c r="KVC52" s="76"/>
      <c r="KVD52" s="76"/>
      <c r="KVE52" s="76"/>
      <c r="KVF52" s="76"/>
      <c r="KVG52" s="76"/>
      <c r="KVH52" s="76"/>
      <c r="KVI52" s="76"/>
      <c r="KVJ52" s="76"/>
      <c r="KVK52" s="76"/>
      <c r="KVL52" s="76"/>
      <c r="KVM52" s="76"/>
      <c r="KVN52" s="76"/>
      <c r="KVO52" s="76"/>
      <c r="KVP52" s="76"/>
      <c r="KVQ52" s="76"/>
      <c r="KVR52" s="76"/>
      <c r="KVS52" s="76"/>
      <c r="KVT52" s="76"/>
      <c r="KVU52" s="76"/>
      <c r="KVV52" s="76"/>
      <c r="KVW52" s="76"/>
      <c r="KVX52" s="76"/>
      <c r="KVY52" s="76"/>
      <c r="KVZ52" s="76"/>
      <c r="KWA52" s="76"/>
      <c r="KWB52" s="76"/>
      <c r="KWC52" s="76"/>
      <c r="KWD52" s="76"/>
      <c r="KWE52" s="76"/>
      <c r="KWF52" s="76"/>
      <c r="KWG52" s="76"/>
      <c r="KWH52" s="76"/>
      <c r="KWI52" s="76"/>
      <c r="KWJ52" s="76"/>
      <c r="KWK52" s="76"/>
      <c r="KWL52" s="76"/>
      <c r="KWM52" s="76"/>
      <c r="KWN52" s="76"/>
      <c r="KWO52" s="76"/>
      <c r="KWP52" s="76"/>
      <c r="KWQ52" s="76"/>
      <c r="KWR52" s="76"/>
      <c r="KWS52" s="76"/>
      <c r="KWT52" s="76"/>
      <c r="KWU52" s="76"/>
      <c r="KWV52" s="76"/>
      <c r="KWW52" s="76"/>
      <c r="KWX52" s="76"/>
      <c r="KWY52" s="76"/>
      <c r="KWZ52" s="76"/>
      <c r="KXA52" s="76"/>
      <c r="KXB52" s="76"/>
      <c r="KXC52" s="76"/>
      <c r="KXD52" s="76"/>
      <c r="KXE52" s="76"/>
      <c r="KXF52" s="76"/>
      <c r="KXG52" s="76"/>
      <c r="KXH52" s="76"/>
      <c r="KXI52" s="76"/>
      <c r="KXJ52" s="76"/>
      <c r="KXK52" s="76"/>
      <c r="KXL52" s="76"/>
      <c r="KXM52" s="76"/>
      <c r="KXN52" s="76"/>
      <c r="KXO52" s="76"/>
      <c r="KXP52" s="76"/>
      <c r="KXQ52" s="76"/>
      <c r="KXR52" s="76"/>
      <c r="KXS52" s="76"/>
      <c r="KXT52" s="76"/>
      <c r="KXU52" s="76"/>
      <c r="KXV52" s="76"/>
      <c r="KXW52" s="76"/>
      <c r="KXX52" s="76"/>
      <c r="KXY52" s="76"/>
      <c r="KXZ52" s="76"/>
      <c r="KYA52" s="76"/>
      <c r="KYB52" s="76"/>
      <c r="KYC52" s="76"/>
      <c r="KYD52" s="76"/>
      <c r="KYE52" s="76"/>
      <c r="KYF52" s="76"/>
      <c r="KYG52" s="76"/>
      <c r="KYH52" s="76"/>
      <c r="KYI52" s="76"/>
      <c r="KYJ52" s="76"/>
      <c r="KYK52" s="76"/>
      <c r="KYL52" s="76"/>
      <c r="KYM52" s="76"/>
      <c r="KYN52" s="76"/>
      <c r="KYO52" s="76"/>
      <c r="KYP52" s="76"/>
      <c r="KYQ52" s="76"/>
      <c r="KYR52" s="76"/>
      <c r="KYS52" s="76"/>
      <c r="KYT52" s="76"/>
      <c r="KYU52" s="76"/>
      <c r="KYV52" s="76"/>
      <c r="KYW52" s="76"/>
      <c r="KYX52" s="76"/>
      <c r="KYY52" s="76"/>
      <c r="KYZ52" s="76"/>
      <c r="KZA52" s="76"/>
      <c r="KZB52" s="76"/>
      <c r="KZC52" s="76"/>
      <c r="KZD52" s="76"/>
      <c r="KZE52" s="76"/>
      <c r="KZF52" s="76"/>
      <c r="KZG52" s="76"/>
      <c r="KZH52" s="76"/>
      <c r="KZI52" s="76"/>
      <c r="KZJ52" s="76"/>
      <c r="KZK52" s="76"/>
      <c r="KZL52" s="76"/>
      <c r="KZM52" s="76"/>
      <c r="KZN52" s="76"/>
      <c r="KZO52" s="76"/>
      <c r="KZP52" s="76"/>
      <c r="KZQ52" s="76"/>
      <c r="KZR52" s="76"/>
      <c r="KZS52" s="76"/>
      <c r="KZT52" s="76"/>
      <c r="KZU52" s="76"/>
      <c r="KZV52" s="76"/>
      <c r="KZW52" s="76"/>
      <c r="KZX52" s="76"/>
      <c r="KZY52" s="76"/>
      <c r="KZZ52" s="76"/>
      <c r="LAA52" s="76"/>
      <c r="LAB52" s="76"/>
      <c r="LAC52" s="76"/>
      <c r="LAD52" s="76"/>
      <c r="LAE52" s="76"/>
      <c r="LAF52" s="76"/>
      <c r="LAG52" s="76"/>
      <c r="LAH52" s="76"/>
      <c r="LAI52" s="76"/>
      <c r="LAJ52" s="76"/>
      <c r="LAK52" s="76"/>
      <c r="LAL52" s="76"/>
      <c r="LAM52" s="76"/>
      <c r="LAN52" s="76"/>
      <c r="LAO52" s="76"/>
      <c r="LAP52" s="76"/>
      <c r="LAQ52" s="76"/>
      <c r="LAR52" s="76"/>
      <c r="LAS52" s="76"/>
      <c r="LAT52" s="76"/>
      <c r="LAU52" s="76"/>
      <c r="LAV52" s="76"/>
      <c r="LAW52" s="76"/>
      <c r="LAX52" s="76"/>
      <c r="LAY52" s="76"/>
      <c r="LAZ52" s="76"/>
      <c r="LBA52" s="76"/>
      <c r="LBB52" s="76"/>
      <c r="LBC52" s="76"/>
      <c r="LBD52" s="76"/>
      <c r="LBE52" s="76"/>
      <c r="LBF52" s="76"/>
      <c r="LBG52" s="76"/>
      <c r="LBH52" s="76"/>
      <c r="LBI52" s="76"/>
      <c r="LBJ52" s="76"/>
      <c r="LBK52" s="76"/>
      <c r="LBL52" s="76"/>
      <c r="LBM52" s="76"/>
      <c r="LBN52" s="76"/>
      <c r="LBO52" s="76"/>
      <c r="LBP52" s="76"/>
      <c r="LBQ52" s="76"/>
      <c r="LBR52" s="76"/>
      <c r="LBS52" s="76"/>
      <c r="LBT52" s="76"/>
      <c r="LBU52" s="76"/>
      <c r="LBV52" s="76"/>
      <c r="LBW52" s="76"/>
      <c r="LBX52" s="76"/>
      <c r="LBY52" s="76"/>
      <c r="LBZ52" s="76"/>
      <c r="LCA52" s="76"/>
      <c r="LCB52" s="76"/>
      <c r="LCC52" s="76"/>
      <c r="LCD52" s="76"/>
      <c r="LCE52" s="76"/>
      <c r="LCF52" s="76"/>
      <c r="LCG52" s="76"/>
      <c r="LCH52" s="76"/>
      <c r="LCI52" s="76"/>
      <c r="LCJ52" s="76"/>
      <c r="LCK52" s="76"/>
      <c r="LCL52" s="76"/>
      <c r="LCM52" s="76"/>
      <c r="LCN52" s="76"/>
      <c r="LCO52" s="76"/>
      <c r="LCP52" s="76"/>
      <c r="LCQ52" s="76"/>
      <c r="LCR52" s="76"/>
      <c r="LCS52" s="76"/>
      <c r="LCT52" s="76"/>
      <c r="LCU52" s="76"/>
      <c r="LCV52" s="76"/>
      <c r="LCW52" s="76"/>
      <c r="LCX52" s="76"/>
      <c r="LCY52" s="76"/>
      <c r="LCZ52" s="76"/>
      <c r="LDA52" s="76"/>
      <c r="LDB52" s="76"/>
      <c r="LDC52" s="76"/>
      <c r="LDD52" s="76"/>
      <c r="LDE52" s="76"/>
      <c r="LDF52" s="76"/>
      <c r="LDG52" s="76"/>
      <c r="LDH52" s="76"/>
      <c r="LDI52" s="76"/>
      <c r="LDJ52" s="76"/>
      <c r="LDK52" s="76"/>
      <c r="LDL52" s="76"/>
      <c r="LDM52" s="76"/>
      <c r="LDN52" s="76"/>
      <c r="LDO52" s="76"/>
      <c r="LDP52" s="76"/>
      <c r="LDQ52" s="76"/>
      <c r="LDR52" s="76"/>
      <c r="LDS52" s="76"/>
      <c r="LDT52" s="76"/>
      <c r="LDU52" s="76"/>
      <c r="LDV52" s="76"/>
      <c r="LDW52" s="76"/>
      <c r="LDX52" s="76"/>
      <c r="LDY52" s="76"/>
      <c r="LDZ52" s="76"/>
      <c r="LEA52" s="76"/>
      <c r="LEB52" s="76"/>
      <c r="LEC52" s="76"/>
      <c r="LED52" s="76"/>
      <c r="LEE52" s="76"/>
      <c r="LEF52" s="76"/>
      <c r="LEG52" s="76"/>
      <c r="LEH52" s="76"/>
      <c r="LEI52" s="76"/>
      <c r="LEJ52" s="76"/>
      <c r="LEK52" s="76"/>
      <c r="LEL52" s="76"/>
      <c r="LEM52" s="76"/>
      <c r="LEN52" s="76"/>
      <c r="LEO52" s="76"/>
      <c r="LEP52" s="76"/>
      <c r="LEQ52" s="76"/>
      <c r="LER52" s="76"/>
      <c r="LES52" s="76"/>
      <c r="LET52" s="76"/>
      <c r="LEU52" s="76"/>
      <c r="LEV52" s="76"/>
      <c r="LEW52" s="76"/>
      <c r="LEX52" s="76"/>
      <c r="LEY52" s="76"/>
      <c r="LEZ52" s="76"/>
      <c r="LFA52" s="76"/>
      <c r="LFB52" s="76"/>
      <c r="LFC52" s="76"/>
      <c r="LFD52" s="76"/>
      <c r="LFE52" s="76"/>
      <c r="LFF52" s="76"/>
      <c r="LFG52" s="76"/>
      <c r="LFH52" s="76"/>
      <c r="LFI52" s="76"/>
      <c r="LFJ52" s="76"/>
      <c r="LFK52" s="76"/>
      <c r="LFL52" s="76"/>
      <c r="LFM52" s="76"/>
      <c r="LFN52" s="76"/>
      <c r="LFO52" s="76"/>
      <c r="LFP52" s="76"/>
      <c r="LFQ52" s="76"/>
      <c r="LFR52" s="76"/>
      <c r="LFS52" s="76"/>
      <c r="LFT52" s="76"/>
      <c r="LFU52" s="76"/>
      <c r="LFV52" s="76"/>
      <c r="LFW52" s="76"/>
      <c r="LFX52" s="76"/>
      <c r="LFY52" s="76"/>
      <c r="LFZ52" s="76"/>
      <c r="LGA52" s="76"/>
      <c r="LGB52" s="76"/>
      <c r="LGC52" s="76"/>
      <c r="LGD52" s="76"/>
      <c r="LGE52" s="76"/>
      <c r="LGF52" s="76"/>
      <c r="LGG52" s="76"/>
      <c r="LGH52" s="76"/>
      <c r="LGI52" s="76"/>
      <c r="LGJ52" s="76"/>
      <c r="LGK52" s="76"/>
      <c r="LGL52" s="76"/>
      <c r="LGM52" s="76"/>
      <c r="LGN52" s="76"/>
      <c r="LGO52" s="76"/>
      <c r="LGP52" s="76"/>
      <c r="LGQ52" s="76"/>
      <c r="LGR52" s="76"/>
      <c r="LGS52" s="76"/>
      <c r="LGT52" s="76"/>
      <c r="LGU52" s="76"/>
      <c r="LGV52" s="76"/>
      <c r="LGW52" s="76"/>
      <c r="LGX52" s="76"/>
      <c r="LGY52" s="76"/>
      <c r="LGZ52" s="76"/>
      <c r="LHA52" s="76"/>
      <c r="LHB52" s="76"/>
      <c r="LHC52" s="76"/>
      <c r="LHD52" s="76"/>
      <c r="LHE52" s="76"/>
      <c r="LHF52" s="76"/>
      <c r="LHG52" s="76"/>
      <c r="LHH52" s="76"/>
      <c r="LHI52" s="76"/>
      <c r="LHJ52" s="76"/>
      <c r="LHK52" s="76"/>
      <c r="LHL52" s="76"/>
      <c r="LHM52" s="76"/>
      <c r="LHN52" s="76"/>
      <c r="LHO52" s="76"/>
      <c r="LHP52" s="76"/>
      <c r="LHQ52" s="76"/>
      <c r="LHR52" s="76"/>
      <c r="LHS52" s="76"/>
      <c r="LHT52" s="76"/>
      <c r="LHU52" s="76"/>
      <c r="LHV52" s="76"/>
      <c r="LHW52" s="76"/>
      <c r="LHX52" s="76"/>
      <c r="LHY52" s="76"/>
      <c r="LHZ52" s="76"/>
      <c r="LIA52" s="76"/>
      <c r="LIB52" s="76"/>
      <c r="LIC52" s="76"/>
      <c r="LID52" s="76"/>
      <c r="LIE52" s="76"/>
      <c r="LIF52" s="76"/>
      <c r="LIG52" s="76"/>
      <c r="LIH52" s="76"/>
      <c r="LII52" s="76"/>
      <c r="LIJ52" s="76"/>
      <c r="LIK52" s="76"/>
      <c r="LIL52" s="76"/>
      <c r="LIM52" s="76"/>
      <c r="LIN52" s="76"/>
      <c r="LIO52" s="76"/>
      <c r="LIP52" s="76"/>
      <c r="LIQ52" s="76"/>
      <c r="LIR52" s="76"/>
      <c r="LIS52" s="76"/>
      <c r="LIT52" s="76"/>
      <c r="LIU52" s="76"/>
      <c r="LIV52" s="76"/>
      <c r="LIW52" s="76"/>
      <c r="LIX52" s="76"/>
      <c r="LIY52" s="76"/>
      <c r="LIZ52" s="76"/>
      <c r="LJA52" s="76"/>
      <c r="LJB52" s="76"/>
      <c r="LJC52" s="76"/>
      <c r="LJD52" s="76"/>
      <c r="LJE52" s="76"/>
      <c r="LJF52" s="76"/>
      <c r="LJG52" s="76"/>
      <c r="LJH52" s="76"/>
      <c r="LJI52" s="76"/>
      <c r="LJJ52" s="76"/>
      <c r="LJK52" s="76"/>
      <c r="LJL52" s="76"/>
      <c r="LJM52" s="76"/>
      <c r="LJN52" s="76"/>
      <c r="LJO52" s="76"/>
      <c r="LJP52" s="76"/>
      <c r="LJQ52" s="76"/>
      <c r="LJR52" s="76"/>
      <c r="LJS52" s="76"/>
      <c r="LJT52" s="76"/>
      <c r="LJU52" s="76"/>
      <c r="LJV52" s="76"/>
      <c r="LJW52" s="76"/>
      <c r="LJX52" s="76"/>
      <c r="LJY52" s="76"/>
      <c r="LJZ52" s="76"/>
      <c r="LKA52" s="76"/>
      <c r="LKB52" s="76"/>
      <c r="LKC52" s="76"/>
      <c r="LKD52" s="76"/>
      <c r="LKE52" s="76"/>
      <c r="LKF52" s="76"/>
      <c r="LKG52" s="76"/>
      <c r="LKH52" s="76"/>
      <c r="LKI52" s="76"/>
      <c r="LKJ52" s="76"/>
      <c r="LKK52" s="76"/>
      <c r="LKL52" s="76"/>
      <c r="LKM52" s="76"/>
      <c r="LKN52" s="76"/>
      <c r="LKO52" s="76"/>
      <c r="LKP52" s="76"/>
      <c r="LKQ52" s="76"/>
      <c r="LKR52" s="76"/>
      <c r="LKS52" s="76"/>
      <c r="LKT52" s="76"/>
      <c r="LKU52" s="76"/>
      <c r="LKV52" s="76"/>
      <c r="LKW52" s="76"/>
      <c r="LKX52" s="76"/>
      <c r="LKY52" s="76"/>
      <c r="LKZ52" s="76"/>
      <c r="LLA52" s="76"/>
      <c r="LLB52" s="76"/>
      <c r="LLC52" s="76"/>
      <c r="LLD52" s="76"/>
      <c r="LLE52" s="76"/>
      <c r="LLF52" s="76"/>
      <c r="LLG52" s="76"/>
      <c r="LLH52" s="76"/>
      <c r="LLI52" s="76"/>
      <c r="LLJ52" s="76"/>
      <c r="LLK52" s="76"/>
      <c r="LLL52" s="76"/>
      <c r="LLM52" s="76"/>
      <c r="LLN52" s="76"/>
      <c r="LLO52" s="76"/>
      <c r="LLP52" s="76"/>
      <c r="LLQ52" s="76"/>
      <c r="LLR52" s="76"/>
      <c r="LLS52" s="76"/>
      <c r="LLT52" s="76"/>
      <c r="LLU52" s="76"/>
      <c r="LLV52" s="76"/>
      <c r="LLW52" s="76"/>
      <c r="LLX52" s="76"/>
      <c r="LLY52" s="76"/>
      <c r="LLZ52" s="76"/>
      <c r="LMA52" s="76"/>
      <c r="LMB52" s="76"/>
      <c r="LMC52" s="76"/>
      <c r="LMD52" s="76"/>
      <c r="LME52" s="76"/>
      <c r="LMF52" s="76"/>
      <c r="LMG52" s="76"/>
      <c r="LMH52" s="76"/>
      <c r="LMI52" s="76"/>
      <c r="LMJ52" s="76"/>
      <c r="LMK52" s="76"/>
      <c r="LML52" s="76"/>
      <c r="LMM52" s="76"/>
      <c r="LMN52" s="76"/>
      <c r="LMO52" s="76"/>
      <c r="LMP52" s="76"/>
      <c r="LMQ52" s="76"/>
      <c r="LMR52" s="76"/>
      <c r="LMS52" s="76"/>
      <c r="LMT52" s="76"/>
      <c r="LMU52" s="76"/>
      <c r="LMV52" s="76"/>
      <c r="LMW52" s="76"/>
      <c r="LMX52" s="76"/>
      <c r="LMY52" s="76"/>
      <c r="LMZ52" s="76"/>
      <c r="LNA52" s="76"/>
      <c r="LNB52" s="76"/>
      <c r="LNC52" s="76"/>
      <c r="LND52" s="76"/>
      <c r="LNE52" s="76"/>
      <c r="LNF52" s="76"/>
      <c r="LNG52" s="76"/>
      <c r="LNH52" s="76"/>
      <c r="LNI52" s="76"/>
      <c r="LNJ52" s="76"/>
      <c r="LNK52" s="76"/>
      <c r="LNL52" s="76"/>
      <c r="LNM52" s="76"/>
      <c r="LNN52" s="76"/>
      <c r="LNO52" s="76"/>
      <c r="LNP52" s="76"/>
      <c r="LNQ52" s="76"/>
      <c r="LNR52" s="76"/>
      <c r="LNS52" s="76"/>
      <c r="LNT52" s="76"/>
      <c r="LNU52" s="76"/>
      <c r="LNV52" s="76"/>
      <c r="LNW52" s="76"/>
      <c r="LNX52" s="76"/>
      <c r="LNY52" s="76"/>
      <c r="LNZ52" s="76"/>
      <c r="LOA52" s="76"/>
      <c r="LOB52" s="76"/>
      <c r="LOC52" s="76"/>
      <c r="LOD52" s="76"/>
      <c r="LOE52" s="76"/>
      <c r="LOF52" s="76"/>
      <c r="LOG52" s="76"/>
      <c r="LOH52" s="76"/>
      <c r="LOI52" s="76"/>
      <c r="LOJ52" s="76"/>
      <c r="LOK52" s="76"/>
      <c r="LOL52" s="76"/>
      <c r="LOM52" s="76"/>
      <c r="LON52" s="76"/>
      <c r="LOO52" s="76"/>
      <c r="LOP52" s="76"/>
      <c r="LOQ52" s="76"/>
      <c r="LOR52" s="76"/>
      <c r="LOS52" s="76"/>
      <c r="LOT52" s="76"/>
      <c r="LOU52" s="76"/>
      <c r="LOV52" s="76"/>
      <c r="LOW52" s="76"/>
      <c r="LOX52" s="76"/>
      <c r="LOY52" s="76"/>
      <c r="LOZ52" s="76"/>
      <c r="LPA52" s="76"/>
      <c r="LPB52" s="76"/>
      <c r="LPC52" s="76"/>
      <c r="LPD52" s="76"/>
      <c r="LPE52" s="76"/>
      <c r="LPF52" s="76"/>
      <c r="LPG52" s="76"/>
      <c r="LPH52" s="76"/>
      <c r="LPI52" s="76"/>
      <c r="LPJ52" s="76"/>
      <c r="LPK52" s="76"/>
      <c r="LPL52" s="76"/>
      <c r="LPM52" s="76"/>
      <c r="LPN52" s="76"/>
      <c r="LPO52" s="76"/>
      <c r="LPP52" s="76"/>
      <c r="LPQ52" s="76"/>
      <c r="LPR52" s="76"/>
      <c r="LPS52" s="76"/>
      <c r="LPT52" s="76"/>
      <c r="LPU52" s="76"/>
      <c r="LPV52" s="76"/>
      <c r="LPW52" s="76"/>
      <c r="LPX52" s="76"/>
      <c r="LPY52" s="76"/>
      <c r="LPZ52" s="76"/>
      <c r="LQA52" s="76"/>
      <c r="LQB52" s="76"/>
      <c r="LQC52" s="76"/>
      <c r="LQD52" s="76"/>
      <c r="LQE52" s="76"/>
      <c r="LQF52" s="76"/>
      <c r="LQG52" s="76"/>
      <c r="LQH52" s="76"/>
      <c r="LQI52" s="76"/>
      <c r="LQJ52" s="76"/>
      <c r="LQK52" s="76"/>
      <c r="LQL52" s="76"/>
      <c r="LQM52" s="76"/>
      <c r="LQN52" s="76"/>
      <c r="LQO52" s="76"/>
      <c r="LQP52" s="76"/>
      <c r="LQQ52" s="76"/>
      <c r="LQR52" s="76"/>
      <c r="LQS52" s="76"/>
      <c r="LQT52" s="76"/>
      <c r="LQU52" s="76"/>
      <c r="LQV52" s="76"/>
      <c r="LQW52" s="76"/>
      <c r="LQX52" s="76"/>
      <c r="LQY52" s="76"/>
      <c r="LQZ52" s="76"/>
      <c r="LRA52" s="76"/>
      <c r="LRB52" s="76"/>
      <c r="LRC52" s="76"/>
      <c r="LRD52" s="76"/>
      <c r="LRE52" s="76"/>
      <c r="LRF52" s="76"/>
      <c r="LRG52" s="76"/>
      <c r="LRH52" s="76"/>
      <c r="LRI52" s="76"/>
      <c r="LRJ52" s="76"/>
      <c r="LRK52" s="76"/>
      <c r="LRL52" s="76"/>
      <c r="LRM52" s="76"/>
      <c r="LRN52" s="76"/>
      <c r="LRO52" s="76"/>
      <c r="LRP52" s="76"/>
      <c r="LRQ52" s="76"/>
      <c r="LRR52" s="76"/>
      <c r="LRS52" s="76"/>
      <c r="LRT52" s="76"/>
      <c r="LRU52" s="76"/>
      <c r="LRV52" s="76"/>
      <c r="LRW52" s="76"/>
      <c r="LRX52" s="76"/>
      <c r="LRY52" s="76"/>
      <c r="LRZ52" s="76"/>
      <c r="LSA52" s="76"/>
      <c r="LSB52" s="76"/>
      <c r="LSC52" s="76"/>
      <c r="LSD52" s="76"/>
      <c r="LSE52" s="76"/>
      <c r="LSF52" s="76"/>
      <c r="LSG52" s="76"/>
      <c r="LSH52" s="76"/>
      <c r="LSI52" s="76"/>
      <c r="LSJ52" s="76"/>
      <c r="LSK52" s="76"/>
      <c r="LSL52" s="76"/>
      <c r="LSM52" s="76"/>
      <c r="LSN52" s="76"/>
      <c r="LSO52" s="76"/>
      <c r="LSP52" s="76"/>
      <c r="LSQ52" s="76"/>
      <c r="LSR52" s="76"/>
      <c r="LSS52" s="76"/>
      <c r="LST52" s="76"/>
      <c r="LSU52" s="76"/>
      <c r="LSV52" s="76"/>
      <c r="LSW52" s="76"/>
      <c r="LSX52" s="76"/>
      <c r="LSY52" s="76"/>
      <c r="LSZ52" s="76"/>
      <c r="LTA52" s="76"/>
      <c r="LTB52" s="76"/>
      <c r="LTC52" s="76"/>
      <c r="LTD52" s="76"/>
      <c r="LTE52" s="76"/>
      <c r="LTF52" s="76"/>
      <c r="LTG52" s="76"/>
      <c r="LTH52" s="76"/>
      <c r="LTI52" s="76"/>
      <c r="LTJ52" s="76"/>
      <c r="LTK52" s="76"/>
      <c r="LTL52" s="76"/>
      <c r="LTM52" s="76"/>
      <c r="LTN52" s="76"/>
      <c r="LTO52" s="76"/>
      <c r="LTP52" s="76"/>
      <c r="LTQ52" s="76"/>
      <c r="LTR52" s="76"/>
      <c r="LTS52" s="76"/>
      <c r="LTT52" s="76"/>
      <c r="LTU52" s="76"/>
      <c r="LTV52" s="76"/>
      <c r="LTW52" s="76"/>
      <c r="LTX52" s="76"/>
      <c r="LTY52" s="76"/>
      <c r="LTZ52" s="76"/>
      <c r="LUA52" s="76"/>
      <c r="LUB52" s="76"/>
      <c r="LUC52" s="76"/>
      <c r="LUD52" s="76"/>
      <c r="LUE52" s="76"/>
      <c r="LUF52" s="76"/>
      <c r="LUG52" s="76"/>
      <c r="LUH52" s="76"/>
      <c r="LUI52" s="76"/>
      <c r="LUJ52" s="76"/>
      <c r="LUK52" s="76"/>
      <c r="LUL52" s="76"/>
      <c r="LUM52" s="76"/>
      <c r="LUN52" s="76"/>
      <c r="LUO52" s="76"/>
      <c r="LUP52" s="76"/>
      <c r="LUQ52" s="76"/>
      <c r="LUR52" s="76"/>
      <c r="LUS52" s="76"/>
      <c r="LUT52" s="76"/>
      <c r="LUU52" s="76"/>
      <c r="LUV52" s="76"/>
      <c r="LUW52" s="76"/>
      <c r="LUX52" s="76"/>
      <c r="LUY52" s="76"/>
      <c r="LUZ52" s="76"/>
      <c r="LVA52" s="76"/>
      <c r="LVB52" s="76"/>
      <c r="LVC52" s="76"/>
      <c r="LVD52" s="76"/>
      <c r="LVE52" s="76"/>
      <c r="LVF52" s="76"/>
      <c r="LVG52" s="76"/>
      <c r="LVH52" s="76"/>
      <c r="LVI52" s="76"/>
      <c r="LVJ52" s="76"/>
      <c r="LVK52" s="76"/>
      <c r="LVL52" s="76"/>
      <c r="LVM52" s="76"/>
      <c r="LVN52" s="76"/>
      <c r="LVO52" s="76"/>
      <c r="LVP52" s="76"/>
      <c r="LVQ52" s="76"/>
      <c r="LVR52" s="76"/>
      <c r="LVS52" s="76"/>
      <c r="LVT52" s="76"/>
      <c r="LVU52" s="76"/>
      <c r="LVV52" s="76"/>
      <c r="LVW52" s="76"/>
      <c r="LVX52" s="76"/>
      <c r="LVY52" s="76"/>
      <c r="LVZ52" s="76"/>
      <c r="LWA52" s="76"/>
      <c r="LWB52" s="76"/>
      <c r="LWC52" s="76"/>
      <c r="LWD52" s="76"/>
      <c r="LWE52" s="76"/>
      <c r="LWF52" s="76"/>
      <c r="LWG52" s="76"/>
      <c r="LWH52" s="76"/>
      <c r="LWI52" s="76"/>
      <c r="LWJ52" s="76"/>
      <c r="LWK52" s="76"/>
      <c r="LWL52" s="76"/>
      <c r="LWM52" s="76"/>
      <c r="LWN52" s="76"/>
      <c r="LWO52" s="76"/>
      <c r="LWP52" s="76"/>
      <c r="LWQ52" s="76"/>
      <c r="LWR52" s="76"/>
      <c r="LWS52" s="76"/>
      <c r="LWT52" s="76"/>
      <c r="LWU52" s="76"/>
      <c r="LWV52" s="76"/>
      <c r="LWW52" s="76"/>
      <c r="LWX52" s="76"/>
      <c r="LWY52" s="76"/>
      <c r="LWZ52" s="76"/>
      <c r="LXA52" s="76"/>
      <c r="LXB52" s="76"/>
      <c r="LXC52" s="76"/>
      <c r="LXD52" s="76"/>
      <c r="LXE52" s="76"/>
      <c r="LXF52" s="76"/>
      <c r="LXG52" s="76"/>
      <c r="LXH52" s="76"/>
      <c r="LXI52" s="76"/>
      <c r="LXJ52" s="76"/>
      <c r="LXK52" s="76"/>
      <c r="LXL52" s="76"/>
      <c r="LXM52" s="76"/>
      <c r="LXN52" s="76"/>
      <c r="LXO52" s="76"/>
      <c r="LXP52" s="76"/>
      <c r="LXQ52" s="76"/>
      <c r="LXR52" s="76"/>
      <c r="LXS52" s="76"/>
      <c r="LXT52" s="76"/>
      <c r="LXU52" s="76"/>
      <c r="LXV52" s="76"/>
      <c r="LXW52" s="76"/>
      <c r="LXX52" s="76"/>
      <c r="LXY52" s="76"/>
      <c r="LXZ52" s="76"/>
      <c r="LYA52" s="76"/>
      <c r="LYB52" s="76"/>
      <c r="LYC52" s="76"/>
      <c r="LYD52" s="76"/>
      <c r="LYE52" s="76"/>
      <c r="LYF52" s="76"/>
      <c r="LYG52" s="76"/>
      <c r="LYH52" s="76"/>
      <c r="LYI52" s="76"/>
      <c r="LYJ52" s="76"/>
      <c r="LYK52" s="76"/>
      <c r="LYL52" s="76"/>
      <c r="LYM52" s="76"/>
      <c r="LYN52" s="76"/>
      <c r="LYO52" s="76"/>
      <c r="LYP52" s="76"/>
      <c r="LYQ52" s="76"/>
      <c r="LYR52" s="76"/>
      <c r="LYS52" s="76"/>
      <c r="LYT52" s="76"/>
      <c r="LYU52" s="76"/>
      <c r="LYV52" s="76"/>
      <c r="LYW52" s="76"/>
      <c r="LYX52" s="76"/>
      <c r="LYY52" s="76"/>
      <c r="LYZ52" s="76"/>
      <c r="LZA52" s="76"/>
      <c r="LZB52" s="76"/>
      <c r="LZC52" s="76"/>
      <c r="LZD52" s="76"/>
      <c r="LZE52" s="76"/>
      <c r="LZF52" s="76"/>
      <c r="LZG52" s="76"/>
      <c r="LZH52" s="76"/>
      <c r="LZI52" s="76"/>
      <c r="LZJ52" s="76"/>
      <c r="LZK52" s="76"/>
      <c r="LZL52" s="76"/>
      <c r="LZM52" s="76"/>
      <c r="LZN52" s="76"/>
      <c r="LZO52" s="76"/>
      <c r="LZP52" s="76"/>
      <c r="LZQ52" s="76"/>
      <c r="LZR52" s="76"/>
      <c r="LZS52" s="76"/>
      <c r="LZT52" s="76"/>
      <c r="LZU52" s="76"/>
      <c r="LZV52" s="76"/>
      <c r="LZW52" s="76"/>
      <c r="LZX52" s="76"/>
      <c r="LZY52" s="76"/>
      <c r="LZZ52" s="76"/>
      <c r="MAA52" s="76"/>
      <c r="MAB52" s="76"/>
      <c r="MAC52" s="76"/>
      <c r="MAD52" s="76"/>
      <c r="MAE52" s="76"/>
      <c r="MAF52" s="76"/>
      <c r="MAG52" s="76"/>
      <c r="MAH52" s="76"/>
      <c r="MAI52" s="76"/>
      <c r="MAJ52" s="76"/>
      <c r="MAK52" s="76"/>
      <c r="MAL52" s="76"/>
      <c r="MAM52" s="76"/>
      <c r="MAN52" s="76"/>
      <c r="MAO52" s="76"/>
      <c r="MAP52" s="76"/>
      <c r="MAQ52" s="76"/>
      <c r="MAR52" s="76"/>
      <c r="MAS52" s="76"/>
      <c r="MAT52" s="76"/>
      <c r="MAU52" s="76"/>
      <c r="MAV52" s="76"/>
      <c r="MAW52" s="76"/>
      <c r="MAX52" s="76"/>
      <c r="MAY52" s="76"/>
      <c r="MAZ52" s="76"/>
      <c r="MBA52" s="76"/>
      <c r="MBB52" s="76"/>
      <c r="MBC52" s="76"/>
      <c r="MBD52" s="76"/>
      <c r="MBE52" s="76"/>
      <c r="MBF52" s="76"/>
      <c r="MBG52" s="76"/>
      <c r="MBH52" s="76"/>
      <c r="MBI52" s="76"/>
      <c r="MBJ52" s="76"/>
      <c r="MBK52" s="76"/>
      <c r="MBL52" s="76"/>
      <c r="MBM52" s="76"/>
      <c r="MBN52" s="76"/>
      <c r="MBO52" s="76"/>
      <c r="MBP52" s="76"/>
      <c r="MBQ52" s="76"/>
      <c r="MBR52" s="76"/>
      <c r="MBS52" s="76"/>
      <c r="MBT52" s="76"/>
      <c r="MBU52" s="76"/>
      <c r="MBV52" s="76"/>
      <c r="MBW52" s="76"/>
      <c r="MBX52" s="76"/>
      <c r="MBY52" s="76"/>
      <c r="MBZ52" s="76"/>
      <c r="MCA52" s="76"/>
      <c r="MCB52" s="76"/>
      <c r="MCC52" s="76"/>
      <c r="MCD52" s="76"/>
      <c r="MCE52" s="76"/>
      <c r="MCF52" s="76"/>
      <c r="MCG52" s="76"/>
      <c r="MCH52" s="76"/>
      <c r="MCI52" s="76"/>
      <c r="MCJ52" s="76"/>
      <c r="MCK52" s="76"/>
      <c r="MCL52" s="76"/>
      <c r="MCM52" s="76"/>
      <c r="MCN52" s="76"/>
      <c r="MCO52" s="76"/>
      <c r="MCP52" s="76"/>
      <c r="MCQ52" s="76"/>
      <c r="MCR52" s="76"/>
      <c r="MCS52" s="76"/>
      <c r="MCT52" s="76"/>
      <c r="MCU52" s="76"/>
      <c r="MCV52" s="76"/>
      <c r="MCW52" s="76"/>
      <c r="MCX52" s="76"/>
      <c r="MCY52" s="76"/>
      <c r="MCZ52" s="76"/>
      <c r="MDA52" s="76"/>
      <c r="MDB52" s="76"/>
      <c r="MDC52" s="76"/>
      <c r="MDD52" s="76"/>
      <c r="MDE52" s="76"/>
      <c r="MDF52" s="76"/>
      <c r="MDG52" s="76"/>
      <c r="MDH52" s="76"/>
      <c r="MDI52" s="76"/>
      <c r="MDJ52" s="76"/>
      <c r="MDK52" s="76"/>
      <c r="MDL52" s="76"/>
      <c r="MDM52" s="76"/>
      <c r="MDN52" s="76"/>
      <c r="MDO52" s="76"/>
      <c r="MDP52" s="76"/>
      <c r="MDQ52" s="76"/>
      <c r="MDR52" s="76"/>
      <c r="MDS52" s="76"/>
      <c r="MDT52" s="76"/>
      <c r="MDU52" s="76"/>
      <c r="MDV52" s="76"/>
      <c r="MDW52" s="76"/>
      <c r="MDX52" s="76"/>
      <c r="MDY52" s="76"/>
      <c r="MDZ52" s="76"/>
      <c r="MEA52" s="76"/>
      <c r="MEB52" s="76"/>
      <c r="MEC52" s="76"/>
      <c r="MED52" s="76"/>
      <c r="MEE52" s="76"/>
      <c r="MEF52" s="76"/>
      <c r="MEG52" s="76"/>
      <c r="MEH52" s="76"/>
      <c r="MEI52" s="76"/>
      <c r="MEJ52" s="76"/>
      <c r="MEK52" s="76"/>
      <c r="MEL52" s="76"/>
      <c r="MEM52" s="76"/>
      <c r="MEN52" s="76"/>
      <c r="MEO52" s="76"/>
      <c r="MEP52" s="76"/>
      <c r="MEQ52" s="76"/>
      <c r="MER52" s="76"/>
      <c r="MES52" s="76"/>
      <c r="MET52" s="76"/>
      <c r="MEU52" s="76"/>
      <c r="MEV52" s="76"/>
      <c r="MEW52" s="76"/>
      <c r="MEX52" s="76"/>
      <c r="MEY52" s="76"/>
      <c r="MEZ52" s="76"/>
      <c r="MFA52" s="76"/>
      <c r="MFB52" s="76"/>
      <c r="MFC52" s="76"/>
      <c r="MFD52" s="76"/>
      <c r="MFE52" s="76"/>
      <c r="MFF52" s="76"/>
      <c r="MFG52" s="76"/>
      <c r="MFH52" s="76"/>
      <c r="MFI52" s="76"/>
      <c r="MFJ52" s="76"/>
      <c r="MFK52" s="76"/>
      <c r="MFL52" s="76"/>
      <c r="MFM52" s="76"/>
      <c r="MFN52" s="76"/>
      <c r="MFO52" s="76"/>
      <c r="MFP52" s="76"/>
      <c r="MFQ52" s="76"/>
      <c r="MFR52" s="76"/>
      <c r="MFS52" s="76"/>
      <c r="MFT52" s="76"/>
      <c r="MFU52" s="76"/>
      <c r="MFV52" s="76"/>
      <c r="MFW52" s="76"/>
      <c r="MFX52" s="76"/>
      <c r="MFY52" s="76"/>
      <c r="MFZ52" s="76"/>
      <c r="MGA52" s="76"/>
      <c r="MGB52" s="76"/>
      <c r="MGC52" s="76"/>
      <c r="MGD52" s="76"/>
      <c r="MGE52" s="76"/>
      <c r="MGF52" s="76"/>
      <c r="MGG52" s="76"/>
      <c r="MGH52" s="76"/>
      <c r="MGI52" s="76"/>
      <c r="MGJ52" s="76"/>
      <c r="MGK52" s="76"/>
      <c r="MGL52" s="76"/>
      <c r="MGM52" s="76"/>
      <c r="MGN52" s="76"/>
      <c r="MGO52" s="76"/>
      <c r="MGP52" s="76"/>
      <c r="MGQ52" s="76"/>
      <c r="MGR52" s="76"/>
      <c r="MGS52" s="76"/>
      <c r="MGT52" s="76"/>
      <c r="MGU52" s="76"/>
      <c r="MGV52" s="76"/>
      <c r="MGW52" s="76"/>
      <c r="MGX52" s="76"/>
      <c r="MGY52" s="76"/>
      <c r="MGZ52" s="76"/>
      <c r="MHA52" s="76"/>
      <c r="MHB52" s="76"/>
      <c r="MHC52" s="76"/>
      <c r="MHD52" s="76"/>
      <c r="MHE52" s="76"/>
      <c r="MHF52" s="76"/>
      <c r="MHG52" s="76"/>
      <c r="MHH52" s="76"/>
      <c r="MHI52" s="76"/>
      <c r="MHJ52" s="76"/>
      <c r="MHK52" s="76"/>
      <c r="MHL52" s="76"/>
      <c r="MHM52" s="76"/>
      <c r="MHN52" s="76"/>
      <c r="MHO52" s="76"/>
      <c r="MHP52" s="76"/>
      <c r="MHQ52" s="76"/>
      <c r="MHR52" s="76"/>
      <c r="MHS52" s="76"/>
      <c r="MHT52" s="76"/>
      <c r="MHU52" s="76"/>
      <c r="MHV52" s="76"/>
      <c r="MHW52" s="76"/>
      <c r="MHX52" s="76"/>
      <c r="MHY52" s="76"/>
      <c r="MHZ52" s="76"/>
      <c r="MIA52" s="76"/>
      <c r="MIB52" s="76"/>
      <c r="MIC52" s="76"/>
      <c r="MID52" s="76"/>
      <c r="MIE52" s="76"/>
      <c r="MIF52" s="76"/>
      <c r="MIG52" s="76"/>
      <c r="MIH52" s="76"/>
      <c r="MII52" s="76"/>
      <c r="MIJ52" s="76"/>
      <c r="MIK52" s="76"/>
      <c r="MIL52" s="76"/>
      <c r="MIM52" s="76"/>
      <c r="MIN52" s="76"/>
      <c r="MIO52" s="76"/>
      <c r="MIP52" s="76"/>
      <c r="MIQ52" s="76"/>
      <c r="MIR52" s="76"/>
      <c r="MIS52" s="76"/>
      <c r="MIT52" s="76"/>
      <c r="MIU52" s="76"/>
      <c r="MIV52" s="76"/>
      <c r="MIW52" s="76"/>
      <c r="MIX52" s="76"/>
      <c r="MIY52" s="76"/>
      <c r="MIZ52" s="76"/>
      <c r="MJA52" s="76"/>
      <c r="MJB52" s="76"/>
      <c r="MJC52" s="76"/>
      <c r="MJD52" s="76"/>
      <c r="MJE52" s="76"/>
      <c r="MJF52" s="76"/>
      <c r="MJG52" s="76"/>
      <c r="MJH52" s="76"/>
      <c r="MJI52" s="76"/>
      <c r="MJJ52" s="76"/>
      <c r="MJK52" s="76"/>
      <c r="MJL52" s="76"/>
      <c r="MJM52" s="76"/>
      <c r="MJN52" s="76"/>
      <c r="MJO52" s="76"/>
      <c r="MJP52" s="76"/>
      <c r="MJQ52" s="76"/>
      <c r="MJR52" s="76"/>
      <c r="MJS52" s="76"/>
      <c r="MJT52" s="76"/>
      <c r="MJU52" s="76"/>
      <c r="MJV52" s="76"/>
      <c r="MJW52" s="76"/>
      <c r="MJX52" s="76"/>
      <c r="MJY52" s="76"/>
      <c r="MJZ52" s="76"/>
      <c r="MKA52" s="76"/>
      <c r="MKB52" s="76"/>
      <c r="MKC52" s="76"/>
      <c r="MKD52" s="76"/>
      <c r="MKE52" s="76"/>
      <c r="MKF52" s="76"/>
      <c r="MKG52" s="76"/>
      <c r="MKH52" s="76"/>
      <c r="MKI52" s="76"/>
      <c r="MKJ52" s="76"/>
      <c r="MKK52" s="76"/>
      <c r="MKL52" s="76"/>
      <c r="MKM52" s="76"/>
      <c r="MKN52" s="76"/>
      <c r="MKO52" s="76"/>
      <c r="MKP52" s="76"/>
      <c r="MKQ52" s="76"/>
      <c r="MKR52" s="76"/>
      <c r="MKS52" s="76"/>
      <c r="MKT52" s="76"/>
      <c r="MKU52" s="76"/>
      <c r="MKV52" s="76"/>
      <c r="MKW52" s="76"/>
      <c r="MKX52" s="76"/>
      <c r="MKY52" s="76"/>
      <c r="MKZ52" s="76"/>
      <c r="MLA52" s="76"/>
      <c r="MLB52" s="76"/>
      <c r="MLC52" s="76"/>
      <c r="MLD52" s="76"/>
      <c r="MLE52" s="76"/>
      <c r="MLF52" s="76"/>
      <c r="MLG52" s="76"/>
      <c r="MLH52" s="76"/>
      <c r="MLI52" s="76"/>
      <c r="MLJ52" s="76"/>
      <c r="MLK52" s="76"/>
      <c r="MLL52" s="76"/>
      <c r="MLM52" s="76"/>
      <c r="MLN52" s="76"/>
      <c r="MLO52" s="76"/>
      <c r="MLP52" s="76"/>
      <c r="MLQ52" s="76"/>
      <c r="MLR52" s="76"/>
      <c r="MLS52" s="76"/>
      <c r="MLT52" s="76"/>
      <c r="MLU52" s="76"/>
      <c r="MLV52" s="76"/>
      <c r="MLW52" s="76"/>
      <c r="MLX52" s="76"/>
      <c r="MLY52" s="76"/>
      <c r="MLZ52" s="76"/>
      <c r="MMA52" s="76"/>
      <c r="MMB52" s="76"/>
      <c r="MMC52" s="76"/>
      <c r="MMD52" s="76"/>
      <c r="MME52" s="76"/>
      <c r="MMF52" s="76"/>
      <c r="MMG52" s="76"/>
      <c r="MMH52" s="76"/>
      <c r="MMI52" s="76"/>
      <c r="MMJ52" s="76"/>
      <c r="MMK52" s="76"/>
      <c r="MML52" s="76"/>
      <c r="MMM52" s="76"/>
      <c r="MMN52" s="76"/>
      <c r="MMO52" s="76"/>
      <c r="MMP52" s="76"/>
      <c r="MMQ52" s="76"/>
      <c r="MMR52" s="76"/>
      <c r="MMS52" s="76"/>
      <c r="MMT52" s="76"/>
      <c r="MMU52" s="76"/>
      <c r="MMV52" s="76"/>
      <c r="MMW52" s="76"/>
      <c r="MMX52" s="76"/>
      <c r="MMY52" s="76"/>
      <c r="MMZ52" s="76"/>
      <c r="MNA52" s="76"/>
      <c r="MNB52" s="76"/>
      <c r="MNC52" s="76"/>
      <c r="MND52" s="76"/>
      <c r="MNE52" s="76"/>
      <c r="MNF52" s="76"/>
      <c r="MNG52" s="76"/>
      <c r="MNH52" s="76"/>
      <c r="MNI52" s="76"/>
      <c r="MNJ52" s="76"/>
      <c r="MNK52" s="76"/>
      <c r="MNL52" s="76"/>
      <c r="MNM52" s="76"/>
      <c r="MNN52" s="76"/>
      <c r="MNO52" s="76"/>
      <c r="MNP52" s="76"/>
      <c r="MNQ52" s="76"/>
      <c r="MNR52" s="76"/>
      <c r="MNS52" s="76"/>
      <c r="MNT52" s="76"/>
      <c r="MNU52" s="76"/>
      <c r="MNV52" s="76"/>
      <c r="MNW52" s="76"/>
      <c r="MNX52" s="76"/>
      <c r="MNY52" s="76"/>
      <c r="MNZ52" s="76"/>
      <c r="MOA52" s="76"/>
      <c r="MOB52" s="76"/>
      <c r="MOC52" s="76"/>
      <c r="MOD52" s="76"/>
      <c r="MOE52" s="76"/>
      <c r="MOF52" s="76"/>
      <c r="MOG52" s="76"/>
      <c r="MOH52" s="76"/>
      <c r="MOI52" s="76"/>
      <c r="MOJ52" s="76"/>
      <c r="MOK52" s="76"/>
      <c r="MOL52" s="76"/>
      <c r="MOM52" s="76"/>
      <c r="MON52" s="76"/>
      <c r="MOO52" s="76"/>
      <c r="MOP52" s="76"/>
      <c r="MOQ52" s="76"/>
      <c r="MOR52" s="76"/>
      <c r="MOS52" s="76"/>
      <c r="MOT52" s="76"/>
      <c r="MOU52" s="76"/>
      <c r="MOV52" s="76"/>
      <c r="MOW52" s="76"/>
      <c r="MOX52" s="76"/>
      <c r="MOY52" s="76"/>
      <c r="MOZ52" s="76"/>
      <c r="MPA52" s="76"/>
      <c r="MPB52" s="76"/>
      <c r="MPC52" s="76"/>
      <c r="MPD52" s="76"/>
      <c r="MPE52" s="76"/>
      <c r="MPF52" s="76"/>
      <c r="MPG52" s="76"/>
      <c r="MPH52" s="76"/>
      <c r="MPI52" s="76"/>
      <c r="MPJ52" s="76"/>
      <c r="MPK52" s="76"/>
      <c r="MPL52" s="76"/>
      <c r="MPM52" s="76"/>
      <c r="MPN52" s="76"/>
      <c r="MPO52" s="76"/>
      <c r="MPP52" s="76"/>
      <c r="MPQ52" s="76"/>
      <c r="MPR52" s="76"/>
      <c r="MPS52" s="76"/>
      <c r="MPT52" s="76"/>
      <c r="MPU52" s="76"/>
      <c r="MPV52" s="76"/>
      <c r="MPW52" s="76"/>
      <c r="MPX52" s="76"/>
      <c r="MPY52" s="76"/>
      <c r="MPZ52" s="76"/>
      <c r="MQA52" s="76"/>
      <c r="MQB52" s="76"/>
      <c r="MQC52" s="76"/>
      <c r="MQD52" s="76"/>
      <c r="MQE52" s="76"/>
      <c r="MQF52" s="76"/>
      <c r="MQG52" s="76"/>
      <c r="MQH52" s="76"/>
      <c r="MQI52" s="76"/>
      <c r="MQJ52" s="76"/>
      <c r="MQK52" s="76"/>
      <c r="MQL52" s="76"/>
      <c r="MQM52" s="76"/>
      <c r="MQN52" s="76"/>
      <c r="MQO52" s="76"/>
      <c r="MQP52" s="76"/>
      <c r="MQQ52" s="76"/>
      <c r="MQR52" s="76"/>
      <c r="MQS52" s="76"/>
      <c r="MQT52" s="76"/>
      <c r="MQU52" s="76"/>
      <c r="MQV52" s="76"/>
      <c r="MQW52" s="76"/>
      <c r="MQX52" s="76"/>
      <c r="MQY52" s="76"/>
      <c r="MQZ52" s="76"/>
      <c r="MRA52" s="76"/>
      <c r="MRB52" s="76"/>
      <c r="MRC52" s="76"/>
      <c r="MRD52" s="76"/>
      <c r="MRE52" s="76"/>
      <c r="MRF52" s="76"/>
      <c r="MRG52" s="76"/>
      <c r="MRH52" s="76"/>
      <c r="MRI52" s="76"/>
      <c r="MRJ52" s="76"/>
      <c r="MRK52" s="76"/>
      <c r="MRL52" s="76"/>
      <c r="MRM52" s="76"/>
      <c r="MRN52" s="76"/>
      <c r="MRO52" s="76"/>
      <c r="MRP52" s="76"/>
      <c r="MRQ52" s="76"/>
      <c r="MRR52" s="76"/>
      <c r="MRS52" s="76"/>
      <c r="MRT52" s="76"/>
      <c r="MRU52" s="76"/>
      <c r="MRV52" s="76"/>
      <c r="MRW52" s="76"/>
      <c r="MRX52" s="76"/>
      <c r="MRY52" s="76"/>
      <c r="MRZ52" s="76"/>
      <c r="MSA52" s="76"/>
      <c r="MSB52" s="76"/>
      <c r="MSC52" s="76"/>
      <c r="MSD52" s="76"/>
      <c r="MSE52" s="76"/>
      <c r="MSF52" s="76"/>
      <c r="MSG52" s="76"/>
      <c r="MSH52" s="76"/>
      <c r="MSI52" s="76"/>
      <c r="MSJ52" s="76"/>
      <c r="MSK52" s="76"/>
      <c r="MSL52" s="76"/>
      <c r="MSM52" s="76"/>
      <c r="MSN52" s="76"/>
      <c r="MSO52" s="76"/>
      <c r="MSP52" s="76"/>
      <c r="MSQ52" s="76"/>
      <c r="MSR52" s="76"/>
      <c r="MSS52" s="76"/>
      <c r="MST52" s="76"/>
      <c r="MSU52" s="76"/>
      <c r="MSV52" s="76"/>
      <c r="MSW52" s="76"/>
      <c r="MSX52" s="76"/>
      <c r="MSY52" s="76"/>
      <c r="MSZ52" s="76"/>
      <c r="MTA52" s="76"/>
      <c r="MTB52" s="76"/>
      <c r="MTC52" s="76"/>
      <c r="MTD52" s="76"/>
      <c r="MTE52" s="76"/>
      <c r="MTF52" s="76"/>
      <c r="MTG52" s="76"/>
      <c r="MTH52" s="76"/>
      <c r="MTI52" s="76"/>
      <c r="MTJ52" s="76"/>
      <c r="MTK52" s="76"/>
      <c r="MTL52" s="76"/>
      <c r="MTM52" s="76"/>
      <c r="MTN52" s="76"/>
      <c r="MTO52" s="76"/>
      <c r="MTP52" s="76"/>
      <c r="MTQ52" s="76"/>
      <c r="MTR52" s="76"/>
      <c r="MTS52" s="76"/>
      <c r="MTT52" s="76"/>
      <c r="MTU52" s="76"/>
      <c r="MTV52" s="76"/>
      <c r="MTW52" s="76"/>
      <c r="MTX52" s="76"/>
      <c r="MTY52" s="76"/>
      <c r="MTZ52" s="76"/>
      <c r="MUA52" s="76"/>
      <c r="MUB52" s="76"/>
      <c r="MUC52" s="76"/>
      <c r="MUD52" s="76"/>
      <c r="MUE52" s="76"/>
      <c r="MUF52" s="76"/>
      <c r="MUG52" s="76"/>
      <c r="MUH52" s="76"/>
      <c r="MUI52" s="76"/>
      <c r="MUJ52" s="76"/>
      <c r="MUK52" s="76"/>
      <c r="MUL52" s="76"/>
      <c r="MUM52" s="76"/>
      <c r="MUN52" s="76"/>
      <c r="MUO52" s="76"/>
      <c r="MUP52" s="76"/>
      <c r="MUQ52" s="76"/>
      <c r="MUR52" s="76"/>
      <c r="MUS52" s="76"/>
      <c r="MUT52" s="76"/>
      <c r="MUU52" s="76"/>
      <c r="MUV52" s="76"/>
      <c r="MUW52" s="76"/>
      <c r="MUX52" s="76"/>
      <c r="MUY52" s="76"/>
      <c r="MUZ52" s="76"/>
      <c r="MVA52" s="76"/>
      <c r="MVB52" s="76"/>
      <c r="MVC52" s="76"/>
      <c r="MVD52" s="76"/>
      <c r="MVE52" s="76"/>
      <c r="MVF52" s="76"/>
      <c r="MVG52" s="76"/>
      <c r="MVH52" s="76"/>
      <c r="MVI52" s="76"/>
      <c r="MVJ52" s="76"/>
      <c r="MVK52" s="76"/>
      <c r="MVL52" s="76"/>
      <c r="MVM52" s="76"/>
      <c r="MVN52" s="76"/>
      <c r="MVO52" s="76"/>
      <c r="MVP52" s="76"/>
      <c r="MVQ52" s="76"/>
      <c r="MVR52" s="76"/>
      <c r="MVS52" s="76"/>
      <c r="MVT52" s="76"/>
      <c r="MVU52" s="76"/>
      <c r="MVV52" s="76"/>
      <c r="MVW52" s="76"/>
      <c r="MVX52" s="76"/>
      <c r="MVY52" s="76"/>
      <c r="MVZ52" s="76"/>
      <c r="MWA52" s="76"/>
      <c r="MWB52" s="76"/>
      <c r="MWC52" s="76"/>
      <c r="MWD52" s="76"/>
      <c r="MWE52" s="76"/>
      <c r="MWF52" s="76"/>
      <c r="MWG52" s="76"/>
      <c r="MWH52" s="76"/>
      <c r="MWI52" s="76"/>
      <c r="MWJ52" s="76"/>
      <c r="MWK52" s="76"/>
      <c r="MWL52" s="76"/>
      <c r="MWM52" s="76"/>
      <c r="MWN52" s="76"/>
      <c r="MWO52" s="76"/>
      <c r="MWP52" s="76"/>
      <c r="MWQ52" s="76"/>
      <c r="MWR52" s="76"/>
      <c r="MWS52" s="76"/>
      <c r="MWT52" s="76"/>
      <c r="MWU52" s="76"/>
      <c r="MWV52" s="76"/>
      <c r="MWW52" s="76"/>
      <c r="MWX52" s="76"/>
      <c r="MWY52" s="76"/>
      <c r="MWZ52" s="76"/>
      <c r="MXA52" s="76"/>
      <c r="MXB52" s="76"/>
      <c r="MXC52" s="76"/>
      <c r="MXD52" s="76"/>
      <c r="MXE52" s="76"/>
      <c r="MXF52" s="76"/>
      <c r="MXG52" s="76"/>
      <c r="MXH52" s="76"/>
      <c r="MXI52" s="76"/>
      <c r="MXJ52" s="76"/>
      <c r="MXK52" s="76"/>
      <c r="MXL52" s="76"/>
      <c r="MXM52" s="76"/>
      <c r="MXN52" s="76"/>
      <c r="MXO52" s="76"/>
      <c r="MXP52" s="76"/>
      <c r="MXQ52" s="76"/>
      <c r="MXR52" s="76"/>
      <c r="MXS52" s="76"/>
      <c r="MXT52" s="76"/>
      <c r="MXU52" s="76"/>
      <c r="MXV52" s="76"/>
      <c r="MXW52" s="76"/>
      <c r="MXX52" s="76"/>
      <c r="MXY52" s="76"/>
      <c r="MXZ52" s="76"/>
      <c r="MYA52" s="76"/>
      <c r="MYB52" s="76"/>
      <c r="MYC52" s="76"/>
      <c r="MYD52" s="76"/>
      <c r="MYE52" s="76"/>
      <c r="MYF52" s="76"/>
      <c r="MYG52" s="76"/>
      <c r="MYH52" s="76"/>
      <c r="MYI52" s="76"/>
      <c r="MYJ52" s="76"/>
      <c r="MYK52" s="76"/>
      <c r="MYL52" s="76"/>
      <c r="MYM52" s="76"/>
      <c r="MYN52" s="76"/>
      <c r="MYO52" s="76"/>
      <c r="MYP52" s="76"/>
      <c r="MYQ52" s="76"/>
      <c r="MYR52" s="76"/>
      <c r="MYS52" s="76"/>
      <c r="MYT52" s="76"/>
      <c r="MYU52" s="76"/>
      <c r="MYV52" s="76"/>
      <c r="MYW52" s="76"/>
      <c r="MYX52" s="76"/>
      <c r="MYY52" s="76"/>
      <c r="MYZ52" s="76"/>
      <c r="MZA52" s="76"/>
      <c r="MZB52" s="76"/>
      <c r="MZC52" s="76"/>
      <c r="MZD52" s="76"/>
      <c r="MZE52" s="76"/>
      <c r="MZF52" s="76"/>
      <c r="MZG52" s="76"/>
      <c r="MZH52" s="76"/>
      <c r="MZI52" s="76"/>
      <c r="MZJ52" s="76"/>
      <c r="MZK52" s="76"/>
      <c r="MZL52" s="76"/>
      <c r="MZM52" s="76"/>
      <c r="MZN52" s="76"/>
      <c r="MZO52" s="76"/>
      <c r="MZP52" s="76"/>
      <c r="MZQ52" s="76"/>
      <c r="MZR52" s="76"/>
      <c r="MZS52" s="76"/>
      <c r="MZT52" s="76"/>
      <c r="MZU52" s="76"/>
      <c r="MZV52" s="76"/>
      <c r="MZW52" s="76"/>
      <c r="MZX52" s="76"/>
      <c r="MZY52" s="76"/>
      <c r="MZZ52" s="76"/>
      <c r="NAA52" s="76"/>
      <c r="NAB52" s="76"/>
      <c r="NAC52" s="76"/>
      <c r="NAD52" s="76"/>
      <c r="NAE52" s="76"/>
      <c r="NAF52" s="76"/>
      <c r="NAG52" s="76"/>
      <c r="NAH52" s="76"/>
      <c r="NAI52" s="76"/>
      <c r="NAJ52" s="76"/>
      <c r="NAK52" s="76"/>
      <c r="NAL52" s="76"/>
      <c r="NAM52" s="76"/>
      <c r="NAN52" s="76"/>
      <c r="NAO52" s="76"/>
      <c r="NAP52" s="76"/>
      <c r="NAQ52" s="76"/>
      <c r="NAR52" s="76"/>
      <c r="NAS52" s="76"/>
      <c r="NAT52" s="76"/>
      <c r="NAU52" s="76"/>
      <c r="NAV52" s="76"/>
      <c r="NAW52" s="76"/>
      <c r="NAX52" s="76"/>
      <c r="NAY52" s="76"/>
      <c r="NAZ52" s="76"/>
      <c r="NBA52" s="76"/>
      <c r="NBB52" s="76"/>
      <c r="NBC52" s="76"/>
      <c r="NBD52" s="76"/>
      <c r="NBE52" s="76"/>
      <c r="NBF52" s="76"/>
      <c r="NBG52" s="76"/>
      <c r="NBH52" s="76"/>
      <c r="NBI52" s="76"/>
      <c r="NBJ52" s="76"/>
      <c r="NBK52" s="76"/>
      <c r="NBL52" s="76"/>
      <c r="NBM52" s="76"/>
      <c r="NBN52" s="76"/>
      <c r="NBO52" s="76"/>
      <c r="NBP52" s="76"/>
      <c r="NBQ52" s="76"/>
      <c r="NBR52" s="76"/>
      <c r="NBS52" s="76"/>
      <c r="NBT52" s="76"/>
      <c r="NBU52" s="76"/>
      <c r="NBV52" s="76"/>
      <c r="NBW52" s="76"/>
      <c r="NBX52" s="76"/>
      <c r="NBY52" s="76"/>
      <c r="NBZ52" s="76"/>
      <c r="NCA52" s="76"/>
      <c r="NCB52" s="76"/>
      <c r="NCC52" s="76"/>
      <c r="NCD52" s="76"/>
      <c r="NCE52" s="76"/>
      <c r="NCF52" s="76"/>
      <c r="NCG52" s="76"/>
      <c r="NCH52" s="76"/>
      <c r="NCI52" s="76"/>
      <c r="NCJ52" s="76"/>
      <c r="NCK52" s="76"/>
      <c r="NCL52" s="76"/>
      <c r="NCM52" s="76"/>
      <c r="NCN52" s="76"/>
      <c r="NCO52" s="76"/>
      <c r="NCP52" s="76"/>
      <c r="NCQ52" s="76"/>
      <c r="NCR52" s="76"/>
      <c r="NCS52" s="76"/>
      <c r="NCT52" s="76"/>
      <c r="NCU52" s="76"/>
      <c r="NCV52" s="76"/>
      <c r="NCW52" s="76"/>
      <c r="NCX52" s="76"/>
      <c r="NCY52" s="76"/>
      <c r="NCZ52" s="76"/>
      <c r="NDA52" s="76"/>
      <c r="NDB52" s="76"/>
      <c r="NDC52" s="76"/>
      <c r="NDD52" s="76"/>
      <c r="NDE52" s="76"/>
      <c r="NDF52" s="76"/>
      <c r="NDG52" s="76"/>
      <c r="NDH52" s="76"/>
      <c r="NDI52" s="76"/>
      <c r="NDJ52" s="76"/>
      <c r="NDK52" s="76"/>
      <c r="NDL52" s="76"/>
      <c r="NDM52" s="76"/>
      <c r="NDN52" s="76"/>
      <c r="NDO52" s="76"/>
      <c r="NDP52" s="76"/>
      <c r="NDQ52" s="76"/>
      <c r="NDR52" s="76"/>
      <c r="NDS52" s="76"/>
      <c r="NDT52" s="76"/>
      <c r="NDU52" s="76"/>
      <c r="NDV52" s="76"/>
      <c r="NDW52" s="76"/>
      <c r="NDX52" s="76"/>
      <c r="NDY52" s="76"/>
      <c r="NDZ52" s="76"/>
      <c r="NEA52" s="76"/>
      <c r="NEB52" s="76"/>
      <c r="NEC52" s="76"/>
      <c r="NED52" s="76"/>
      <c r="NEE52" s="76"/>
      <c r="NEF52" s="76"/>
      <c r="NEG52" s="76"/>
      <c r="NEH52" s="76"/>
      <c r="NEI52" s="76"/>
      <c r="NEJ52" s="76"/>
      <c r="NEK52" s="76"/>
      <c r="NEL52" s="76"/>
      <c r="NEM52" s="76"/>
      <c r="NEN52" s="76"/>
      <c r="NEO52" s="76"/>
      <c r="NEP52" s="76"/>
      <c r="NEQ52" s="76"/>
      <c r="NER52" s="76"/>
      <c r="NES52" s="76"/>
      <c r="NET52" s="76"/>
      <c r="NEU52" s="76"/>
      <c r="NEV52" s="76"/>
      <c r="NEW52" s="76"/>
      <c r="NEX52" s="76"/>
      <c r="NEY52" s="76"/>
      <c r="NEZ52" s="76"/>
      <c r="NFA52" s="76"/>
      <c r="NFB52" s="76"/>
      <c r="NFC52" s="76"/>
      <c r="NFD52" s="76"/>
      <c r="NFE52" s="76"/>
      <c r="NFF52" s="76"/>
      <c r="NFG52" s="76"/>
      <c r="NFH52" s="76"/>
      <c r="NFI52" s="76"/>
      <c r="NFJ52" s="76"/>
      <c r="NFK52" s="76"/>
      <c r="NFL52" s="76"/>
      <c r="NFM52" s="76"/>
      <c r="NFN52" s="76"/>
      <c r="NFO52" s="76"/>
      <c r="NFP52" s="76"/>
      <c r="NFQ52" s="76"/>
      <c r="NFR52" s="76"/>
      <c r="NFS52" s="76"/>
      <c r="NFT52" s="76"/>
      <c r="NFU52" s="76"/>
      <c r="NFV52" s="76"/>
      <c r="NFW52" s="76"/>
      <c r="NFX52" s="76"/>
      <c r="NFY52" s="76"/>
      <c r="NFZ52" s="76"/>
      <c r="NGA52" s="76"/>
      <c r="NGB52" s="76"/>
      <c r="NGC52" s="76"/>
      <c r="NGD52" s="76"/>
      <c r="NGE52" s="76"/>
      <c r="NGF52" s="76"/>
      <c r="NGG52" s="76"/>
      <c r="NGH52" s="76"/>
      <c r="NGI52" s="76"/>
      <c r="NGJ52" s="76"/>
      <c r="NGK52" s="76"/>
      <c r="NGL52" s="76"/>
      <c r="NGM52" s="76"/>
      <c r="NGN52" s="76"/>
      <c r="NGO52" s="76"/>
      <c r="NGP52" s="76"/>
      <c r="NGQ52" s="76"/>
      <c r="NGR52" s="76"/>
      <c r="NGS52" s="76"/>
      <c r="NGT52" s="76"/>
      <c r="NGU52" s="76"/>
      <c r="NGV52" s="76"/>
      <c r="NGW52" s="76"/>
      <c r="NGX52" s="76"/>
      <c r="NGY52" s="76"/>
      <c r="NGZ52" s="76"/>
      <c r="NHA52" s="76"/>
      <c r="NHB52" s="76"/>
      <c r="NHC52" s="76"/>
      <c r="NHD52" s="76"/>
      <c r="NHE52" s="76"/>
      <c r="NHF52" s="76"/>
      <c r="NHG52" s="76"/>
      <c r="NHH52" s="76"/>
      <c r="NHI52" s="76"/>
      <c r="NHJ52" s="76"/>
      <c r="NHK52" s="76"/>
      <c r="NHL52" s="76"/>
      <c r="NHM52" s="76"/>
      <c r="NHN52" s="76"/>
      <c r="NHO52" s="76"/>
      <c r="NHP52" s="76"/>
      <c r="NHQ52" s="76"/>
      <c r="NHR52" s="76"/>
      <c r="NHS52" s="76"/>
      <c r="NHT52" s="76"/>
      <c r="NHU52" s="76"/>
      <c r="NHV52" s="76"/>
      <c r="NHW52" s="76"/>
      <c r="NHX52" s="76"/>
      <c r="NHY52" s="76"/>
      <c r="NHZ52" s="76"/>
      <c r="NIA52" s="76"/>
      <c r="NIB52" s="76"/>
      <c r="NIC52" s="76"/>
      <c r="NID52" s="76"/>
      <c r="NIE52" s="76"/>
      <c r="NIF52" s="76"/>
      <c r="NIG52" s="76"/>
      <c r="NIH52" s="76"/>
      <c r="NII52" s="76"/>
      <c r="NIJ52" s="76"/>
      <c r="NIK52" s="76"/>
      <c r="NIL52" s="76"/>
      <c r="NIM52" s="76"/>
      <c r="NIN52" s="76"/>
      <c r="NIO52" s="76"/>
      <c r="NIP52" s="76"/>
      <c r="NIQ52" s="76"/>
      <c r="NIR52" s="76"/>
      <c r="NIS52" s="76"/>
      <c r="NIT52" s="76"/>
      <c r="NIU52" s="76"/>
      <c r="NIV52" s="76"/>
      <c r="NIW52" s="76"/>
      <c r="NIX52" s="76"/>
      <c r="NIY52" s="76"/>
      <c r="NIZ52" s="76"/>
      <c r="NJA52" s="76"/>
      <c r="NJB52" s="76"/>
      <c r="NJC52" s="76"/>
      <c r="NJD52" s="76"/>
      <c r="NJE52" s="76"/>
      <c r="NJF52" s="76"/>
      <c r="NJG52" s="76"/>
      <c r="NJH52" s="76"/>
      <c r="NJI52" s="76"/>
      <c r="NJJ52" s="76"/>
      <c r="NJK52" s="76"/>
      <c r="NJL52" s="76"/>
      <c r="NJM52" s="76"/>
      <c r="NJN52" s="76"/>
      <c r="NJO52" s="76"/>
      <c r="NJP52" s="76"/>
      <c r="NJQ52" s="76"/>
      <c r="NJR52" s="76"/>
      <c r="NJS52" s="76"/>
      <c r="NJT52" s="76"/>
      <c r="NJU52" s="76"/>
      <c r="NJV52" s="76"/>
      <c r="NJW52" s="76"/>
      <c r="NJX52" s="76"/>
      <c r="NJY52" s="76"/>
      <c r="NJZ52" s="76"/>
      <c r="NKA52" s="76"/>
      <c r="NKB52" s="76"/>
      <c r="NKC52" s="76"/>
      <c r="NKD52" s="76"/>
      <c r="NKE52" s="76"/>
      <c r="NKF52" s="76"/>
      <c r="NKG52" s="76"/>
      <c r="NKH52" s="76"/>
      <c r="NKI52" s="76"/>
      <c r="NKJ52" s="76"/>
      <c r="NKK52" s="76"/>
      <c r="NKL52" s="76"/>
      <c r="NKM52" s="76"/>
      <c r="NKN52" s="76"/>
      <c r="NKO52" s="76"/>
      <c r="NKP52" s="76"/>
      <c r="NKQ52" s="76"/>
      <c r="NKR52" s="76"/>
      <c r="NKS52" s="76"/>
      <c r="NKT52" s="76"/>
      <c r="NKU52" s="76"/>
      <c r="NKV52" s="76"/>
      <c r="NKW52" s="76"/>
      <c r="NKX52" s="76"/>
      <c r="NKY52" s="76"/>
      <c r="NKZ52" s="76"/>
      <c r="NLA52" s="76"/>
      <c r="NLB52" s="76"/>
      <c r="NLC52" s="76"/>
      <c r="NLD52" s="76"/>
      <c r="NLE52" s="76"/>
      <c r="NLF52" s="76"/>
      <c r="NLG52" s="76"/>
      <c r="NLH52" s="76"/>
      <c r="NLI52" s="76"/>
      <c r="NLJ52" s="76"/>
      <c r="NLK52" s="76"/>
      <c r="NLL52" s="76"/>
      <c r="NLM52" s="76"/>
      <c r="NLN52" s="76"/>
      <c r="NLO52" s="76"/>
      <c r="NLP52" s="76"/>
      <c r="NLQ52" s="76"/>
      <c r="NLR52" s="76"/>
      <c r="NLS52" s="76"/>
      <c r="NLT52" s="76"/>
      <c r="NLU52" s="76"/>
      <c r="NLV52" s="76"/>
      <c r="NLW52" s="76"/>
      <c r="NLX52" s="76"/>
      <c r="NLY52" s="76"/>
      <c r="NLZ52" s="76"/>
      <c r="NMA52" s="76"/>
      <c r="NMB52" s="76"/>
      <c r="NMC52" s="76"/>
      <c r="NMD52" s="76"/>
      <c r="NME52" s="76"/>
      <c r="NMF52" s="76"/>
      <c r="NMG52" s="76"/>
      <c r="NMH52" s="76"/>
      <c r="NMI52" s="76"/>
      <c r="NMJ52" s="76"/>
      <c r="NMK52" s="76"/>
      <c r="NML52" s="76"/>
      <c r="NMM52" s="76"/>
      <c r="NMN52" s="76"/>
      <c r="NMO52" s="76"/>
      <c r="NMP52" s="76"/>
      <c r="NMQ52" s="76"/>
      <c r="NMR52" s="76"/>
      <c r="NMS52" s="76"/>
      <c r="NMT52" s="76"/>
      <c r="NMU52" s="76"/>
      <c r="NMV52" s="76"/>
      <c r="NMW52" s="76"/>
      <c r="NMX52" s="76"/>
      <c r="NMY52" s="76"/>
      <c r="NMZ52" s="76"/>
      <c r="NNA52" s="76"/>
      <c r="NNB52" s="76"/>
      <c r="NNC52" s="76"/>
      <c r="NND52" s="76"/>
      <c r="NNE52" s="76"/>
      <c r="NNF52" s="76"/>
      <c r="NNG52" s="76"/>
      <c r="NNH52" s="76"/>
      <c r="NNI52" s="76"/>
      <c r="NNJ52" s="76"/>
      <c r="NNK52" s="76"/>
      <c r="NNL52" s="76"/>
      <c r="NNM52" s="76"/>
      <c r="NNN52" s="76"/>
      <c r="NNO52" s="76"/>
      <c r="NNP52" s="76"/>
      <c r="NNQ52" s="76"/>
      <c r="NNR52" s="76"/>
      <c r="NNS52" s="76"/>
      <c r="NNT52" s="76"/>
      <c r="NNU52" s="76"/>
      <c r="NNV52" s="76"/>
      <c r="NNW52" s="76"/>
      <c r="NNX52" s="76"/>
      <c r="NNY52" s="76"/>
      <c r="NNZ52" s="76"/>
      <c r="NOA52" s="76"/>
      <c r="NOB52" s="76"/>
      <c r="NOC52" s="76"/>
      <c r="NOD52" s="76"/>
      <c r="NOE52" s="76"/>
      <c r="NOF52" s="76"/>
      <c r="NOG52" s="76"/>
      <c r="NOH52" s="76"/>
      <c r="NOI52" s="76"/>
      <c r="NOJ52" s="76"/>
      <c r="NOK52" s="76"/>
      <c r="NOL52" s="76"/>
      <c r="NOM52" s="76"/>
      <c r="NON52" s="76"/>
      <c r="NOO52" s="76"/>
      <c r="NOP52" s="76"/>
      <c r="NOQ52" s="76"/>
      <c r="NOR52" s="76"/>
      <c r="NOS52" s="76"/>
      <c r="NOT52" s="76"/>
      <c r="NOU52" s="76"/>
      <c r="NOV52" s="76"/>
      <c r="NOW52" s="76"/>
      <c r="NOX52" s="76"/>
      <c r="NOY52" s="76"/>
      <c r="NOZ52" s="76"/>
      <c r="NPA52" s="76"/>
      <c r="NPB52" s="76"/>
      <c r="NPC52" s="76"/>
      <c r="NPD52" s="76"/>
      <c r="NPE52" s="76"/>
      <c r="NPF52" s="76"/>
      <c r="NPG52" s="76"/>
      <c r="NPH52" s="76"/>
      <c r="NPI52" s="76"/>
      <c r="NPJ52" s="76"/>
      <c r="NPK52" s="76"/>
      <c r="NPL52" s="76"/>
      <c r="NPM52" s="76"/>
      <c r="NPN52" s="76"/>
      <c r="NPO52" s="76"/>
      <c r="NPP52" s="76"/>
      <c r="NPQ52" s="76"/>
      <c r="NPR52" s="76"/>
      <c r="NPS52" s="76"/>
      <c r="NPT52" s="76"/>
      <c r="NPU52" s="76"/>
      <c r="NPV52" s="76"/>
      <c r="NPW52" s="76"/>
      <c r="NPX52" s="76"/>
      <c r="NPY52" s="76"/>
      <c r="NPZ52" s="76"/>
      <c r="NQA52" s="76"/>
      <c r="NQB52" s="76"/>
      <c r="NQC52" s="76"/>
      <c r="NQD52" s="76"/>
      <c r="NQE52" s="76"/>
      <c r="NQF52" s="76"/>
      <c r="NQG52" s="76"/>
      <c r="NQH52" s="76"/>
      <c r="NQI52" s="76"/>
      <c r="NQJ52" s="76"/>
      <c r="NQK52" s="76"/>
      <c r="NQL52" s="76"/>
      <c r="NQM52" s="76"/>
      <c r="NQN52" s="76"/>
      <c r="NQO52" s="76"/>
      <c r="NQP52" s="76"/>
      <c r="NQQ52" s="76"/>
      <c r="NQR52" s="76"/>
      <c r="NQS52" s="76"/>
      <c r="NQT52" s="76"/>
      <c r="NQU52" s="76"/>
      <c r="NQV52" s="76"/>
      <c r="NQW52" s="76"/>
      <c r="NQX52" s="76"/>
      <c r="NQY52" s="76"/>
      <c r="NQZ52" s="76"/>
      <c r="NRA52" s="76"/>
      <c r="NRB52" s="76"/>
      <c r="NRC52" s="76"/>
      <c r="NRD52" s="76"/>
      <c r="NRE52" s="76"/>
      <c r="NRF52" s="76"/>
      <c r="NRG52" s="76"/>
      <c r="NRH52" s="76"/>
      <c r="NRI52" s="76"/>
      <c r="NRJ52" s="76"/>
      <c r="NRK52" s="76"/>
      <c r="NRL52" s="76"/>
      <c r="NRM52" s="76"/>
      <c r="NRN52" s="76"/>
      <c r="NRO52" s="76"/>
      <c r="NRP52" s="76"/>
      <c r="NRQ52" s="76"/>
      <c r="NRR52" s="76"/>
      <c r="NRS52" s="76"/>
      <c r="NRT52" s="76"/>
      <c r="NRU52" s="76"/>
      <c r="NRV52" s="76"/>
      <c r="NRW52" s="76"/>
      <c r="NRX52" s="76"/>
      <c r="NRY52" s="76"/>
      <c r="NRZ52" s="76"/>
      <c r="NSA52" s="76"/>
      <c r="NSB52" s="76"/>
      <c r="NSC52" s="76"/>
      <c r="NSD52" s="76"/>
      <c r="NSE52" s="76"/>
      <c r="NSF52" s="76"/>
      <c r="NSG52" s="76"/>
      <c r="NSH52" s="76"/>
      <c r="NSI52" s="76"/>
      <c r="NSJ52" s="76"/>
      <c r="NSK52" s="76"/>
      <c r="NSL52" s="76"/>
      <c r="NSM52" s="76"/>
      <c r="NSN52" s="76"/>
      <c r="NSO52" s="76"/>
      <c r="NSP52" s="76"/>
      <c r="NSQ52" s="76"/>
      <c r="NSR52" s="76"/>
      <c r="NSS52" s="76"/>
      <c r="NST52" s="76"/>
      <c r="NSU52" s="76"/>
      <c r="NSV52" s="76"/>
      <c r="NSW52" s="76"/>
      <c r="NSX52" s="76"/>
      <c r="NSY52" s="76"/>
      <c r="NSZ52" s="76"/>
      <c r="NTA52" s="76"/>
      <c r="NTB52" s="76"/>
      <c r="NTC52" s="76"/>
      <c r="NTD52" s="76"/>
      <c r="NTE52" s="76"/>
      <c r="NTF52" s="76"/>
      <c r="NTG52" s="76"/>
      <c r="NTH52" s="76"/>
      <c r="NTI52" s="76"/>
      <c r="NTJ52" s="76"/>
      <c r="NTK52" s="76"/>
      <c r="NTL52" s="76"/>
      <c r="NTM52" s="76"/>
      <c r="NTN52" s="76"/>
      <c r="NTO52" s="76"/>
      <c r="NTP52" s="76"/>
      <c r="NTQ52" s="76"/>
      <c r="NTR52" s="76"/>
      <c r="NTS52" s="76"/>
      <c r="NTT52" s="76"/>
      <c r="NTU52" s="76"/>
      <c r="NTV52" s="76"/>
      <c r="NTW52" s="76"/>
      <c r="NTX52" s="76"/>
      <c r="NTY52" s="76"/>
      <c r="NTZ52" s="76"/>
      <c r="NUA52" s="76"/>
      <c r="NUB52" s="76"/>
      <c r="NUC52" s="76"/>
      <c r="NUD52" s="76"/>
      <c r="NUE52" s="76"/>
      <c r="NUF52" s="76"/>
      <c r="NUG52" s="76"/>
      <c r="NUH52" s="76"/>
      <c r="NUI52" s="76"/>
      <c r="NUJ52" s="76"/>
      <c r="NUK52" s="76"/>
      <c r="NUL52" s="76"/>
      <c r="NUM52" s="76"/>
      <c r="NUN52" s="76"/>
      <c r="NUO52" s="76"/>
      <c r="NUP52" s="76"/>
      <c r="NUQ52" s="76"/>
      <c r="NUR52" s="76"/>
      <c r="NUS52" s="76"/>
      <c r="NUT52" s="76"/>
      <c r="NUU52" s="76"/>
      <c r="NUV52" s="76"/>
      <c r="NUW52" s="76"/>
      <c r="NUX52" s="76"/>
      <c r="NUY52" s="76"/>
      <c r="NUZ52" s="76"/>
      <c r="NVA52" s="76"/>
      <c r="NVB52" s="76"/>
      <c r="NVC52" s="76"/>
      <c r="NVD52" s="76"/>
      <c r="NVE52" s="76"/>
      <c r="NVF52" s="76"/>
      <c r="NVG52" s="76"/>
      <c r="NVH52" s="76"/>
      <c r="NVI52" s="76"/>
      <c r="NVJ52" s="76"/>
      <c r="NVK52" s="76"/>
      <c r="NVL52" s="76"/>
      <c r="NVM52" s="76"/>
      <c r="NVN52" s="76"/>
      <c r="NVO52" s="76"/>
      <c r="NVP52" s="76"/>
      <c r="NVQ52" s="76"/>
      <c r="NVR52" s="76"/>
      <c r="NVS52" s="76"/>
      <c r="NVT52" s="76"/>
      <c r="NVU52" s="76"/>
      <c r="NVV52" s="76"/>
      <c r="NVW52" s="76"/>
      <c r="NVX52" s="76"/>
      <c r="NVY52" s="76"/>
      <c r="NVZ52" s="76"/>
      <c r="NWA52" s="76"/>
      <c r="NWB52" s="76"/>
      <c r="NWC52" s="76"/>
      <c r="NWD52" s="76"/>
      <c r="NWE52" s="76"/>
      <c r="NWF52" s="76"/>
      <c r="NWG52" s="76"/>
      <c r="NWH52" s="76"/>
      <c r="NWI52" s="76"/>
      <c r="NWJ52" s="76"/>
      <c r="NWK52" s="76"/>
      <c r="NWL52" s="76"/>
      <c r="NWM52" s="76"/>
      <c r="NWN52" s="76"/>
      <c r="NWO52" s="76"/>
      <c r="NWP52" s="76"/>
      <c r="NWQ52" s="76"/>
      <c r="NWR52" s="76"/>
      <c r="NWS52" s="76"/>
      <c r="NWT52" s="76"/>
      <c r="NWU52" s="76"/>
      <c r="NWV52" s="76"/>
      <c r="NWW52" s="76"/>
      <c r="NWX52" s="76"/>
      <c r="NWY52" s="76"/>
      <c r="NWZ52" s="76"/>
      <c r="NXA52" s="76"/>
      <c r="NXB52" s="76"/>
      <c r="NXC52" s="76"/>
      <c r="NXD52" s="76"/>
      <c r="NXE52" s="76"/>
      <c r="NXF52" s="76"/>
      <c r="NXG52" s="76"/>
      <c r="NXH52" s="76"/>
      <c r="NXI52" s="76"/>
      <c r="NXJ52" s="76"/>
      <c r="NXK52" s="76"/>
      <c r="NXL52" s="76"/>
      <c r="NXM52" s="76"/>
      <c r="NXN52" s="76"/>
      <c r="NXO52" s="76"/>
      <c r="NXP52" s="76"/>
      <c r="NXQ52" s="76"/>
      <c r="NXR52" s="76"/>
      <c r="NXS52" s="76"/>
      <c r="NXT52" s="76"/>
      <c r="NXU52" s="76"/>
      <c r="NXV52" s="76"/>
      <c r="NXW52" s="76"/>
      <c r="NXX52" s="76"/>
      <c r="NXY52" s="76"/>
      <c r="NXZ52" s="76"/>
      <c r="NYA52" s="76"/>
      <c r="NYB52" s="76"/>
      <c r="NYC52" s="76"/>
      <c r="NYD52" s="76"/>
      <c r="NYE52" s="76"/>
      <c r="NYF52" s="76"/>
      <c r="NYG52" s="76"/>
      <c r="NYH52" s="76"/>
      <c r="NYI52" s="76"/>
      <c r="NYJ52" s="76"/>
      <c r="NYK52" s="76"/>
      <c r="NYL52" s="76"/>
      <c r="NYM52" s="76"/>
      <c r="NYN52" s="76"/>
      <c r="NYO52" s="76"/>
      <c r="NYP52" s="76"/>
      <c r="NYQ52" s="76"/>
      <c r="NYR52" s="76"/>
      <c r="NYS52" s="76"/>
      <c r="NYT52" s="76"/>
      <c r="NYU52" s="76"/>
      <c r="NYV52" s="76"/>
      <c r="NYW52" s="76"/>
      <c r="NYX52" s="76"/>
      <c r="NYY52" s="76"/>
      <c r="NYZ52" s="76"/>
      <c r="NZA52" s="76"/>
      <c r="NZB52" s="76"/>
      <c r="NZC52" s="76"/>
      <c r="NZD52" s="76"/>
      <c r="NZE52" s="76"/>
      <c r="NZF52" s="76"/>
      <c r="NZG52" s="76"/>
      <c r="NZH52" s="76"/>
      <c r="NZI52" s="76"/>
      <c r="NZJ52" s="76"/>
      <c r="NZK52" s="76"/>
      <c r="NZL52" s="76"/>
      <c r="NZM52" s="76"/>
      <c r="NZN52" s="76"/>
      <c r="NZO52" s="76"/>
      <c r="NZP52" s="76"/>
      <c r="NZQ52" s="76"/>
      <c r="NZR52" s="76"/>
      <c r="NZS52" s="76"/>
      <c r="NZT52" s="76"/>
      <c r="NZU52" s="76"/>
      <c r="NZV52" s="76"/>
      <c r="NZW52" s="76"/>
      <c r="NZX52" s="76"/>
      <c r="NZY52" s="76"/>
      <c r="NZZ52" s="76"/>
      <c r="OAA52" s="76"/>
      <c r="OAB52" s="76"/>
      <c r="OAC52" s="76"/>
      <c r="OAD52" s="76"/>
      <c r="OAE52" s="76"/>
      <c r="OAF52" s="76"/>
      <c r="OAG52" s="76"/>
      <c r="OAH52" s="76"/>
      <c r="OAI52" s="76"/>
      <c r="OAJ52" s="76"/>
      <c r="OAK52" s="76"/>
      <c r="OAL52" s="76"/>
      <c r="OAM52" s="76"/>
      <c r="OAN52" s="76"/>
      <c r="OAO52" s="76"/>
      <c r="OAP52" s="76"/>
      <c r="OAQ52" s="76"/>
      <c r="OAR52" s="76"/>
      <c r="OAS52" s="76"/>
      <c r="OAT52" s="76"/>
      <c r="OAU52" s="76"/>
      <c r="OAV52" s="76"/>
      <c r="OAW52" s="76"/>
      <c r="OAX52" s="76"/>
      <c r="OAY52" s="76"/>
      <c r="OAZ52" s="76"/>
      <c r="OBA52" s="76"/>
      <c r="OBB52" s="76"/>
      <c r="OBC52" s="76"/>
      <c r="OBD52" s="76"/>
      <c r="OBE52" s="76"/>
      <c r="OBF52" s="76"/>
      <c r="OBG52" s="76"/>
      <c r="OBH52" s="76"/>
      <c r="OBI52" s="76"/>
      <c r="OBJ52" s="76"/>
      <c r="OBK52" s="76"/>
      <c r="OBL52" s="76"/>
      <c r="OBM52" s="76"/>
      <c r="OBN52" s="76"/>
      <c r="OBO52" s="76"/>
      <c r="OBP52" s="76"/>
      <c r="OBQ52" s="76"/>
      <c r="OBR52" s="76"/>
      <c r="OBS52" s="76"/>
      <c r="OBT52" s="76"/>
      <c r="OBU52" s="76"/>
      <c r="OBV52" s="76"/>
      <c r="OBW52" s="76"/>
      <c r="OBX52" s="76"/>
      <c r="OBY52" s="76"/>
      <c r="OBZ52" s="76"/>
      <c r="OCA52" s="76"/>
      <c r="OCB52" s="76"/>
      <c r="OCC52" s="76"/>
      <c r="OCD52" s="76"/>
      <c r="OCE52" s="76"/>
      <c r="OCF52" s="76"/>
      <c r="OCG52" s="76"/>
      <c r="OCH52" s="76"/>
      <c r="OCI52" s="76"/>
      <c r="OCJ52" s="76"/>
      <c r="OCK52" s="76"/>
      <c r="OCL52" s="76"/>
      <c r="OCM52" s="76"/>
      <c r="OCN52" s="76"/>
      <c r="OCO52" s="76"/>
      <c r="OCP52" s="76"/>
      <c r="OCQ52" s="76"/>
      <c r="OCR52" s="76"/>
      <c r="OCS52" s="76"/>
      <c r="OCT52" s="76"/>
      <c r="OCU52" s="76"/>
      <c r="OCV52" s="76"/>
      <c r="OCW52" s="76"/>
      <c r="OCX52" s="76"/>
      <c r="OCY52" s="76"/>
      <c r="OCZ52" s="76"/>
      <c r="ODA52" s="76"/>
      <c r="ODB52" s="76"/>
      <c r="ODC52" s="76"/>
      <c r="ODD52" s="76"/>
      <c r="ODE52" s="76"/>
      <c r="ODF52" s="76"/>
      <c r="ODG52" s="76"/>
      <c r="ODH52" s="76"/>
      <c r="ODI52" s="76"/>
      <c r="ODJ52" s="76"/>
      <c r="ODK52" s="76"/>
      <c r="ODL52" s="76"/>
      <c r="ODM52" s="76"/>
      <c r="ODN52" s="76"/>
      <c r="ODO52" s="76"/>
      <c r="ODP52" s="76"/>
      <c r="ODQ52" s="76"/>
      <c r="ODR52" s="76"/>
      <c r="ODS52" s="76"/>
      <c r="ODT52" s="76"/>
      <c r="ODU52" s="76"/>
      <c r="ODV52" s="76"/>
      <c r="ODW52" s="76"/>
      <c r="ODX52" s="76"/>
      <c r="ODY52" s="76"/>
      <c r="ODZ52" s="76"/>
      <c r="OEA52" s="76"/>
      <c r="OEB52" s="76"/>
      <c r="OEC52" s="76"/>
      <c r="OED52" s="76"/>
      <c r="OEE52" s="76"/>
      <c r="OEF52" s="76"/>
      <c r="OEG52" s="76"/>
      <c r="OEH52" s="76"/>
      <c r="OEI52" s="76"/>
      <c r="OEJ52" s="76"/>
      <c r="OEK52" s="76"/>
      <c r="OEL52" s="76"/>
      <c r="OEM52" s="76"/>
      <c r="OEN52" s="76"/>
      <c r="OEO52" s="76"/>
      <c r="OEP52" s="76"/>
      <c r="OEQ52" s="76"/>
      <c r="OER52" s="76"/>
      <c r="OES52" s="76"/>
      <c r="OET52" s="76"/>
      <c r="OEU52" s="76"/>
      <c r="OEV52" s="76"/>
      <c r="OEW52" s="76"/>
      <c r="OEX52" s="76"/>
      <c r="OEY52" s="76"/>
      <c r="OEZ52" s="76"/>
      <c r="OFA52" s="76"/>
      <c r="OFB52" s="76"/>
      <c r="OFC52" s="76"/>
      <c r="OFD52" s="76"/>
      <c r="OFE52" s="76"/>
      <c r="OFF52" s="76"/>
      <c r="OFG52" s="76"/>
      <c r="OFH52" s="76"/>
      <c r="OFI52" s="76"/>
      <c r="OFJ52" s="76"/>
      <c r="OFK52" s="76"/>
      <c r="OFL52" s="76"/>
      <c r="OFM52" s="76"/>
      <c r="OFN52" s="76"/>
      <c r="OFO52" s="76"/>
      <c r="OFP52" s="76"/>
      <c r="OFQ52" s="76"/>
      <c r="OFR52" s="76"/>
      <c r="OFS52" s="76"/>
      <c r="OFT52" s="76"/>
      <c r="OFU52" s="76"/>
      <c r="OFV52" s="76"/>
      <c r="OFW52" s="76"/>
      <c r="OFX52" s="76"/>
      <c r="OFY52" s="76"/>
      <c r="OFZ52" s="76"/>
      <c r="OGA52" s="76"/>
      <c r="OGB52" s="76"/>
      <c r="OGC52" s="76"/>
      <c r="OGD52" s="76"/>
      <c r="OGE52" s="76"/>
      <c r="OGF52" s="76"/>
      <c r="OGG52" s="76"/>
      <c r="OGH52" s="76"/>
      <c r="OGI52" s="76"/>
      <c r="OGJ52" s="76"/>
      <c r="OGK52" s="76"/>
      <c r="OGL52" s="76"/>
      <c r="OGM52" s="76"/>
      <c r="OGN52" s="76"/>
      <c r="OGO52" s="76"/>
      <c r="OGP52" s="76"/>
      <c r="OGQ52" s="76"/>
      <c r="OGR52" s="76"/>
      <c r="OGS52" s="76"/>
      <c r="OGT52" s="76"/>
      <c r="OGU52" s="76"/>
      <c r="OGV52" s="76"/>
      <c r="OGW52" s="76"/>
      <c r="OGX52" s="76"/>
      <c r="OGY52" s="76"/>
      <c r="OGZ52" s="76"/>
      <c r="OHA52" s="76"/>
      <c r="OHB52" s="76"/>
      <c r="OHC52" s="76"/>
      <c r="OHD52" s="76"/>
      <c r="OHE52" s="76"/>
      <c r="OHF52" s="76"/>
      <c r="OHG52" s="76"/>
      <c r="OHH52" s="76"/>
      <c r="OHI52" s="76"/>
      <c r="OHJ52" s="76"/>
      <c r="OHK52" s="76"/>
      <c r="OHL52" s="76"/>
      <c r="OHM52" s="76"/>
      <c r="OHN52" s="76"/>
      <c r="OHO52" s="76"/>
      <c r="OHP52" s="76"/>
      <c r="OHQ52" s="76"/>
      <c r="OHR52" s="76"/>
      <c r="OHS52" s="76"/>
      <c r="OHT52" s="76"/>
      <c r="OHU52" s="76"/>
      <c r="OHV52" s="76"/>
      <c r="OHW52" s="76"/>
      <c r="OHX52" s="76"/>
      <c r="OHY52" s="76"/>
      <c r="OHZ52" s="76"/>
      <c r="OIA52" s="76"/>
      <c r="OIB52" s="76"/>
      <c r="OIC52" s="76"/>
      <c r="OID52" s="76"/>
      <c r="OIE52" s="76"/>
      <c r="OIF52" s="76"/>
      <c r="OIG52" s="76"/>
      <c r="OIH52" s="76"/>
      <c r="OII52" s="76"/>
      <c r="OIJ52" s="76"/>
      <c r="OIK52" s="76"/>
      <c r="OIL52" s="76"/>
      <c r="OIM52" s="76"/>
      <c r="OIN52" s="76"/>
      <c r="OIO52" s="76"/>
      <c r="OIP52" s="76"/>
      <c r="OIQ52" s="76"/>
      <c r="OIR52" s="76"/>
      <c r="OIS52" s="76"/>
      <c r="OIT52" s="76"/>
      <c r="OIU52" s="76"/>
      <c r="OIV52" s="76"/>
      <c r="OIW52" s="76"/>
      <c r="OIX52" s="76"/>
      <c r="OIY52" s="76"/>
      <c r="OIZ52" s="76"/>
      <c r="OJA52" s="76"/>
      <c r="OJB52" s="76"/>
      <c r="OJC52" s="76"/>
      <c r="OJD52" s="76"/>
      <c r="OJE52" s="76"/>
      <c r="OJF52" s="76"/>
      <c r="OJG52" s="76"/>
      <c r="OJH52" s="76"/>
      <c r="OJI52" s="76"/>
      <c r="OJJ52" s="76"/>
      <c r="OJK52" s="76"/>
      <c r="OJL52" s="76"/>
      <c r="OJM52" s="76"/>
      <c r="OJN52" s="76"/>
      <c r="OJO52" s="76"/>
      <c r="OJP52" s="76"/>
      <c r="OJQ52" s="76"/>
      <c r="OJR52" s="76"/>
      <c r="OJS52" s="76"/>
      <c r="OJT52" s="76"/>
      <c r="OJU52" s="76"/>
      <c r="OJV52" s="76"/>
      <c r="OJW52" s="76"/>
      <c r="OJX52" s="76"/>
      <c r="OJY52" s="76"/>
      <c r="OJZ52" s="76"/>
      <c r="OKA52" s="76"/>
      <c r="OKB52" s="76"/>
      <c r="OKC52" s="76"/>
      <c r="OKD52" s="76"/>
      <c r="OKE52" s="76"/>
      <c r="OKF52" s="76"/>
      <c r="OKG52" s="76"/>
      <c r="OKH52" s="76"/>
      <c r="OKI52" s="76"/>
      <c r="OKJ52" s="76"/>
      <c r="OKK52" s="76"/>
      <c r="OKL52" s="76"/>
      <c r="OKM52" s="76"/>
      <c r="OKN52" s="76"/>
      <c r="OKO52" s="76"/>
      <c r="OKP52" s="76"/>
      <c r="OKQ52" s="76"/>
      <c r="OKR52" s="76"/>
      <c r="OKS52" s="76"/>
      <c r="OKT52" s="76"/>
      <c r="OKU52" s="76"/>
      <c r="OKV52" s="76"/>
      <c r="OKW52" s="76"/>
      <c r="OKX52" s="76"/>
      <c r="OKY52" s="76"/>
      <c r="OKZ52" s="76"/>
      <c r="OLA52" s="76"/>
      <c r="OLB52" s="76"/>
      <c r="OLC52" s="76"/>
      <c r="OLD52" s="76"/>
      <c r="OLE52" s="76"/>
      <c r="OLF52" s="76"/>
      <c r="OLG52" s="76"/>
      <c r="OLH52" s="76"/>
      <c r="OLI52" s="76"/>
      <c r="OLJ52" s="76"/>
      <c r="OLK52" s="76"/>
      <c r="OLL52" s="76"/>
      <c r="OLM52" s="76"/>
      <c r="OLN52" s="76"/>
      <c r="OLO52" s="76"/>
      <c r="OLP52" s="76"/>
      <c r="OLQ52" s="76"/>
      <c r="OLR52" s="76"/>
      <c r="OLS52" s="76"/>
      <c r="OLT52" s="76"/>
      <c r="OLU52" s="76"/>
      <c r="OLV52" s="76"/>
      <c r="OLW52" s="76"/>
      <c r="OLX52" s="76"/>
      <c r="OLY52" s="76"/>
      <c r="OLZ52" s="76"/>
      <c r="OMA52" s="76"/>
      <c r="OMB52" s="76"/>
      <c r="OMC52" s="76"/>
      <c r="OMD52" s="76"/>
      <c r="OME52" s="76"/>
      <c r="OMF52" s="76"/>
      <c r="OMG52" s="76"/>
      <c r="OMH52" s="76"/>
      <c r="OMI52" s="76"/>
      <c r="OMJ52" s="76"/>
      <c r="OMK52" s="76"/>
      <c r="OML52" s="76"/>
      <c r="OMM52" s="76"/>
      <c r="OMN52" s="76"/>
      <c r="OMO52" s="76"/>
      <c r="OMP52" s="76"/>
      <c r="OMQ52" s="76"/>
      <c r="OMR52" s="76"/>
      <c r="OMS52" s="76"/>
      <c r="OMT52" s="76"/>
      <c r="OMU52" s="76"/>
      <c r="OMV52" s="76"/>
      <c r="OMW52" s="76"/>
      <c r="OMX52" s="76"/>
      <c r="OMY52" s="76"/>
      <c r="OMZ52" s="76"/>
      <c r="ONA52" s="76"/>
      <c r="ONB52" s="76"/>
      <c r="ONC52" s="76"/>
      <c r="OND52" s="76"/>
      <c r="ONE52" s="76"/>
      <c r="ONF52" s="76"/>
      <c r="ONG52" s="76"/>
      <c r="ONH52" s="76"/>
      <c r="ONI52" s="76"/>
      <c r="ONJ52" s="76"/>
      <c r="ONK52" s="76"/>
      <c r="ONL52" s="76"/>
      <c r="ONM52" s="76"/>
      <c r="ONN52" s="76"/>
      <c r="ONO52" s="76"/>
      <c r="ONP52" s="76"/>
      <c r="ONQ52" s="76"/>
      <c r="ONR52" s="76"/>
      <c r="ONS52" s="76"/>
      <c r="ONT52" s="76"/>
      <c r="ONU52" s="76"/>
      <c r="ONV52" s="76"/>
      <c r="ONW52" s="76"/>
      <c r="ONX52" s="76"/>
      <c r="ONY52" s="76"/>
      <c r="ONZ52" s="76"/>
      <c r="OOA52" s="76"/>
      <c r="OOB52" s="76"/>
      <c r="OOC52" s="76"/>
      <c r="OOD52" s="76"/>
      <c r="OOE52" s="76"/>
      <c r="OOF52" s="76"/>
      <c r="OOG52" s="76"/>
      <c r="OOH52" s="76"/>
      <c r="OOI52" s="76"/>
      <c r="OOJ52" s="76"/>
      <c r="OOK52" s="76"/>
      <c r="OOL52" s="76"/>
      <c r="OOM52" s="76"/>
      <c r="OON52" s="76"/>
      <c r="OOO52" s="76"/>
      <c r="OOP52" s="76"/>
      <c r="OOQ52" s="76"/>
      <c r="OOR52" s="76"/>
      <c r="OOS52" s="76"/>
      <c r="OOT52" s="76"/>
      <c r="OOU52" s="76"/>
      <c r="OOV52" s="76"/>
      <c r="OOW52" s="76"/>
      <c r="OOX52" s="76"/>
      <c r="OOY52" s="76"/>
      <c r="OOZ52" s="76"/>
      <c r="OPA52" s="76"/>
      <c r="OPB52" s="76"/>
      <c r="OPC52" s="76"/>
      <c r="OPD52" s="76"/>
      <c r="OPE52" s="76"/>
      <c r="OPF52" s="76"/>
      <c r="OPG52" s="76"/>
      <c r="OPH52" s="76"/>
      <c r="OPI52" s="76"/>
      <c r="OPJ52" s="76"/>
      <c r="OPK52" s="76"/>
      <c r="OPL52" s="76"/>
      <c r="OPM52" s="76"/>
      <c r="OPN52" s="76"/>
      <c r="OPO52" s="76"/>
      <c r="OPP52" s="76"/>
      <c r="OPQ52" s="76"/>
      <c r="OPR52" s="76"/>
      <c r="OPS52" s="76"/>
      <c r="OPT52" s="76"/>
      <c r="OPU52" s="76"/>
      <c r="OPV52" s="76"/>
      <c r="OPW52" s="76"/>
      <c r="OPX52" s="76"/>
      <c r="OPY52" s="76"/>
      <c r="OPZ52" s="76"/>
      <c r="OQA52" s="76"/>
      <c r="OQB52" s="76"/>
      <c r="OQC52" s="76"/>
      <c r="OQD52" s="76"/>
      <c r="OQE52" s="76"/>
      <c r="OQF52" s="76"/>
      <c r="OQG52" s="76"/>
      <c r="OQH52" s="76"/>
      <c r="OQI52" s="76"/>
      <c r="OQJ52" s="76"/>
      <c r="OQK52" s="76"/>
      <c r="OQL52" s="76"/>
      <c r="OQM52" s="76"/>
      <c r="OQN52" s="76"/>
      <c r="OQO52" s="76"/>
      <c r="OQP52" s="76"/>
      <c r="OQQ52" s="76"/>
      <c r="OQR52" s="76"/>
      <c r="OQS52" s="76"/>
      <c r="OQT52" s="76"/>
      <c r="OQU52" s="76"/>
      <c r="OQV52" s="76"/>
      <c r="OQW52" s="76"/>
      <c r="OQX52" s="76"/>
      <c r="OQY52" s="76"/>
      <c r="OQZ52" s="76"/>
      <c r="ORA52" s="76"/>
      <c r="ORB52" s="76"/>
      <c r="ORC52" s="76"/>
      <c r="ORD52" s="76"/>
      <c r="ORE52" s="76"/>
      <c r="ORF52" s="76"/>
      <c r="ORG52" s="76"/>
      <c r="ORH52" s="76"/>
      <c r="ORI52" s="76"/>
      <c r="ORJ52" s="76"/>
      <c r="ORK52" s="76"/>
      <c r="ORL52" s="76"/>
      <c r="ORM52" s="76"/>
      <c r="ORN52" s="76"/>
      <c r="ORO52" s="76"/>
      <c r="ORP52" s="76"/>
      <c r="ORQ52" s="76"/>
      <c r="ORR52" s="76"/>
      <c r="ORS52" s="76"/>
      <c r="ORT52" s="76"/>
      <c r="ORU52" s="76"/>
      <c r="ORV52" s="76"/>
      <c r="ORW52" s="76"/>
      <c r="ORX52" s="76"/>
      <c r="ORY52" s="76"/>
      <c r="ORZ52" s="76"/>
      <c r="OSA52" s="76"/>
      <c r="OSB52" s="76"/>
      <c r="OSC52" s="76"/>
      <c r="OSD52" s="76"/>
      <c r="OSE52" s="76"/>
      <c r="OSF52" s="76"/>
      <c r="OSG52" s="76"/>
      <c r="OSH52" s="76"/>
      <c r="OSI52" s="76"/>
      <c r="OSJ52" s="76"/>
      <c r="OSK52" s="76"/>
      <c r="OSL52" s="76"/>
      <c r="OSM52" s="76"/>
      <c r="OSN52" s="76"/>
      <c r="OSO52" s="76"/>
      <c r="OSP52" s="76"/>
      <c r="OSQ52" s="76"/>
      <c r="OSR52" s="76"/>
      <c r="OSS52" s="76"/>
      <c r="OST52" s="76"/>
      <c r="OSU52" s="76"/>
      <c r="OSV52" s="76"/>
      <c r="OSW52" s="76"/>
      <c r="OSX52" s="76"/>
      <c r="OSY52" s="76"/>
      <c r="OSZ52" s="76"/>
      <c r="OTA52" s="76"/>
      <c r="OTB52" s="76"/>
      <c r="OTC52" s="76"/>
      <c r="OTD52" s="76"/>
      <c r="OTE52" s="76"/>
      <c r="OTF52" s="76"/>
      <c r="OTG52" s="76"/>
      <c r="OTH52" s="76"/>
      <c r="OTI52" s="76"/>
      <c r="OTJ52" s="76"/>
      <c r="OTK52" s="76"/>
      <c r="OTL52" s="76"/>
      <c r="OTM52" s="76"/>
      <c r="OTN52" s="76"/>
      <c r="OTO52" s="76"/>
      <c r="OTP52" s="76"/>
      <c r="OTQ52" s="76"/>
      <c r="OTR52" s="76"/>
      <c r="OTS52" s="76"/>
      <c r="OTT52" s="76"/>
      <c r="OTU52" s="76"/>
      <c r="OTV52" s="76"/>
      <c r="OTW52" s="76"/>
      <c r="OTX52" s="76"/>
      <c r="OTY52" s="76"/>
      <c r="OTZ52" s="76"/>
      <c r="OUA52" s="76"/>
      <c r="OUB52" s="76"/>
      <c r="OUC52" s="76"/>
      <c r="OUD52" s="76"/>
      <c r="OUE52" s="76"/>
      <c r="OUF52" s="76"/>
      <c r="OUG52" s="76"/>
      <c r="OUH52" s="76"/>
      <c r="OUI52" s="76"/>
      <c r="OUJ52" s="76"/>
      <c r="OUK52" s="76"/>
      <c r="OUL52" s="76"/>
      <c r="OUM52" s="76"/>
      <c r="OUN52" s="76"/>
      <c r="OUO52" s="76"/>
      <c r="OUP52" s="76"/>
      <c r="OUQ52" s="76"/>
      <c r="OUR52" s="76"/>
      <c r="OUS52" s="76"/>
      <c r="OUT52" s="76"/>
      <c r="OUU52" s="76"/>
      <c r="OUV52" s="76"/>
      <c r="OUW52" s="76"/>
      <c r="OUX52" s="76"/>
      <c r="OUY52" s="76"/>
      <c r="OUZ52" s="76"/>
      <c r="OVA52" s="76"/>
      <c r="OVB52" s="76"/>
      <c r="OVC52" s="76"/>
      <c r="OVD52" s="76"/>
      <c r="OVE52" s="76"/>
      <c r="OVF52" s="76"/>
      <c r="OVG52" s="76"/>
      <c r="OVH52" s="76"/>
      <c r="OVI52" s="76"/>
      <c r="OVJ52" s="76"/>
      <c r="OVK52" s="76"/>
      <c r="OVL52" s="76"/>
      <c r="OVM52" s="76"/>
      <c r="OVN52" s="76"/>
      <c r="OVO52" s="76"/>
      <c r="OVP52" s="76"/>
      <c r="OVQ52" s="76"/>
      <c r="OVR52" s="76"/>
      <c r="OVS52" s="76"/>
      <c r="OVT52" s="76"/>
      <c r="OVU52" s="76"/>
      <c r="OVV52" s="76"/>
      <c r="OVW52" s="76"/>
      <c r="OVX52" s="76"/>
      <c r="OVY52" s="76"/>
      <c r="OVZ52" s="76"/>
      <c r="OWA52" s="76"/>
      <c r="OWB52" s="76"/>
      <c r="OWC52" s="76"/>
      <c r="OWD52" s="76"/>
      <c r="OWE52" s="76"/>
      <c r="OWF52" s="76"/>
      <c r="OWG52" s="76"/>
      <c r="OWH52" s="76"/>
      <c r="OWI52" s="76"/>
      <c r="OWJ52" s="76"/>
      <c r="OWK52" s="76"/>
      <c r="OWL52" s="76"/>
      <c r="OWM52" s="76"/>
      <c r="OWN52" s="76"/>
      <c r="OWO52" s="76"/>
      <c r="OWP52" s="76"/>
      <c r="OWQ52" s="76"/>
      <c r="OWR52" s="76"/>
      <c r="OWS52" s="76"/>
      <c r="OWT52" s="76"/>
      <c r="OWU52" s="76"/>
      <c r="OWV52" s="76"/>
      <c r="OWW52" s="76"/>
      <c r="OWX52" s="76"/>
      <c r="OWY52" s="76"/>
      <c r="OWZ52" s="76"/>
      <c r="OXA52" s="76"/>
      <c r="OXB52" s="76"/>
      <c r="OXC52" s="76"/>
      <c r="OXD52" s="76"/>
      <c r="OXE52" s="76"/>
      <c r="OXF52" s="76"/>
      <c r="OXG52" s="76"/>
      <c r="OXH52" s="76"/>
      <c r="OXI52" s="76"/>
      <c r="OXJ52" s="76"/>
      <c r="OXK52" s="76"/>
      <c r="OXL52" s="76"/>
      <c r="OXM52" s="76"/>
      <c r="OXN52" s="76"/>
      <c r="OXO52" s="76"/>
      <c r="OXP52" s="76"/>
      <c r="OXQ52" s="76"/>
      <c r="OXR52" s="76"/>
      <c r="OXS52" s="76"/>
      <c r="OXT52" s="76"/>
      <c r="OXU52" s="76"/>
      <c r="OXV52" s="76"/>
      <c r="OXW52" s="76"/>
      <c r="OXX52" s="76"/>
      <c r="OXY52" s="76"/>
      <c r="OXZ52" s="76"/>
      <c r="OYA52" s="76"/>
      <c r="OYB52" s="76"/>
      <c r="OYC52" s="76"/>
      <c r="OYD52" s="76"/>
      <c r="OYE52" s="76"/>
      <c r="OYF52" s="76"/>
      <c r="OYG52" s="76"/>
      <c r="OYH52" s="76"/>
      <c r="OYI52" s="76"/>
      <c r="OYJ52" s="76"/>
      <c r="OYK52" s="76"/>
      <c r="OYL52" s="76"/>
      <c r="OYM52" s="76"/>
      <c r="OYN52" s="76"/>
      <c r="OYO52" s="76"/>
      <c r="OYP52" s="76"/>
      <c r="OYQ52" s="76"/>
      <c r="OYR52" s="76"/>
      <c r="OYS52" s="76"/>
      <c r="OYT52" s="76"/>
      <c r="OYU52" s="76"/>
      <c r="OYV52" s="76"/>
      <c r="OYW52" s="76"/>
      <c r="OYX52" s="76"/>
      <c r="OYY52" s="76"/>
      <c r="OYZ52" s="76"/>
      <c r="OZA52" s="76"/>
      <c r="OZB52" s="76"/>
      <c r="OZC52" s="76"/>
      <c r="OZD52" s="76"/>
      <c r="OZE52" s="76"/>
      <c r="OZF52" s="76"/>
      <c r="OZG52" s="76"/>
      <c r="OZH52" s="76"/>
      <c r="OZI52" s="76"/>
      <c r="OZJ52" s="76"/>
      <c r="OZK52" s="76"/>
      <c r="OZL52" s="76"/>
      <c r="OZM52" s="76"/>
      <c r="OZN52" s="76"/>
      <c r="OZO52" s="76"/>
      <c r="OZP52" s="76"/>
      <c r="OZQ52" s="76"/>
      <c r="OZR52" s="76"/>
      <c r="OZS52" s="76"/>
      <c r="OZT52" s="76"/>
      <c r="OZU52" s="76"/>
      <c r="OZV52" s="76"/>
      <c r="OZW52" s="76"/>
      <c r="OZX52" s="76"/>
      <c r="OZY52" s="76"/>
      <c r="OZZ52" s="76"/>
      <c r="PAA52" s="76"/>
      <c r="PAB52" s="76"/>
      <c r="PAC52" s="76"/>
      <c r="PAD52" s="76"/>
      <c r="PAE52" s="76"/>
      <c r="PAF52" s="76"/>
      <c r="PAG52" s="76"/>
      <c r="PAH52" s="76"/>
      <c r="PAI52" s="76"/>
      <c r="PAJ52" s="76"/>
      <c r="PAK52" s="76"/>
      <c r="PAL52" s="76"/>
      <c r="PAM52" s="76"/>
      <c r="PAN52" s="76"/>
      <c r="PAO52" s="76"/>
      <c r="PAP52" s="76"/>
      <c r="PAQ52" s="76"/>
      <c r="PAR52" s="76"/>
      <c r="PAS52" s="76"/>
      <c r="PAT52" s="76"/>
      <c r="PAU52" s="76"/>
      <c r="PAV52" s="76"/>
      <c r="PAW52" s="76"/>
      <c r="PAX52" s="76"/>
      <c r="PAY52" s="76"/>
      <c r="PAZ52" s="76"/>
      <c r="PBA52" s="76"/>
      <c r="PBB52" s="76"/>
      <c r="PBC52" s="76"/>
      <c r="PBD52" s="76"/>
      <c r="PBE52" s="76"/>
      <c r="PBF52" s="76"/>
      <c r="PBG52" s="76"/>
      <c r="PBH52" s="76"/>
      <c r="PBI52" s="76"/>
      <c r="PBJ52" s="76"/>
      <c r="PBK52" s="76"/>
      <c r="PBL52" s="76"/>
      <c r="PBM52" s="76"/>
      <c r="PBN52" s="76"/>
      <c r="PBO52" s="76"/>
      <c r="PBP52" s="76"/>
      <c r="PBQ52" s="76"/>
      <c r="PBR52" s="76"/>
      <c r="PBS52" s="76"/>
      <c r="PBT52" s="76"/>
      <c r="PBU52" s="76"/>
      <c r="PBV52" s="76"/>
      <c r="PBW52" s="76"/>
      <c r="PBX52" s="76"/>
      <c r="PBY52" s="76"/>
      <c r="PBZ52" s="76"/>
      <c r="PCA52" s="76"/>
      <c r="PCB52" s="76"/>
      <c r="PCC52" s="76"/>
      <c r="PCD52" s="76"/>
      <c r="PCE52" s="76"/>
      <c r="PCF52" s="76"/>
      <c r="PCG52" s="76"/>
      <c r="PCH52" s="76"/>
      <c r="PCI52" s="76"/>
      <c r="PCJ52" s="76"/>
      <c r="PCK52" s="76"/>
      <c r="PCL52" s="76"/>
      <c r="PCM52" s="76"/>
      <c r="PCN52" s="76"/>
      <c r="PCO52" s="76"/>
      <c r="PCP52" s="76"/>
      <c r="PCQ52" s="76"/>
      <c r="PCR52" s="76"/>
      <c r="PCS52" s="76"/>
      <c r="PCT52" s="76"/>
      <c r="PCU52" s="76"/>
      <c r="PCV52" s="76"/>
      <c r="PCW52" s="76"/>
      <c r="PCX52" s="76"/>
      <c r="PCY52" s="76"/>
      <c r="PCZ52" s="76"/>
      <c r="PDA52" s="76"/>
      <c r="PDB52" s="76"/>
      <c r="PDC52" s="76"/>
      <c r="PDD52" s="76"/>
      <c r="PDE52" s="76"/>
      <c r="PDF52" s="76"/>
      <c r="PDG52" s="76"/>
      <c r="PDH52" s="76"/>
      <c r="PDI52" s="76"/>
      <c r="PDJ52" s="76"/>
      <c r="PDK52" s="76"/>
      <c r="PDL52" s="76"/>
      <c r="PDM52" s="76"/>
      <c r="PDN52" s="76"/>
      <c r="PDO52" s="76"/>
      <c r="PDP52" s="76"/>
      <c r="PDQ52" s="76"/>
      <c r="PDR52" s="76"/>
      <c r="PDS52" s="76"/>
      <c r="PDT52" s="76"/>
      <c r="PDU52" s="76"/>
      <c r="PDV52" s="76"/>
      <c r="PDW52" s="76"/>
      <c r="PDX52" s="76"/>
      <c r="PDY52" s="76"/>
      <c r="PDZ52" s="76"/>
      <c r="PEA52" s="76"/>
      <c r="PEB52" s="76"/>
      <c r="PEC52" s="76"/>
      <c r="PED52" s="76"/>
      <c r="PEE52" s="76"/>
      <c r="PEF52" s="76"/>
      <c r="PEG52" s="76"/>
      <c r="PEH52" s="76"/>
      <c r="PEI52" s="76"/>
      <c r="PEJ52" s="76"/>
      <c r="PEK52" s="76"/>
      <c r="PEL52" s="76"/>
      <c r="PEM52" s="76"/>
      <c r="PEN52" s="76"/>
      <c r="PEO52" s="76"/>
      <c r="PEP52" s="76"/>
      <c r="PEQ52" s="76"/>
      <c r="PER52" s="76"/>
      <c r="PES52" s="76"/>
      <c r="PET52" s="76"/>
      <c r="PEU52" s="76"/>
      <c r="PEV52" s="76"/>
      <c r="PEW52" s="76"/>
      <c r="PEX52" s="76"/>
      <c r="PEY52" s="76"/>
      <c r="PEZ52" s="76"/>
      <c r="PFA52" s="76"/>
      <c r="PFB52" s="76"/>
      <c r="PFC52" s="76"/>
      <c r="PFD52" s="76"/>
      <c r="PFE52" s="76"/>
      <c r="PFF52" s="76"/>
      <c r="PFG52" s="76"/>
      <c r="PFH52" s="76"/>
      <c r="PFI52" s="76"/>
      <c r="PFJ52" s="76"/>
      <c r="PFK52" s="76"/>
      <c r="PFL52" s="76"/>
      <c r="PFM52" s="76"/>
      <c r="PFN52" s="76"/>
      <c r="PFO52" s="76"/>
      <c r="PFP52" s="76"/>
      <c r="PFQ52" s="76"/>
      <c r="PFR52" s="76"/>
      <c r="PFS52" s="76"/>
      <c r="PFT52" s="76"/>
      <c r="PFU52" s="76"/>
      <c r="PFV52" s="76"/>
      <c r="PFW52" s="76"/>
      <c r="PFX52" s="76"/>
      <c r="PFY52" s="76"/>
      <c r="PFZ52" s="76"/>
      <c r="PGA52" s="76"/>
      <c r="PGB52" s="76"/>
      <c r="PGC52" s="76"/>
      <c r="PGD52" s="76"/>
      <c r="PGE52" s="76"/>
      <c r="PGF52" s="76"/>
      <c r="PGG52" s="76"/>
      <c r="PGH52" s="76"/>
      <c r="PGI52" s="76"/>
      <c r="PGJ52" s="76"/>
      <c r="PGK52" s="76"/>
      <c r="PGL52" s="76"/>
      <c r="PGM52" s="76"/>
      <c r="PGN52" s="76"/>
      <c r="PGO52" s="76"/>
      <c r="PGP52" s="76"/>
      <c r="PGQ52" s="76"/>
      <c r="PGR52" s="76"/>
      <c r="PGS52" s="76"/>
      <c r="PGT52" s="76"/>
      <c r="PGU52" s="76"/>
      <c r="PGV52" s="76"/>
      <c r="PGW52" s="76"/>
      <c r="PGX52" s="76"/>
      <c r="PGY52" s="76"/>
      <c r="PGZ52" s="76"/>
      <c r="PHA52" s="76"/>
      <c r="PHB52" s="76"/>
      <c r="PHC52" s="76"/>
      <c r="PHD52" s="76"/>
      <c r="PHE52" s="76"/>
      <c r="PHF52" s="76"/>
      <c r="PHG52" s="76"/>
      <c r="PHH52" s="76"/>
      <c r="PHI52" s="76"/>
      <c r="PHJ52" s="76"/>
      <c r="PHK52" s="76"/>
      <c r="PHL52" s="76"/>
      <c r="PHM52" s="76"/>
      <c r="PHN52" s="76"/>
      <c r="PHO52" s="76"/>
      <c r="PHP52" s="76"/>
      <c r="PHQ52" s="76"/>
      <c r="PHR52" s="76"/>
      <c r="PHS52" s="76"/>
      <c r="PHT52" s="76"/>
      <c r="PHU52" s="76"/>
      <c r="PHV52" s="76"/>
      <c r="PHW52" s="76"/>
      <c r="PHX52" s="76"/>
      <c r="PHY52" s="76"/>
      <c r="PHZ52" s="76"/>
      <c r="PIA52" s="76"/>
      <c r="PIB52" s="76"/>
      <c r="PIC52" s="76"/>
      <c r="PID52" s="76"/>
      <c r="PIE52" s="76"/>
      <c r="PIF52" s="76"/>
      <c r="PIG52" s="76"/>
      <c r="PIH52" s="76"/>
      <c r="PII52" s="76"/>
      <c r="PIJ52" s="76"/>
      <c r="PIK52" s="76"/>
      <c r="PIL52" s="76"/>
      <c r="PIM52" s="76"/>
      <c r="PIN52" s="76"/>
      <c r="PIO52" s="76"/>
      <c r="PIP52" s="76"/>
      <c r="PIQ52" s="76"/>
      <c r="PIR52" s="76"/>
      <c r="PIS52" s="76"/>
      <c r="PIT52" s="76"/>
      <c r="PIU52" s="76"/>
      <c r="PIV52" s="76"/>
      <c r="PIW52" s="76"/>
      <c r="PIX52" s="76"/>
      <c r="PIY52" s="76"/>
      <c r="PIZ52" s="76"/>
      <c r="PJA52" s="76"/>
      <c r="PJB52" s="76"/>
      <c r="PJC52" s="76"/>
      <c r="PJD52" s="76"/>
      <c r="PJE52" s="76"/>
      <c r="PJF52" s="76"/>
      <c r="PJG52" s="76"/>
      <c r="PJH52" s="76"/>
      <c r="PJI52" s="76"/>
      <c r="PJJ52" s="76"/>
      <c r="PJK52" s="76"/>
      <c r="PJL52" s="76"/>
      <c r="PJM52" s="76"/>
      <c r="PJN52" s="76"/>
      <c r="PJO52" s="76"/>
      <c r="PJP52" s="76"/>
      <c r="PJQ52" s="76"/>
      <c r="PJR52" s="76"/>
      <c r="PJS52" s="76"/>
      <c r="PJT52" s="76"/>
      <c r="PJU52" s="76"/>
      <c r="PJV52" s="76"/>
      <c r="PJW52" s="76"/>
      <c r="PJX52" s="76"/>
      <c r="PJY52" s="76"/>
      <c r="PJZ52" s="76"/>
      <c r="PKA52" s="76"/>
      <c r="PKB52" s="76"/>
      <c r="PKC52" s="76"/>
      <c r="PKD52" s="76"/>
      <c r="PKE52" s="76"/>
      <c r="PKF52" s="76"/>
      <c r="PKG52" s="76"/>
      <c r="PKH52" s="76"/>
      <c r="PKI52" s="76"/>
      <c r="PKJ52" s="76"/>
      <c r="PKK52" s="76"/>
      <c r="PKL52" s="76"/>
      <c r="PKM52" s="76"/>
      <c r="PKN52" s="76"/>
      <c r="PKO52" s="76"/>
      <c r="PKP52" s="76"/>
      <c r="PKQ52" s="76"/>
      <c r="PKR52" s="76"/>
      <c r="PKS52" s="76"/>
      <c r="PKT52" s="76"/>
      <c r="PKU52" s="76"/>
      <c r="PKV52" s="76"/>
      <c r="PKW52" s="76"/>
      <c r="PKX52" s="76"/>
      <c r="PKY52" s="76"/>
      <c r="PKZ52" s="76"/>
      <c r="PLA52" s="76"/>
      <c r="PLB52" s="76"/>
      <c r="PLC52" s="76"/>
      <c r="PLD52" s="76"/>
      <c r="PLE52" s="76"/>
      <c r="PLF52" s="76"/>
      <c r="PLG52" s="76"/>
      <c r="PLH52" s="76"/>
      <c r="PLI52" s="76"/>
      <c r="PLJ52" s="76"/>
      <c r="PLK52" s="76"/>
      <c r="PLL52" s="76"/>
      <c r="PLM52" s="76"/>
      <c r="PLN52" s="76"/>
      <c r="PLO52" s="76"/>
      <c r="PLP52" s="76"/>
      <c r="PLQ52" s="76"/>
      <c r="PLR52" s="76"/>
      <c r="PLS52" s="76"/>
      <c r="PLT52" s="76"/>
      <c r="PLU52" s="76"/>
      <c r="PLV52" s="76"/>
      <c r="PLW52" s="76"/>
      <c r="PLX52" s="76"/>
      <c r="PLY52" s="76"/>
      <c r="PLZ52" s="76"/>
      <c r="PMA52" s="76"/>
      <c r="PMB52" s="76"/>
      <c r="PMC52" s="76"/>
      <c r="PMD52" s="76"/>
      <c r="PME52" s="76"/>
      <c r="PMF52" s="76"/>
      <c r="PMG52" s="76"/>
      <c r="PMH52" s="76"/>
      <c r="PMI52" s="76"/>
      <c r="PMJ52" s="76"/>
      <c r="PMK52" s="76"/>
      <c r="PML52" s="76"/>
      <c r="PMM52" s="76"/>
      <c r="PMN52" s="76"/>
      <c r="PMO52" s="76"/>
      <c r="PMP52" s="76"/>
      <c r="PMQ52" s="76"/>
      <c r="PMR52" s="76"/>
      <c r="PMS52" s="76"/>
      <c r="PMT52" s="76"/>
      <c r="PMU52" s="76"/>
      <c r="PMV52" s="76"/>
      <c r="PMW52" s="76"/>
      <c r="PMX52" s="76"/>
      <c r="PMY52" s="76"/>
      <c r="PMZ52" s="76"/>
      <c r="PNA52" s="76"/>
      <c r="PNB52" s="76"/>
      <c r="PNC52" s="76"/>
      <c r="PND52" s="76"/>
      <c r="PNE52" s="76"/>
      <c r="PNF52" s="76"/>
      <c r="PNG52" s="76"/>
      <c r="PNH52" s="76"/>
      <c r="PNI52" s="76"/>
      <c r="PNJ52" s="76"/>
      <c r="PNK52" s="76"/>
      <c r="PNL52" s="76"/>
      <c r="PNM52" s="76"/>
      <c r="PNN52" s="76"/>
      <c r="PNO52" s="76"/>
      <c r="PNP52" s="76"/>
      <c r="PNQ52" s="76"/>
      <c r="PNR52" s="76"/>
      <c r="PNS52" s="76"/>
      <c r="PNT52" s="76"/>
      <c r="PNU52" s="76"/>
      <c r="PNV52" s="76"/>
      <c r="PNW52" s="76"/>
      <c r="PNX52" s="76"/>
      <c r="PNY52" s="76"/>
      <c r="PNZ52" s="76"/>
      <c r="POA52" s="76"/>
      <c r="POB52" s="76"/>
      <c r="POC52" s="76"/>
      <c r="POD52" s="76"/>
      <c r="POE52" s="76"/>
      <c r="POF52" s="76"/>
      <c r="POG52" s="76"/>
      <c r="POH52" s="76"/>
      <c r="POI52" s="76"/>
      <c r="POJ52" s="76"/>
      <c r="POK52" s="76"/>
      <c r="POL52" s="76"/>
      <c r="POM52" s="76"/>
      <c r="PON52" s="76"/>
      <c r="POO52" s="76"/>
      <c r="POP52" s="76"/>
      <c r="POQ52" s="76"/>
      <c r="POR52" s="76"/>
      <c r="POS52" s="76"/>
      <c r="POT52" s="76"/>
      <c r="POU52" s="76"/>
      <c r="POV52" s="76"/>
      <c r="POW52" s="76"/>
      <c r="POX52" s="76"/>
      <c r="POY52" s="76"/>
      <c r="POZ52" s="76"/>
      <c r="PPA52" s="76"/>
      <c r="PPB52" s="76"/>
      <c r="PPC52" s="76"/>
      <c r="PPD52" s="76"/>
      <c r="PPE52" s="76"/>
      <c r="PPF52" s="76"/>
      <c r="PPG52" s="76"/>
      <c r="PPH52" s="76"/>
      <c r="PPI52" s="76"/>
      <c r="PPJ52" s="76"/>
      <c r="PPK52" s="76"/>
      <c r="PPL52" s="76"/>
      <c r="PPM52" s="76"/>
      <c r="PPN52" s="76"/>
      <c r="PPO52" s="76"/>
      <c r="PPP52" s="76"/>
      <c r="PPQ52" s="76"/>
      <c r="PPR52" s="76"/>
      <c r="PPS52" s="76"/>
      <c r="PPT52" s="76"/>
      <c r="PPU52" s="76"/>
      <c r="PPV52" s="76"/>
      <c r="PPW52" s="76"/>
      <c r="PPX52" s="76"/>
      <c r="PPY52" s="76"/>
      <c r="PPZ52" s="76"/>
      <c r="PQA52" s="76"/>
      <c r="PQB52" s="76"/>
      <c r="PQC52" s="76"/>
      <c r="PQD52" s="76"/>
      <c r="PQE52" s="76"/>
      <c r="PQF52" s="76"/>
      <c r="PQG52" s="76"/>
      <c r="PQH52" s="76"/>
      <c r="PQI52" s="76"/>
      <c r="PQJ52" s="76"/>
      <c r="PQK52" s="76"/>
      <c r="PQL52" s="76"/>
      <c r="PQM52" s="76"/>
      <c r="PQN52" s="76"/>
      <c r="PQO52" s="76"/>
      <c r="PQP52" s="76"/>
      <c r="PQQ52" s="76"/>
      <c r="PQR52" s="76"/>
      <c r="PQS52" s="76"/>
      <c r="PQT52" s="76"/>
      <c r="PQU52" s="76"/>
      <c r="PQV52" s="76"/>
      <c r="PQW52" s="76"/>
      <c r="PQX52" s="76"/>
      <c r="PQY52" s="76"/>
      <c r="PQZ52" s="76"/>
      <c r="PRA52" s="76"/>
      <c r="PRB52" s="76"/>
      <c r="PRC52" s="76"/>
      <c r="PRD52" s="76"/>
      <c r="PRE52" s="76"/>
      <c r="PRF52" s="76"/>
      <c r="PRG52" s="76"/>
      <c r="PRH52" s="76"/>
      <c r="PRI52" s="76"/>
      <c r="PRJ52" s="76"/>
      <c r="PRK52" s="76"/>
      <c r="PRL52" s="76"/>
      <c r="PRM52" s="76"/>
      <c r="PRN52" s="76"/>
      <c r="PRO52" s="76"/>
      <c r="PRP52" s="76"/>
      <c r="PRQ52" s="76"/>
      <c r="PRR52" s="76"/>
      <c r="PRS52" s="76"/>
      <c r="PRT52" s="76"/>
      <c r="PRU52" s="76"/>
      <c r="PRV52" s="76"/>
      <c r="PRW52" s="76"/>
      <c r="PRX52" s="76"/>
      <c r="PRY52" s="76"/>
      <c r="PRZ52" s="76"/>
      <c r="PSA52" s="76"/>
      <c r="PSB52" s="76"/>
      <c r="PSC52" s="76"/>
      <c r="PSD52" s="76"/>
      <c r="PSE52" s="76"/>
      <c r="PSF52" s="76"/>
      <c r="PSG52" s="76"/>
      <c r="PSH52" s="76"/>
      <c r="PSI52" s="76"/>
      <c r="PSJ52" s="76"/>
      <c r="PSK52" s="76"/>
      <c r="PSL52" s="76"/>
      <c r="PSM52" s="76"/>
      <c r="PSN52" s="76"/>
      <c r="PSO52" s="76"/>
      <c r="PSP52" s="76"/>
      <c r="PSQ52" s="76"/>
      <c r="PSR52" s="76"/>
      <c r="PSS52" s="76"/>
      <c r="PST52" s="76"/>
      <c r="PSU52" s="76"/>
      <c r="PSV52" s="76"/>
      <c r="PSW52" s="76"/>
      <c r="PSX52" s="76"/>
      <c r="PSY52" s="76"/>
      <c r="PSZ52" s="76"/>
      <c r="PTA52" s="76"/>
      <c r="PTB52" s="76"/>
      <c r="PTC52" s="76"/>
      <c r="PTD52" s="76"/>
      <c r="PTE52" s="76"/>
      <c r="PTF52" s="76"/>
      <c r="PTG52" s="76"/>
      <c r="PTH52" s="76"/>
      <c r="PTI52" s="76"/>
      <c r="PTJ52" s="76"/>
      <c r="PTK52" s="76"/>
      <c r="PTL52" s="76"/>
      <c r="PTM52" s="76"/>
      <c r="PTN52" s="76"/>
      <c r="PTO52" s="76"/>
      <c r="PTP52" s="76"/>
      <c r="PTQ52" s="76"/>
      <c r="PTR52" s="76"/>
      <c r="PTS52" s="76"/>
      <c r="PTT52" s="76"/>
      <c r="PTU52" s="76"/>
      <c r="PTV52" s="76"/>
      <c r="PTW52" s="76"/>
      <c r="PTX52" s="76"/>
      <c r="PTY52" s="76"/>
      <c r="PTZ52" s="76"/>
      <c r="PUA52" s="76"/>
      <c r="PUB52" s="76"/>
      <c r="PUC52" s="76"/>
      <c r="PUD52" s="76"/>
      <c r="PUE52" s="76"/>
      <c r="PUF52" s="76"/>
      <c r="PUG52" s="76"/>
      <c r="PUH52" s="76"/>
      <c r="PUI52" s="76"/>
      <c r="PUJ52" s="76"/>
      <c r="PUK52" s="76"/>
      <c r="PUL52" s="76"/>
      <c r="PUM52" s="76"/>
      <c r="PUN52" s="76"/>
      <c r="PUO52" s="76"/>
      <c r="PUP52" s="76"/>
      <c r="PUQ52" s="76"/>
      <c r="PUR52" s="76"/>
      <c r="PUS52" s="76"/>
      <c r="PUT52" s="76"/>
      <c r="PUU52" s="76"/>
      <c r="PUV52" s="76"/>
      <c r="PUW52" s="76"/>
      <c r="PUX52" s="76"/>
      <c r="PUY52" s="76"/>
      <c r="PUZ52" s="76"/>
      <c r="PVA52" s="76"/>
      <c r="PVB52" s="76"/>
      <c r="PVC52" s="76"/>
      <c r="PVD52" s="76"/>
      <c r="PVE52" s="76"/>
      <c r="PVF52" s="76"/>
      <c r="PVG52" s="76"/>
      <c r="PVH52" s="76"/>
      <c r="PVI52" s="76"/>
      <c r="PVJ52" s="76"/>
      <c r="PVK52" s="76"/>
      <c r="PVL52" s="76"/>
      <c r="PVM52" s="76"/>
      <c r="PVN52" s="76"/>
      <c r="PVO52" s="76"/>
      <c r="PVP52" s="76"/>
      <c r="PVQ52" s="76"/>
      <c r="PVR52" s="76"/>
      <c r="PVS52" s="76"/>
      <c r="PVT52" s="76"/>
      <c r="PVU52" s="76"/>
      <c r="PVV52" s="76"/>
      <c r="PVW52" s="76"/>
      <c r="PVX52" s="76"/>
      <c r="PVY52" s="76"/>
      <c r="PVZ52" s="76"/>
      <c r="PWA52" s="76"/>
      <c r="PWB52" s="76"/>
      <c r="PWC52" s="76"/>
      <c r="PWD52" s="76"/>
      <c r="PWE52" s="76"/>
      <c r="PWF52" s="76"/>
      <c r="PWG52" s="76"/>
      <c r="PWH52" s="76"/>
      <c r="PWI52" s="76"/>
      <c r="PWJ52" s="76"/>
      <c r="PWK52" s="76"/>
      <c r="PWL52" s="76"/>
      <c r="PWM52" s="76"/>
      <c r="PWN52" s="76"/>
      <c r="PWO52" s="76"/>
      <c r="PWP52" s="76"/>
      <c r="PWQ52" s="76"/>
      <c r="PWR52" s="76"/>
      <c r="PWS52" s="76"/>
      <c r="PWT52" s="76"/>
      <c r="PWU52" s="76"/>
      <c r="PWV52" s="76"/>
      <c r="PWW52" s="76"/>
      <c r="PWX52" s="76"/>
      <c r="PWY52" s="76"/>
      <c r="PWZ52" s="76"/>
      <c r="PXA52" s="76"/>
      <c r="PXB52" s="76"/>
      <c r="PXC52" s="76"/>
      <c r="PXD52" s="76"/>
      <c r="PXE52" s="76"/>
      <c r="PXF52" s="76"/>
      <c r="PXG52" s="76"/>
      <c r="PXH52" s="76"/>
      <c r="PXI52" s="76"/>
      <c r="PXJ52" s="76"/>
      <c r="PXK52" s="76"/>
      <c r="PXL52" s="76"/>
      <c r="PXM52" s="76"/>
      <c r="PXN52" s="76"/>
      <c r="PXO52" s="76"/>
      <c r="PXP52" s="76"/>
      <c r="PXQ52" s="76"/>
      <c r="PXR52" s="76"/>
      <c r="PXS52" s="76"/>
      <c r="PXT52" s="76"/>
      <c r="PXU52" s="76"/>
      <c r="PXV52" s="76"/>
      <c r="PXW52" s="76"/>
      <c r="PXX52" s="76"/>
      <c r="PXY52" s="76"/>
      <c r="PXZ52" s="76"/>
      <c r="PYA52" s="76"/>
      <c r="PYB52" s="76"/>
      <c r="PYC52" s="76"/>
      <c r="PYD52" s="76"/>
      <c r="PYE52" s="76"/>
      <c r="PYF52" s="76"/>
      <c r="PYG52" s="76"/>
      <c r="PYH52" s="76"/>
      <c r="PYI52" s="76"/>
      <c r="PYJ52" s="76"/>
      <c r="PYK52" s="76"/>
      <c r="PYL52" s="76"/>
      <c r="PYM52" s="76"/>
      <c r="PYN52" s="76"/>
      <c r="PYO52" s="76"/>
      <c r="PYP52" s="76"/>
      <c r="PYQ52" s="76"/>
      <c r="PYR52" s="76"/>
      <c r="PYS52" s="76"/>
      <c r="PYT52" s="76"/>
      <c r="PYU52" s="76"/>
      <c r="PYV52" s="76"/>
      <c r="PYW52" s="76"/>
      <c r="PYX52" s="76"/>
      <c r="PYY52" s="76"/>
      <c r="PYZ52" s="76"/>
      <c r="PZA52" s="76"/>
      <c r="PZB52" s="76"/>
      <c r="PZC52" s="76"/>
      <c r="PZD52" s="76"/>
      <c r="PZE52" s="76"/>
      <c r="PZF52" s="76"/>
      <c r="PZG52" s="76"/>
      <c r="PZH52" s="76"/>
      <c r="PZI52" s="76"/>
      <c r="PZJ52" s="76"/>
      <c r="PZK52" s="76"/>
      <c r="PZL52" s="76"/>
      <c r="PZM52" s="76"/>
      <c r="PZN52" s="76"/>
      <c r="PZO52" s="76"/>
      <c r="PZP52" s="76"/>
      <c r="PZQ52" s="76"/>
      <c r="PZR52" s="76"/>
      <c r="PZS52" s="76"/>
      <c r="PZT52" s="76"/>
      <c r="PZU52" s="76"/>
      <c r="PZV52" s="76"/>
      <c r="PZW52" s="76"/>
      <c r="PZX52" s="76"/>
      <c r="PZY52" s="76"/>
      <c r="PZZ52" s="76"/>
      <c r="QAA52" s="76"/>
      <c r="QAB52" s="76"/>
      <c r="QAC52" s="76"/>
      <c r="QAD52" s="76"/>
      <c r="QAE52" s="76"/>
      <c r="QAF52" s="76"/>
      <c r="QAG52" s="76"/>
      <c r="QAH52" s="76"/>
      <c r="QAI52" s="76"/>
      <c r="QAJ52" s="76"/>
      <c r="QAK52" s="76"/>
      <c r="QAL52" s="76"/>
      <c r="QAM52" s="76"/>
      <c r="QAN52" s="76"/>
      <c r="QAO52" s="76"/>
      <c r="QAP52" s="76"/>
      <c r="QAQ52" s="76"/>
      <c r="QAR52" s="76"/>
      <c r="QAS52" s="76"/>
      <c r="QAT52" s="76"/>
      <c r="QAU52" s="76"/>
      <c r="QAV52" s="76"/>
      <c r="QAW52" s="76"/>
      <c r="QAX52" s="76"/>
      <c r="QAY52" s="76"/>
      <c r="QAZ52" s="76"/>
      <c r="QBA52" s="76"/>
      <c r="QBB52" s="76"/>
      <c r="QBC52" s="76"/>
      <c r="QBD52" s="76"/>
      <c r="QBE52" s="76"/>
      <c r="QBF52" s="76"/>
      <c r="QBG52" s="76"/>
      <c r="QBH52" s="76"/>
      <c r="QBI52" s="76"/>
      <c r="QBJ52" s="76"/>
      <c r="QBK52" s="76"/>
      <c r="QBL52" s="76"/>
      <c r="QBM52" s="76"/>
      <c r="QBN52" s="76"/>
      <c r="QBO52" s="76"/>
      <c r="QBP52" s="76"/>
      <c r="QBQ52" s="76"/>
      <c r="QBR52" s="76"/>
      <c r="QBS52" s="76"/>
      <c r="QBT52" s="76"/>
      <c r="QBU52" s="76"/>
      <c r="QBV52" s="76"/>
      <c r="QBW52" s="76"/>
      <c r="QBX52" s="76"/>
      <c r="QBY52" s="76"/>
      <c r="QBZ52" s="76"/>
      <c r="QCA52" s="76"/>
      <c r="QCB52" s="76"/>
      <c r="QCC52" s="76"/>
      <c r="QCD52" s="76"/>
      <c r="QCE52" s="76"/>
      <c r="QCF52" s="76"/>
      <c r="QCG52" s="76"/>
      <c r="QCH52" s="76"/>
      <c r="QCI52" s="76"/>
      <c r="QCJ52" s="76"/>
      <c r="QCK52" s="76"/>
      <c r="QCL52" s="76"/>
      <c r="QCM52" s="76"/>
      <c r="QCN52" s="76"/>
      <c r="QCO52" s="76"/>
      <c r="QCP52" s="76"/>
      <c r="QCQ52" s="76"/>
      <c r="QCR52" s="76"/>
      <c r="QCS52" s="76"/>
      <c r="QCT52" s="76"/>
      <c r="QCU52" s="76"/>
      <c r="QCV52" s="76"/>
      <c r="QCW52" s="76"/>
      <c r="QCX52" s="76"/>
      <c r="QCY52" s="76"/>
      <c r="QCZ52" s="76"/>
      <c r="QDA52" s="76"/>
      <c r="QDB52" s="76"/>
      <c r="QDC52" s="76"/>
      <c r="QDD52" s="76"/>
      <c r="QDE52" s="76"/>
      <c r="QDF52" s="76"/>
      <c r="QDG52" s="76"/>
      <c r="QDH52" s="76"/>
      <c r="QDI52" s="76"/>
      <c r="QDJ52" s="76"/>
      <c r="QDK52" s="76"/>
      <c r="QDL52" s="76"/>
      <c r="QDM52" s="76"/>
      <c r="QDN52" s="76"/>
      <c r="QDO52" s="76"/>
      <c r="QDP52" s="76"/>
      <c r="QDQ52" s="76"/>
      <c r="QDR52" s="76"/>
      <c r="QDS52" s="76"/>
      <c r="QDT52" s="76"/>
      <c r="QDU52" s="76"/>
      <c r="QDV52" s="76"/>
      <c r="QDW52" s="76"/>
      <c r="QDX52" s="76"/>
      <c r="QDY52" s="76"/>
      <c r="QDZ52" s="76"/>
      <c r="QEA52" s="76"/>
      <c r="QEB52" s="76"/>
      <c r="QEC52" s="76"/>
      <c r="QED52" s="76"/>
      <c r="QEE52" s="76"/>
      <c r="QEF52" s="76"/>
      <c r="QEG52" s="76"/>
      <c r="QEH52" s="76"/>
      <c r="QEI52" s="76"/>
      <c r="QEJ52" s="76"/>
      <c r="QEK52" s="76"/>
      <c r="QEL52" s="76"/>
      <c r="QEM52" s="76"/>
      <c r="QEN52" s="76"/>
      <c r="QEO52" s="76"/>
      <c r="QEP52" s="76"/>
      <c r="QEQ52" s="76"/>
      <c r="QER52" s="76"/>
      <c r="QES52" s="76"/>
      <c r="QET52" s="76"/>
      <c r="QEU52" s="76"/>
      <c r="QEV52" s="76"/>
      <c r="QEW52" s="76"/>
      <c r="QEX52" s="76"/>
      <c r="QEY52" s="76"/>
      <c r="QEZ52" s="76"/>
      <c r="QFA52" s="76"/>
      <c r="QFB52" s="76"/>
      <c r="QFC52" s="76"/>
      <c r="QFD52" s="76"/>
      <c r="QFE52" s="76"/>
      <c r="QFF52" s="76"/>
      <c r="QFG52" s="76"/>
      <c r="QFH52" s="76"/>
      <c r="QFI52" s="76"/>
      <c r="QFJ52" s="76"/>
      <c r="QFK52" s="76"/>
      <c r="QFL52" s="76"/>
      <c r="QFM52" s="76"/>
      <c r="QFN52" s="76"/>
      <c r="QFO52" s="76"/>
      <c r="QFP52" s="76"/>
      <c r="QFQ52" s="76"/>
      <c r="QFR52" s="76"/>
      <c r="QFS52" s="76"/>
      <c r="QFT52" s="76"/>
      <c r="QFU52" s="76"/>
      <c r="QFV52" s="76"/>
      <c r="QFW52" s="76"/>
      <c r="QFX52" s="76"/>
      <c r="QFY52" s="76"/>
      <c r="QFZ52" s="76"/>
      <c r="QGA52" s="76"/>
      <c r="QGB52" s="76"/>
      <c r="QGC52" s="76"/>
      <c r="QGD52" s="76"/>
      <c r="QGE52" s="76"/>
      <c r="QGF52" s="76"/>
      <c r="QGG52" s="76"/>
      <c r="QGH52" s="76"/>
      <c r="QGI52" s="76"/>
      <c r="QGJ52" s="76"/>
      <c r="QGK52" s="76"/>
      <c r="QGL52" s="76"/>
      <c r="QGM52" s="76"/>
      <c r="QGN52" s="76"/>
      <c r="QGO52" s="76"/>
      <c r="QGP52" s="76"/>
      <c r="QGQ52" s="76"/>
      <c r="QGR52" s="76"/>
      <c r="QGS52" s="76"/>
      <c r="QGT52" s="76"/>
      <c r="QGU52" s="76"/>
      <c r="QGV52" s="76"/>
      <c r="QGW52" s="76"/>
      <c r="QGX52" s="76"/>
      <c r="QGY52" s="76"/>
      <c r="QGZ52" s="76"/>
      <c r="QHA52" s="76"/>
      <c r="QHB52" s="76"/>
      <c r="QHC52" s="76"/>
      <c r="QHD52" s="76"/>
      <c r="QHE52" s="76"/>
      <c r="QHF52" s="76"/>
      <c r="QHG52" s="76"/>
      <c r="QHH52" s="76"/>
      <c r="QHI52" s="76"/>
      <c r="QHJ52" s="76"/>
      <c r="QHK52" s="76"/>
      <c r="QHL52" s="76"/>
      <c r="QHM52" s="76"/>
      <c r="QHN52" s="76"/>
      <c r="QHO52" s="76"/>
      <c r="QHP52" s="76"/>
      <c r="QHQ52" s="76"/>
      <c r="QHR52" s="76"/>
      <c r="QHS52" s="76"/>
      <c r="QHT52" s="76"/>
      <c r="QHU52" s="76"/>
      <c r="QHV52" s="76"/>
      <c r="QHW52" s="76"/>
      <c r="QHX52" s="76"/>
      <c r="QHY52" s="76"/>
      <c r="QHZ52" s="76"/>
      <c r="QIA52" s="76"/>
      <c r="QIB52" s="76"/>
      <c r="QIC52" s="76"/>
      <c r="QID52" s="76"/>
      <c r="QIE52" s="76"/>
      <c r="QIF52" s="76"/>
      <c r="QIG52" s="76"/>
      <c r="QIH52" s="76"/>
      <c r="QII52" s="76"/>
      <c r="QIJ52" s="76"/>
      <c r="QIK52" s="76"/>
      <c r="QIL52" s="76"/>
      <c r="QIM52" s="76"/>
      <c r="QIN52" s="76"/>
      <c r="QIO52" s="76"/>
      <c r="QIP52" s="76"/>
      <c r="QIQ52" s="76"/>
      <c r="QIR52" s="76"/>
      <c r="QIS52" s="76"/>
      <c r="QIT52" s="76"/>
      <c r="QIU52" s="76"/>
      <c r="QIV52" s="76"/>
      <c r="QIW52" s="76"/>
      <c r="QIX52" s="76"/>
      <c r="QIY52" s="76"/>
      <c r="QIZ52" s="76"/>
      <c r="QJA52" s="76"/>
      <c r="QJB52" s="76"/>
      <c r="QJC52" s="76"/>
      <c r="QJD52" s="76"/>
      <c r="QJE52" s="76"/>
      <c r="QJF52" s="76"/>
      <c r="QJG52" s="76"/>
      <c r="QJH52" s="76"/>
      <c r="QJI52" s="76"/>
      <c r="QJJ52" s="76"/>
      <c r="QJK52" s="76"/>
      <c r="QJL52" s="76"/>
      <c r="QJM52" s="76"/>
      <c r="QJN52" s="76"/>
      <c r="QJO52" s="76"/>
      <c r="QJP52" s="76"/>
      <c r="QJQ52" s="76"/>
      <c r="QJR52" s="76"/>
      <c r="QJS52" s="76"/>
      <c r="QJT52" s="76"/>
      <c r="QJU52" s="76"/>
      <c r="QJV52" s="76"/>
      <c r="QJW52" s="76"/>
      <c r="QJX52" s="76"/>
      <c r="QJY52" s="76"/>
      <c r="QJZ52" s="76"/>
      <c r="QKA52" s="76"/>
      <c r="QKB52" s="76"/>
      <c r="QKC52" s="76"/>
      <c r="QKD52" s="76"/>
      <c r="QKE52" s="76"/>
      <c r="QKF52" s="76"/>
      <c r="QKG52" s="76"/>
      <c r="QKH52" s="76"/>
      <c r="QKI52" s="76"/>
      <c r="QKJ52" s="76"/>
      <c r="QKK52" s="76"/>
      <c r="QKL52" s="76"/>
      <c r="QKM52" s="76"/>
      <c r="QKN52" s="76"/>
      <c r="QKO52" s="76"/>
      <c r="QKP52" s="76"/>
      <c r="QKQ52" s="76"/>
      <c r="QKR52" s="76"/>
      <c r="QKS52" s="76"/>
      <c r="QKT52" s="76"/>
      <c r="QKU52" s="76"/>
      <c r="QKV52" s="76"/>
      <c r="QKW52" s="76"/>
      <c r="QKX52" s="76"/>
      <c r="QKY52" s="76"/>
      <c r="QKZ52" s="76"/>
      <c r="QLA52" s="76"/>
      <c r="QLB52" s="76"/>
      <c r="QLC52" s="76"/>
      <c r="QLD52" s="76"/>
      <c r="QLE52" s="76"/>
      <c r="QLF52" s="76"/>
      <c r="QLG52" s="76"/>
      <c r="QLH52" s="76"/>
      <c r="QLI52" s="76"/>
      <c r="QLJ52" s="76"/>
      <c r="QLK52" s="76"/>
      <c r="QLL52" s="76"/>
      <c r="QLM52" s="76"/>
      <c r="QLN52" s="76"/>
      <c r="QLO52" s="76"/>
      <c r="QLP52" s="76"/>
      <c r="QLQ52" s="76"/>
      <c r="QLR52" s="76"/>
      <c r="QLS52" s="76"/>
      <c r="QLT52" s="76"/>
      <c r="QLU52" s="76"/>
      <c r="QLV52" s="76"/>
      <c r="QLW52" s="76"/>
      <c r="QLX52" s="76"/>
      <c r="QLY52" s="76"/>
      <c r="QLZ52" s="76"/>
      <c r="QMA52" s="76"/>
      <c r="QMB52" s="76"/>
      <c r="QMC52" s="76"/>
      <c r="QMD52" s="76"/>
      <c r="QME52" s="76"/>
      <c r="QMF52" s="76"/>
      <c r="QMG52" s="76"/>
      <c r="QMH52" s="76"/>
      <c r="QMI52" s="76"/>
      <c r="QMJ52" s="76"/>
      <c r="QMK52" s="76"/>
      <c r="QML52" s="76"/>
      <c r="QMM52" s="76"/>
      <c r="QMN52" s="76"/>
      <c r="QMO52" s="76"/>
      <c r="QMP52" s="76"/>
      <c r="QMQ52" s="76"/>
      <c r="QMR52" s="76"/>
      <c r="QMS52" s="76"/>
      <c r="QMT52" s="76"/>
      <c r="QMU52" s="76"/>
      <c r="QMV52" s="76"/>
      <c r="QMW52" s="76"/>
      <c r="QMX52" s="76"/>
      <c r="QMY52" s="76"/>
      <c r="QMZ52" s="76"/>
      <c r="QNA52" s="76"/>
      <c r="QNB52" s="76"/>
      <c r="QNC52" s="76"/>
      <c r="QND52" s="76"/>
      <c r="QNE52" s="76"/>
      <c r="QNF52" s="76"/>
      <c r="QNG52" s="76"/>
      <c r="QNH52" s="76"/>
      <c r="QNI52" s="76"/>
      <c r="QNJ52" s="76"/>
      <c r="QNK52" s="76"/>
      <c r="QNL52" s="76"/>
      <c r="QNM52" s="76"/>
      <c r="QNN52" s="76"/>
      <c r="QNO52" s="76"/>
      <c r="QNP52" s="76"/>
      <c r="QNQ52" s="76"/>
      <c r="QNR52" s="76"/>
      <c r="QNS52" s="76"/>
      <c r="QNT52" s="76"/>
      <c r="QNU52" s="76"/>
      <c r="QNV52" s="76"/>
      <c r="QNW52" s="76"/>
      <c r="QNX52" s="76"/>
      <c r="QNY52" s="76"/>
      <c r="QNZ52" s="76"/>
      <c r="QOA52" s="76"/>
      <c r="QOB52" s="76"/>
      <c r="QOC52" s="76"/>
      <c r="QOD52" s="76"/>
      <c r="QOE52" s="76"/>
      <c r="QOF52" s="76"/>
      <c r="QOG52" s="76"/>
      <c r="QOH52" s="76"/>
      <c r="QOI52" s="76"/>
      <c r="QOJ52" s="76"/>
      <c r="QOK52" s="76"/>
      <c r="QOL52" s="76"/>
      <c r="QOM52" s="76"/>
      <c r="QON52" s="76"/>
      <c r="QOO52" s="76"/>
      <c r="QOP52" s="76"/>
      <c r="QOQ52" s="76"/>
      <c r="QOR52" s="76"/>
      <c r="QOS52" s="76"/>
      <c r="QOT52" s="76"/>
      <c r="QOU52" s="76"/>
      <c r="QOV52" s="76"/>
      <c r="QOW52" s="76"/>
      <c r="QOX52" s="76"/>
      <c r="QOY52" s="76"/>
      <c r="QOZ52" s="76"/>
      <c r="QPA52" s="76"/>
      <c r="QPB52" s="76"/>
      <c r="QPC52" s="76"/>
      <c r="QPD52" s="76"/>
      <c r="QPE52" s="76"/>
      <c r="QPF52" s="76"/>
      <c r="QPG52" s="76"/>
      <c r="QPH52" s="76"/>
      <c r="QPI52" s="76"/>
      <c r="QPJ52" s="76"/>
      <c r="QPK52" s="76"/>
      <c r="QPL52" s="76"/>
      <c r="QPM52" s="76"/>
      <c r="QPN52" s="76"/>
      <c r="QPO52" s="76"/>
      <c r="QPP52" s="76"/>
      <c r="QPQ52" s="76"/>
      <c r="QPR52" s="76"/>
      <c r="QPS52" s="76"/>
      <c r="QPT52" s="76"/>
      <c r="QPU52" s="76"/>
      <c r="QPV52" s="76"/>
      <c r="QPW52" s="76"/>
      <c r="QPX52" s="76"/>
      <c r="QPY52" s="76"/>
      <c r="QPZ52" s="76"/>
      <c r="QQA52" s="76"/>
      <c r="QQB52" s="76"/>
      <c r="QQC52" s="76"/>
      <c r="QQD52" s="76"/>
      <c r="QQE52" s="76"/>
      <c r="QQF52" s="76"/>
      <c r="QQG52" s="76"/>
      <c r="QQH52" s="76"/>
      <c r="QQI52" s="76"/>
      <c r="QQJ52" s="76"/>
      <c r="QQK52" s="76"/>
      <c r="QQL52" s="76"/>
      <c r="QQM52" s="76"/>
      <c r="QQN52" s="76"/>
      <c r="QQO52" s="76"/>
      <c r="QQP52" s="76"/>
      <c r="QQQ52" s="76"/>
      <c r="QQR52" s="76"/>
      <c r="QQS52" s="76"/>
      <c r="QQT52" s="76"/>
      <c r="QQU52" s="76"/>
      <c r="QQV52" s="76"/>
      <c r="QQW52" s="76"/>
      <c r="QQX52" s="76"/>
      <c r="QQY52" s="76"/>
      <c r="QQZ52" s="76"/>
      <c r="QRA52" s="76"/>
      <c r="QRB52" s="76"/>
      <c r="QRC52" s="76"/>
      <c r="QRD52" s="76"/>
      <c r="QRE52" s="76"/>
      <c r="QRF52" s="76"/>
      <c r="QRG52" s="76"/>
      <c r="QRH52" s="76"/>
      <c r="QRI52" s="76"/>
      <c r="QRJ52" s="76"/>
      <c r="QRK52" s="76"/>
      <c r="QRL52" s="76"/>
      <c r="QRM52" s="76"/>
      <c r="QRN52" s="76"/>
      <c r="QRO52" s="76"/>
      <c r="QRP52" s="76"/>
      <c r="QRQ52" s="76"/>
      <c r="QRR52" s="76"/>
      <c r="QRS52" s="76"/>
      <c r="QRT52" s="76"/>
      <c r="QRU52" s="76"/>
      <c r="QRV52" s="76"/>
      <c r="QRW52" s="76"/>
      <c r="QRX52" s="76"/>
      <c r="QRY52" s="76"/>
      <c r="QRZ52" s="76"/>
      <c r="QSA52" s="76"/>
      <c r="QSB52" s="76"/>
      <c r="QSC52" s="76"/>
      <c r="QSD52" s="76"/>
      <c r="QSE52" s="76"/>
      <c r="QSF52" s="76"/>
      <c r="QSG52" s="76"/>
      <c r="QSH52" s="76"/>
      <c r="QSI52" s="76"/>
      <c r="QSJ52" s="76"/>
      <c r="QSK52" s="76"/>
      <c r="QSL52" s="76"/>
      <c r="QSM52" s="76"/>
      <c r="QSN52" s="76"/>
      <c r="QSO52" s="76"/>
      <c r="QSP52" s="76"/>
      <c r="QSQ52" s="76"/>
      <c r="QSR52" s="76"/>
      <c r="QSS52" s="76"/>
      <c r="QST52" s="76"/>
      <c r="QSU52" s="76"/>
      <c r="QSV52" s="76"/>
      <c r="QSW52" s="76"/>
      <c r="QSX52" s="76"/>
      <c r="QSY52" s="76"/>
      <c r="QSZ52" s="76"/>
      <c r="QTA52" s="76"/>
      <c r="QTB52" s="76"/>
      <c r="QTC52" s="76"/>
      <c r="QTD52" s="76"/>
      <c r="QTE52" s="76"/>
      <c r="QTF52" s="76"/>
      <c r="QTG52" s="76"/>
      <c r="QTH52" s="76"/>
      <c r="QTI52" s="76"/>
      <c r="QTJ52" s="76"/>
      <c r="QTK52" s="76"/>
      <c r="QTL52" s="76"/>
      <c r="QTM52" s="76"/>
      <c r="QTN52" s="76"/>
      <c r="QTO52" s="76"/>
      <c r="QTP52" s="76"/>
      <c r="QTQ52" s="76"/>
      <c r="QTR52" s="76"/>
      <c r="QTS52" s="76"/>
      <c r="QTT52" s="76"/>
      <c r="QTU52" s="76"/>
      <c r="QTV52" s="76"/>
      <c r="QTW52" s="76"/>
      <c r="QTX52" s="76"/>
      <c r="QTY52" s="76"/>
      <c r="QTZ52" s="76"/>
      <c r="QUA52" s="76"/>
      <c r="QUB52" s="76"/>
      <c r="QUC52" s="76"/>
      <c r="QUD52" s="76"/>
      <c r="QUE52" s="76"/>
      <c r="QUF52" s="76"/>
      <c r="QUG52" s="76"/>
      <c r="QUH52" s="76"/>
      <c r="QUI52" s="76"/>
      <c r="QUJ52" s="76"/>
      <c r="QUK52" s="76"/>
      <c r="QUL52" s="76"/>
      <c r="QUM52" s="76"/>
      <c r="QUN52" s="76"/>
      <c r="QUO52" s="76"/>
      <c r="QUP52" s="76"/>
      <c r="QUQ52" s="76"/>
      <c r="QUR52" s="76"/>
      <c r="QUS52" s="76"/>
      <c r="QUT52" s="76"/>
      <c r="QUU52" s="76"/>
      <c r="QUV52" s="76"/>
      <c r="QUW52" s="76"/>
      <c r="QUX52" s="76"/>
      <c r="QUY52" s="76"/>
      <c r="QUZ52" s="76"/>
      <c r="QVA52" s="76"/>
      <c r="QVB52" s="76"/>
      <c r="QVC52" s="76"/>
      <c r="QVD52" s="76"/>
      <c r="QVE52" s="76"/>
      <c r="QVF52" s="76"/>
      <c r="QVG52" s="76"/>
      <c r="QVH52" s="76"/>
      <c r="QVI52" s="76"/>
      <c r="QVJ52" s="76"/>
      <c r="QVK52" s="76"/>
      <c r="QVL52" s="76"/>
      <c r="QVM52" s="76"/>
      <c r="QVN52" s="76"/>
      <c r="QVO52" s="76"/>
      <c r="QVP52" s="76"/>
      <c r="QVQ52" s="76"/>
      <c r="QVR52" s="76"/>
      <c r="QVS52" s="76"/>
      <c r="QVT52" s="76"/>
      <c r="QVU52" s="76"/>
      <c r="QVV52" s="76"/>
      <c r="QVW52" s="76"/>
      <c r="QVX52" s="76"/>
      <c r="QVY52" s="76"/>
      <c r="QVZ52" s="76"/>
      <c r="QWA52" s="76"/>
      <c r="QWB52" s="76"/>
      <c r="QWC52" s="76"/>
      <c r="QWD52" s="76"/>
      <c r="QWE52" s="76"/>
      <c r="QWF52" s="76"/>
      <c r="QWG52" s="76"/>
      <c r="QWH52" s="76"/>
      <c r="QWI52" s="76"/>
      <c r="QWJ52" s="76"/>
      <c r="QWK52" s="76"/>
      <c r="QWL52" s="76"/>
      <c r="QWM52" s="76"/>
      <c r="QWN52" s="76"/>
      <c r="QWO52" s="76"/>
      <c r="QWP52" s="76"/>
      <c r="QWQ52" s="76"/>
      <c r="QWR52" s="76"/>
      <c r="QWS52" s="76"/>
      <c r="QWT52" s="76"/>
      <c r="QWU52" s="76"/>
      <c r="QWV52" s="76"/>
      <c r="QWW52" s="76"/>
      <c r="QWX52" s="76"/>
      <c r="QWY52" s="76"/>
      <c r="QWZ52" s="76"/>
      <c r="QXA52" s="76"/>
      <c r="QXB52" s="76"/>
      <c r="QXC52" s="76"/>
      <c r="QXD52" s="76"/>
      <c r="QXE52" s="76"/>
      <c r="QXF52" s="76"/>
      <c r="QXG52" s="76"/>
      <c r="QXH52" s="76"/>
      <c r="QXI52" s="76"/>
      <c r="QXJ52" s="76"/>
      <c r="QXK52" s="76"/>
      <c r="QXL52" s="76"/>
      <c r="QXM52" s="76"/>
      <c r="QXN52" s="76"/>
      <c r="QXO52" s="76"/>
      <c r="QXP52" s="76"/>
      <c r="QXQ52" s="76"/>
      <c r="QXR52" s="76"/>
      <c r="QXS52" s="76"/>
      <c r="QXT52" s="76"/>
      <c r="QXU52" s="76"/>
      <c r="QXV52" s="76"/>
      <c r="QXW52" s="76"/>
      <c r="QXX52" s="76"/>
      <c r="QXY52" s="76"/>
      <c r="QXZ52" s="76"/>
      <c r="QYA52" s="76"/>
      <c r="QYB52" s="76"/>
      <c r="QYC52" s="76"/>
      <c r="QYD52" s="76"/>
      <c r="QYE52" s="76"/>
      <c r="QYF52" s="76"/>
      <c r="QYG52" s="76"/>
      <c r="QYH52" s="76"/>
      <c r="QYI52" s="76"/>
      <c r="QYJ52" s="76"/>
      <c r="QYK52" s="76"/>
      <c r="QYL52" s="76"/>
      <c r="QYM52" s="76"/>
      <c r="QYN52" s="76"/>
      <c r="QYO52" s="76"/>
      <c r="QYP52" s="76"/>
      <c r="QYQ52" s="76"/>
      <c r="QYR52" s="76"/>
      <c r="QYS52" s="76"/>
      <c r="QYT52" s="76"/>
      <c r="QYU52" s="76"/>
      <c r="QYV52" s="76"/>
      <c r="QYW52" s="76"/>
      <c r="QYX52" s="76"/>
      <c r="QYY52" s="76"/>
      <c r="QYZ52" s="76"/>
      <c r="QZA52" s="76"/>
      <c r="QZB52" s="76"/>
      <c r="QZC52" s="76"/>
      <c r="QZD52" s="76"/>
      <c r="QZE52" s="76"/>
      <c r="QZF52" s="76"/>
      <c r="QZG52" s="76"/>
      <c r="QZH52" s="76"/>
      <c r="QZI52" s="76"/>
      <c r="QZJ52" s="76"/>
      <c r="QZK52" s="76"/>
      <c r="QZL52" s="76"/>
      <c r="QZM52" s="76"/>
      <c r="QZN52" s="76"/>
      <c r="QZO52" s="76"/>
      <c r="QZP52" s="76"/>
      <c r="QZQ52" s="76"/>
      <c r="QZR52" s="76"/>
      <c r="QZS52" s="76"/>
      <c r="QZT52" s="76"/>
      <c r="QZU52" s="76"/>
      <c r="QZV52" s="76"/>
      <c r="QZW52" s="76"/>
      <c r="QZX52" s="76"/>
      <c r="QZY52" s="76"/>
      <c r="QZZ52" s="76"/>
      <c r="RAA52" s="76"/>
      <c r="RAB52" s="76"/>
      <c r="RAC52" s="76"/>
      <c r="RAD52" s="76"/>
      <c r="RAE52" s="76"/>
      <c r="RAF52" s="76"/>
      <c r="RAG52" s="76"/>
      <c r="RAH52" s="76"/>
      <c r="RAI52" s="76"/>
      <c r="RAJ52" s="76"/>
      <c r="RAK52" s="76"/>
      <c r="RAL52" s="76"/>
      <c r="RAM52" s="76"/>
      <c r="RAN52" s="76"/>
      <c r="RAO52" s="76"/>
      <c r="RAP52" s="76"/>
      <c r="RAQ52" s="76"/>
      <c r="RAR52" s="76"/>
      <c r="RAS52" s="76"/>
      <c r="RAT52" s="76"/>
      <c r="RAU52" s="76"/>
      <c r="RAV52" s="76"/>
      <c r="RAW52" s="76"/>
      <c r="RAX52" s="76"/>
      <c r="RAY52" s="76"/>
      <c r="RAZ52" s="76"/>
      <c r="RBA52" s="76"/>
      <c r="RBB52" s="76"/>
      <c r="RBC52" s="76"/>
      <c r="RBD52" s="76"/>
      <c r="RBE52" s="76"/>
      <c r="RBF52" s="76"/>
      <c r="RBG52" s="76"/>
      <c r="RBH52" s="76"/>
      <c r="RBI52" s="76"/>
      <c r="RBJ52" s="76"/>
      <c r="RBK52" s="76"/>
      <c r="RBL52" s="76"/>
      <c r="RBM52" s="76"/>
      <c r="RBN52" s="76"/>
      <c r="RBO52" s="76"/>
      <c r="RBP52" s="76"/>
      <c r="RBQ52" s="76"/>
      <c r="RBR52" s="76"/>
      <c r="RBS52" s="76"/>
      <c r="RBT52" s="76"/>
      <c r="RBU52" s="76"/>
      <c r="RBV52" s="76"/>
      <c r="RBW52" s="76"/>
      <c r="RBX52" s="76"/>
      <c r="RBY52" s="76"/>
      <c r="RBZ52" s="76"/>
      <c r="RCA52" s="76"/>
      <c r="RCB52" s="76"/>
      <c r="RCC52" s="76"/>
      <c r="RCD52" s="76"/>
      <c r="RCE52" s="76"/>
      <c r="RCF52" s="76"/>
      <c r="RCG52" s="76"/>
      <c r="RCH52" s="76"/>
      <c r="RCI52" s="76"/>
      <c r="RCJ52" s="76"/>
      <c r="RCK52" s="76"/>
      <c r="RCL52" s="76"/>
      <c r="RCM52" s="76"/>
      <c r="RCN52" s="76"/>
      <c r="RCO52" s="76"/>
      <c r="RCP52" s="76"/>
      <c r="RCQ52" s="76"/>
      <c r="RCR52" s="76"/>
      <c r="RCS52" s="76"/>
      <c r="RCT52" s="76"/>
      <c r="RCU52" s="76"/>
      <c r="RCV52" s="76"/>
      <c r="RCW52" s="76"/>
      <c r="RCX52" s="76"/>
      <c r="RCY52" s="76"/>
      <c r="RCZ52" s="76"/>
      <c r="RDA52" s="76"/>
      <c r="RDB52" s="76"/>
      <c r="RDC52" s="76"/>
      <c r="RDD52" s="76"/>
      <c r="RDE52" s="76"/>
      <c r="RDF52" s="76"/>
      <c r="RDG52" s="76"/>
      <c r="RDH52" s="76"/>
      <c r="RDI52" s="76"/>
      <c r="RDJ52" s="76"/>
      <c r="RDK52" s="76"/>
      <c r="RDL52" s="76"/>
      <c r="RDM52" s="76"/>
      <c r="RDN52" s="76"/>
      <c r="RDO52" s="76"/>
      <c r="RDP52" s="76"/>
      <c r="RDQ52" s="76"/>
      <c r="RDR52" s="76"/>
      <c r="RDS52" s="76"/>
      <c r="RDT52" s="76"/>
      <c r="RDU52" s="76"/>
      <c r="RDV52" s="76"/>
      <c r="RDW52" s="76"/>
      <c r="RDX52" s="76"/>
      <c r="RDY52" s="76"/>
      <c r="RDZ52" s="76"/>
      <c r="REA52" s="76"/>
      <c r="REB52" s="76"/>
      <c r="REC52" s="76"/>
      <c r="RED52" s="76"/>
      <c r="REE52" s="76"/>
      <c r="REF52" s="76"/>
      <c r="REG52" s="76"/>
      <c r="REH52" s="76"/>
      <c r="REI52" s="76"/>
      <c r="REJ52" s="76"/>
      <c r="REK52" s="76"/>
      <c r="REL52" s="76"/>
      <c r="REM52" s="76"/>
      <c r="REN52" s="76"/>
      <c r="REO52" s="76"/>
      <c r="REP52" s="76"/>
      <c r="REQ52" s="76"/>
      <c r="RER52" s="76"/>
      <c r="RES52" s="76"/>
      <c r="RET52" s="76"/>
      <c r="REU52" s="76"/>
      <c r="REV52" s="76"/>
      <c r="REW52" s="76"/>
      <c r="REX52" s="76"/>
      <c r="REY52" s="76"/>
      <c r="REZ52" s="76"/>
      <c r="RFA52" s="76"/>
      <c r="RFB52" s="76"/>
      <c r="RFC52" s="76"/>
      <c r="RFD52" s="76"/>
      <c r="RFE52" s="76"/>
      <c r="RFF52" s="76"/>
      <c r="RFG52" s="76"/>
      <c r="RFH52" s="76"/>
      <c r="RFI52" s="76"/>
      <c r="RFJ52" s="76"/>
      <c r="RFK52" s="76"/>
      <c r="RFL52" s="76"/>
      <c r="RFM52" s="76"/>
      <c r="RFN52" s="76"/>
      <c r="RFO52" s="76"/>
      <c r="RFP52" s="76"/>
      <c r="RFQ52" s="76"/>
      <c r="RFR52" s="76"/>
      <c r="RFS52" s="76"/>
      <c r="RFT52" s="76"/>
      <c r="RFU52" s="76"/>
      <c r="RFV52" s="76"/>
      <c r="RFW52" s="76"/>
      <c r="RFX52" s="76"/>
      <c r="RFY52" s="76"/>
      <c r="RFZ52" s="76"/>
      <c r="RGA52" s="76"/>
      <c r="RGB52" s="76"/>
      <c r="RGC52" s="76"/>
      <c r="RGD52" s="76"/>
      <c r="RGE52" s="76"/>
      <c r="RGF52" s="76"/>
      <c r="RGG52" s="76"/>
      <c r="RGH52" s="76"/>
      <c r="RGI52" s="76"/>
      <c r="RGJ52" s="76"/>
      <c r="RGK52" s="76"/>
      <c r="RGL52" s="76"/>
      <c r="RGM52" s="76"/>
      <c r="RGN52" s="76"/>
      <c r="RGO52" s="76"/>
      <c r="RGP52" s="76"/>
      <c r="RGQ52" s="76"/>
      <c r="RGR52" s="76"/>
      <c r="RGS52" s="76"/>
      <c r="RGT52" s="76"/>
      <c r="RGU52" s="76"/>
      <c r="RGV52" s="76"/>
      <c r="RGW52" s="76"/>
      <c r="RGX52" s="76"/>
      <c r="RGY52" s="76"/>
      <c r="RGZ52" s="76"/>
      <c r="RHA52" s="76"/>
      <c r="RHB52" s="76"/>
      <c r="RHC52" s="76"/>
      <c r="RHD52" s="76"/>
      <c r="RHE52" s="76"/>
      <c r="RHF52" s="76"/>
      <c r="RHG52" s="76"/>
      <c r="RHH52" s="76"/>
      <c r="RHI52" s="76"/>
      <c r="RHJ52" s="76"/>
      <c r="RHK52" s="76"/>
      <c r="RHL52" s="76"/>
      <c r="RHM52" s="76"/>
      <c r="RHN52" s="76"/>
      <c r="RHO52" s="76"/>
      <c r="RHP52" s="76"/>
      <c r="RHQ52" s="76"/>
      <c r="RHR52" s="76"/>
      <c r="RHS52" s="76"/>
      <c r="RHT52" s="76"/>
      <c r="RHU52" s="76"/>
      <c r="RHV52" s="76"/>
      <c r="RHW52" s="76"/>
      <c r="RHX52" s="76"/>
      <c r="RHY52" s="76"/>
      <c r="RHZ52" s="76"/>
      <c r="RIA52" s="76"/>
      <c r="RIB52" s="76"/>
      <c r="RIC52" s="76"/>
      <c r="RID52" s="76"/>
      <c r="RIE52" s="76"/>
      <c r="RIF52" s="76"/>
      <c r="RIG52" s="76"/>
      <c r="RIH52" s="76"/>
      <c r="RII52" s="76"/>
      <c r="RIJ52" s="76"/>
      <c r="RIK52" s="76"/>
      <c r="RIL52" s="76"/>
      <c r="RIM52" s="76"/>
      <c r="RIN52" s="76"/>
      <c r="RIO52" s="76"/>
      <c r="RIP52" s="76"/>
      <c r="RIQ52" s="76"/>
      <c r="RIR52" s="76"/>
      <c r="RIS52" s="76"/>
      <c r="RIT52" s="76"/>
      <c r="RIU52" s="76"/>
      <c r="RIV52" s="76"/>
      <c r="RIW52" s="76"/>
      <c r="RIX52" s="76"/>
      <c r="RIY52" s="76"/>
      <c r="RIZ52" s="76"/>
      <c r="RJA52" s="76"/>
      <c r="RJB52" s="76"/>
      <c r="RJC52" s="76"/>
      <c r="RJD52" s="76"/>
      <c r="RJE52" s="76"/>
      <c r="RJF52" s="76"/>
      <c r="RJG52" s="76"/>
      <c r="RJH52" s="76"/>
      <c r="RJI52" s="76"/>
      <c r="RJJ52" s="76"/>
      <c r="RJK52" s="76"/>
      <c r="RJL52" s="76"/>
      <c r="RJM52" s="76"/>
      <c r="RJN52" s="76"/>
      <c r="RJO52" s="76"/>
      <c r="RJP52" s="76"/>
      <c r="RJQ52" s="76"/>
      <c r="RJR52" s="76"/>
      <c r="RJS52" s="76"/>
      <c r="RJT52" s="76"/>
      <c r="RJU52" s="76"/>
      <c r="RJV52" s="76"/>
      <c r="RJW52" s="76"/>
      <c r="RJX52" s="76"/>
      <c r="RJY52" s="76"/>
      <c r="RJZ52" s="76"/>
      <c r="RKA52" s="76"/>
      <c r="RKB52" s="76"/>
      <c r="RKC52" s="76"/>
      <c r="RKD52" s="76"/>
      <c r="RKE52" s="76"/>
      <c r="RKF52" s="76"/>
      <c r="RKG52" s="76"/>
      <c r="RKH52" s="76"/>
      <c r="RKI52" s="76"/>
      <c r="RKJ52" s="76"/>
      <c r="RKK52" s="76"/>
      <c r="RKL52" s="76"/>
      <c r="RKM52" s="76"/>
      <c r="RKN52" s="76"/>
      <c r="RKO52" s="76"/>
      <c r="RKP52" s="76"/>
      <c r="RKQ52" s="76"/>
      <c r="RKR52" s="76"/>
      <c r="RKS52" s="76"/>
      <c r="RKT52" s="76"/>
      <c r="RKU52" s="76"/>
      <c r="RKV52" s="76"/>
      <c r="RKW52" s="76"/>
      <c r="RKX52" s="76"/>
      <c r="RKY52" s="76"/>
      <c r="RKZ52" s="76"/>
      <c r="RLA52" s="76"/>
      <c r="RLB52" s="76"/>
      <c r="RLC52" s="76"/>
      <c r="RLD52" s="76"/>
      <c r="RLE52" s="76"/>
      <c r="RLF52" s="76"/>
      <c r="RLG52" s="76"/>
      <c r="RLH52" s="76"/>
      <c r="RLI52" s="76"/>
      <c r="RLJ52" s="76"/>
      <c r="RLK52" s="76"/>
      <c r="RLL52" s="76"/>
      <c r="RLM52" s="76"/>
      <c r="RLN52" s="76"/>
      <c r="RLO52" s="76"/>
      <c r="RLP52" s="76"/>
      <c r="RLQ52" s="76"/>
      <c r="RLR52" s="76"/>
      <c r="RLS52" s="76"/>
      <c r="RLT52" s="76"/>
      <c r="RLU52" s="76"/>
      <c r="RLV52" s="76"/>
      <c r="RLW52" s="76"/>
      <c r="RLX52" s="76"/>
      <c r="RLY52" s="76"/>
      <c r="RLZ52" s="76"/>
      <c r="RMA52" s="76"/>
      <c r="RMB52" s="76"/>
      <c r="RMC52" s="76"/>
      <c r="RMD52" s="76"/>
      <c r="RME52" s="76"/>
      <c r="RMF52" s="76"/>
      <c r="RMG52" s="76"/>
      <c r="RMH52" s="76"/>
      <c r="RMI52" s="76"/>
      <c r="RMJ52" s="76"/>
      <c r="RMK52" s="76"/>
      <c r="RML52" s="76"/>
      <c r="RMM52" s="76"/>
      <c r="RMN52" s="76"/>
      <c r="RMO52" s="76"/>
      <c r="RMP52" s="76"/>
      <c r="RMQ52" s="76"/>
      <c r="RMR52" s="76"/>
      <c r="RMS52" s="76"/>
      <c r="RMT52" s="76"/>
      <c r="RMU52" s="76"/>
      <c r="RMV52" s="76"/>
      <c r="RMW52" s="76"/>
      <c r="RMX52" s="76"/>
      <c r="RMY52" s="76"/>
      <c r="RMZ52" s="76"/>
      <c r="RNA52" s="76"/>
      <c r="RNB52" s="76"/>
      <c r="RNC52" s="76"/>
      <c r="RND52" s="76"/>
      <c r="RNE52" s="76"/>
      <c r="RNF52" s="76"/>
      <c r="RNG52" s="76"/>
      <c r="RNH52" s="76"/>
      <c r="RNI52" s="76"/>
      <c r="RNJ52" s="76"/>
      <c r="RNK52" s="76"/>
      <c r="RNL52" s="76"/>
      <c r="RNM52" s="76"/>
      <c r="RNN52" s="76"/>
      <c r="RNO52" s="76"/>
      <c r="RNP52" s="76"/>
      <c r="RNQ52" s="76"/>
      <c r="RNR52" s="76"/>
      <c r="RNS52" s="76"/>
      <c r="RNT52" s="76"/>
      <c r="RNU52" s="76"/>
      <c r="RNV52" s="76"/>
      <c r="RNW52" s="76"/>
      <c r="RNX52" s="76"/>
      <c r="RNY52" s="76"/>
      <c r="RNZ52" s="76"/>
      <c r="ROA52" s="76"/>
      <c r="ROB52" s="76"/>
      <c r="ROC52" s="76"/>
      <c r="ROD52" s="76"/>
      <c r="ROE52" s="76"/>
      <c r="ROF52" s="76"/>
      <c r="ROG52" s="76"/>
      <c r="ROH52" s="76"/>
      <c r="ROI52" s="76"/>
      <c r="ROJ52" s="76"/>
      <c r="ROK52" s="76"/>
      <c r="ROL52" s="76"/>
      <c r="ROM52" s="76"/>
      <c r="RON52" s="76"/>
      <c r="ROO52" s="76"/>
      <c r="ROP52" s="76"/>
      <c r="ROQ52" s="76"/>
      <c r="ROR52" s="76"/>
      <c r="ROS52" s="76"/>
      <c r="ROT52" s="76"/>
      <c r="ROU52" s="76"/>
      <c r="ROV52" s="76"/>
      <c r="ROW52" s="76"/>
      <c r="ROX52" s="76"/>
      <c r="ROY52" s="76"/>
      <c r="ROZ52" s="76"/>
      <c r="RPA52" s="76"/>
      <c r="RPB52" s="76"/>
      <c r="RPC52" s="76"/>
      <c r="RPD52" s="76"/>
      <c r="RPE52" s="76"/>
      <c r="RPF52" s="76"/>
      <c r="RPG52" s="76"/>
      <c r="RPH52" s="76"/>
      <c r="RPI52" s="76"/>
      <c r="RPJ52" s="76"/>
      <c r="RPK52" s="76"/>
      <c r="RPL52" s="76"/>
      <c r="RPM52" s="76"/>
      <c r="RPN52" s="76"/>
      <c r="RPO52" s="76"/>
      <c r="RPP52" s="76"/>
      <c r="RPQ52" s="76"/>
      <c r="RPR52" s="76"/>
      <c r="RPS52" s="76"/>
      <c r="RPT52" s="76"/>
      <c r="RPU52" s="76"/>
      <c r="RPV52" s="76"/>
      <c r="RPW52" s="76"/>
      <c r="RPX52" s="76"/>
      <c r="RPY52" s="76"/>
      <c r="RPZ52" s="76"/>
      <c r="RQA52" s="76"/>
      <c r="RQB52" s="76"/>
      <c r="RQC52" s="76"/>
      <c r="RQD52" s="76"/>
      <c r="RQE52" s="76"/>
      <c r="RQF52" s="76"/>
      <c r="RQG52" s="76"/>
      <c r="RQH52" s="76"/>
      <c r="RQI52" s="76"/>
      <c r="RQJ52" s="76"/>
      <c r="RQK52" s="76"/>
      <c r="RQL52" s="76"/>
      <c r="RQM52" s="76"/>
      <c r="RQN52" s="76"/>
      <c r="RQO52" s="76"/>
      <c r="RQP52" s="76"/>
      <c r="RQQ52" s="76"/>
      <c r="RQR52" s="76"/>
      <c r="RQS52" s="76"/>
      <c r="RQT52" s="76"/>
      <c r="RQU52" s="76"/>
      <c r="RQV52" s="76"/>
      <c r="RQW52" s="76"/>
      <c r="RQX52" s="76"/>
      <c r="RQY52" s="76"/>
      <c r="RQZ52" s="76"/>
      <c r="RRA52" s="76"/>
      <c r="RRB52" s="76"/>
      <c r="RRC52" s="76"/>
      <c r="RRD52" s="76"/>
      <c r="RRE52" s="76"/>
      <c r="RRF52" s="76"/>
      <c r="RRG52" s="76"/>
      <c r="RRH52" s="76"/>
      <c r="RRI52" s="76"/>
      <c r="RRJ52" s="76"/>
      <c r="RRK52" s="76"/>
      <c r="RRL52" s="76"/>
      <c r="RRM52" s="76"/>
      <c r="RRN52" s="76"/>
      <c r="RRO52" s="76"/>
      <c r="RRP52" s="76"/>
      <c r="RRQ52" s="76"/>
      <c r="RRR52" s="76"/>
      <c r="RRS52" s="76"/>
      <c r="RRT52" s="76"/>
      <c r="RRU52" s="76"/>
      <c r="RRV52" s="76"/>
      <c r="RRW52" s="76"/>
      <c r="RRX52" s="76"/>
      <c r="RRY52" s="76"/>
      <c r="RRZ52" s="76"/>
      <c r="RSA52" s="76"/>
      <c r="RSB52" s="76"/>
      <c r="RSC52" s="76"/>
      <c r="RSD52" s="76"/>
      <c r="RSE52" s="76"/>
      <c r="RSF52" s="76"/>
      <c r="RSG52" s="76"/>
      <c r="RSH52" s="76"/>
      <c r="RSI52" s="76"/>
      <c r="RSJ52" s="76"/>
      <c r="RSK52" s="76"/>
      <c r="RSL52" s="76"/>
      <c r="RSM52" s="76"/>
      <c r="RSN52" s="76"/>
      <c r="RSO52" s="76"/>
      <c r="RSP52" s="76"/>
      <c r="RSQ52" s="76"/>
      <c r="RSR52" s="76"/>
      <c r="RSS52" s="76"/>
      <c r="RST52" s="76"/>
      <c r="RSU52" s="76"/>
      <c r="RSV52" s="76"/>
      <c r="RSW52" s="76"/>
      <c r="RSX52" s="76"/>
      <c r="RSY52" s="76"/>
      <c r="RSZ52" s="76"/>
      <c r="RTA52" s="76"/>
      <c r="RTB52" s="76"/>
      <c r="RTC52" s="76"/>
      <c r="RTD52" s="76"/>
      <c r="RTE52" s="76"/>
      <c r="RTF52" s="76"/>
      <c r="RTG52" s="76"/>
      <c r="RTH52" s="76"/>
      <c r="RTI52" s="76"/>
      <c r="RTJ52" s="76"/>
      <c r="RTK52" s="76"/>
      <c r="RTL52" s="76"/>
      <c r="RTM52" s="76"/>
      <c r="RTN52" s="76"/>
      <c r="RTO52" s="76"/>
      <c r="RTP52" s="76"/>
      <c r="RTQ52" s="76"/>
      <c r="RTR52" s="76"/>
      <c r="RTS52" s="76"/>
      <c r="RTT52" s="76"/>
      <c r="RTU52" s="76"/>
      <c r="RTV52" s="76"/>
      <c r="RTW52" s="76"/>
      <c r="RTX52" s="76"/>
      <c r="RTY52" s="76"/>
      <c r="RTZ52" s="76"/>
      <c r="RUA52" s="76"/>
      <c r="RUB52" s="76"/>
      <c r="RUC52" s="76"/>
      <c r="RUD52" s="76"/>
      <c r="RUE52" s="76"/>
      <c r="RUF52" s="76"/>
      <c r="RUG52" s="76"/>
      <c r="RUH52" s="76"/>
      <c r="RUI52" s="76"/>
      <c r="RUJ52" s="76"/>
      <c r="RUK52" s="76"/>
      <c r="RUL52" s="76"/>
      <c r="RUM52" s="76"/>
      <c r="RUN52" s="76"/>
      <c r="RUO52" s="76"/>
      <c r="RUP52" s="76"/>
      <c r="RUQ52" s="76"/>
      <c r="RUR52" s="76"/>
      <c r="RUS52" s="76"/>
      <c r="RUT52" s="76"/>
      <c r="RUU52" s="76"/>
      <c r="RUV52" s="76"/>
      <c r="RUW52" s="76"/>
      <c r="RUX52" s="76"/>
      <c r="RUY52" s="76"/>
      <c r="RUZ52" s="76"/>
      <c r="RVA52" s="76"/>
      <c r="RVB52" s="76"/>
      <c r="RVC52" s="76"/>
      <c r="RVD52" s="76"/>
      <c r="RVE52" s="76"/>
      <c r="RVF52" s="76"/>
      <c r="RVG52" s="76"/>
      <c r="RVH52" s="76"/>
      <c r="RVI52" s="76"/>
      <c r="RVJ52" s="76"/>
      <c r="RVK52" s="76"/>
      <c r="RVL52" s="76"/>
      <c r="RVM52" s="76"/>
      <c r="RVN52" s="76"/>
      <c r="RVO52" s="76"/>
      <c r="RVP52" s="76"/>
      <c r="RVQ52" s="76"/>
      <c r="RVR52" s="76"/>
      <c r="RVS52" s="76"/>
      <c r="RVT52" s="76"/>
      <c r="RVU52" s="76"/>
      <c r="RVV52" s="76"/>
      <c r="RVW52" s="76"/>
      <c r="RVX52" s="76"/>
      <c r="RVY52" s="76"/>
      <c r="RVZ52" s="76"/>
      <c r="RWA52" s="76"/>
      <c r="RWB52" s="76"/>
      <c r="RWC52" s="76"/>
      <c r="RWD52" s="76"/>
      <c r="RWE52" s="76"/>
      <c r="RWF52" s="76"/>
      <c r="RWG52" s="76"/>
      <c r="RWH52" s="76"/>
      <c r="RWI52" s="76"/>
      <c r="RWJ52" s="76"/>
      <c r="RWK52" s="76"/>
      <c r="RWL52" s="76"/>
      <c r="RWM52" s="76"/>
      <c r="RWN52" s="76"/>
      <c r="RWO52" s="76"/>
      <c r="RWP52" s="76"/>
      <c r="RWQ52" s="76"/>
      <c r="RWR52" s="76"/>
      <c r="RWS52" s="76"/>
      <c r="RWT52" s="76"/>
      <c r="RWU52" s="76"/>
      <c r="RWV52" s="76"/>
      <c r="RWW52" s="76"/>
      <c r="RWX52" s="76"/>
      <c r="RWY52" s="76"/>
      <c r="RWZ52" s="76"/>
      <c r="RXA52" s="76"/>
      <c r="RXB52" s="76"/>
      <c r="RXC52" s="76"/>
      <c r="RXD52" s="76"/>
      <c r="RXE52" s="76"/>
      <c r="RXF52" s="76"/>
      <c r="RXG52" s="76"/>
      <c r="RXH52" s="76"/>
      <c r="RXI52" s="76"/>
      <c r="RXJ52" s="76"/>
      <c r="RXK52" s="76"/>
      <c r="RXL52" s="76"/>
      <c r="RXM52" s="76"/>
      <c r="RXN52" s="76"/>
      <c r="RXO52" s="76"/>
      <c r="RXP52" s="76"/>
      <c r="RXQ52" s="76"/>
      <c r="RXR52" s="76"/>
      <c r="RXS52" s="76"/>
      <c r="RXT52" s="76"/>
      <c r="RXU52" s="76"/>
      <c r="RXV52" s="76"/>
      <c r="RXW52" s="76"/>
      <c r="RXX52" s="76"/>
      <c r="RXY52" s="76"/>
      <c r="RXZ52" s="76"/>
      <c r="RYA52" s="76"/>
      <c r="RYB52" s="76"/>
      <c r="RYC52" s="76"/>
      <c r="RYD52" s="76"/>
      <c r="RYE52" s="76"/>
      <c r="RYF52" s="76"/>
      <c r="RYG52" s="76"/>
      <c r="RYH52" s="76"/>
      <c r="RYI52" s="76"/>
      <c r="RYJ52" s="76"/>
      <c r="RYK52" s="76"/>
      <c r="RYL52" s="76"/>
      <c r="RYM52" s="76"/>
      <c r="RYN52" s="76"/>
      <c r="RYO52" s="76"/>
      <c r="RYP52" s="76"/>
      <c r="RYQ52" s="76"/>
      <c r="RYR52" s="76"/>
      <c r="RYS52" s="76"/>
      <c r="RYT52" s="76"/>
      <c r="RYU52" s="76"/>
      <c r="RYV52" s="76"/>
      <c r="RYW52" s="76"/>
      <c r="RYX52" s="76"/>
      <c r="RYY52" s="76"/>
      <c r="RYZ52" s="76"/>
      <c r="RZA52" s="76"/>
      <c r="RZB52" s="76"/>
      <c r="RZC52" s="76"/>
      <c r="RZD52" s="76"/>
      <c r="RZE52" s="76"/>
      <c r="RZF52" s="76"/>
      <c r="RZG52" s="76"/>
      <c r="RZH52" s="76"/>
      <c r="RZI52" s="76"/>
      <c r="RZJ52" s="76"/>
      <c r="RZK52" s="76"/>
      <c r="RZL52" s="76"/>
      <c r="RZM52" s="76"/>
      <c r="RZN52" s="76"/>
      <c r="RZO52" s="76"/>
      <c r="RZP52" s="76"/>
      <c r="RZQ52" s="76"/>
      <c r="RZR52" s="76"/>
      <c r="RZS52" s="76"/>
      <c r="RZT52" s="76"/>
      <c r="RZU52" s="76"/>
      <c r="RZV52" s="76"/>
      <c r="RZW52" s="76"/>
      <c r="RZX52" s="76"/>
      <c r="RZY52" s="76"/>
      <c r="RZZ52" s="76"/>
      <c r="SAA52" s="76"/>
      <c r="SAB52" s="76"/>
      <c r="SAC52" s="76"/>
      <c r="SAD52" s="76"/>
      <c r="SAE52" s="76"/>
      <c r="SAF52" s="76"/>
      <c r="SAG52" s="76"/>
      <c r="SAH52" s="76"/>
      <c r="SAI52" s="76"/>
      <c r="SAJ52" s="76"/>
      <c r="SAK52" s="76"/>
      <c r="SAL52" s="76"/>
      <c r="SAM52" s="76"/>
      <c r="SAN52" s="76"/>
      <c r="SAO52" s="76"/>
      <c r="SAP52" s="76"/>
      <c r="SAQ52" s="76"/>
      <c r="SAR52" s="76"/>
      <c r="SAS52" s="76"/>
      <c r="SAT52" s="76"/>
      <c r="SAU52" s="76"/>
      <c r="SAV52" s="76"/>
      <c r="SAW52" s="76"/>
      <c r="SAX52" s="76"/>
      <c r="SAY52" s="76"/>
      <c r="SAZ52" s="76"/>
      <c r="SBA52" s="76"/>
      <c r="SBB52" s="76"/>
      <c r="SBC52" s="76"/>
      <c r="SBD52" s="76"/>
      <c r="SBE52" s="76"/>
      <c r="SBF52" s="76"/>
      <c r="SBG52" s="76"/>
      <c r="SBH52" s="76"/>
      <c r="SBI52" s="76"/>
      <c r="SBJ52" s="76"/>
      <c r="SBK52" s="76"/>
      <c r="SBL52" s="76"/>
      <c r="SBM52" s="76"/>
      <c r="SBN52" s="76"/>
      <c r="SBO52" s="76"/>
      <c r="SBP52" s="76"/>
      <c r="SBQ52" s="76"/>
      <c r="SBR52" s="76"/>
      <c r="SBS52" s="76"/>
      <c r="SBT52" s="76"/>
      <c r="SBU52" s="76"/>
      <c r="SBV52" s="76"/>
      <c r="SBW52" s="76"/>
      <c r="SBX52" s="76"/>
      <c r="SBY52" s="76"/>
      <c r="SBZ52" s="76"/>
      <c r="SCA52" s="76"/>
      <c r="SCB52" s="76"/>
      <c r="SCC52" s="76"/>
      <c r="SCD52" s="76"/>
      <c r="SCE52" s="76"/>
      <c r="SCF52" s="76"/>
      <c r="SCG52" s="76"/>
      <c r="SCH52" s="76"/>
      <c r="SCI52" s="76"/>
      <c r="SCJ52" s="76"/>
      <c r="SCK52" s="76"/>
      <c r="SCL52" s="76"/>
      <c r="SCM52" s="76"/>
      <c r="SCN52" s="76"/>
      <c r="SCO52" s="76"/>
      <c r="SCP52" s="76"/>
      <c r="SCQ52" s="76"/>
      <c r="SCR52" s="76"/>
      <c r="SCS52" s="76"/>
      <c r="SCT52" s="76"/>
      <c r="SCU52" s="76"/>
      <c r="SCV52" s="76"/>
      <c r="SCW52" s="76"/>
      <c r="SCX52" s="76"/>
      <c r="SCY52" s="76"/>
      <c r="SCZ52" s="76"/>
      <c r="SDA52" s="76"/>
      <c r="SDB52" s="76"/>
      <c r="SDC52" s="76"/>
      <c r="SDD52" s="76"/>
      <c r="SDE52" s="76"/>
      <c r="SDF52" s="76"/>
      <c r="SDG52" s="76"/>
      <c r="SDH52" s="76"/>
      <c r="SDI52" s="76"/>
      <c r="SDJ52" s="76"/>
      <c r="SDK52" s="76"/>
      <c r="SDL52" s="76"/>
      <c r="SDM52" s="76"/>
      <c r="SDN52" s="76"/>
      <c r="SDO52" s="76"/>
      <c r="SDP52" s="76"/>
      <c r="SDQ52" s="76"/>
      <c r="SDR52" s="76"/>
      <c r="SDS52" s="76"/>
      <c r="SDT52" s="76"/>
      <c r="SDU52" s="76"/>
      <c r="SDV52" s="76"/>
      <c r="SDW52" s="76"/>
      <c r="SDX52" s="76"/>
      <c r="SDY52" s="76"/>
      <c r="SDZ52" s="76"/>
      <c r="SEA52" s="76"/>
      <c r="SEB52" s="76"/>
      <c r="SEC52" s="76"/>
      <c r="SED52" s="76"/>
      <c r="SEE52" s="76"/>
      <c r="SEF52" s="76"/>
      <c r="SEG52" s="76"/>
      <c r="SEH52" s="76"/>
      <c r="SEI52" s="76"/>
      <c r="SEJ52" s="76"/>
      <c r="SEK52" s="76"/>
      <c r="SEL52" s="76"/>
      <c r="SEM52" s="76"/>
      <c r="SEN52" s="76"/>
      <c r="SEO52" s="76"/>
      <c r="SEP52" s="76"/>
      <c r="SEQ52" s="76"/>
      <c r="SER52" s="76"/>
      <c r="SES52" s="76"/>
      <c r="SET52" s="76"/>
      <c r="SEU52" s="76"/>
      <c r="SEV52" s="76"/>
      <c r="SEW52" s="76"/>
      <c r="SEX52" s="76"/>
      <c r="SEY52" s="76"/>
      <c r="SEZ52" s="76"/>
      <c r="SFA52" s="76"/>
      <c r="SFB52" s="76"/>
      <c r="SFC52" s="76"/>
      <c r="SFD52" s="76"/>
      <c r="SFE52" s="76"/>
      <c r="SFF52" s="76"/>
      <c r="SFG52" s="76"/>
      <c r="SFH52" s="76"/>
      <c r="SFI52" s="76"/>
      <c r="SFJ52" s="76"/>
      <c r="SFK52" s="76"/>
      <c r="SFL52" s="76"/>
      <c r="SFM52" s="76"/>
      <c r="SFN52" s="76"/>
      <c r="SFO52" s="76"/>
      <c r="SFP52" s="76"/>
      <c r="SFQ52" s="76"/>
      <c r="SFR52" s="76"/>
      <c r="SFS52" s="76"/>
      <c r="SFT52" s="76"/>
      <c r="SFU52" s="76"/>
      <c r="SFV52" s="76"/>
      <c r="SFW52" s="76"/>
      <c r="SFX52" s="76"/>
      <c r="SFY52" s="76"/>
      <c r="SFZ52" s="76"/>
      <c r="SGA52" s="76"/>
      <c r="SGB52" s="76"/>
      <c r="SGC52" s="76"/>
      <c r="SGD52" s="76"/>
      <c r="SGE52" s="76"/>
      <c r="SGF52" s="76"/>
      <c r="SGG52" s="76"/>
      <c r="SGH52" s="76"/>
      <c r="SGI52" s="76"/>
      <c r="SGJ52" s="76"/>
      <c r="SGK52" s="76"/>
      <c r="SGL52" s="76"/>
      <c r="SGM52" s="76"/>
      <c r="SGN52" s="76"/>
      <c r="SGO52" s="76"/>
      <c r="SGP52" s="76"/>
      <c r="SGQ52" s="76"/>
      <c r="SGR52" s="76"/>
      <c r="SGS52" s="76"/>
      <c r="SGT52" s="76"/>
      <c r="SGU52" s="76"/>
      <c r="SGV52" s="76"/>
      <c r="SGW52" s="76"/>
      <c r="SGX52" s="76"/>
      <c r="SGY52" s="76"/>
      <c r="SGZ52" s="76"/>
      <c r="SHA52" s="76"/>
      <c r="SHB52" s="76"/>
      <c r="SHC52" s="76"/>
      <c r="SHD52" s="76"/>
      <c r="SHE52" s="76"/>
      <c r="SHF52" s="76"/>
      <c r="SHG52" s="76"/>
      <c r="SHH52" s="76"/>
      <c r="SHI52" s="76"/>
      <c r="SHJ52" s="76"/>
      <c r="SHK52" s="76"/>
      <c r="SHL52" s="76"/>
      <c r="SHM52" s="76"/>
      <c r="SHN52" s="76"/>
      <c r="SHO52" s="76"/>
      <c r="SHP52" s="76"/>
      <c r="SHQ52" s="76"/>
      <c r="SHR52" s="76"/>
      <c r="SHS52" s="76"/>
      <c r="SHT52" s="76"/>
      <c r="SHU52" s="76"/>
      <c r="SHV52" s="76"/>
      <c r="SHW52" s="76"/>
      <c r="SHX52" s="76"/>
      <c r="SHY52" s="76"/>
      <c r="SHZ52" s="76"/>
      <c r="SIA52" s="76"/>
      <c r="SIB52" s="76"/>
      <c r="SIC52" s="76"/>
      <c r="SID52" s="76"/>
      <c r="SIE52" s="76"/>
      <c r="SIF52" s="76"/>
      <c r="SIG52" s="76"/>
      <c r="SIH52" s="76"/>
      <c r="SII52" s="76"/>
      <c r="SIJ52" s="76"/>
      <c r="SIK52" s="76"/>
      <c r="SIL52" s="76"/>
      <c r="SIM52" s="76"/>
      <c r="SIN52" s="76"/>
      <c r="SIO52" s="76"/>
      <c r="SIP52" s="76"/>
      <c r="SIQ52" s="76"/>
      <c r="SIR52" s="76"/>
      <c r="SIS52" s="76"/>
      <c r="SIT52" s="76"/>
      <c r="SIU52" s="76"/>
      <c r="SIV52" s="76"/>
      <c r="SIW52" s="76"/>
      <c r="SIX52" s="76"/>
      <c r="SIY52" s="76"/>
      <c r="SIZ52" s="76"/>
      <c r="SJA52" s="76"/>
      <c r="SJB52" s="76"/>
      <c r="SJC52" s="76"/>
      <c r="SJD52" s="76"/>
      <c r="SJE52" s="76"/>
      <c r="SJF52" s="76"/>
      <c r="SJG52" s="76"/>
      <c r="SJH52" s="76"/>
      <c r="SJI52" s="76"/>
      <c r="SJJ52" s="76"/>
      <c r="SJK52" s="76"/>
      <c r="SJL52" s="76"/>
      <c r="SJM52" s="76"/>
      <c r="SJN52" s="76"/>
      <c r="SJO52" s="76"/>
      <c r="SJP52" s="76"/>
      <c r="SJQ52" s="76"/>
      <c r="SJR52" s="76"/>
      <c r="SJS52" s="76"/>
      <c r="SJT52" s="76"/>
      <c r="SJU52" s="76"/>
      <c r="SJV52" s="76"/>
      <c r="SJW52" s="76"/>
      <c r="SJX52" s="76"/>
      <c r="SJY52" s="76"/>
      <c r="SJZ52" s="76"/>
      <c r="SKA52" s="76"/>
      <c r="SKB52" s="76"/>
      <c r="SKC52" s="76"/>
      <c r="SKD52" s="76"/>
      <c r="SKE52" s="76"/>
      <c r="SKF52" s="76"/>
      <c r="SKG52" s="76"/>
      <c r="SKH52" s="76"/>
      <c r="SKI52" s="76"/>
      <c r="SKJ52" s="76"/>
      <c r="SKK52" s="76"/>
      <c r="SKL52" s="76"/>
      <c r="SKM52" s="76"/>
      <c r="SKN52" s="76"/>
      <c r="SKO52" s="76"/>
      <c r="SKP52" s="76"/>
      <c r="SKQ52" s="76"/>
      <c r="SKR52" s="76"/>
      <c r="SKS52" s="76"/>
      <c r="SKT52" s="76"/>
      <c r="SKU52" s="76"/>
      <c r="SKV52" s="76"/>
      <c r="SKW52" s="76"/>
      <c r="SKX52" s="76"/>
      <c r="SKY52" s="76"/>
      <c r="SKZ52" s="76"/>
      <c r="SLA52" s="76"/>
      <c r="SLB52" s="76"/>
      <c r="SLC52" s="76"/>
      <c r="SLD52" s="76"/>
      <c r="SLE52" s="76"/>
      <c r="SLF52" s="76"/>
      <c r="SLG52" s="76"/>
      <c r="SLH52" s="76"/>
      <c r="SLI52" s="76"/>
      <c r="SLJ52" s="76"/>
      <c r="SLK52" s="76"/>
      <c r="SLL52" s="76"/>
      <c r="SLM52" s="76"/>
      <c r="SLN52" s="76"/>
      <c r="SLO52" s="76"/>
      <c r="SLP52" s="76"/>
      <c r="SLQ52" s="76"/>
      <c r="SLR52" s="76"/>
      <c r="SLS52" s="76"/>
      <c r="SLT52" s="76"/>
      <c r="SLU52" s="76"/>
      <c r="SLV52" s="76"/>
      <c r="SLW52" s="76"/>
      <c r="SLX52" s="76"/>
      <c r="SLY52" s="76"/>
      <c r="SLZ52" s="76"/>
      <c r="SMA52" s="76"/>
      <c r="SMB52" s="76"/>
      <c r="SMC52" s="76"/>
      <c r="SMD52" s="76"/>
      <c r="SME52" s="76"/>
      <c r="SMF52" s="76"/>
      <c r="SMG52" s="76"/>
      <c r="SMH52" s="76"/>
      <c r="SMI52" s="76"/>
      <c r="SMJ52" s="76"/>
      <c r="SMK52" s="76"/>
      <c r="SML52" s="76"/>
      <c r="SMM52" s="76"/>
      <c r="SMN52" s="76"/>
      <c r="SMO52" s="76"/>
      <c r="SMP52" s="76"/>
      <c r="SMQ52" s="76"/>
      <c r="SMR52" s="76"/>
      <c r="SMS52" s="76"/>
      <c r="SMT52" s="76"/>
      <c r="SMU52" s="76"/>
      <c r="SMV52" s="76"/>
      <c r="SMW52" s="76"/>
      <c r="SMX52" s="76"/>
      <c r="SMY52" s="76"/>
      <c r="SMZ52" s="76"/>
      <c r="SNA52" s="76"/>
      <c r="SNB52" s="76"/>
      <c r="SNC52" s="76"/>
      <c r="SND52" s="76"/>
      <c r="SNE52" s="76"/>
      <c r="SNF52" s="76"/>
      <c r="SNG52" s="76"/>
      <c r="SNH52" s="76"/>
      <c r="SNI52" s="76"/>
      <c r="SNJ52" s="76"/>
      <c r="SNK52" s="76"/>
      <c r="SNL52" s="76"/>
      <c r="SNM52" s="76"/>
      <c r="SNN52" s="76"/>
      <c r="SNO52" s="76"/>
      <c r="SNP52" s="76"/>
      <c r="SNQ52" s="76"/>
      <c r="SNR52" s="76"/>
      <c r="SNS52" s="76"/>
      <c r="SNT52" s="76"/>
      <c r="SNU52" s="76"/>
      <c r="SNV52" s="76"/>
      <c r="SNW52" s="76"/>
      <c r="SNX52" s="76"/>
      <c r="SNY52" s="76"/>
      <c r="SNZ52" s="76"/>
      <c r="SOA52" s="76"/>
      <c r="SOB52" s="76"/>
      <c r="SOC52" s="76"/>
      <c r="SOD52" s="76"/>
      <c r="SOE52" s="76"/>
      <c r="SOF52" s="76"/>
      <c r="SOG52" s="76"/>
      <c r="SOH52" s="76"/>
      <c r="SOI52" s="76"/>
      <c r="SOJ52" s="76"/>
      <c r="SOK52" s="76"/>
      <c r="SOL52" s="76"/>
      <c r="SOM52" s="76"/>
      <c r="SON52" s="76"/>
      <c r="SOO52" s="76"/>
      <c r="SOP52" s="76"/>
      <c r="SOQ52" s="76"/>
      <c r="SOR52" s="76"/>
      <c r="SOS52" s="76"/>
      <c r="SOT52" s="76"/>
      <c r="SOU52" s="76"/>
      <c r="SOV52" s="76"/>
      <c r="SOW52" s="76"/>
      <c r="SOX52" s="76"/>
      <c r="SOY52" s="76"/>
      <c r="SOZ52" s="76"/>
      <c r="SPA52" s="76"/>
      <c r="SPB52" s="76"/>
      <c r="SPC52" s="76"/>
      <c r="SPD52" s="76"/>
      <c r="SPE52" s="76"/>
      <c r="SPF52" s="76"/>
      <c r="SPG52" s="76"/>
      <c r="SPH52" s="76"/>
      <c r="SPI52" s="76"/>
      <c r="SPJ52" s="76"/>
      <c r="SPK52" s="76"/>
      <c r="SPL52" s="76"/>
      <c r="SPM52" s="76"/>
      <c r="SPN52" s="76"/>
      <c r="SPO52" s="76"/>
      <c r="SPP52" s="76"/>
      <c r="SPQ52" s="76"/>
      <c r="SPR52" s="76"/>
      <c r="SPS52" s="76"/>
      <c r="SPT52" s="76"/>
      <c r="SPU52" s="76"/>
      <c r="SPV52" s="76"/>
      <c r="SPW52" s="76"/>
      <c r="SPX52" s="76"/>
      <c r="SPY52" s="76"/>
      <c r="SPZ52" s="76"/>
      <c r="SQA52" s="76"/>
      <c r="SQB52" s="76"/>
      <c r="SQC52" s="76"/>
      <c r="SQD52" s="76"/>
      <c r="SQE52" s="76"/>
      <c r="SQF52" s="76"/>
      <c r="SQG52" s="76"/>
      <c r="SQH52" s="76"/>
      <c r="SQI52" s="76"/>
      <c r="SQJ52" s="76"/>
      <c r="SQK52" s="76"/>
      <c r="SQL52" s="76"/>
      <c r="SQM52" s="76"/>
      <c r="SQN52" s="76"/>
      <c r="SQO52" s="76"/>
      <c r="SQP52" s="76"/>
      <c r="SQQ52" s="76"/>
      <c r="SQR52" s="76"/>
      <c r="SQS52" s="76"/>
      <c r="SQT52" s="76"/>
      <c r="SQU52" s="76"/>
      <c r="SQV52" s="76"/>
      <c r="SQW52" s="76"/>
      <c r="SQX52" s="76"/>
      <c r="SQY52" s="76"/>
      <c r="SQZ52" s="76"/>
      <c r="SRA52" s="76"/>
      <c r="SRB52" s="76"/>
      <c r="SRC52" s="76"/>
      <c r="SRD52" s="76"/>
      <c r="SRE52" s="76"/>
      <c r="SRF52" s="76"/>
      <c r="SRG52" s="76"/>
      <c r="SRH52" s="76"/>
      <c r="SRI52" s="76"/>
      <c r="SRJ52" s="76"/>
      <c r="SRK52" s="76"/>
      <c r="SRL52" s="76"/>
      <c r="SRM52" s="76"/>
      <c r="SRN52" s="76"/>
      <c r="SRO52" s="76"/>
      <c r="SRP52" s="76"/>
      <c r="SRQ52" s="76"/>
      <c r="SRR52" s="76"/>
      <c r="SRS52" s="76"/>
      <c r="SRT52" s="76"/>
      <c r="SRU52" s="76"/>
      <c r="SRV52" s="76"/>
      <c r="SRW52" s="76"/>
      <c r="SRX52" s="76"/>
      <c r="SRY52" s="76"/>
      <c r="SRZ52" s="76"/>
      <c r="SSA52" s="76"/>
      <c r="SSB52" s="76"/>
      <c r="SSC52" s="76"/>
      <c r="SSD52" s="76"/>
      <c r="SSE52" s="76"/>
      <c r="SSF52" s="76"/>
      <c r="SSG52" s="76"/>
      <c r="SSH52" s="76"/>
      <c r="SSI52" s="76"/>
      <c r="SSJ52" s="76"/>
      <c r="SSK52" s="76"/>
      <c r="SSL52" s="76"/>
      <c r="SSM52" s="76"/>
      <c r="SSN52" s="76"/>
      <c r="SSO52" s="76"/>
      <c r="SSP52" s="76"/>
      <c r="SSQ52" s="76"/>
      <c r="SSR52" s="76"/>
      <c r="SSS52" s="76"/>
      <c r="SST52" s="76"/>
      <c r="SSU52" s="76"/>
      <c r="SSV52" s="76"/>
      <c r="SSW52" s="76"/>
      <c r="SSX52" s="76"/>
      <c r="SSY52" s="76"/>
      <c r="SSZ52" s="76"/>
      <c r="STA52" s="76"/>
      <c r="STB52" s="76"/>
      <c r="STC52" s="76"/>
      <c r="STD52" s="76"/>
      <c r="STE52" s="76"/>
      <c r="STF52" s="76"/>
      <c r="STG52" s="76"/>
      <c r="STH52" s="76"/>
      <c r="STI52" s="76"/>
      <c r="STJ52" s="76"/>
      <c r="STK52" s="76"/>
      <c r="STL52" s="76"/>
      <c r="STM52" s="76"/>
      <c r="STN52" s="76"/>
      <c r="STO52" s="76"/>
      <c r="STP52" s="76"/>
      <c r="STQ52" s="76"/>
      <c r="STR52" s="76"/>
      <c r="STS52" s="76"/>
      <c r="STT52" s="76"/>
      <c r="STU52" s="76"/>
      <c r="STV52" s="76"/>
      <c r="STW52" s="76"/>
      <c r="STX52" s="76"/>
      <c r="STY52" s="76"/>
      <c r="STZ52" s="76"/>
      <c r="SUA52" s="76"/>
      <c r="SUB52" s="76"/>
      <c r="SUC52" s="76"/>
      <c r="SUD52" s="76"/>
      <c r="SUE52" s="76"/>
      <c r="SUF52" s="76"/>
      <c r="SUG52" s="76"/>
      <c r="SUH52" s="76"/>
      <c r="SUI52" s="76"/>
      <c r="SUJ52" s="76"/>
      <c r="SUK52" s="76"/>
      <c r="SUL52" s="76"/>
      <c r="SUM52" s="76"/>
      <c r="SUN52" s="76"/>
      <c r="SUO52" s="76"/>
      <c r="SUP52" s="76"/>
      <c r="SUQ52" s="76"/>
      <c r="SUR52" s="76"/>
      <c r="SUS52" s="76"/>
      <c r="SUT52" s="76"/>
      <c r="SUU52" s="76"/>
      <c r="SUV52" s="76"/>
      <c r="SUW52" s="76"/>
      <c r="SUX52" s="76"/>
      <c r="SUY52" s="76"/>
      <c r="SUZ52" s="76"/>
      <c r="SVA52" s="76"/>
      <c r="SVB52" s="76"/>
      <c r="SVC52" s="76"/>
      <c r="SVD52" s="76"/>
      <c r="SVE52" s="76"/>
      <c r="SVF52" s="76"/>
      <c r="SVG52" s="76"/>
      <c r="SVH52" s="76"/>
      <c r="SVI52" s="76"/>
      <c r="SVJ52" s="76"/>
      <c r="SVK52" s="76"/>
      <c r="SVL52" s="76"/>
      <c r="SVM52" s="76"/>
      <c r="SVN52" s="76"/>
      <c r="SVO52" s="76"/>
      <c r="SVP52" s="76"/>
      <c r="SVQ52" s="76"/>
      <c r="SVR52" s="76"/>
      <c r="SVS52" s="76"/>
      <c r="SVT52" s="76"/>
      <c r="SVU52" s="76"/>
      <c r="SVV52" s="76"/>
      <c r="SVW52" s="76"/>
      <c r="SVX52" s="76"/>
      <c r="SVY52" s="76"/>
      <c r="SVZ52" s="76"/>
      <c r="SWA52" s="76"/>
      <c r="SWB52" s="76"/>
      <c r="SWC52" s="76"/>
      <c r="SWD52" s="76"/>
      <c r="SWE52" s="76"/>
      <c r="SWF52" s="76"/>
      <c r="SWG52" s="76"/>
      <c r="SWH52" s="76"/>
      <c r="SWI52" s="76"/>
      <c r="SWJ52" s="76"/>
      <c r="SWK52" s="76"/>
      <c r="SWL52" s="76"/>
      <c r="SWM52" s="76"/>
      <c r="SWN52" s="76"/>
      <c r="SWO52" s="76"/>
      <c r="SWP52" s="76"/>
      <c r="SWQ52" s="76"/>
      <c r="SWR52" s="76"/>
      <c r="SWS52" s="76"/>
      <c r="SWT52" s="76"/>
      <c r="SWU52" s="76"/>
      <c r="SWV52" s="76"/>
      <c r="SWW52" s="76"/>
      <c r="SWX52" s="76"/>
      <c r="SWY52" s="76"/>
      <c r="SWZ52" s="76"/>
      <c r="SXA52" s="76"/>
      <c r="SXB52" s="76"/>
      <c r="SXC52" s="76"/>
      <c r="SXD52" s="76"/>
      <c r="SXE52" s="76"/>
      <c r="SXF52" s="76"/>
      <c r="SXG52" s="76"/>
      <c r="SXH52" s="76"/>
      <c r="SXI52" s="76"/>
      <c r="SXJ52" s="76"/>
      <c r="SXK52" s="76"/>
      <c r="SXL52" s="76"/>
      <c r="SXM52" s="76"/>
      <c r="SXN52" s="76"/>
      <c r="SXO52" s="76"/>
      <c r="SXP52" s="76"/>
      <c r="SXQ52" s="76"/>
      <c r="SXR52" s="76"/>
      <c r="SXS52" s="76"/>
      <c r="SXT52" s="76"/>
      <c r="SXU52" s="76"/>
      <c r="SXV52" s="76"/>
      <c r="SXW52" s="76"/>
      <c r="SXX52" s="76"/>
      <c r="SXY52" s="76"/>
      <c r="SXZ52" s="76"/>
      <c r="SYA52" s="76"/>
      <c r="SYB52" s="76"/>
      <c r="SYC52" s="76"/>
      <c r="SYD52" s="76"/>
      <c r="SYE52" s="76"/>
      <c r="SYF52" s="76"/>
      <c r="SYG52" s="76"/>
      <c r="SYH52" s="76"/>
      <c r="SYI52" s="76"/>
      <c r="SYJ52" s="76"/>
      <c r="SYK52" s="76"/>
      <c r="SYL52" s="76"/>
      <c r="SYM52" s="76"/>
      <c r="SYN52" s="76"/>
      <c r="SYO52" s="76"/>
      <c r="SYP52" s="76"/>
      <c r="SYQ52" s="76"/>
      <c r="SYR52" s="76"/>
      <c r="SYS52" s="76"/>
      <c r="SYT52" s="76"/>
      <c r="SYU52" s="76"/>
      <c r="SYV52" s="76"/>
      <c r="SYW52" s="76"/>
      <c r="SYX52" s="76"/>
      <c r="SYY52" s="76"/>
      <c r="SYZ52" s="76"/>
      <c r="SZA52" s="76"/>
      <c r="SZB52" s="76"/>
      <c r="SZC52" s="76"/>
      <c r="SZD52" s="76"/>
      <c r="SZE52" s="76"/>
      <c r="SZF52" s="76"/>
      <c r="SZG52" s="76"/>
      <c r="SZH52" s="76"/>
      <c r="SZI52" s="76"/>
      <c r="SZJ52" s="76"/>
      <c r="SZK52" s="76"/>
      <c r="SZL52" s="76"/>
      <c r="SZM52" s="76"/>
      <c r="SZN52" s="76"/>
      <c r="SZO52" s="76"/>
      <c r="SZP52" s="76"/>
      <c r="SZQ52" s="76"/>
      <c r="SZR52" s="76"/>
      <c r="SZS52" s="76"/>
      <c r="SZT52" s="76"/>
      <c r="SZU52" s="76"/>
      <c r="SZV52" s="76"/>
      <c r="SZW52" s="76"/>
      <c r="SZX52" s="76"/>
      <c r="SZY52" s="76"/>
      <c r="SZZ52" s="76"/>
      <c r="TAA52" s="76"/>
      <c r="TAB52" s="76"/>
      <c r="TAC52" s="76"/>
      <c r="TAD52" s="76"/>
      <c r="TAE52" s="76"/>
      <c r="TAF52" s="76"/>
      <c r="TAG52" s="76"/>
      <c r="TAH52" s="76"/>
      <c r="TAI52" s="76"/>
      <c r="TAJ52" s="76"/>
      <c r="TAK52" s="76"/>
      <c r="TAL52" s="76"/>
      <c r="TAM52" s="76"/>
      <c r="TAN52" s="76"/>
      <c r="TAO52" s="76"/>
      <c r="TAP52" s="76"/>
      <c r="TAQ52" s="76"/>
      <c r="TAR52" s="76"/>
      <c r="TAS52" s="76"/>
      <c r="TAT52" s="76"/>
      <c r="TAU52" s="76"/>
      <c r="TAV52" s="76"/>
      <c r="TAW52" s="76"/>
      <c r="TAX52" s="76"/>
      <c r="TAY52" s="76"/>
      <c r="TAZ52" s="76"/>
      <c r="TBA52" s="76"/>
      <c r="TBB52" s="76"/>
      <c r="TBC52" s="76"/>
      <c r="TBD52" s="76"/>
      <c r="TBE52" s="76"/>
      <c r="TBF52" s="76"/>
      <c r="TBG52" s="76"/>
      <c r="TBH52" s="76"/>
      <c r="TBI52" s="76"/>
      <c r="TBJ52" s="76"/>
      <c r="TBK52" s="76"/>
      <c r="TBL52" s="76"/>
      <c r="TBM52" s="76"/>
      <c r="TBN52" s="76"/>
      <c r="TBO52" s="76"/>
      <c r="TBP52" s="76"/>
      <c r="TBQ52" s="76"/>
      <c r="TBR52" s="76"/>
      <c r="TBS52" s="76"/>
      <c r="TBT52" s="76"/>
      <c r="TBU52" s="76"/>
      <c r="TBV52" s="76"/>
      <c r="TBW52" s="76"/>
      <c r="TBX52" s="76"/>
      <c r="TBY52" s="76"/>
      <c r="TBZ52" s="76"/>
      <c r="TCA52" s="76"/>
      <c r="TCB52" s="76"/>
      <c r="TCC52" s="76"/>
      <c r="TCD52" s="76"/>
      <c r="TCE52" s="76"/>
      <c r="TCF52" s="76"/>
      <c r="TCG52" s="76"/>
      <c r="TCH52" s="76"/>
      <c r="TCI52" s="76"/>
      <c r="TCJ52" s="76"/>
      <c r="TCK52" s="76"/>
      <c r="TCL52" s="76"/>
      <c r="TCM52" s="76"/>
      <c r="TCN52" s="76"/>
      <c r="TCO52" s="76"/>
      <c r="TCP52" s="76"/>
      <c r="TCQ52" s="76"/>
      <c r="TCR52" s="76"/>
      <c r="TCS52" s="76"/>
      <c r="TCT52" s="76"/>
      <c r="TCU52" s="76"/>
      <c r="TCV52" s="76"/>
      <c r="TCW52" s="76"/>
      <c r="TCX52" s="76"/>
      <c r="TCY52" s="76"/>
      <c r="TCZ52" s="76"/>
      <c r="TDA52" s="76"/>
      <c r="TDB52" s="76"/>
      <c r="TDC52" s="76"/>
      <c r="TDD52" s="76"/>
      <c r="TDE52" s="76"/>
      <c r="TDF52" s="76"/>
      <c r="TDG52" s="76"/>
      <c r="TDH52" s="76"/>
      <c r="TDI52" s="76"/>
      <c r="TDJ52" s="76"/>
      <c r="TDK52" s="76"/>
      <c r="TDL52" s="76"/>
      <c r="TDM52" s="76"/>
      <c r="TDN52" s="76"/>
      <c r="TDO52" s="76"/>
      <c r="TDP52" s="76"/>
      <c r="TDQ52" s="76"/>
      <c r="TDR52" s="76"/>
      <c r="TDS52" s="76"/>
      <c r="TDT52" s="76"/>
      <c r="TDU52" s="76"/>
      <c r="TDV52" s="76"/>
      <c r="TDW52" s="76"/>
      <c r="TDX52" s="76"/>
      <c r="TDY52" s="76"/>
      <c r="TDZ52" s="76"/>
      <c r="TEA52" s="76"/>
      <c r="TEB52" s="76"/>
      <c r="TEC52" s="76"/>
      <c r="TED52" s="76"/>
      <c r="TEE52" s="76"/>
      <c r="TEF52" s="76"/>
      <c r="TEG52" s="76"/>
      <c r="TEH52" s="76"/>
      <c r="TEI52" s="76"/>
      <c r="TEJ52" s="76"/>
      <c r="TEK52" s="76"/>
      <c r="TEL52" s="76"/>
      <c r="TEM52" s="76"/>
      <c r="TEN52" s="76"/>
      <c r="TEO52" s="76"/>
      <c r="TEP52" s="76"/>
      <c r="TEQ52" s="76"/>
      <c r="TER52" s="76"/>
      <c r="TES52" s="76"/>
      <c r="TET52" s="76"/>
      <c r="TEU52" s="76"/>
      <c r="TEV52" s="76"/>
      <c r="TEW52" s="76"/>
      <c r="TEX52" s="76"/>
      <c r="TEY52" s="76"/>
      <c r="TEZ52" s="76"/>
      <c r="TFA52" s="76"/>
      <c r="TFB52" s="76"/>
      <c r="TFC52" s="76"/>
      <c r="TFD52" s="76"/>
      <c r="TFE52" s="76"/>
      <c r="TFF52" s="76"/>
      <c r="TFG52" s="76"/>
      <c r="TFH52" s="76"/>
      <c r="TFI52" s="76"/>
      <c r="TFJ52" s="76"/>
      <c r="TFK52" s="76"/>
      <c r="TFL52" s="76"/>
      <c r="TFM52" s="76"/>
      <c r="TFN52" s="76"/>
      <c r="TFO52" s="76"/>
      <c r="TFP52" s="76"/>
      <c r="TFQ52" s="76"/>
      <c r="TFR52" s="76"/>
      <c r="TFS52" s="76"/>
      <c r="TFT52" s="76"/>
      <c r="TFU52" s="76"/>
      <c r="TFV52" s="76"/>
      <c r="TFW52" s="76"/>
      <c r="TFX52" s="76"/>
      <c r="TFY52" s="76"/>
      <c r="TFZ52" s="76"/>
      <c r="TGA52" s="76"/>
      <c r="TGB52" s="76"/>
      <c r="TGC52" s="76"/>
      <c r="TGD52" s="76"/>
      <c r="TGE52" s="76"/>
      <c r="TGF52" s="76"/>
      <c r="TGG52" s="76"/>
      <c r="TGH52" s="76"/>
      <c r="TGI52" s="76"/>
      <c r="TGJ52" s="76"/>
      <c r="TGK52" s="76"/>
      <c r="TGL52" s="76"/>
      <c r="TGM52" s="76"/>
      <c r="TGN52" s="76"/>
      <c r="TGO52" s="76"/>
      <c r="TGP52" s="76"/>
      <c r="TGQ52" s="76"/>
      <c r="TGR52" s="76"/>
      <c r="TGS52" s="76"/>
      <c r="TGT52" s="76"/>
      <c r="TGU52" s="76"/>
      <c r="TGV52" s="76"/>
      <c r="TGW52" s="76"/>
      <c r="TGX52" s="76"/>
      <c r="TGY52" s="76"/>
      <c r="TGZ52" s="76"/>
      <c r="THA52" s="76"/>
      <c r="THB52" s="76"/>
      <c r="THC52" s="76"/>
      <c r="THD52" s="76"/>
      <c r="THE52" s="76"/>
      <c r="THF52" s="76"/>
      <c r="THG52" s="76"/>
      <c r="THH52" s="76"/>
      <c r="THI52" s="76"/>
      <c r="THJ52" s="76"/>
      <c r="THK52" s="76"/>
      <c r="THL52" s="76"/>
      <c r="THM52" s="76"/>
      <c r="THN52" s="76"/>
      <c r="THO52" s="76"/>
      <c r="THP52" s="76"/>
      <c r="THQ52" s="76"/>
      <c r="THR52" s="76"/>
      <c r="THS52" s="76"/>
      <c r="THT52" s="76"/>
      <c r="THU52" s="76"/>
      <c r="THV52" s="76"/>
      <c r="THW52" s="76"/>
      <c r="THX52" s="76"/>
      <c r="THY52" s="76"/>
      <c r="THZ52" s="76"/>
      <c r="TIA52" s="76"/>
      <c r="TIB52" s="76"/>
      <c r="TIC52" s="76"/>
      <c r="TID52" s="76"/>
      <c r="TIE52" s="76"/>
      <c r="TIF52" s="76"/>
      <c r="TIG52" s="76"/>
      <c r="TIH52" s="76"/>
      <c r="TII52" s="76"/>
      <c r="TIJ52" s="76"/>
      <c r="TIK52" s="76"/>
      <c r="TIL52" s="76"/>
      <c r="TIM52" s="76"/>
      <c r="TIN52" s="76"/>
      <c r="TIO52" s="76"/>
      <c r="TIP52" s="76"/>
      <c r="TIQ52" s="76"/>
      <c r="TIR52" s="76"/>
      <c r="TIS52" s="76"/>
      <c r="TIT52" s="76"/>
      <c r="TIU52" s="76"/>
      <c r="TIV52" s="76"/>
      <c r="TIW52" s="76"/>
      <c r="TIX52" s="76"/>
      <c r="TIY52" s="76"/>
      <c r="TIZ52" s="76"/>
      <c r="TJA52" s="76"/>
      <c r="TJB52" s="76"/>
      <c r="TJC52" s="76"/>
      <c r="TJD52" s="76"/>
      <c r="TJE52" s="76"/>
      <c r="TJF52" s="76"/>
      <c r="TJG52" s="76"/>
      <c r="TJH52" s="76"/>
      <c r="TJI52" s="76"/>
      <c r="TJJ52" s="76"/>
      <c r="TJK52" s="76"/>
      <c r="TJL52" s="76"/>
      <c r="TJM52" s="76"/>
      <c r="TJN52" s="76"/>
      <c r="TJO52" s="76"/>
      <c r="TJP52" s="76"/>
      <c r="TJQ52" s="76"/>
      <c r="TJR52" s="76"/>
      <c r="TJS52" s="76"/>
      <c r="TJT52" s="76"/>
      <c r="TJU52" s="76"/>
      <c r="TJV52" s="76"/>
      <c r="TJW52" s="76"/>
      <c r="TJX52" s="76"/>
      <c r="TJY52" s="76"/>
      <c r="TJZ52" s="76"/>
      <c r="TKA52" s="76"/>
      <c r="TKB52" s="76"/>
      <c r="TKC52" s="76"/>
      <c r="TKD52" s="76"/>
      <c r="TKE52" s="76"/>
      <c r="TKF52" s="76"/>
      <c r="TKG52" s="76"/>
      <c r="TKH52" s="76"/>
      <c r="TKI52" s="76"/>
      <c r="TKJ52" s="76"/>
      <c r="TKK52" s="76"/>
      <c r="TKL52" s="76"/>
      <c r="TKM52" s="76"/>
      <c r="TKN52" s="76"/>
      <c r="TKO52" s="76"/>
      <c r="TKP52" s="76"/>
      <c r="TKQ52" s="76"/>
      <c r="TKR52" s="76"/>
      <c r="TKS52" s="76"/>
      <c r="TKT52" s="76"/>
      <c r="TKU52" s="76"/>
      <c r="TKV52" s="76"/>
      <c r="TKW52" s="76"/>
      <c r="TKX52" s="76"/>
      <c r="TKY52" s="76"/>
      <c r="TKZ52" s="76"/>
      <c r="TLA52" s="76"/>
      <c r="TLB52" s="76"/>
      <c r="TLC52" s="76"/>
      <c r="TLD52" s="76"/>
      <c r="TLE52" s="76"/>
      <c r="TLF52" s="76"/>
      <c r="TLG52" s="76"/>
      <c r="TLH52" s="76"/>
      <c r="TLI52" s="76"/>
      <c r="TLJ52" s="76"/>
      <c r="TLK52" s="76"/>
      <c r="TLL52" s="76"/>
      <c r="TLM52" s="76"/>
      <c r="TLN52" s="76"/>
      <c r="TLO52" s="76"/>
      <c r="TLP52" s="76"/>
      <c r="TLQ52" s="76"/>
      <c r="TLR52" s="76"/>
      <c r="TLS52" s="76"/>
      <c r="TLT52" s="76"/>
      <c r="TLU52" s="76"/>
      <c r="TLV52" s="76"/>
      <c r="TLW52" s="76"/>
      <c r="TLX52" s="76"/>
      <c r="TLY52" s="76"/>
      <c r="TLZ52" s="76"/>
      <c r="TMA52" s="76"/>
      <c r="TMB52" s="76"/>
      <c r="TMC52" s="76"/>
      <c r="TMD52" s="76"/>
      <c r="TME52" s="76"/>
      <c r="TMF52" s="76"/>
      <c r="TMG52" s="76"/>
      <c r="TMH52" s="76"/>
      <c r="TMI52" s="76"/>
      <c r="TMJ52" s="76"/>
      <c r="TMK52" s="76"/>
      <c r="TML52" s="76"/>
      <c r="TMM52" s="76"/>
      <c r="TMN52" s="76"/>
      <c r="TMO52" s="76"/>
      <c r="TMP52" s="76"/>
      <c r="TMQ52" s="76"/>
      <c r="TMR52" s="76"/>
      <c r="TMS52" s="76"/>
      <c r="TMT52" s="76"/>
      <c r="TMU52" s="76"/>
      <c r="TMV52" s="76"/>
      <c r="TMW52" s="76"/>
      <c r="TMX52" s="76"/>
      <c r="TMY52" s="76"/>
      <c r="TMZ52" s="76"/>
      <c r="TNA52" s="76"/>
      <c r="TNB52" s="76"/>
      <c r="TNC52" s="76"/>
      <c r="TND52" s="76"/>
      <c r="TNE52" s="76"/>
      <c r="TNF52" s="76"/>
      <c r="TNG52" s="76"/>
      <c r="TNH52" s="76"/>
      <c r="TNI52" s="76"/>
      <c r="TNJ52" s="76"/>
      <c r="TNK52" s="76"/>
      <c r="TNL52" s="76"/>
      <c r="TNM52" s="76"/>
      <c r="TNN52" s="76"/>
      <c r="TNO52" s="76"/>
      <c r="TNP52" s="76"/>
      <c r="TNQ52" s="76"/>
      <c r="TNR52" s="76"/>
      <c r="TNS52" s="76"/>
      <c r="TNT52" s="76"/>
      <c r="TNU52" s="76"/>
      <c r="TNV52" s="76"/>
      <c r="TNW52" s="76"/>
      <c r="TNX52" s="76"/>
      <c r="TNY52" s="76"/>
      <c r="TNZ52" s="76"/>
      <c r="TOA52" s="76"/>
      <c r="TOB52" s="76"/>
      <c r="TOC52" s="76"/>
      <c r="TOD52" s="76"/>
      <c r="TOE52" s="76"/>
      <c r="TOF52" s="76"/>
      <c r="TOG52" s="76"/>
      <c r="TOH52" s="76"/>
      <c r="TOI52" s="76"/>
      <c r="TOJ52" s="76"/>
      <c r="TOK52" s="76"/>
      <c r="TOL52" s="76"/>
      <c r="TOM52" s="76"/>
      <c r="TON52" s="76"/>
      <c r="TOO52" s="76"/>
      <c r="TOP52" s="76"/>
      <c r="TOQ52" s="76"/>
      <c r="TOR52" s="76"/>
      <c r="TOS52" s="76"/>
      <c r="TOT52" s="76"/>
      <c r="TOU52" s="76"/>
      <c r="TOV52" s="76"/>
      <c r="TOW52" s="76"/>
      <c r="TOX52" s="76"/>
      <c r="TOY52" s="76"/>
      <c r="TOZ52" s="76"/>
      <c r="TPA52" s="76"/>
      <c r="TPB52" s="76"/>
      <c r="TPC52" s="76"/>
      <c r="TPD52" s="76"/>
      <c r="TPE52" s="76"/>
      <c r="TPF52" s="76"/>
      <c r="TPG52" s="76"/>
      <c r="TPH52" s="76"/>
      <c r="TPI52" s="76"/>
      <c r="TPJ52" s="76"/>
      <c r="TPK52" s="76"/>
      <c r="TPL52" s="76"/>
      <c r="TPM52" s="76"/>
      <c r="TPN52" s="76"/>
      <c r="TPO52" s="76"/>
      <c r="TPP52" s="76"/>
      <c r="TPQ52" s="76"/>
      <c r="TPR52" s="76"/>
      <c r="TPS52" s="76"/>
      <c r="TPT52" s="76"/>
      <c r="TPU52" s="76"/>
      <c r="TPV52" s="76"/>
      <c r="TPW52" s="76"/>
      <c r="TPX52" s="76"/>
      <c r="TPY52" s="76"/>
      <c r="TPZ52" s="76"/>
      <c r="TQA52" s="76"/>
      <c r="TQB52" s="76"/>
      <c r="TQC52" s="76"/>
      <c r="TQD52" s="76"/>
      <c r="TQE52" s="76"/>
      <c r="TQF52" s="76"/>
      <c r="TQG52" s="76"/>
      <c r="TQH52" s="76"/>
      <c r="TQI52" s="76"/>
      <c r="TQJ52" s="76"/>
      <c r="TQK52" s="76"/>
      <c r="TQL52" s="76"/>
      <c r="TQM52" s="76"/>
      <c r="TQN52" s="76"/>
      <c r="TQO52" s="76"/>
      <c r="TQP52" s="76"/>
      <c r="TQQ52" s="76"/>
      <c r="TQR52" s="76"/>
      <c r="TQS52" s="76"/>
      <c r="TQT52" s="76"/>
      <c r="TQU52" s="76"/>
      <c r="TQV52" s="76"/>
      <c r="TQW52" s="76"/>
      <c r="TQX52" s="76"/>
      <c r="TQY52" s="76"/>
      <c r="TQZ52" s="76"/>
      <c r="TRA52" s="76"/>
      <c r="TRB52" s="76"/>
      <c r="TRC52" s="76"/>
      <c r="TRD52" s="76"/>
      <c r="TRE52" s="76"/>
      <c r="TRF52" s="76"/>
      <c r="TRG52" s="76"/>
      <c r="TRH52" s="76"/>
      <c r="TRI52" s="76"/>
      <c r="TRJ52" s="76"/>
      <c r="TRK52" s="76"/>
      <c r="TRL52" s="76"/>
      <c r="TRM52" s="76"/>
      <c r="TRN52" s="76"/>
      <c r="TRO52" s="76"/>
      <c r="TRP52" s="76"/>
      <c r="TRQ52" s="76"/>
      <c r="TRR52" s="76"/>
      <c r="TRS52" s="76"/>
      <c r="TRT52" s="76"/>
      <c r="TRU52" s="76"/>
      <c r="TRV52" s="76"/>
      <c r="TRW52" s="76"/>
      <c r="TRX52" s="76"/>
      <c r="TRY52" s="76"/>
      <c r="TRZ52" s="76"/>
      <c r="TSA52" s="76"/>
      <c r="TSB52" s="76"/>
      <c r="TSC52" s="76"/>
      <c r="TSD52" s="76"/>
      <c r="TSE52" s="76"/>
      <c r="TSF52" s="76"/>
      <c r="TSG52" s="76"/>
      <c r="TSH52" s="76"/>
      <c r="TSI52" s="76"/>
      <c r="TSJ52" s="76"/>
      <c r="TSK52" s="76"/>
      <c r="TSL52" s="76"/>
      <c r="TSM52" s="76"/>
      <c r="TSN52" s="76"/>
      <c r="TSO52" s="76"/>
      <c r="TSP52" s="76"/>
      <c r="TSQ52" s="76"/>
      <c r="TSR52" s="76"/>
      <c r="TSS52" s="76"/>
      <c r="TST52" s="76"/>
      <c r="TSU52" s="76"/>
      <c r="TSV52" s="76"/>
      <c r="TSW52" s="76"/>
      <c r="TSX52" s="76"/>
      <c r="TSY52" s="76"/>
      <c r="TSZ52" s="76"/>
      <c r="TTA52" s="76"/>
      <c r="TTB52" s="76"/>
      <c r="TTC52" s="76"/>
      <c r="TTD52" s="76"/>
      <c r="TTE52" s="76"/>
      <c r="TTF52" s="76"/>
      <c r="TTG52" s="76"/>
      <c r="TTH52" s="76"/>
      <c r="TTI52" s="76"/>
      <c r="TTJ52" s="76"/>
      <c r="TTK52" s="76"/>
      <c r="TTL52" s="76"/>
      <c r="TTM52" s="76"/>
      <c r="TTN52" s="76"/>
      <c r="TTO52" s="76"/>
      <c r="TTP52" s="76"/>
      <c r="TTQ52" s="76"/>
      <c r="TTR52" s="76"/>
      <c r="TTS52" s="76"/>
      <c r="TTT52" s="76"/>
      <c r="TTU52" s="76"/>
      <c r="TTV52" s="76"/>
      <c r="TTW52" s="76"/>
      <c r="TTX52" s="76"/>
      <c r="TTY52" s="76"/>
      <c r="TTZ52" s="76"/>
      <c r="TUA52" s="76"/>
      <c r="TUB52" s="76"/>
      <c r="TUC52" s="76"/>
      <c r="TUD52" s="76"/>
      <c r="TUE52" s="76"/>
      <c r="TUF52" s="76"/>
      <c r="TUG52" s="76"/>
      <c r="TUH52" s="76"/>
      <c r="TUI52" s="76"/>
      <c r="TUJ52" s="76"/>
      <c r="TUK52" s="76"/>
      <c r="TUL52" s="76"/>
      <c r="TUM52" s="76"/>
      <c r="TUN52" s="76"/>
      <c r="TUO52" s="76"/>
      <c r="TUP52" s="76"/>
      <c r="TUQ52" s="76"/>
      <c r="TUR52" s="76"/>
      <c r="TUS52" s="76"/>
      <c r="TUT52" s="76"/>
      <c r="TUU52" s="76"/>
      <c r="TUV52" s="76"/>
      <c r="TUW52" s="76"/>
      <c r="TUX52" s="76"/>
      <c r="TUY52" s="76"/>
      <c r="TUZ52" s="76"/>
      <c r="TVA52" s="76"/>
      <c r="TVB52" s="76"/>
      <c r="TVC52" s="76"/>
      <c r="TVD52" s="76"/>
      <c r="TVE52" s="76"/>
      <c r="TVF52" s="76"/>
      <c r="TVG52" s="76"/>
      <c r="TVH52" s="76"/>
      <c r="TVI52" s="76"/>
      <c r="TVJ52" s="76"/>
      <c r="TVK52" s="76"/>
      <c r="TVL52" s="76"/>
      <c r="TVM52" s="76"/>
      <c r="TVN52" s="76"/>
      <c r="TVO52" s="76"/>
      <c r="TVP52" s="76"/>
      <c r="TVQ52" s="76"/>
      <c r="TVR52" s="76"/>
      <c r="TVS52" s="76"/>
      <c r="TVT52" s="76"/>
      <c r="TVU52" s="76"/>
      <c r="TVV52" s="76"/>
      <c r="TVW52" s="76"/>
      <c r="TVX52" s="76"/>
      <c r="TVY52" s="76"/>
      <c r="TVZ52" s="76"/>
      <c r="TWA52" s="76"/>
      <c r="TWB52" s="76"/>
      <c r="TWC52" s="76"/>
      <c r="TWD52" s="76"/>
      <c r="TWE52" s="76"/>
      <c r="TWF52" s="76"/>
      <c r="TWG52" s="76"/>
      <c r="TWH52" s="76"/>
      <c r="TWI52" s="76"/>
      <c r="TWJ52" s="76"/>
      <c r="TWK52" s="76"/>
      <c r="TWL52" s="76"/>
      <c r="TWM52" s="76"/>
      <c r="TWN52" s="76"/>
      <c r="TWO52" s="76"/>
      <c r="TWP52" s="76"/>
      <c r="TWQ52" s="76"/>
      <c r="TWR52" s="76"/>
      <c r="TWS52" s="76"/>
      <c r="TWT52" s="76"/>
      <c r="TWU52" s="76"/>
      <c r="TWV52" s="76"/>
      <c r="TWW52" s="76"/>
      <c r="TWX52" s="76"/>
      <c r="TWY52" s="76"/>
      <c r="TWZ52" s="76"/>
      <c r="TXA52" s="76"/>
      <c r="TXB52" s="76"/>
      <c r="TXC52" s="76"/>
      <c r="TXD52" s="76"/>
      <c r="TXE52" s="76"/>
      <c r="TXF52" s="76"/>
      <c r="TXG52" s="76"/>
      <c r="TXH52" s="76"/>
      <c r="TXI52" s="76"/>
      <c r="TXJ52" s="76"/>
      <c r="TXK52" s="76"/>
      <c r="TXL52" s="76"/>
      <c r="TXM52" s="76"/>
      <c r="TXN52" s="76"/>
      <c r="TXO52" s="76"/>
      <c r="TXP52" s="76"/>
      <c r="TXQ52" s="76"/>
      <c r="TXR52" s="76"/>
      <c r="TXS52" s="76"/>
      <c r="TXT52" s="76"/>
      <c r="TXU52" s="76"/>
      <c r="TXV52" s="76"/>
      <c r="TXW52" s="76"/>
      <c r="TXX52" s="76"/>
      <c r="TXY52" s="76"/>
      <c r="TXZ52" s="76"/>
      <c r="TYA52" s="76"/>
      <c r="TYB52" s="76"/>
      <c r="TYC52" s="76"/>
      <c r="TYD52" s="76"/>
      <c r="TYE52" s="76"/>
      <c r="TYF52" s="76"/>
      <c r="TYG52" s="76"/>
      <c r="TYH52" s="76"/>
      <c r="TYI52" s="76"/>
      <c r="TYJ52" s="76"/>
      <c r="TYK52" s="76"/>
      <c r="TYL52" s="76"/>
      <c r="TYM52" s="76"/>
      <c r="TYN52" s="76"/>
      <c r="TYO52" s="76"/>
      <c r="TYP52" s="76"/>
      <c r="TYQ52" s="76"/>
      <c r="TYR52" s="76"/>
      <c r="TYS52" s="76"/>
      <c r="TYT52" s="76"/>
      <c r="TYU52" s="76"/>
      <c r="TYV52" s="76"/>
      <c r="TYW52" s="76"/>
      <c r="TYX52" s="76"/>
      <c r="TYY52" s="76"/>
      <c r="TYZ52" s="76"/>
      <c r="TZA52" s="76"/>
      <c r="TZB52" s="76"/>
      <c r="TZC52" s="76"/>
      <c r="TZD52" s="76"/>
      <c r="TZE52" s="76"/>
      <c r="TZF52" s="76"/>
      <c r="TZG52" s="76"/>
      <c r="TZH52" s="76"/>
      <c r="TZI52" s="76"/>
      <c r="TZJ52" s="76"/>
      <c r="TZK52" s="76"/>
      <c r="TZL52" s="76"/>
      <c r="TZM52" s="76"/>
      <c r="TZN52" s="76"/>
      <c r="TZO52" s="76"/>
      <c r="TZP52" s="76"/>
      <c r="TZQ52" s="76"/>
      <c r="TZR52" s="76"/>
      <c r="TZS52" s="76"/>
      <c r="TZT52" s="76"/>
      <c r="TZU52" s="76"/>
      <c r="TZV52" s="76"/>
      <c r="TZW52" s="76"/>
      <c r="TZX52" s="76"/>
      <c r="TZY52" s="76"/>
      <c r="TZZ52" s="76"/>
      <c r="UAA52" s="76"/>
      <c r="UAB52" s="76"/>
      <c r="UAC52" s="76"/>
      <c r="UAD52" s="76"/>
      <c r="UAE52" s="76"/>
      <c r="UAF52" s="76"/>
      <c r="UAG52" s="76"/>
      <c r="UAH52" s="76"/>
      <c r="UAI52" s="76"/>
      <c r="UAJ52" s="76"/>
      <c r="UAK52" s="76"/>
      <c r="UAL52" s="76"/>
      <c r="UAM52" s="76"/>
      <c r="UAN52" s="76"/>
      <c r="UAO52" s="76"/>
      <c r="UAP52" s="76"/>
      <c r="UAQ52" s="76"/>
      <c r="UAR52" s="76"/>
      <c r="UAS52" s="76"/>
      <c r="UAT52" s="76"/>
      <c r="UAU52" s="76"/>
      <c r="UAV52" s="76"/>
      <c r="UAW52" s="76"/>
      <c r="UAX52" s="76"/>
      <c r="UAY52" s="76"/>
      <c r="UAZ52" s="76"/>
      <c r="UBA52" s="76"/>
      <c r="UBB52" s="76"/>
      <c r="UBC52" s="76"/>
      <c r="UBD52" s="76"/>
      <c r="UBE52" s="76"/>
      <c r="UBF52" s="76"/>
      <c r="UBG52" s="76"/>
      <c r="UBH52" s="76"/>
      <c r="UBI52" s="76"/>
      <c r="UBJ52" s="76"/>
      <c r="UBK52" s="76"/>
      <c r="UBL52" s="76"/>
      <c r="UBM52" s="76"/>
      <c r="UBN52" s="76"/>
      <c r="UBO52" s="76"/>
      <c r="UBP52" s="76"/>
      <c r="UBQ52" s="76"/>
      <c r="UBR52" s="76"/>
      <c r="UBS52" s="76"/>
      <c r="UBT52" s="76"/>
      <c r="UBU52" s="76"/>
      <c r="UBV52" s="76"/>
      <c r="UBW52" s="76"/>
      <c r="UBX52" s="76"/>
      <c r="UBY52" s="76"/>
      <c r="UBZ52" s="76"/>
      <c r="UCA52" s="76"/>
      <c r="UCB52" s="76"/>
      <c r="UCC52" s="76"/>
      <c r="UCD52" s="76"/>
      <c r="UCE52" s="76"/>
      <c r="UCF52" s="76"/>
      <c r="UCG52" s="76"/>
      <c r="UCH52" s="76"/>
      <c r="UCI52" s="76"/>
      <c r="UCJ52" s="76"/>
      <c r="UCK52" s="76"/>
      <c r="UCL52" s="76"/>
      <c r="UCM52" s="76"/>
      <c r="UCN52" s="76"/>
      <c r="UCO52" s="76"/>
      <c r="UCP52" s="76"/>
      <c r="UCQ52" s="76"/>
      <c r="UCR52" s="76"/>
      <c r="UCS52" s="76"/>
      <c r="UCT52" s="76"/>
      <c r="UCU52" s="76"/>
      <c r="UCV52" s="76"/>
      <c r="UCW52" s="76"/>
      <c r="UCX52" s="76"/>
      <c r="UCY52" s="76"/>
      <c r="UCZ52" s="76"/>
      <c r="UDA52" s="76"/>
      <c r="UDB52" s="76"/>
      <c r="UDC52" s="76"/>
      <c r="UDD52" s="76"/>
      <c r="UDE52" s="76"/>
      <c r="UDF52" s="76"/>
      <c r="UDG52" s="76"/>
      <c r="UDH52" s="76"/>
      <c r="UDI52" s="76"/>
      <c r="UDJ52" s="76"/>
      <c r="UDK52" s="76"/>
      <c r="UDL52" s="76"/>
      <c r="UDM52" s="76"/>
      <c r="UDN52" s="76"/>
      <c r="UDO52" s="76"/>
      <c r="UDP52" s="76"/>
      <c r="UDQ52" s="76"/>
      <c r="UDR52" s="76"/>
      <c r="UDS52" s="76"/>
      <c r="UDT52" s="76"/>
      <c r="UDU52" s="76"/>
      <c r="UDV52" s="76"/>
      <c r="UDW52" s="76"/>
      <c r="UDX52" s="76"/>
      <c r="UDY52" s="76"/>
      <c r="UDZ52" s="76"/>
      <c r="UEA52" s="76"/>
      <c r="UEB52" s="76"/>
      <c r="UEC52" s="76"/>
      <c r="UED52" s="76"/>
      <c r="UEE52" s="76"/>
      <c r="UEF52" s="76"/>
      <c r="UEG52" s="76"/>
      <c r="UEH52" s="76"/>
      <c r="UEI52" s="76"/>
      <c r="UEJ52" s="76"/>
      <c r="UEK52" s="76"/>
      <c r="UEL52" s="76"/>
      <c r="UEM52" s="76"/>
      <c r="UEN52" s="76"/>
      <c r="UEO52" s="76"/>
      <c r="UEP52" s="76"/>
      <c r="UEQ52" s="76"/>
      <c r="UER52" s="76"/>
      <c r="UES52" s="76"/>
      <c r="UET52" s="76"/>
      <c r="UEU52" s="76"/>
      <c r="UEV52" s="76"/>
      <c r="UEW52" s="76"/>
      <c r="UEX52" s="76"/>
      <c r="UEY52" s="76"/>
      <c r="UEZ52" s="76"/>
      <c r="UFA52" s="76"/>
      <c r="UFB52" s="76"/>
      <c r="UFC52" s="76"/>
      <c r="UFD52" s="76"/>
      <c r="UFE52" s="76"/>
      <c r="UFF52" s="76"/>
      <c r="UFG52" s="76"/>
      <c r="UFH52" s="76"/>
      <c r="UFI52" s="76"/>
      <c r="UFJ52" s="76"/>
      <c r="UFK52" s="76"/>
      <c r="UFL52" s="76"/>
      <c r="UFM52" s="76"/>
      <c r="UFN52" s="76"/>
      <c r="UFO52" s="76"/>
      <c r="UFP52" s="76"/>
      <c r="UFQ52" s="76"/>
      <c r="UFR52" s="76"/>
      <c r="UFS52" s="76"/>
      <c r="UFT52" s="76"/>
      <c r="UFU52" s="76"/>
      <c r="UFV52" s="76"/>
      <c r="UFW52" s="76"/>
      <c r="UFX52" s="76"/>
      <c r="UFY52" s="76"/>
      <c r="UFZ52" s="76"/>
      <c r="UGA52" s="76"/>
      <c r="UGB52" s="76"/>
      <c r="UGC52" s="76"/>
      <c r="UGD52" s="76"/>
      <c r="UGE52" s="76"/>
      <c r="UGF52" s="76"/>
      <c r="UGG52" s="76"/>
      <c r="UGH52" s="76"/>
      <c r="UGI52" s="76"/>
      <c r="UGJ52" s="76"/>
      <c r="UGK52" s="76"/>
      <c r="UGL52" s="76"/>
      <c r="UGM52" s="76"/>
      <c r="UGN52" s="76"/>
      <c r="UGO52" s="76"/>
      <c r="UGP52" s="76"/>
      <c r="UGQ52" s="76"/>
      <c r="UGR52" s="76"/>
      <c r="UGS52" s="76"/>
      <c r="UGT52" s="76"/>
      <c r="UGU52" s="76"/>
      <c r="UGV52" s="76"/>
      <c r="UGW52" s="76"/>
      <c r="UGX52" s="76"/>
      <c r="UGY52" s="76"/>
      <c r="UGZ52" s="76"/>
      <c r="UHA52" s="76"/>
      <c r="UHB52" s="76"/>
      <c r="UHC52" s="76"/>
      <c r="UHD52" s="76"/>
      <c r="UHE52" s="76"/>
      <c r="UHF52" s="76"/>
      <c r="UHG52" s="76"/>
      <c r="UHH52" s="76"/>
      <c r="UHI52" s="76"/>
      <c r="UHJ52" s="76"/>
      <c r="UHK52" s="76"/>
      <c r="UHL52" s="76"/>
      <c r="UHM52" s="76"/>
      <c r="UHN52" s="76"/>
      <c r="UHO52" s="76"/>
      <c r="UHP52" s="76"/>
      <c r="UHQ52" s="76"/>
      <c r="UHR52" s="76"/>
      <c r="UHS52" s="76"/>
      <c r="UHT52" s="76"/>
      <c r="UHU52" s="76"/>
      <c r="UHV52" s="76"/>
      <c r="UHW52" s="76"/>
      <c r="UHX52" s="76"/>
      <c r="UHY52" s="76"/>
      <c r="UHZ52" s="76"/>
      <c r="UIA52" s="76"/>
      <c r="UIB52" s="76"/>
      <c r="UIC52" s="76"/>
      <c r="UID52" s="76"/>
      <c r="UIE52" s="76"/>
      <c r="UIF52" s="76"/>
      <c r="UIG52" s="76"/>
      <c r="UIH52" s="76"/>
      <c r="UII52" s="76"/>
      <c r="UIJ52" s="76"/>
      <c r="UIK52" s="76"/>
      <c r="UIL52" s="76"/>
      <c r="UIM52" s="76"/>
      <c r="UIN52" s="76"/>
      <c r="UIO52" s="76"/>
      <c r="UIP52" s="76"/>
      <c r="UIQ52" s="76"/>
      <c r="UIR52" s="76"/>
      <c r="UIS52" s="76"/>
      <c r="UIT52" s="76"/>
      <c r="UIU52" s="76"/>
      <c r="UIV52" s="76"/>
      <c r="UIW52" s="76"/>
      <c r="UIX52" s="76"/>
      <c r="UIY52" s="76"/>
      <c r="UIZ52" s="76"/>
      <c r="UJA52" s="76"/>
      <c r="UJB52" s="76"/>
      <c r="UJC52" s="76"/>
      <c r="UJD52" s="76"/>
      <c r="UJE52" s="76"/>
      <c r="UJF52" s="76"/>
      <c r="UJG52" s="76"/>
      <c r="UJH52" s="76"/>
      <c r="UJI52" s="76"/>
      <c r="UJJ52" s="76"/>
      <c r="UJK52" s="76"/>
      <c r="UJL52" s="76"/>
      <c r="UJM52" s="76"/>
      <c r="UJN52" s="76"/>
      <c r="UJO52" s="76"/>
      <c r="UJP52" s="76"/>
      <c r="UJQ52" s="76"/>
      <c r="UJR52" s="76"/>
      <c r="UJS52" s="76"/>
      <c r="UJT52" s="76"/>
      <c r="UJU52" s="76"/>
      <c r="UJV52" s="76"/>
      <c r="UJW52" s="76"/>
      <c r="UJX52" s="76"/>
      <c r="UJY52" s="76"/>
      <c r="UJZ52" s="76"/>
      <c r="UKA52" s="76"/>
      <c r="UKB52" s="76"/>
      <c r="UKC52" s="76"/>
      <c r="UKD52" s="76"/>
      <c r="UKE52" s="76"/>
      <c r="UKF52" s="76"/>
      <c r="UKG52" s="76"/>
      <c r="UKH52" s="76"/>
      <c r="UKI52" s="76"/>
      <c r="UKJ52" s="76"/>
      <c r="UKK52" s="76"/>
      <c r="UKL52" s="76"/>
      <c r="UKM52" s="76"/>
      <c r="UKN52" s="76"/>
      <c r="UKO52" s="76"/>
      <c r="UKP52" s="76"/>
      <c r="UKQ52" s="76"/>
      <c r="UKR52" s="76"/>
      <c r="UKS52" s="76"/>
      <c r="UKT52" s="76"/>
      <c r="UKU52" s="76"/>
      <c r="UKV52" s="76"/>
      <c r="UKW52" s="76"/>
      <c r="UKX52" s="76"/>
      <c r="UKY52" s="76"/>
      <c r="UKZ52" s="76"/>
      <c r="ULA52" s="76"/>
      <c r="ULB52" s="76"/>
      <c r="ULC52" s="76"/>
      <c r="ULD52" s="76"/>
      <c r="ULE52" s="76"/>
      <c r="ULF52" s="76"/>
      <c r="ULG52" s="76"/>
      <c r="ULH52" s="76"/>
      <c r="ULI52" s="76"/>
      <c r="ULJ52" s="76"/>
      <c r="ULK52" s="76"/>
      <c r="ULL52" s="76"/>
      <c r="ULM52" s="76"/>
      <c r="ULN52" s="76"/>
      <c r="ULO52" s="76"/>
      <c r="ULP52" s="76"/>
      <c r="ULQ52" s="76"/>
      <c r="ULR52" s="76"/>
      <c r="ULS52" s="76"/>
      <c r="ULT52" s="76"/>
      <c r="ULU52" s="76"/>
      <c r="ULV52" s="76"/>
      <c r="ULW52" s="76"/>
      <c r="ULX52" s="76"/>
      <c r="ULY52" s="76"/>
      <c r="ULZ52" s="76"/>
      <c r="UMA52" s="76"/>
      <c r="UMB52" s="76"/>
      <c r="UMC52" s="76"/>
      <c r="UMD52" s="76"/>
      <c r="UME52" s="76"/>
      <c r="UMF52" s="76"/>
      <c r="UMG52" s="76"/>
      <c r="UMH52" s="76"/>
      <c r="UMI52" s="76"/>
      <c r="UMJ52" s="76"/>
      <c r="UMK52" s="76"/>
      <c r="UML52" s="76"/>
      <c r="UMM52" s="76"/>
      <c r="UMN52" s="76"/>
      <c r="UMO52" s="76"/>
      <c r="UMP52" s="76"/>
      <c r="UMQ52" s="76"/>
      <c r="UMR52" s="76"/>
      <c r="UMS52" s="76"/>
      <c r="UMT52" s="76"/>
      <c r="UMU52" s="76"/>
      <c r="UMV52" s="76"/>
      <c r="UMW52" s="76"/>
      <c r="UMX52" s="76"/>
      <c r="UMY52" s="76"/>
      <c r="UMZ52" s="76"/>
      <c r="UNA52" s="76"/>
      <c r="UNB52" s="76"/>
      <c r="UNC52" s="76"/>
      <c r="UND52" s="76"/>
      <c r="UNE52" s="76"/>
      <c r="UNF52" s="76"/>
      <c r="UNG52" s="76"/>
      <c r="UNH52" s="76"/>
      <c r="UNI52" s="76"/>
      <c r="UNJ52" s="76"/>
      <c r="UNK52" s="76"/>
      <c r="UNL52" s="76"/>
      <c r="UNM52" s="76"/>
      <c r="UNN52" s="76"/>
      <c r="UNO52" s="76"/>
      <c r="UNP52" s="76"/>
      <c r="UNQ52" s="76"/>
      <c r="UNR52" s="76"/>
      <c r="UNS52" s="76"/>
      <c r="UNT52" s="76"/>
      <c r="UNU52" s="76"/>
      <c r="UNV52" s="76"/>
      <c r="UNW52" s="76"/>
      <c r="UNX52" s="76"/>
      <c r="UNY52" s="76"/>
      <c r="UNZ52" s="76"/>
      <c r="UOA52" s="76"/>
      <c r="UOB52" s="76"/>
      <c r="UOC52" s="76"/>
      <c r="UOD52" s="76"/>
      <c r="UOE52" s="76"/>
      <c r="UOF52" s="76"/>
      <c r="UOG52" s="76"/>
      <c r="UOH52" s="76"/>
      <c r="UOI52" s="76"/>
      <c r="UOJ52" s="76"/>
      <c r="UOK52" s="76"/>
      <c r="UOL52" s="76"/>
      <c r="UOM52" s="76"/>
      <c r="UON52" s="76"/>
      <c r="UOO52" s="76"/>
      <c r="UOP52" s="76"/>
      <c r="UOQ52" s="76"/>
      <c r="UOR52" s="76"/>
      <c r="UOS52" s="76"/>
      <c r="UOT52" s="76"/>
      <c r="UOU52" s="76"/>
      <c r="UOV52" s="76"/>
      <c r="UOW52" s="76"/>
      <c r="UOX52" s="76"/>
      <c r="UOY52" s="76"/>
      <c r="UOZ52" s="76"/>
      <c r="UPA52" s="76"/>
      <c r="UPB52" s="76"/>
      <c r="UPC52" s="76"/>
      <c r="UPD52" s="76"/>
      <c r="UPE52" s="76"/>
      <c r="UPF52" s="76"/>
      <c r="UPG52" s="76"/>
      <c r="UPH52" s="76"/>
      <c r="UPI52" s="76"/>
      <c r="UPJ52" s="76"/>
      <c r="UPK52" s="76"/>
      <c r="UPL52" s="76"/>
      <c r="UPM52" s="76"/>
      <c r="UPN52" s="76"/>
      <c r="UPO52" s="76"/>
      <c r="UPP52" s="76"/>
      <c r="UPQ52" s="76"/>
      <c r="UPR52" s="76"/>
      <c r="UPS52" s="76"/>
      <c r="UPT52" s="76"/>
      <c r="UPU52" s="76"/>
      <c r="UPV52" s="76"/>
      <c r="UPW52" s="76"/>
      <c r="UPX52" s="76"/>
      <c r="UPY52" s="76"/>
      <c r="UPZ52" s="76"/>
      <c r="UQA52" s="76"/>
      <c r="UQB52" s="76"/>
      <c r="UQC52" s="76"/>
      <c r="UQD52" s="76"/>
      <c r="UQE52" s="76"/>
      <c r="UQF52" s="76"/>
      <c r="UQG52" s="76"/>
      <c r="UQH52" s="76"/>
      <c r="UQI52" s="76"/>
      <c r="UQJ52" s="76"/>
      <c r="UQK52" s="76"/>
      <c r="UQL52" s="76"/>
      <c r="UQM52" s="76"/>
      <c r="UQN52" s="76"/>
      <c r="UQO52" s="76"/>
      <c r="UQP52" s="76"/>
      <c r="UQQ52" s="76"/>
      <c r="UQR52" s="76"/>
      <c r="UQS52" s="76"/>
      <c r="UQT52" s="76"/>
      <c r="UQU52" s="76"/>
      <c r="UQV52" s="76"/>
      <c r="UQW52" s="76"/>
      <c r="UQX52" s="76"/>
      <c r="UQY52" s="76"/>
      <c r="UQZ52" s="76"/>
      <c r="URA52" s="76"/>
      <c r="URB52" s="76"/>
      <c r="URC52" s="76"/>
      <c r="URD52" s="76"/>
      <c r="URE52" s="76"/>
      <c r="URF52" s="76"/>
      <c r="URG52" s="76"/>
      <c r="URH52" s="76"/>
      <c r="URI52" s="76"/>
      <c r="URJ52" s="76"/>
      <c r="URK52" s="76"/>
      <c r="URL52" s="76"/>
      <c r="URM52" s="76"/>
      <c r="URN52" s="76"/>
      <c r="URO52" s="76"/>
      <c r="URP52" s="76"/>
      <c r="URQ52" s="76"/>
      <c r="URR52" s="76"/>
      <c r="URS52" s="76"/>
      <c r="URT52" s="76"/>
      <c r="URU52" s="76"/>
      <c r="URV52" s="76"/>
      <c r="URW52" s="76"/>
      <c r="URX52" s="76"/>
      <c r="URY52" s="76"/>
      <c r="URZ52" s="76"/>
      <c r="USA52" s="76"/>
      <c r="USB52" s="76"/>
      <c r="USC52" s="76"/>
      <c r="USD52" s="76"/>
      <c r="USE52" s="76"/>
      <c r="USF52" s="76"/>
      <c r="USG52" s="76"/>
      <c r="USH52" s="76"/>
      <c r="USI52" s="76"/>
      <c r="USJ52" s="76"/>
      <c r="USK52" s="76"/>
      <c r="USL52" s="76"/>
      <c r="USM52" s="76"/>
      <c r="USN52" s="76"/>
      <c r="USO52" s="76"/>
      <c r="USP52" s="76"/>
      <c r="USQ52" s="76"/>
      <c r="USR52" s="76"/>
      <c r="USS52" s="76"/>
      <c r="UST52" s="76"/>
      <c r="USU52" s="76"/>
      <c r="USV52" s="76"/>
      <c r="USW52" s="76"/>
      <c r="USX52" s="76"/>
      <c r="USY52" s="76"/>
      <c r="USZ52" s="76"/>
      <c r="UTA52" s="76"/>
      <c r="UTB52" s="76"/>
      <c r="UTC52" s="76"/>
      <c r="UTD52" s="76"/>
      <c r="UTE52" s="76"/>
      <c r="UTF52" s="76"/>
      <c r="UTG52" s="76"/>
      <c r="UTH52" s="76"/>
      <c r="UTI52" s="76"/>
      <c r="UTJ52" s="76"/>
      <c r="UTK52" s="76"/>
      <c r="UTL52" s="76"/>
      <c r="UTM52" s="76"/>
      <c r="UTN52" s="76"/>
      <c r="UTO52" s="76"/>
      <c r="UTP52" s="76"/>
      <c r="UTQ52" s="76"/>
      <c r="UTR52" s="76"/>
      <c r="UTS52" s="76"/>
      <c r="UTT52" s="76"/>
      <c r="UTU52" s="76"/>
      <c r="UTV52" s="76"/>
      <c r="UTW52" s="76"/>
      <c r="UTX52" s="76"/>
      <c r="UTY52" s="76"/>
      <c r="UTZ52" s="76"/>
      <c r="UUA52" s="76"/>
      <c r="UUB52" s="76"/>
      <c r="UUC52" s="76"/>
      <c r="UUD52" s="76"/>
      <c r="UUE52" s="76"/>
      <c r="UUF52" s="76"/>
      <c r="UUG52" s="76"/>
      <c r="UUH52" s="76"/>
      <c r="UUI52" s="76"/>
      <c r="UUJ52" s="76"/>
      <c r="UUK52" s="76"/>
      <c r="UUL52" s="76"/>
      <c r="UUM52" s="76"/>
      <c r="UUN52" s="76"/>
      <c r="UUO52" s="76"/>
      <c r="UUP52" s="76"/>
      <c r="UUQ52" s="76"/>
      <c r="UUR52" s="76"/>
      <c r="UUS52" s="76"/>
      <c r="UUT52" s="76"/>
      <c r="UUU52" s="76"/>
      <c r="UUV52" s="76"/>
      <c r="UUW52" s="76"/>
      <c r="UUX52" s="76"/>
      <c r="UUY52" s="76"/>
      <c r="UUZ52" s="76"/>
      <c r="UVA52" s="76"/>
      <c r="UVB52" s="76"/>
      <c r="UVC52" s="76"/>
      <c r="UVD52" s="76"/>
      <c r="UVE52" s="76"/>
      <c r="UVF52" s="76"/>
      <c r="UVG52" s="76"/>
      <c r="UVH52" s="76"/>
      <c r="UVI52" s="76"/>
      <c r="UVJ52" s="76"/>
      <c r="UVK52" s="76"/>
      <c r="UVL52" s="76"/>
      <c r="UVM52" s="76"/>
      <c r="UVN52" s="76"/>
      <c r="UVO52" s="76"/>
      <c r="UVP52" s="76"/>
      <c r="UVQ52" s="76"/>
      <c r="UVR52" s="76"/>
      <c r="UVS52" s="76"/>
      <c r="UVT52" s="76"/>
      <c r="UVU52" s="76"/>
      <c r="UVV52" s="76"/>
      <c r="UVW52" s="76"/>
      <c r="UVX52" s="76"/>
      <c r="UVY52" s="76"/>
      <c r="UVZ52" s="76"/>
      <c r="UWA52" s="76"/>
      <c r="UWB52" s="76"/>
      <c r="UWC52" s="76"/>
      <c r="UWD52" s="76"/>
      <c r="UWE52" s="76"/>
      <c r="UWF52" s="76"/>
      <c r="UWG52" s="76"/>
      <c r="UWH52" s="76"/>
      <c r="UWI52" s="76"/>
      <c r="UWJ52" s="76"/>
      <c r="UWK52" s="76"/>
      <c r="UWL52" s="76"/>
      <c r="UWM52" s="76"/>
      <c r="UWN52" s="76"/>
      <c r="UWO52" s="76"/>
      <c r="UWP52" s="76"/>
      <c r="UWQ52" s="76"/>
      <c r="UWR52" s="76"/>
      <c r="UWS52" s="76"/>
      <c r="UWT52" s="76"/>
      <c r="UWU52" s="76"/>
      <c r="UWV52" s="76"/>
      <c r="UWW52" s="76"/>
      <c r="UWX52" s="76"/>
      <c r="UWY52" s="76"/>
      <c r="UWZ52" s="76"/>
      <c r="UXA52" s="76"/>
      <c r="UXB52" s="76"/>
      <c r="UXC52" s="76"/>
      <c r="UXD52" s="76"/>
      <c r="UXE52" s="76"/>
      <c r="UXF52" s="76"/>
      <c r="UXG52" s="76"/>
      <c r="UXH52" s="76"/>
      <c r="UXI52" s="76"/>
      <c r="UXJ52" s="76"/>
      <c r="UXK52" s="76"/>
      <c r="UXL52" s="76"/>
      <c r="UXM52" s="76"/>
      <c r="UXN52" s="76"/>
      <c r="UXO52" s="76"/>
      <c r="UXP52" s="76"/>
      <c r="UXQ52" s="76"/>
      <c r="UXR52" s="76"/>
      <c r="UXS52" s="76"/>
      <c r="UXT52" s="76"/>
      <c r="UXU52" s="76"/>
      <c r="UXV52" s="76"/>
      <c r="UXW52" s="76"/>
      <c r="UXX52" s="76"/>
      <c r="UXY52" s="76"/>
      <c r="UXZ52" s="76"/>
      <c r="UYA52" s="76"/>
      <c r="UYB52" s="76"/>
      <c r="UYC52" s="76"/>
      <c r="UYD52" s="76"/>
      <c r="UYE52" s="76"/>
      <c r="UYF52" s="76"/>
      <c r="UYG52" s="76"/>
      <c r="UYH52" s="76"/>
      <c r="UYI52" s="76"/>
      <c r="UYJ52" s="76"/>
      <c r="UYK52" s="76"/>
      <c r="UYL52" s="76"/>
      <c r="UYM52" s="76"/>
      <c r="UYN52" s="76"/>
      <c r="UYO52" s="76"/>
      <c r="UYP52" s="76"/>
      <c r="UYQ52" s="76"/>
      <c r="UYR52" s="76"/>
      <c r="UYS52" s="76"/>
      <c r="UYT52" s="76"/>
      <c r="UYU52" s="76"/>
      <c r="UYV52" s="76"/>
      <c r="UYW52" s="76"/>
      <c r="UYX52" s="76"/>
      <c r="UYY52" s="76"/>
      <c r="UYZ52" s="76"/>
      <c r="UZA52" s="76"/>
      <c r="UZB52" s="76"/>
      <c r="UZC52" s="76"/>
      <c r="UZD52" s="76"/>
      <c r="UZE52" s="76"/>
      <c r="UZF52" s="76"/>
      <c r="UZG52" s="76"/>
      <c r="UZH52" s="76"/>
      <c r="UZI52" s="76"/>
      <c r="UZJ52" s="76"/>
      <c r="UZK52" s="76"/>
      <c r="UZL52" s="76"/>
      <c r="UZM52" s="76"/>
      <c r="UZN52" s="76"/>
      <c r="UZO52" s="76"/>
      <c r="UZP52" s="76"/>
      <c r="UZQ52" s="76"/>
      <c r="UZR52" s="76"/>
      <c r="UZS52" s="76"/>
      <c r="UZT52" s="76"/>
      <c r="UZU52" s="76"/>
      <c r="UZV52" s="76"/>
      <c r="UZW52" s="76"/>
      <c r="UZX52" s="76"/>
      <c r="UZY52" s="76"/>
      <c r="UZZ52" s="76"/>
      <c r="VAA52" s="76"/>
      <c r="VAB52" s="76"/>
      <c r="VAC52" s="76"/>
      <c r="VAD52" s="76"/>
      <c r="VAE52" s="76"/>
      <c r="VAF52" s="76"/>
      <c r="VAG52" s="76"/>
      <c r="VAH52" s="76"/>
      <c r="VAI52" s="76"/>
      <c r="VAJ52" s="76"/>
      <c r="VAK52" s="76"/>
      <c r="VAL52" s="76"/>
      <c r="VAM52" s="76"/>
      <c r="VAN52" s="76"/>
      <c r="VAO52" s="76"/>
      <c r="VAP52" s="76"/>
      <c r="VAQ52" s="76"/>
      <c r="VAR52" s="76"/>
      <c r="VAS52" s="76"/>
      <c r="VAT52" s="76"/>
      <c r="VAU52" s="76"/>
      <c r="VAV52" s="76"/>
      <c r="VAW52" s="76"/>
      <c r="VAX52" s="76"/>
      <c r="VAY52" s="76"/>
      <c r="VAZ52" s="76"/>
      <c r="VBA52" s="76"/>
      <c r="VBB52" s="76"/>
      <c r="VBC52" s="76"/>
      <c r="VBD52" s="76"/>
      <c r="VBE52" s="76"/>
      <c r="VBF52" s="76"/>
      <c r="VBG52" s="76"/>
      <c r="VBH52" s="76"/>
      <c r="VBI52" s="76"/>
      <c r="VBJ52" s="76"/>
      <c r="VBK52" s="76"/>
      <c r="VBL52" s="76"/>
      <c r="VBM52" s="76"/>
      <c r="VBN52" s="76"/>
      <c r="VBO52" s="76"/>
      <c r="VBP52" s="76"/>
      <c r="VBQ52" s="76"/>
      <c r="VBR52" s="76"/>
      <c r="VBS52" s="76"/>
      <c r="VBT52" s="76"/>
      <c r="VBU52" s="76"/>
      <c r="VBV52" s="76"/>
      <c r="VBW52" s="76"/>
      <c r="VBX52" s="76"/>
      <c r="VBY52" s="76"/>
      <c r="VBZ52" s="76"/>
      <c r="VCA52" s="76"/>
      <c r="VCB52" s="76"/>
      <c r="VCC52" s="76"/>
      <c r="VCD52" s="76"/>
      <c r="VCE52" s="76"/>
      <c r="VCF52" s="76"/>
      <c r="VCG52" s="76"/>
      <c r="VCH52" s="76"/>
      <c r="VCI52" s="76"/>
      <c r="VCJ52" s="76"/>
      <c r="VCK52" s="76"/>
      <c r="VCL52" s="76"/>
      <c r="VCM52" s="76"/>
      <c r="VCN52" s="76"/>
      <c r="VCO52" s="76"/>
      <c r="VCP52" s="76"/>
      <c r="VCQ52" s="76"/>
      <c r="VCR52" s="76"/>
      <c r="VCS52" s="76"/>
      <c r="VCT52" s="76"/>
      <c r="VCU52" s="76"/>
      <c r="VCV52" s="76"/>
      <c r="VCW52" s="76"/>
      <c r="VCX52" s="76"/>
      <c r="VCY52" s="76"/>
      <c r="VCZ52" s="76"/>
      <c r="VDA52" s="76"/>
      <c r="VDB52" s="76"/>
      <c r="VDC52" s="76"/>
      <c r="VDD52" s="76"/>
      <c r="VDE52" s="76"/>
      <c r="VDF52" s="76"/>
      <c r="VDG52" s="76"/>
      <c r="VDH52" s="76"/>
      <c r="VDI52" s="76"/>
      <c r="VDJ52" s="76"/>
      <c r="VDK52" s="76"/>
      <c r="VDL52" s="76"/>
      <c r="VDM52" s="76"/>
      <c r="VDN52" s="76"/>
      <c r="VDO52" s="76"/>
      <c r="VDP52" s="76"/>
      <c r="VDQ52" s="76"/>
      <c r="VDR52" s="76"/>
      <c r="VDS52" s="76"/>
      <c r="VDT52" s="76"/>
      <c r="VDU52" s="76"/>
      <c r="VDV52" s="76"/>
      <c r="VDW52" s="76"/>
      <c r="VDX52" s="76"/>
      <c r="VDY52" s="76"/>
      <c r="VDZ52" s="76"/>
      <c r="VEA52" s="76"/>
      <c r="VEB52" s="76"/>
      <c r="VEC52" s="76"/>
      <c r="VED52" s="76"/>
      <c r="VEE52" s="76"/>
      <c r="VEF52" s="76"/>
      <c r="VEG52" s="76"/>
      <c r="VEH52" s="76"/>
      <c r="VEI52" s="76"/>
      <c r="VEJ52" s="76"/>
      <c r="VEK52" s="76"/>
      <c r="VEL52" s="76"/>
      <c r="VEM52" s="76"/>
      <c r="VEN52" s="76"/>
      <c r="VEO52" s="76"/>
      <c r="VEP52" s="76"/>
      <c r="VEQ52" s="76"/>
      <c r="VER52" s="76"/>
      <c r="VES52" s="76"/>
      <c r="VET52" s="76"/>
      <c r="VEU52" s="76"/>
      <c r="VEV52" s="76"/>
      <c r="VEW52" s="76"/>
      <c r="VEX52" s="76"/>
      <c r="VEY52" s="76"/>
      <c r="VEZ52" s="76"/>
      <c r="VFA52" s="76"/>
      <c r="VFB52" s="76"/>
      <c r="VFC52" s="76"/>
      <c r="VFD52" s="76"/>
      <c r="VFE52" s="76"/>
      <c r="VFF52" s="76"/>
      <c r="VFG52" s="76"/>
      <c r="VFH52" s="76"/>
      <c r="VFI52" s="76"/>
      <c r="VFJ52" s="76"/>
      <c r="VFK52" s="76"/>
      <c r="VFL52" s="76"/>
      <c r="VFM52" s="76"/>
      <c r="VFN52" s="76"/>
      <c r="VFO52" s="76"/>
      <c r="VFP52" s="76"/>
      <c r="VFQ52" s="76"/>
      <c r="VFR52" s="76"/>
      <c r="VFS52" s="76"/>
      <c r="VFT52" s="76"/>
      <c r="VFU52" s="76"/>
      <c r="VFV52" s="76"/>
      <c r="VFW52" s="76"/>
      <c r="VFX52" s="76"/>
      <c r="VFY52" s="76"/>
      <c r="VFZ52" s="76"/>
      <c r="VGA52" s="76"/>
      <c r="VGB52" s="76"/>
      <c r="VGC52" s="76"/>
      <c r="VGD52" s="76"/>
      <c r="VGE52" s="76"/>
      <c r="VGF52" s="76"/>
      <c r="VGG52" s="76"/>
      <c r="VGH52" s="76"/>
      <c r="VGI52" s="76"/>
      <c r="VGJ52" s="76"/>
      <c r="VGK52" s="76"/>
      <c r="VGL52" s="76"/>
      <c r="VGM52" s="76"/>
      <c r="VGN52" s="76"/>
      <c r="VGO52" s="76"/>
      <c r="VGP52" s="76"/>
      <c r="VGQ52" s="76"/>
      <c r="VGR52" s="76"/>
      <c r="VGS52" s="76"/>
      <c r="VGT52" s="76"/>
      <c r="VGU52" s="76"/>
      <c r="VGV52" s="76"/>
      <c r="VGW52" s="76"/>
      <c r="VGX52" s="76"/>
      <c r="VGY52" s="76"/>
      <c r="VGZ52" s="76"/>
      <c r="VHA52" s="76"/>
      <c r="VHB52" s="76"/>
      <c r="VHC52" s="76"/>
      <c r="VHD52" s="76"/>
      <c r="VHE52" s="76"/>
      <c r="VHF52" s="76"/>
      <c r="VHG52" s="76"/>
      <c r="VHH52" s="76"/>
      <c r="VHI52" s="76"/>
      <c r="VHJ52" s="76"/>
      <c r="VHK52" s="76"/>
      <c r="VHL52" s="76"/>
      <c r="VHM52" s="76"/>
      <c r="VHN52" s="76"/>
      <c r="VHO52" s="76"/>
      <c r="VHP52" s="76"/>
      <c r="VHQ52" s="76"/>
      <c r="VHR52" s="76"/>
      <c r="VHS52" s="76"/>
      <c r="VHT52" s="76"/>
      <c r="VHU52" s="76"/>
      <c r="VHV52" s="76"/>
      <c r="VHW52" s="76"/>
      <c r="VHX52" s="76"/>
      <c r="VHY52" s="76"/>
      <c r="VHZ52" s="76"/>
      <c r="VIA52" s="76"/>
      <c r="VIB52" s="76"/>
      <c r="VIC52" s="76"/>
      <c r="VID52" s="76"/>
      <c r="VIE52" s="76"/>
      <c r="VIF52" s="76"/>
      <c r="VIG52" s="76"/>
      <c r="VIH52" s="76"/>
      <c r="VII52" s="76"/>
      <c r="VIJ52" s="76"/>
      <c r="VIK52" s="76"/>
      <c r="VIL52" s="76"/>
      <c r="VIM52" s="76"/>
      <c r="VIN52" s="76"/>
      <c r="VIO52" s="76"/>
      <c r="VIP52" s="76"/>
      <c r="VIQ52" s="76"/>
      <c r="VIR52" s="76"/>
      <c r="VIS52" s="76"/>
      <c r="VIT52" s="76"/>
      <c r="VIU52" s="76"/>
      <c r="VIV52" s="76"/>
      <c r="VIW52" s="76"/>
      <c r="VIX52" s="76"/>
      <c r="VIY52" s="76"/>
      <c r="VIZ52" s="76"/>
      <c r="VJA52" s="76"/>
      <c r="VJB52" s="76"/>
      <c r="VJC52" s="76"/>
      <c r="VJD52" s="76"/>
      <c r="VJE52" s="76"/>
      <c r="VJF52" s="76"/>
      <c r="VJG52" s="76"/>
      <c r="VJH52" s="76"/>
      <c r="VJI52" s="76"/>
      <c r="VJJ52" s="76"/>
      <c r="VJK52" s="76"/>
      <c r="VJL52" s="76"/>
      <c r="VJM52" s="76"/>
      <c r="VJN52" s="76"/>
      <c r="VJO52" s="76"/>
      <c r="VJP52" s="76"/>
      <c r="VJQ52" s="76"/>
      <c r="VJR52" s="76"/>
      <c r="VJS52" s="76"/>
      <c r="VJT52" s="76"/>
      <c r="VJU52" s="76"/>
      <c r="VJV52" s="76"/>
      <c r="VJW52" s="76"/>
      <c r="VJX52" s="76"/>
      <c r="VJY52" s="76"/>
      <c r="VJZ52" s="76"/>
      <c r="VKA52" s="76"/>
      <c r="VKB52" s="76"/>
      <c r="VKC52" s="76"/>
      <c r="VKD52" s="76"/>
      <c r="VKE52" s="76"/>
      <c r="VKF52" s="76"/>
      <c r="VKG52" s="76"/>
      <c r="VKH52" s="76"/>
      <c r="VKI52" s="76"/>
      <c r="VKJ52" s="76"/>
      <c r="VKK52" s="76"/>
      <c r="VKL52" s="76"/>
      <c r="VKM52" s="76"/>
      <c r="VKN52" s="76"/>
      <c r="VKO52" s="76"/>
      <c r="VKP52" s="76"/>
      <c r="VKQ52" s="76"/>
      <c r="VKR52" s="76"/>
      <c r="VKS52" s="76"/>
      <c r="VKT52" s="76"/>
      <c r="VKU52" s="76"/>
      <c r="VKV52" s="76"/>
      <c r="VKW52" s="76"/>
      <c r="VKX52" s="76"/>
      <c r="VKY52" s="76"/>
      <c r="VKZ52" s="76"/>
      <c r="VLA52" s="76"/>
      <c r="VLB52" s="76"/>
      <c r="VLC52" s="76"/>
      <c r="VLD52" s="76"/>
      <c r="VLE52" s="76"/>
      <c r="VLF52" s="76"/>
      <c r="VLG52" s="76"/>
      <c r="VLH52" s="76"/>
      <c r="VLI52" s="76"/>
      <c r="VLJ52" s="76"/>
      <c r="VLK52" s="76"/>
      <c r="VLL52" s="76"/>
      <c r="VLM52" s="76"/>
      <c r="VLN52" s="76"/>
      <c r="VLO52" s="76"/>
      <c r="VLP52" s="76"/>
      <c r="VLQ52" s="76"/>
      <c r="VLR52" s="76"/>
      <c r="VLS52" s="76"/>
      <c r="VLT52" s="76"/>
      <c r="VLU52" s="76"/>
      <c r="VLV52" s="76"/>
      <c r="VLW52" s="76"/>
      <c r="VLX52" s="76"/>
      <c r="VLY52" s="76"/>
      <c r="VLZ52" s="76"/>
      <c r="VMA52" s="76"/>
      <c r="VMB52" s="76"/>
      <c r="VMC52" s="76"/>
      <c r="VMD52" s="76"/>
      <c r="VME52" s="76"/>
      <c r="VMF52" s="76"/>
      <c r="VMG52" s="76"/>
      <c r="VMH52" s="76"/>
      <c r="VMI52" s="76"/>
      <c r="VMJ52" s="76"/>
      <c r="VMK52" s="76"/>
      <c r="VML52" s="76"/>
      <c r="VMM52" s="76"/>
      <c r="VMN52" s="76"/>
      <c r="VMO52" s="76"/>
      <c r="VMP52" s="76"/>
      <c r="VMQ52" s="76"/>
      <c r="VMR52" s="76"/>
      <c r="VMS52" s="76"/>
      <c r="VMT52" s="76"/>
      <c r="VMU52" s="76"/>
      <c r="VMV52" s="76"/>
      <c r="VMW52" s="76"/>
      <c r="VMX52" s="76"/>
      <c r="VMY52" s="76"/>
      <c r="VMZ52" s="76"/>
      <c r="VNA52" s="76"/>
      <c r="VNB52" s="76"/>
      <c r="VNC52" s="76"/>
      <c r="VND52" s="76"/>
      <c r="VNE52" s="76"/>
      <c r="VNF52" s="76"/>
      <c r="VNG52" s="76"/>
      <c r="VNH52" s="76"/>
      <c r="VNI52" s="76"/>
      <c r="VNJ52" s="76"/>
      <c r="VNK52" s="76"/>
      <c r="VNL52" s="76"/>
      <c r="VNM52" s="76"/>
      <c r="VNN52" s="76"/>
      <c r="VNO52" s="76"/>
      <c r="VNP52" s="76"/>
      <c r="VNQ52" s="76"/>
      <c r="VNR52" s="76"/>
      <c r="VNS52" s="76"/>
      <c r="VNT52" s="76"/>
      <c r="VNU52" s="76"/>
      <c r="VNV52" s="76"/>
      <c r="VNW52" s="76"/>
      <c r="VNX52" s="76"/>
      <c r="VNY52" s="76"/>
      <c r="VNZ52" s="76"/>
      <c r="VOA52" s="76"/>
      <c r="VOB52" s="76"/>
      <c r="VOC52" s="76"/>
      <c r="VOD52" s="76"/>
      <c r="VOE52" s="76"/>
      <c r="VOF52" s="76"/>
      <c r="VOG52" s="76"/>
      <c r="VOH52" s="76"/>
      <c r="VOI52" s="76"/>
      <c r="VOJ52" s="76"/>
      <c r="VOK52" s="76"/>
      <c r="VOL52" s="76"/>
      <c r="VOM52" s="76"/>
      <c r="VON52" s="76"/>
      <c r="VOO52" s="76"/>
      <c r="VOP52" s="76"/>
      <c r="VOQ52" s="76"/>
      <c r="VOR52" s="76"/>
      <c r="VOS52" s="76"/>
      <c r="VOT52" s="76"/>
      <c r="VOU52" s="76"/>
      <c r="VOV52" s="76"/>
      <c r="VOW52" s="76"/>
      <c r="VOX52" s="76"/>
      <c r="VOY52" s="76"/>
      <c r="VOZ52" s="76"/>
      <c r="VPA52" s="76"/>
      <c r="VPB52" s="76"/>
      <c r="VPC52" s="76"/>
      <c r="VPD52" s="76"/>
      <c r="VPE52" s="76"/>
      <c r="VPF52" s="76"/>
      <c r="VPG52" s="76"/>
      <c r="VPH52" s="76"/>
      <c r="VPI52" s="76"/>
      <c r="VPJ52" s="76"/>
      <c r="VPK52" s="76"/>
      <c r="VPL52" s="76"/>
      <c r="VPM52" s="76"/>
      <c r="VPN52" s="76"/>
      <c r="VPO52" s="76"/>
      <c r="VPP52" s="76"/>
      <c r="VPQ52" s="76"/>
      <c r="VPR52" s="76"/>
      <c r="VPS52" s="76"/>
      <c r="VPT52" s="76"/>
      <c r="VPU52" s="76"/>
      <c r="VPV52" s="76"/>
      <c r="VPW52" s="76"/>
      <c r="VPX52" s="76"/>
      <c r="VPY52" s="76"/>
      <c r="VPZ52" s="76"/>
      <c r="VQA52" s="76"/>
      <c r="VQB52" s="76"/>
      <c r="VQC52" s="76"/>
      <c r="VQD52" s="76"/>
      <c r="VQE52" s="76"/>
      <c r="VQF52" s="76"/>
      <c r="VQG52" s="76"/>
      <c r="VQH52" s="76"/>
      <c r="VQI52" s="76"/>
      <c r="VQJ52" s="76"/>
      <c r="VQK52" s="76"/>
      <c r="VQL52" s="76"/>
      <c r="VQM52" s="76"/>
      <c r="VQN52" s="76"/>
      <c r="VQO52" s="76"/>
      <c r="VQP52" s="76"/>
      <c r="VQQ52" s="76"/>
      <c r="VQR52" s="76"/>
      <c r="VQS52" s="76"/>
      <c r="VQT52" s="76"/>
      <c r="VQU52" s="76"/>
      <c r="VQV52" s="76"/>
      <c r="VQW52" s="76"/>
      <c r="VQX52" s="76"/>
      <c r="VQY52" s="76"/>
      <c r="VQZ52" s="76"/>
      <c r="VRA52" s="76"/>
      <c r="VRB52" s="76"/>
      <c r="VRC52" s="76"/>
      <c r="VRD52" s="76"/>
      <c r="VRE52" s="76"/>
      <c r="VRF52" s="76"/>
      <c r="VRG52" s="76"/>
      <c r="VRH52" s="76"/>
      <c r="VRI52" s="76"/>
      <c r="VRJ52" s="76"/>
      <c r="VRK52" s="76"/>
      <c r="VRL52" s="76"/>
      <c r="VRM52" s="76"/>
      <c r="VRN52" s="76"/>
      <c r="VRO52" s="76"/>
      <c r="VRP52" s="76"/>
      <c r="VRQ52" s="76"/>
      <c r="VRR52" s="76"/>
      <c r="VRS52" s="76"/>
      <c r="VRT52" s="76"/>
      <c r="VRU52" s="76"/>
      <c r="VRV52" s="76"/>
      <c r="VRW52" s="76"/>
      <c r="VRX52" s="76"/>
      <c r="VRY52" s="76"/>
      <c r="VRZ52" s="76"/>
      <c r="VSA52" s="76"/>
      <c r="VSB52" s="76"/>
      <c r="VSC52" s="76"/>
      <c r="VSD52" s="76"/>
      <c r="VSE52" s="76"/>
      <c r="VSF52" s="76"/>
      <c r="VSG52" s="76"/>
      <c r="VSH52" s="76"/>
      <c r="VSI52" s="76"/>
      <c r="VSJ52" s="76"/>
      <c r="VSK52" s="76"/>
      <c r="VSL52" s="76"/>
      <c r="VSM52" s="76"/>
      <c r="VSN52" s="76"/>
      <c r="VSO52" s="76"/>
      <c r="VSP52" s="76"/>
      <c r="VSQ52" s="76"/>
      <c r="VSR52" s="76"/>
      <c r="VSS52" s="76"/>
      <c r="VST52" s="76"/>
      <c r="VSU52" s="76"/>
      <c r="VSV52" s="76"/>
      <c r="VSW52" s="76"/>
      <c r="VSX52" s="76"/>
      <c r="VSY52" s="76"/>
      <c r="VSZ52" s="76"/>
      <c r="VTA52" s="76"/>
      <c r="VTB52" s="76"/>
      <c r="VTC52" s="76"/>
      <c r="VTD52" s="76"/>
      <c r="VTE52" s="76"/>
      <c r="VTF52" s="76"/>
      <c r="VTG52" s="76"/>
      <c r="VTH52" s="76"/>
      <c r="VTI52" s="76"/>
      <c r="VTJ52" s="76"/>
      <c r="VTK52" s="76"/>
      <c r="VTL52" s="76"/>
      <c r="VTM52" s="76"/>
      <c r="VTN52" s="76"/>
      <c r="VTO52" s="76"/>
      <c r="VTP52" s="76"/>
      <c r="VTQ52" s="76"/>
      <c r="VTR52" s="76"/>
      <c r="VTS52" s="76"/>
      <c r="VTT52" s="76"/>
      <c r="VTU52" s="76"/>
      <c r="VTV52" s="76"/>
      <c r="VTW52" s="76"/>
      <c r="VTX52" s="76"/>
      <c r="VTY52" s="76"/>
      <c r="VTZ52" s="76"/>
      <c r="VUA52" s="76"/>
      <c r="VUB52" s="76"/>
      <c r="VUC52" s="76"/>
      <c r="VUD52" s="76"/>
      <c r="VUE52" s="76"/>
      <c r="VUF52" s="76"/>
      <c r="VUG52" s="76"/>
      <c r="VUH52" s="76"/>
      <c r="VUI52" s="76"/>
      <c r="VUJ52" s="76"/>
      <c r="VUK52" s="76"/>
      <c r="VUL52" s="76"/>
      <c r="VUM52" s="76"/>
      <c r="VUN52" s="76"/>
      <c r="VUO52" s="76"/>
      <c r="VUP52" s="76"/>
      <c r="VUQ52" s="76"/>
      <c r="VUR52" s="76"/>
      <c r="VUS52" s="76"/>
      <c r="VUT52" s="76"/>
      <c r="VUU52" s="76"/>
      <c r="VUV52" s="76"/>
      <c r="VUW52" s="76"/>
      <c r="VUX52" s="76"/>
      <c r="VUY52" s="76"/>
      <c r="VUZ52" s="76"/>
      <c r="VVA52" s="76"/>
      <c r="VVB52" s="76"/>
      <c r="VVC52" s="76"/>
      <c r="VVD52" s="76"/>
      <c r="VVE52" s="76"/>
      <c r="VVF52" s="76"/>
      <c r="VVG52" s="76"/>
      <c r="VVH52" s="76"/>
      <c r="VVI52" s="76"/>
      <c r="VVJ52" s="76"/>
      <c r="VVK52" s="76"/>
      <c r="VVL52" s="76"/>
      <c r="VVM52" s="76"/>
      <c r="VVN52" s="76"/>
      <c r="VVO52" s="76"/>
      <c r="VVP52" s="76"/>
      <c r="VVQ52" s="76"/>
      <c r="VVR52" s="76"/>
      <c r="VVS52" s="76"/>
      <c r="VVT52" s="76"/>
      <c r="VVU52" s="76"/>
      <c r="VVV52" s="76"/>
      <c r="VVW52" s="76"/>
      <c r="VVX52" s="76"/>
      <c r="VVY52" s="76"/>
      <c r="VVZ52" s="76"/>
      <c r="VWA52" s="76"/>
      <c r="VWB52" s="76"/>
      <c r="VWC52" s="76"/>
      <c r="VWD52" s="76"/>
      <c r="VWE52" s="76"/>
      <c r="VWF52" s="76"/>
      <c r="VWG52" s="76"/>
      <c r="VWH52" s="76"/>
      <c r="VWI52" s="76"/>
      <c r="VWJ52" s="76"/>
      <c r="VWK52" s="76"/>
      <c r="VWL52" s="76"/>
      <c r="VWM52" s="76"/>
      <c r="VWN52" s="76"/>
      <c r="VWO52" s="76"/>
      <c r="VWP52" s="76"/>
      <c r="VWQ52" s="76"/>
      <c r="VWR52" s="76"/>
      <c r="VWS52" s="76"/>
      <c r="VWT52" s="76"/>
      <c r="VWU52" s="76"/>
      <c r="VWV52" s="76"/>
      <c r="VWW52" s="76"/>
      <c r="VWX52" s="76"/>
      <c r="VWY52" s="76"/>
      <c r="VWZ52" s="76"/>
      <c r="VXA52" s="76"/>
      <c r="VXB52" s="76"/>
      <c r="VXC52" s="76"/>
      <c r="VXD52" s="76"/>
      <c r="VXE52" s="76"/>
      <c r="VXF52" s="76"/>
      <c r="VXG52" s="76"/>
      <c r="VXH52" s="76"/>
      <c r="VXI52" s="76"/>
      <c r="VXJ52" s="76"/>
      <c r="VXK52" s="76"/>
      <c r="VXL52" s="76"/>
      <c r="VXM52" s="76"/>
      <c r="VXN52" s="76"/>
      <c r="VXO52" s="76"/>
      <c r="VXP52" s="76"/>
      <c r="VXQ52" s="76"/>
      <c r="VXR52" s="76"/>
      <c r="VXS52" s="76"/>
      <c r="VXT52" s="76"/>
      <c r="VXU52" s="76"/>
      <c r="VXV52" s="76"/>
      <c r="VXW52" s="76"/>
      <c r="VXX52" s="76"/>
      <c r="VXY52" s="76"/>
      <c r="VXZ52" s="76"/>
      <c r="VYA52" s="76"/>
      <c r="VYB52" s="76"/>
      <c r="VYC52" s="76"/>
      <c r="VYD52" s="76"/>
      <c r="VYE52" s="76"/>
      <c r="VYF52" s="76"/>
      <c r="VYG52" s="76"/>
      <c r="VYH52" s="76"/>
      <c r="VYI52" s="76"/>
      <c r="VYJ52" s="76"/>
      <c r="VYK52" s="76"/>
      <c r="VYL52" s="76"/>
      <c r="VYM52" s="76"/>
      <c r="VYN52" s="76"/>
      <c r="VYO52" s="76"/>
      <c r="VYP52" s="76"/>
      <c r="VYQ52" s="76"/>
      <c r="VYR52" s="76"/>
      <c r="VYS52" s="76"/>
      <c r="VYT52" s="76"/>
      <c r="VYU52" s="76"/>
      <c r="VYV52" s="76"/>
      <c r="VYW52" s="76"/>
      <c r="VYX52" s="76"/>
      <c r="VYY52" s="76"/>
      <c r="VYZ52" s="76"/>
      <c r="VZA52" s="76"/>
      <c r="VZB52" s="76"/>
      <c r="VZC52" s="76"/>
      <c r="VZD52" s="76"/>
      <c r="VZE52" s="76"/>
      <c r="VZF52" s="76"/>
      <c r="VZG52" s="76"/>
      <c r="VZH52" s="76"/>
      <c r="VZI52" s="76"/>
      <c r="VZJ52" s="76"/>
      <c r="VZK52" s="76"/>
      <c r="VZL52" s="76"/>
      <c r="VZM52" s="76"/>
      <c r="VZN52" s="76"/>
      <c r="VZO52" s="76"/>
      <c r="VZP52" s="76"/>
      <c r="VZQ52" s="76"/>
      <c r="VZR52" s="76"/>
      <c r="VZS52" s="76"/>
      <c r="VZT52" s="76"/>
      <c r="VZU52" s="76"/>
      <c r="VZV52" s="76"/>
      <c r="VZW52" s="76"/>
      <c r="VZX52" s="76"/>
      <c r="VZY52" s="76"/>
      <c r="VZZ52" s="76"/>
      <c r="WAA52" s="76"/>
      <c r="WAB52" s="76"/>
      <c r="WAC52" s="76"/>
      <c r="WAD52" s="76"/>
      <c r="WAE52" s="76"/>
      <c r="WAF52" s="76"/>
      <c r="WAG52" s="76"/>
      <c r="WAH52" s="76"/>
      <c r="WAI52" s="76"/>
      <c r="WAJ52" s="76"/>
      <c r="WAK52" s="76"/>
      <c r="WAL52" s="76"/>
      <c r="WAM52" s="76"/>
      <c r="WAN52" s="76"/>
      <c r="WAO52" s="76"/>
      <c r="WAP52" s="76"/>
      <c r="WAQ52" s="76"/>
      <c r="WAR52" s="76"/>
      <c r="WAS52" s="76"/>
      <c r="WAT52" s="76"/>
      <c r="WAU52" s="76"/>
      <c r="WAV52" s="76"/>
      <c r="WAW52" s="76"/>
      <c r="WAX52" s="76"/>
      <c r="WAY52" s="76"/>
      <c r="WAZ52" s="76"/>
      <c r="WBA52" s="76"/>
      <c r="WBB52" s="76"/>
      <c r="WBC52" s="76"/>
      <c r="WBD52" s="76"/>
      <c r="WBE52" s="76"/>
      <c r="WBF52" s="76"/>
      <c r="WBG52" s="76"/>
      <c r="WBH52" s="76"/>
      <c r="WBI52" s="76"/>
      <c r="WBJ52" s="76"/>
      <c r="WBK52" s="76"/>
      <c r="WBL52" s="76"/>
      <c r="WBM52" s="76"/>
      <c r="WBN52" s="76"/>
      <c r="WBO52" s="76"/>
      <c r="WBP52" s="76"/>
      <c r="WBQ52" s="76"/>
      <c r="WBR52" s="76"/>
      <c r="WBS52" s="76"/>
      <c r="WBT52" s="76"/>
      <c r="WBU52" s="76"/>
      <c r="WBV52" s="76"/>
      <c r="WBW52" s="76"/>
      <c r="WBX52" s="76"/>
      <c r="WBY52" s="76"/>
      <c r="WBZ52" s="76"/>
      <c r="WCA52" s="76"/>
      <c r="WCB52" s="76"/>
      <c r="WCC52" s="76"/>
      <c r="WCD52" s="76"/>
      <c r="WCE52" s="76"/>
      <c r="WCF52" s="76"/>
      <c r="WCG52" s="76"/>
      <c r="WCH52" s="76"/>
      <c r="WCI52" s="76"/>
      <c r="WCJ52" s="76"/>
      <c r="WCK52" s="76"/>
      <c r="WCL52" s="76"/>
      <c r="WCM52" s="76"/>
      <c r="WCN52" s="76"/>
      <c r="WCO52" s="76"/>
      <c r="WCP52" s="76"/>
      <c r="WCQ52" s="76"/>
      <c r="WCR52" s="76"/>
      <c r="WCS52" s="76"/>
      <c r="WCT52" s="76"/>
      <c r="WCU52" s="76"/>
      <c r="WCV52" s="76"/>
      <c r="WCW52" s="76"/>
      <c r="WCX52" s="76"/>
      <c r="WCY52" s="76"/>
      <c r="WCZ52" s="76"/>
      <c r="WDA52" s="76"/>
      <c r="WDB52" s="76"/>
      <c r="WDC52" s="76"/>
      <c r="WDD52" s="76"/>
      <c r="WDE52" s="76"/>
      <c r="WDF52" s="76"/>
      <c r="WDG52" s="76"/>
      <c r="WDH52" s="76"/>
      <c r="WDI52" s="76"/>
      <c r="WDJ52" s="76"/>
      <c r="WDK52" s="76"/>
      <c r="WDL52" s="76"/>
      <c r="WDM52" s="76"/>
      <c r="WDN52" s="76"/>
      <c r="WDO52" s="76"/>
      <c r="WDP52" s="76"/>
      <c r="WDQ52" s="76"/>
      <c r="WDR52" s="76"/>
      <c r="WDS52" s="76"/>
      <c r="WDT52" s="76"/>
      <c r="WDU52" s="76"/>
      <c r="WDV52" s="76"/>
      <c r="WDW52" s="76"/>
      <c r="WDX52" s="76"/>
      <c r="WDY52" s="76"/>
      <c r="WDZ52" s="76"/>
      <c r="WEA52" s="76"/>
      <c r="WEB52" s="76"/>
      <c r="WEC52" s="76"/>
      <c r="WED52" s="76"/>
      <c r="WEE52" s="76"/>
      <c r="WEF52" s="76"/>
      <c r="WEG52" s="76"/>
      <c r="WEH52" s="76"/>
      <c r="WEI52" s="76"/>
      <c r="WEJ52" s="76"/>
      <c r="WEK52" s="76"/>
      <c r="WEL52" s="76"/>
      <c r="WEM52" s="76"/>
      <c r="WEN52" s="76"/>
      <c r="WEO52" s="76"/>
      <c r="WEP52" s="76"/>
      <c r="WEQ52" s="76"/>
      <c r="WER52" s="76"/>
      <c r="WES52" s="76"/>
      <c r="WET52" s="76"/>
      <c r="WEU52" s="76"/>
      <c r="WEV52" s="76"/>
      <c r="WEW52" s="76"/>
      <c r="WEX52" s="76"/>
      <c r="WEY52" s="76"/>
      <c r="WEZ52" s="76"/>
      <c r="WFA52" s="76"/>
      <c r="WFB52" s="76"/>
      <c r="WFC52" s="76"/>
      <c r="WFD52" s="76"/>
      <c r="WFE52" s="76"/>
      <c r="WFF52" s="76"/>
      <c r="WFG52" s="76"/>
      <c r="WFH52" s="76"/>
      <c r="WFI52" s="76"/>
      <c r="WFJ52" s="76"/>
      <c r="WFK52" s="76"/>
      <c r="WFL52" s="76"/>
      <c r="WFM52" s="76"/>
      <c r="WFN52" s="76"/>
      <c r="WFO52" s="76"/>
      <c r="WFP52" s="76"/>
      <c r="WFQ52" s="76"/>
      <c r="WFR52" s="76"/>
      <c r="WFS52" s="76"/>
      <c r="WFT52" s="76"/>
      <c r="WFU52" s="76"/>
      <c r="WFV52" s="76"/>
      <c r="WFW52" s="76"/>
      <c r="WFX52" s="76"/>
      <c r="WFY52" s="76"/>
      <c r="WFZ52" s="76"/>
      <c r="WGA52" s="76"/>
      <c r="WGB52" s="76"/>
      <c r="WGC52" s="76"/>
      <c r="WGD52" s="76"/>
      <c r="WGE52" s="76"/>
      <c r="WGF52" s="76"/>
      <c r="WGG52" s="76"/>
      <c r="WGH52" s="76"/>
      <c r="WGI52" s="76"/>
      <c r="WGJ52" s="76"/>
      <c r="WGK52" s="76"/>
      <c r="WGL52" s="76"/>
      <c r="WGM52" s="76"/>
      <c r="WGN52" s="76"/>
      <c r="WGO52" s="76"/>
      <c r="WGP52" s="76"/>
      <c r="WGQ52" s="76"/>
      <c r="WGR52" s="76"/>
      <c r="WGS52" s="76"/>
      <c r="WGT52" s="76"/>
      <c r="WGU52" s="76"/>
      <c r="WGV52" s="76"/>
      <c r="WGW52" s="76"/>
      <c r="WGX52" s="76"/>
      <c r="WGY52" s="76"/>
      <c r="WGZ52" s="76"/>
      <c r="WHA52" s="76"/>
      <c r="WHB52" s="76"/>
      <c r="WHC52" s="76"/>
      <c r="WHD52" s="76"/>
      <c r="WHE52" s="76"/>
      <c r="WHF52" s="76"/>
      <c r="WHG52" s="76"/>
      <c r="WHH52" s="76"/>
      <c r="WHI52" s="76"/>
      <c r="WHJ52" s="76"/>
      <c r="WHK52" s="76"/>
      <c r="WHL52" s="76"/>
      <c r="WHM52" s="76"/>
      <c r="WHN52" s="76"/>
      <c r="WHO52" s="76"/>
      <c r="WHP52" s="76"/>
      <c r="WHQ52" s="76"/>
      <c r="WHR52" s="76"/>
      <c r="WHS52" s="76"/>
      <c r="WHT52" s="76"/>
      <c r="WHU52" s="76"/>
      <c r="WHV52" s="76"/>
      <c r="WHW52" s="76"/>
      <c r="WHX52" s="76"/>
      <c r="WHY52" s="76"/>
      <c r="WHZ52" s="76"/>
      <c r="WIA52" s="76"/>
      <c r="WIB52" s="76"/>
      <c r="WIC52" s="76"/>
      <c r="WID52" s="76"/>
      <c r="WIE52" s="76"/>
      <c r="WIF52" s="76"/>
      <c r="WIG52" s="76"/>
      <c r="WIH52" s="76"/>
      <c r="WII52" s="76"/>
      <c r="WIJ52" s="76"/>
      <c r="WIK52" s="76"/>
      <c r="WIL52" s="76"/>
      <c r="WIM52" s="76"/>
      <c r="WIN52" s="76"/>
      <c r="WIO52" s="76"/>
      <c r="WIP52" s="76"/>
      <c r="WIQ52" s="76"/>
      <c r="WIR52" s="76"/>
      <c r="WIS52" s="76"/>
      <c r="WIT52" s="76"/>
      <c r="WIU52" s="76"/>
      <c r="WIV52" s="76"/>
      <c r="WIW52" s="76"/>
      <c r="WIX52" s="76"/>
      <c r="WIY52" s="76"/>
      <c r="WIZ52" s="76"/>
      <c r="WJA52" s="76"/>
      <c r="WJB52" s="76"/>
      <c r="WJC52" s="76"/>
      <c r="WJD52" s="76"/>
      <c r="WJE52" s="76"/>
      <c r="WJF52" s="76"/>
      <c r="WJG52" s="76"/>
      <c r="WJH52" s="76"/>
      <c r="WJI52" s="76"/>
      <c r="WJJ52" s="76"/>
      <c r="WJK52" s="76"/>
      <c r="WJL52" s="76"/>
      <c r="WJM52" s="76"/>
      <c r="WJN52" s="76"/>
      <c r="WJO52" s="76"/>
      <c r="WJP52" s="76"/>
      <c r="WJQ52" s="76"/>
      <c r="WJR52" s="76"/>
      <c r="WJS52" s="76"/>
      <c r="WJT52" s="76"/>
      <c r="WJU52" s="76"/>
      <c r="WJV52" s="76"/>
      <c r="WJW52" s="76"/>
      <c r="WJX52" s="76"/>
      <c r="WJY52" s="76"/>
      <c r="WJZ52" s="76"/>
      <c r="WKA52" s="76"/>
      <c r="WKB52" s="76"/>
      <c r="WKC52" s="76"/>
      <c r="WKD52" s="76"/>
      <c r="WKE52" s="76"/>
      <c r="WKF52" s="76"/>
      <c r="WKG52" s="76"/>
      <c r="WKH52" s="76"/>
      <c r="WKI52" s="76"/>
      <c r="WKJ52" s="76"/>
      <c r="WKK52" s="76"/>
      <c r="WKL52" s="76"/>
      <c r="WKM52" s="76"/>
      <c r="WKN52" s="76"/>
      <c r="WKO52" s="76"/>
      <c r="WKP52" s="76"/>
      <c r="WKQ52" s="76"/>
      <c r="WKR52" s="76"/>
      <c r="WKS52" s="76"/>
      <c r="WKT52" s="76"/>
      <c r="WKU52" s="76"/>
      <c r="WKV52" s="76"/>
      <c r="WKW52" s="76"/>
      <c r="WKX52" s="76"/>
      <c r="WKY52" s="76"/>
      <c r="WKZ52" s="76"/>
      <c r="WLA52" s="76"/>
      <c r="WLB52" s="76"/>
      <c r="WLC52" s="76"/>
      <c r="WLD52" s="76"/>
      <c r="WLE52" s="76"/>
      <c r="WLF52" s="76"/>
      <c r="WLG52" s="76"/>
      <c r="WLH52" s="76"/>
      <c r="WLI52" s="76"/>
      <c r="WLJ52" s="76"/>
      <c r="WLK52" s="76"/>
      <c r="WLL52" s="76"/>
      <c r="WLM52" s="76"/>
      <c r="WLN52" s="76"/>
      <c r="WLO52" s="76"/>
      <c r="WLP52" s="76"/>
      <c r="WLQ52" s="76"/>
      <c r="WLR52" s="76"/>
      <c r="WLS52" s="76"/>
      <c r="WLT52" s="76"/>
      <c r="WLU52" s="76"/>
      <c r="WLV52" s="76"/>
      <c r="WLW52" s="76"/>
      <c r="WLX52" s="76"/>
      <c r="WLY52" s="76"/>
      <c r="WLZ52" s="76"/>
      <c r="WMA52" s="76"/>
      <c r="WMB52" s="76"/>
      <c r="WMC52" s="76"/>
      <c r="WMD52" s="76"/>
      <c r="WME52" s="76"/>
      <c r="WMF52" s="76"/>
      <c r="WMG52" s="76"/>
      <c r="WMH52" s="76"/>
      <c r="WMI52" s="76"/>
      <c r="WMJ52" s="76"/>
      <c r="WMK52" s="76"/>
      <c r="WML52" s="76"/>
      <c r="WMM52" s="76"/>
      <c r="WMN52" s="76"/>
      <c r="WMO52" s="76"/>
      <c r="WMP52" s="76"/>
      <c r="WMQ52" s="76"/>
      <c r="WMR52" s="76"/>
      <c r="WMS52" s="76"/>
      <c r="WMT52" s="76"/>
      <c r="WMU52" s="76"/>
      <c r="WMV52" s="76"/>
      <c r="WMW52" s="76"/>
      <c r="WMX52" s="76"/>
      <c r="WMY52" s="76"/>
      <c r="WMZ52" s="76"/>
      <c r="WNA52" s="76"/>
      <c r="WNB52" s="76"/>
      <c r="WNC52" s="76"/>
      <c r="WND52" s="76"/>
      <c r="WNE52" s="76"/>
      <c r="WNF52" s="76"/>
      <c r="WNG52" s="76"/>
      <c r="WNH52" s="76"/>
      <c r="WNI52" s="76"/>
      <c r="WNJ52" s="76"/>
      <c r="WNK52" s="76"/>
      <c r="WNL52" s="76"/>
      <c r="WNM52" s="76"/>
      <c r="WNN52" s="76"/>
      <c r="WNO52" s="76"/>
      <c r="WNP52" s="76"/>
      <c r="WNQ52" s="76"/>
      <c r="WNR52" s="76"/>
      <c r="WNS52" s="76"/>
      <c r="WNT52" s="76"/>
      <c r="WNU52" s="76"/>
      <c r="WNV52" s="76"/>
      <c r="WNW52" s="76"/>
      <c r="WNX52" s="76"/>
      <c r="WNY52" s="76"/>
      <c r="WNZ52" s="76"/>
      <c r="WOA52" s="76"/>
      <c r="WOB52" s="76"/>
      <c r="WOC52" s="76"/>
      <c r="WOD52" s="76"/>
      <c r="WOE52" s="76"/>
      <c r="WOF52" s="76"/>
      <c r="WOG52" s="76"/>
      <c r="WOH52" s="76"/>
      <c r="WOI52" s="76"/>
      <c r="WOJ52" s="76"/>
      <c r="WOK52" s="76"/>
      <c r="WOL52" s="76"/>
      <c r="WOM52" s="76"/>
      <c r="WON52" s="76"/>
      <c r="WOO52" s="76"/>
      <c r="WOP52" s="76"/>
      <c r="WOQ52" s="76"/>
      <c r="WOR52" s="76"/>
      <c r="WOS52" s="76"/>
      <c r="WOT52" s="76"/>
      <c r="WOU52" s="76"/>
      <c r="WOV52" s="76"/>
      <c r="WOW52" s="76"/>
      <c r="WOX52" s="76"/>
      <c r="WOY52" s="76"/>
      <c r="WOZ52" s="76"/>
      <c r="WPA52" s="76"/>
      <c r="WPB52" s="76"/>
      <c r="WPC52" s="76"/>
      <c r="WPD52" s="76"/>
      <c r="WPE52" s="76"/>
      <c r="WPF52" s="76"/>
      <c r="WPG52" s="76"/>
      <c r="WPH52" s="76"/>
      <c r="WPI52" s="76"/>
      <c r="WPJ52" s="76"/>
      <c r="WPK52" s="76"/>
      <c r="WPL52" s="76"/>
      <c r="WPM52" s="76"/>
      <c r="WPN52" s="76"/>
      <c r="WPO52" s="76"/>
      <c r="WPP52" s="76"/>
      <c r="WPQ52" s="76"/>
      <c r="WPR52" s="76"/>
      <c r="WPS52" s="76"/>
      <c r="WPT52" s="76"/>
      <c r="WPU52" s="76"/>
      <c r="WPV52" s="76"/>
      <c r="WPW52" s="76"/>
      <c r="WPX52" s="76"/>
      <c r="WPY52" s="76"/>
      <c r="WPZ52" s="76"/>
      <c r="WQA52" s="76"/>
      <c r="WQB52" s="76"/>
      <c r="WQC52" s="76"/>
      <c r="WQD52" s="76"/>
      <c r="WQE52" s="76"/>
      <c r="WQF52" s="76"/>
      <c r="WQG52" s="76"/>
      <c r="WQH52" s="76"/>
      <c r="WQI52" s="76"/>
      <c r="WQJ52" s="76"/>
      <c r="WQK52" s="76"/>
      <c r="WQL52" s="76"/>
      <c r="WQM52" s="76"/>
      <c r="WQN52" s="76"/>
      <c r="WQO52" s="76"/>
      <c r="WQP52" s="76"/>
      <c r="WQQ52" s="76"/>
      <c r="WQR52" s="76"/>
      <c r="WQS52" s="76"/>
      <c r="WQT52" s="76"/>
      <c r="WQU52" s="76"/>
      <c r="WQV52" s="76"/>
      <c r="WQW52" s="76"/>
      <c r="WQX52" s="76"/>
      <c r="WQY52" s="76"/>
      <c r="WQZ52" s="76"/>
      <c r="WRA52" s="76"/>
      <c r="WRB52" s="76"/>
      <c r="WRC52" s="76"/>
      <c r="WRD52" s="76"/>
      <c r="WRE52" s="76"/>
      <c r="WRF52" s="76"/>
      <c r="WRG52" s="76"/>
      <c r="WRH52" s="76"/>
      <c r="WRI52" s="76"/>
      <c r="WRJ52" s="76"/>
      <c r="WRK52" s="76"/>
      <c r="WRL52" s="76"/>
      <c r="WRM52" s="76"/>
      <c r="WRN52" s="76"/>
      <c r="WRO52" s="76"/>
      <c r="WRP52" s="76"/>
      <c r="WRQ52" s="76"/>
      <c r="WRR52" s="76"/>
      <c r="WRS52" s="76"/>
      <c r="WRT52" s="76"/>
      <c r="WRU52" s="76"/>
      <c r="WRV52" s="76"/>
      <c r="WRW52" s="76"/>
      <c r="WRX52" s="76"/>
      <c r="WRY52" s="76"/>
      <c r="WRZ52" s="76"/>
      <c r="WSA52" s="76"/>
      <c r="WSB52" s="76"/>
      <c r="WSC52" s="76"/>
      <c r="WSD52" s="76"/>
      <c r="WSE52" s="76"/>
      <c r="WSF52" s="76"/>
      <c r="WSG52" s="76"/>
      <c r="WSH52" s="76"/>
      <c r="WSI52" s="76"/>
      <c r="WSJ52" s="76"/>
      <c r="WSK52" s="76"/>
      <c r="WSL52" s="76"/>
      <c r="WSM52" s="76"/>
      <c r="WSN52" s="76"/>
      <c r="WSO52" s="76"/>
      <c r="WSP52" s="76"/>
      <c r="WSQ52" s="76"/>
      <c r="WSR52" s="76"/>
      <c r="WSS52" s="76"/>
      <c r="WST52" s="76"/>
      <c r="WSU52" s="76"/>
      <c r="WSV52" s="76"/>
      <c r="WSW52" s="76"/>
      <c r="WSX52" s="76"/>
      <c r="WSY52" s="76"/>
      <c r="WSZ52" s="76"/>
      <c r="WTA52" s="76"/>
      <c r="WTB52" s="76"/>
      <c r="WTC52" s="76"/>
      <c r="WTD52" s="76"/>
      <c r="WTE52" s="76"/>
      <c r="WTF52" s="76"/>
      <c r="WTG52" s="76"/>
      <c r="WTH52" s="76"/>
      <c r="WTI52" s="76"/>
      <c r="WTJ52" s="76"/>
      <c r="WTK52" s="76"/>
      <c r="WTL52" s="76"/>
      <c r="WTM52" s="76"/>
      <c r="WTN52" s="76"/>
      <c r="WTO52" s="76"/>
      <c r="WTP52" s="76"/>
      <c r="WTQ52" s="76"/>
      <c r="WTR52" s="76"/>
      <c r="WTS52" s="76"/>
      <c r="WTT52" s="76"/>
      <c r="WTU52" s="76"/>
      <c r="WTV52" s="76"/>
      <c r="WTW52" s="76"/>
      <c r="WTX52" s="76"/>
      <c r="WTY52" s="76"/>
      <c r="WTZ52" s="76"/>
      <c r="WUA52" s="76"/>
      <c r="WUB52" s="76"/>
      <c r="WUC52" s="76"/>
      <c r="WUD52" s="76"/>
      <c r="WUE52" s="76"/>
      <c r="WUF52" s="76"/>
      <c r="WUG52" s="76"/>
      <c r="WUH52" s="76"/>
      <c r="WUI52" s="76"/>
      <c r="WUJ52" s="76"/>
      <c r="WUK52" s="76"/>
      <c r="WUL52" s="76"/>
      <c r="WUM52" s="76"/>
      <c r="WUN52" s="76"/>
      <c r="WUO52" s="76"/>
      <c r="WUP52" s="76"/>
      <c r="WUQ52" s="76"/>
      <c r="WUR52" s="76"/>
      <c r="WUS52" s="76"/>
      <c r="WUT52" s="76"/>
      <c r="WUU52" s="76"/>
      <c r="WUV52" s="76"/>
      <c r="WUW52" s="76"/>
      <c r="WUX52" s="76"/>
      <c r="WUY52" s="76"/>
      <c r="WUZ52" s="76"/>
      <c r="WVA52" s="76"/>
      <c r="WVB52" s="76"/>
      <c r="WVC52" s="76"/>
      <c r="WVD52" s="76"/>
      <c r="WVE52" s="76"/>
      <c r="WVF52" s="76"/>
      <c r="WVG52" s="76"/>
      <c r="WVH52" s="76"/>
      <c r="WVI52" s="76"/>
      <c r="WVJ52" s="76"/>
      <c r="WVK52" s="76"/>
      <c r="WVL52" s="76"/>
      <c r="WVM52" s="76"/>
      <c r="WVN52" s="76"/>
      <c r="WVO52" s="76"/>
      <c r="WVP52" s="76"/>
      <c r="WVQ52" s="76"/>
      <c r="WVR52" s="76"/>
      <c r="WVS52" s="76"/>
      <c r="WVT52" s="76"/>
      <c r="WVU52" s="76"/>
      <c r="WVV52" s="76"/>
      <c r="WVW52" s="76"/>
      <c r="WVX52" s="76"/>
      <c r="WVY52" s="76"/>
      <c r="WVZ52" s="76"/>
      <c r="WWA52" s="76"/>
      <c r="WWB52" s="76"/>
      <c r="WWC52" s="76"/>
      <c r="WWD52" s="76"/>
      <c r="WWE52" s="76"/>
      <c r="WWF52" s="76"/>
      <c r="WWG52" s="76"/>
      <c r="WWH52" s="76"/>
      <c r="WWI52" s="76"/>
      <c r="WWJ52" s="76"/>
      <c r="WWK52" s="76"/>
      <c r="WWL52" s="76"/>
      <c r="WWM52" s="76"/>
      <c r="WWN52" s="76"/>
      <c r="WWO52" s="76"/>
      <c r="WWP52" s="76"/>
      <c r="WWQ52" s="76"/>
      <c r="WWR52" s="76"/>
      <c r="WWS52" s="76"/>
      <c r="WWT52" s="76"/>
      <c r="WWU52" s="76"/>
      <c r="WWV52" s="76"/>
      <c r="WWW52" s="76"/>
      <c r="WWX52" s="76"/>
      <c r="WWY52" s="76"/>
      <c r="WWZ52" s="76"/>
      <c r="WXA52" s="76"/>
    </row>
    <row r="53" spans="1:16173" s="77" customFormat="1" ht="34" customHeight="1" x14ac:dyDescent="0.55000000000000004">
      <c r="A53" s="76"/>
      <c r="B53" s="76"/>
      <c r="C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  <c r="CC53" s="76"/>
      <c r="CD53" s="76"/>
      <c r="CE53" s="76"/>
      <c r="CF53" s="76"/>
      <c r="CG53" s="76"/>
      <c r="CH53" s="76"/>
      <c r="CI53" s="76"/>
      <c r="CJ53" s="76"/>
      <c r="CK53" s="76"/>
      <c r="CL53" s="76"/>
      <c r="CM53" s="76"/>
      <c r="CN53" s="76"/>
      <c r="CO53" s="76"/>
      <c r="CP53" s="76"/>
      <c r="CQ53" s="76"/>
      <c r="CR53" s="76"/>
      <c r="CS53" s="76"/>
      <c r="CT53" s="76"/>
      <c r="CU53" s="76"/>
      <c r="CV53" s="76"/>
      <c r="CW53" s="76"/>
      <c r="CX53" s="76"/>
      <c r="CY53" s="76"/>
      <c r="CZ53" s="76"/>
      <c r="DA53" s="76"/>
      <c r="DB53" s="76"/>
      <c r="DC53" s="76"/>
      <c r="DD53" s="76"/>
      <c r="DE53" s="76"/>
      <c r="DF53" s="76"/>
      <c r="DG53" s="76"/>
      <c r="DH53" s="76"/>
      <c r="DI53" s="76"/>
      <c r="DJ53" s="76"/>
      <c r="DK53" s="76"/>
      <c r="DL53" s="76"/>
      <c r="DM53" s="76"/>
      <c r="DN53" s="76"/>
      <c r="DO53" s="76"/>
      <c r="DP53" s="76"/>
      <c r="DQ53" s="76"/>
      <c r="DR53" s="76"/>
      <c r="DS53" s="76"/>
      <c r="DT53" s="76"/>
      <c r="DU53" s="76"/>
      <c r="DV53" s="76"/>
      <c r="DW53" s="76"/>
      <c r="DX53" s="76"/>
      <c r="DY53" s="76"/>
      <c r="DZ53" s="76"/>
      <c r="EA53" s="76"/>
      <c r="EB53" s="76"/>
      <c r="EC53" s="76"/>
      <c r="ED53" s="76"/>
      <c r="EE53" s="76"/>
      <c r="EF53" s="76"/>
      <c r="EG53" s="76"/>
      <c r="EH53" s="76"/>
      <c r="EI53" s="76"/>
      <c r="EJ53" s="76"/>
      <c r="EK53" s="76"/>
      <c r="EL53" s="76"/>
      <c r="EM53" s="76"/>
      <c r="EN53" s="76"/>
      <c r="EO53" s="76"/>
      <c r="EP53" s="76"/>
      <c r="EQ53" s="76"/>
      <c r="ER53" s="76"/>
      <c r="ES53" s="76"/>
      <c r="ET53" s="76"/>
      <c r="EU53" s="76"/>
      <c r="EV53" s="76"/>
      <c r="EW53" s="76"/>
      <c r="EX53" s="76"/>
      <c r="EY53" s="76"/>
      <c r="EZ53" s="76"/>
      <c r="FA53" s="76"/>
      <c r="FB53" s="76"/>
      <c r="FC53" s="76"/>
      <c r="FD53" s="76"/>
      <c r="FE53" s="76"/>
      <c r="FF53" s="76"/>
      <c r="FG53" s="76"/>
      <c r="FH53" s="76"/>
      <c r="FI53" s="76"/>
      <c r="FJ53" s="76"/>
      <c r="FK53" s="76"/>
      <c r="FL53" s="76"/>
      <c r="FM53" s="76"/>
      <c r="FN53" s="76"/>
      <c r="FO53" s="76"/>
      <c r="FP53" s="76"/>
      <c r="FQ53" s="76"/>
      <c r="FR53" s="76"/>
      <c r="FS53" s="76"/>
      <c r="FT53" s="76"/>
      <c r="FU53" s="76"/>
      <c r="FV53" s="76"/>
      <c r="FW53" s="76"/>
      <c r="FX53" s="76"/>
      <c r="FY53" s="76"/>
      <c r="FZ53" s="76"/>
      <c r="GA53" s="76"/>
      <c r="GB53" s="76"/>
      <c r="GC53" s="76"/>
      <c r="GD53" s="76"/>
      <c r="GE53" s="76"/>
      <c r="GF53" s="76"/>
      <c r="GG53" s="76"/>
      <c r="GH53" s="76"/>
      <c r="GI53" s="76"/>
      <c r="GJ53" s="76"/>
      <c r="GK53" s="76"/>
      <c r="GL53" s="76"/>
      <c r="GM53" s="76"/>
      <c r="GN53" s="76"/>
      <c r="GO53" s="76"/>
      <c r="GP53" s="76"/>
      <c r="GQ53" s="76"/>
      <c r="GR53" s="76"/>
      <c r="GS53" s="76"/>
      <c r="GT53" s="76"/>
      <c r="GU53" s="76"/>
      <c r="GV53" s="76"/>
      <c r="GW53" s="76"/>
      <c r="GX53" s="76"/>
      <c r="GY53" s="76"/>
      <c r="GZ53" s="76"/>
      <c r="HA53" s="76"/>
      <c r="HB53" s="76"/>
      <c r="HC53" s="76"/>
      <c r="HD53" s="76"/>
      <c r="HE53" s="76"/>
      <c r="HF53" s="76"/>
      <c r="HG53" s="76"/>
      <c r="HH53" s="76"/>
      <c r="HI53" s="76"/>
      <c r="HJ53" s="76"/>
      <c r="HK53" s="76"/>
      <c r="HL53" s="76"/>
      <c r="HM53" s="76"/>
      <c r="HN53" s="76"/>
      <c r="HO53" s="76"/>
      <c r="HP53" s="76"/>
      <c r="HQ53" s="76"/>
      <c r="HR53" s="76"/>
      <c r="HS53" s="76"/>
      <c r="HT53" s="76"/>
      <c r="HU53" s="76"/>
      <c r="HV53" s="76"/>
      <c r="HW53" s="76"/>
      <c r="HX53" s="76"/>
      <c r="HY53" s="76"/>
      <c r="HZ53" s="76"/>
      <c r="IA53" s="76"/>
      <c r="IB53" s="76"/>
      <c r="IC53" s="76"/>
      <c r="ID53" s="76"/>
      <c r="IE53" s="76"/>
      <c r="IF53" s="76"/>
      <c r="IG53" s="76"/>
      <c r="IH53" s="76"/>
      <c r="II53" s="76"/>
      <c r="IJ53" s="76"/>
      <c r="IK53" s="76"/>
      <c r="IL53" s="76"/>
      <c r="IM53" s="76"/>
      <c r="IN53" s="76"/>
      <c r="IO53" s="76"/>
      <c r="IP53" s="76"/>
      <c r="IQ53" s="76"/>
      <c r="IR53" s="76"/>
      <c r="IS53" s="76"/>
      <c r="IT53" s="76"/>
      <c r="IU53" s="76"/>
      <c r="IV53" s="76"/>
      <c r="IW53" s="76"/>
      <c r="IX53" s="76"/>
      <c r="IY53" s="76"/>
      <c r="IZ53" s="76"/>
      <c r="JA53" s="76"/>
      <c r="JB53" s="76"/>
      <c r="JC53" s="76"/>
      <c r="JD53" s="76"/>
      <c r="JE53" s="76"/>
      <c r="JF53" s="76"/>
      <c r="JG53" s="76"/>
      <c r="JH53" s="76"/>
      <c r="JI53" s="76"/>
      <c r="JJ53" s="76"/>
      <c r="JK53" s="76"/>
      <c r="JL53" s="76"/>
      <c r="JM53" s="76"/>
      <c r="JN53" s="76"/>
      <c r="JO53" s="76"/>
      <c r="JP53" s="76"/>
      <c r="JQ53" s="76"/>
      <c r="JR53" s="76"/>
      <c r="JS53" s="76"/>
      <c r="JT53" s="76"/>
      <c r="JU53" s="76"/>
      <c r="JV53" s="76"/>
      <c r="JW53" s="76"/>
      <c r="JX53" s="76"/>
      <c r="JY53" s="76"/>
      <c r="JZ53" s="76"/>
      <c r="KA53" s="76"/>
      <c r="KB53" s="76"/>
      <c r="KC53" s="76"/>
      <c r="KD53" s="76"/>
      <c r="KE53" s="76"/>
      <c r="KF53" s="76"/>
      <c r="KG53" s="76"/>
      <c r="KH53" s="76"/>
      <c r="KI53" s="76"/>
      <c r="KJ53" s="76"/>
      <c r="KK53" s="76"/>
      <c r="KL53" s="76"/>
      <c r="KM53" s="76"/>
      <c r="KN53" s="76"/>
      <c r="KO53" s="76"/>
      <c r="KP53" s="76"/>
      <c r="KQ53" s="76"/>
      <c r="KR53" s="76"/>
      <c r="KS53" s="76"/>
      <c r="KT53" s="76"/>
      <c r="KU53" s="76"/>
      <c r="KV53" s="76"/>
      <c r="KW53" s="76"/>
      <c r="KX53" s="76"/>
      <c r="KY53" s="76"/>
      <c r="KZ53" s="76"/>
      <c r="LA53" s="76"/>
      <c r="LB53" s="76"/>
      <c r="LC53" s="76"/>
      <c r="LD53" s="76"/>
      <c r="LE53" s="76"/>
      <c r="LF53" s="76"/>
      <c r="LG53" s="76"/>
      <c r="LH53" s="76"/>
      <c r="LI53" s="76"/>
      <c r="LJ53" s="76"/>
      <c r="LK53" s="76"/>
      <c r="LL53" s="76"/>
      <c r="LM53" s="76"/>
      <c r="LN53" s="76"/>
      <c r="LO53" s="76"/>
      <c r="LP53" s="76"/>
      <c r="LQ53" s="76"/>
      <c r="LR53" s="76"/>
      <c r="LS53" s="76"/>
      <c r="LT53" s="76"/>
      <c r="LU53" s="76"/>
      <c r="LV53" s="76"/>
      <c r="LW53" s="76"/>
      <c r="LX53" s="76"/>
      <c r="LY53" s="76"/>
      <c r="LZ53" s="76"/>
      <c r="MA53" s="76"/>
      <c r="MB53" s="76"/>
      <c r="MC53" s="76"/>
      <c r="MD53" s="76"/>
      <c r="ME53" s="76"/>
      <c r="MF53" s="76"/>
      <c r="MG53" s="76"/>
      <c r="MH53" s="76"/>
      <c r="MI53" s="76"/>
      <c r="MJ53" s="76"/>
      <c r="MK53" s="76"/>
      <c r="ML53" s="76"/>
      <c r="MM53" s="76"/>
      <c r="MN53" s="76"/>
      <c r="MO53" s="76"/>
      <c r="MP53" s="76"/>
      <c r="MQ53" s="76"/>
      <c r="MR53" s="76"/>
      <c r="MS53" s="76"/>
      <c r="MT53" s="76"/>
      <c r="MU53" s="76"/>
      <c r="MV53" s="76"/>
      <c r="MW53" s="76"/>
      <c r="MX53" s="76"/>
      <c r="MY53" s="76"/>
      <c r="MZ53" s="76"/>
      <c r="NA53" s="76"/>
      <c r="NB53" s="76"/>
      <c r="NC53" s="76"/>
      <c r="ND53" s="76"/>
      <c r="NE53" s="76"/>
      <c r="NF53" s="76"/>
      <c r="NG53" s="76"/>
      <c r="NH53" s="76"/>
      <c r="NI53" s="76"/>
      <c r="NJ53" s="76"/>
      <c r="NK53" s="76"/>
      <c r="NL53" s="76"/>
      <c r="NM53" s="76"/>
      <c r="NN53" s="76"/>
      <c r="NO53" s="76"/>
      <c r="NP53" s="76"/>
      <c r="NQ53" s="76"/>
      <c r="NR53" s="76"/>
      <c r="NS53" s="76"/>
      <c r="NT53" s="76"/>
      <c r="NU53" s="76"/>
      <c r="NV53" s="76"/>
      <c r="NW53" s="76"/>
      <c r="NX53" s="76"/>
      <c r="NY53" s="76"/>
      <c r="NZ53" s="76"/>
      <c r="OA53" s="76"/>
      <c r="OB53" s="76"/>
      <c r="OC53" s="76"/>
      <c r="OD53" s="76"/>
      <c r="OE53" s="76"/>
      <c r="OF53" s="76"/>
      <c r="OG53" s="76"/>
      <c r="OH53" s="76"/>
      <c r="OI53" s="76"/>
      <c r="OJ53" s="76"/>
      <c r="OK53" s="76"/>
      <c r="OL53" s="76"/>
      <c r="OM53" s="76"/>
      <c r="ON53" s="76"/>
      <c r="OO53" s="76"/>
      <c r="OP53" s="76"/>
      <c r="OQ53" s="76"/>
      <c r="OR53" s="76"/>
      <c r="OS53" s="76"/>
      <c r="OT53" s="76"/>
      <c r="OU53" s="76"/>
      <c r="OV53" s="76"/>
      <c r="OW53" s="76"/>
      <c r="OX53" s="76"/>
      <c r="OY53" s="76"/>
      <c r="OZ53" s="76"/>
      <c r="PA53" s="76"/>
      <c r="PB53" s="76"/>
      <c r="PC53" s="76"/>
      <c r="PD53" s="76"/>
      <c r="PE53" s="76"/>
      <c r="PF53" s="76"/>
      <c r="PG53" s="76"/>
      <c r="PH53" s="76"/>
      <c r="PI53" s="76"/>
      <c r="PJ53" s="76"/>
      <c r="PK53" s="76"/>
      <c r="PL53" s="76"/>
      <c r="PM53" s="76"/>
      <c r="PN53" s="76"/>
      <c r="PO53" s="76"/>
      <c r="PP53" s="76"/>
      <c r="PQ53" s="76"/>
      <c r="PR53" s="76"/>
      <c r="PS53" s="76"/>
      <c r="PT53" s="76"/>
      <c r="PU53" s="76"/>
      <c r="PV53" s="76"/>
      <c r="PW53" s="76"/>
      <c r="PX53" s="76"/>
      <c r="PY53" s="76"/>
      <c r="PZ53" s="76"/>
      <c r="QA53" s="76"/>
      <c r="QB53" s="76"/>
      <c r="QC53" s="76"/>
      <c r="QD53" s="76"/>
      <c r="QE53" s="76"/>
      <c r="QF53" s="76"/>
      <c r="QG53" s="76"/>
      <c r="QH53" s="76"/>
      <c r="QI53" s="76"/>
      <c r="QJ53" s="76"/>
      <c r="QK53" s="76"/>
      <c r="QL53" s="76"/>
      <c r="QM53" s="76"/>
      <c r="QN53" s="76"/>
      <c r="QO53" s="76"/>
      <c r="QP53" s="76"/>
      <c r="QQ53" s="76"/>
      <c r="QR53" s="76"/>
      <c r="QS53" s="76"/>
      <c r="QT53" s="76"/>
      <c r="QU53" s="76"/>
      <c r="QV53" s="76"/>
      <c r="QW53" s="76"/>
      <c r="QX53" s="76"/>
      <c r="QY53" s="76"/>
      <c r="QZ53" s="76"/>
      <c r="RA53" s="76"/>
      <c r="RB53" s="76"/>
      <c r="RC53" s="76"/>
      <c r="RD53" s="76"/>
      <c r="RE53" s="76"/>
      <c r="RF53" s="76"/>
      <c r="RG53" s="76"/>
      <c r="RH53" s="76"/>
      <c r="RI53" s="76"/>
      <c r="RJ53" s="76"/>
      <c r="RK53" s="76"/>
      <c r="RL53" s="76"/>
      <c r="RM53" s="76"/>
      <c r="RN53" s="76"/>
      <c r="RO53" s="76"/>
      <c r="RP53" s="76"/>
      <c r="RQ53" s="76"/>
      <c r="RR53" s="76"/>
      <c r="RS53" s="76"/>
      <c r="RT53" s="76"/>
      <c r="RU53" s="76"/>
      <c r="RV53" s="76"/>
      <c r="RW53" s="76"/>
      <c r="RX53" s="76"/>
      <c r="RY53" s="76"/>
      <c r="RZ53" s="76"/>
      <c r="SA53" s="76"/>
      <c r="SB53" s="76"/>
      <c r="SC53" s="76"/>
      <c r="SD53" s="76"/>
      <c r="SE53" s="76"/>
      <c r="SF53" s="76"/>
      <c r="SG53" s="76"/>
      <c r="SH53" s="76"/>
      <c r="SI53" s="76"/>
      <c r="SJ53" s="76"/>
      <c r="SK53" s="76"/>
      <c r="SL53" s="76"/>
      <c r="SM53" s="76"/>
      <c r="SN53" s="76"/>
      <c r="SO53" s="76"/>
      <c r="SP53" s="76"/>
      <c r="SQ53" s="76"/>
      <c r="SR53" s="76"/>
      <c r="SS53" s="76"/>
      <c r="ST53" s="76"/>
      <c r="SU53" s="76"/>
      <c r="SV53" s="76"/>
      <c r="SW53" s="76"/>
      <c r="SX53" s="76"/>
      <c r="SY53" s="76"/>
      <c r="SZ53" s="76"/>
      <c r="TA53" s="76"/>
      <c r="TB53" s="76"/>
      <c r="TC53" s="76"/>
      <c r="TD53" s="76"/>
      <c r="TE53" s="76"/>
      <c r="TF53" s="76"/>
      <c r="TG53" s="76"/>
      <c r="TH53" s="76"/>
      <c r="TI53" s="76"/>
      <c r="TJ53" s="76"/>
      <c r="TK53" s="76"/>
      <c r="TL53" s="76"/>
      <c r="TM53" s="76"/>
      <c r="TN53" s="76"/>
      <c r="TO53" s="76"/>
      <c r="TP53" s="76"/>
      <c r="TQ53" s="76"/>
      <c r="TR53" s="76"/>
      <c r="TS53" s="76"/>
      <c r="TT53" s="76"/>
      <c r="TU53" s="76"/>
      <c r="TV53" s="76"/>
      <c r="TW53" s="76"/>
      <c r="TX53" s="76"/>
      <c r="TY53" s="76"/>
      <c r="TZ53" s="76"/>
      <c r="UA53" s="76"/>
      <c r="UB53" s="76"/>
      <c r="UC53" s="76"/>
      <c r="UD53" s="76"/>
      <c r="UE53" s="76"/>
      <c r="UF53" s="76"/>
      <c r="UG53" s="76"/>
      <c r="UH53" s="76"/>
      <c r="UI53" s="76"/>
      <c r="UJ53" s="76"/>
      <c r="UK53" s="76"/>
      <c r="UL53" s="76"/>
      <c r="UM53" s="76"/>
      <c r="UN53" s="76"/>
      <c r="UO53" s="76"/>
      <c r="UP53" s="76"/>
      <c r="UQ53" s="76"/>
      <c r="UR53" s="76"/>
      <c r="US53" s="76"/>
      <c r="UT53" s="76"/>
      <c r="UU53" s="76"/>
      <c r="UV53" s="76"/>
      <c r="UW53" s="76"/>
      <c r="UX53" s="76"/>
      <c r="UY53" s="76"/>
      <c r="UZ53" s="76"/>
      <c r="VA53" s="76"/>
      <c r="VB53" s="76"/>
      <c r="VC53" s="76"/>
      <c r="VD53" s="76"/>
      <c r="VE53" s="76"/>
      <c r="VF53" s="76"/>
      <c r="VG53" s="76"/>
      <c r="VH53" s="76"/>
      <c r="VI53" s="76"/>
      <c r="VJ53" s="76"/>
      <c r="VK53" s="76"/>
      <c r="VL53" s="76"/>
      <c r="VM53" s="76"/>
      <c r="VN53" s="76"/>
      <c r="VO53" s="76"/>
      <c r="VP53" s="76"/>
      <c r="VQ53" s="76"/>
      <c r="VR53" s="76"/>
      <c r="VS53" s="76"/>
      <c r="VT53" s="76"/>
      <c r="VU53" s="76"/>
      <c r="VV53" s="76"/>
      <c r="VW53" s="76"/>
      <c r="VX53" s="76"/>
      <c r="VY53" s="76"/>
      <c r="VZ53" s="76"/>
      <c r="WA53" s="76"/>
      <c r="WB53" s="76"/>
      <c r="WC53" s="76"/>
      <c r="WD53" s="76"/>
      <c r="WE53" s="76"/>
      <c r="WF53" s="76"/>
      <c r="WG53" s="76"/>
      <c r="WH53" s="76"/>
      <c r="WI53" s="76"/>
      <c r="WJ53" s="76"/>
      <c r="WK53" s="76"/>
      <c r="WL53" s="76"/>
      <c r="WM53" s="76"/>
      <c r="WN53" s="76"/>
      <c r="WO53" s="76"/>
      <c r="WP53" s="76"/>
      <c r="WQ53" s="76"/>
      <c r="WR53" s="76"/>
      <c r="WS53" s="76"/>
      <c r="WT53" s="76"/>
      <c r="WU53" s="76"/>
      <c r="WV53" s="76"/>
      <c r="WW53" s="76"/>
      <c r="WX53" s="76"/>
      <c r="WY53" s="76"/>
      <c r="WZ53" s="76"/>
      <c r="XA53" s="76"/>
      <c r="XB53" s="76"/>
      <c r="XC53" s="76"/>
      <c r="XD53" s="76"/>
      <c r="XE53" s="76"/>
      <c r="XF53" s="76"/>
      <c r="XG53" s="76"/>
      <c r="XH53" s="76"/>
      <c r="XI53" s="76"/>
      <c r="XJ53" s="76"/>
      <c r="XK53" s="76"/>
      <c r="XL53" s="76"/>
      <c r="XM53" s="76"/>
      <c r="XN53" s="76"/>
      <c r="XO53" s="76"/>
      <c r="XP53" s="76"/>
      <c r="XQ53" s="76"/>
      <c r="XR53" s="76"/>
      <c r="XS53" s="76"/>
      <c r="XT53" s="76"/>
      <c r="XU53" s="76"/>
      <c r="XV53" s="76"/>
      <c r="XW53" s="76"/>
      <c r="XX53" s="76"/>
      <c r="XY53" s="76"/>
      <c r="XZ53" s="76"/>
      <c r="YA53" s="76"/>
      <c r="YB53" s="76"/>
      <c r="YC53" s="76"/>
      <c r="YD53" s="76"/>
      <c r="YE53" s="76"/>
      <c r="YF53" s="76"/>
      <c r="YG53" s="76"/>
      <c r="YH53" s="76"/>
      <c r="YI53" s="76"/>
      <c r="YJ53" s="76"/>
      <c r="YK53" s="76"/>
      <c r="YL53" s="76"/>
      <c r="YM53" s="76"/>
      <c r="YN53" s="76"/>
      <c r="YO53" s="76"/>
      <c r="YP53" s="76"/>
      <c r="YQ53" s="76"/>
      <c r="YR53" s="76"/>
      <c r="YS53" s="76"/>
      <c r="YT53" s="76"/>
      <c r="YU53" s="76"/>
      <c r="YV53" s="76"/>
      <c r="YW53" s="76"/>
      <c r="YX53" s="76"/>
      <c r="YY53" s="76"/>
      <c r="YZ53" s="76"/>
      <c r="ZA53" s="76"/>
      <c r="ZB53" s="76"/>
      <c r="ZC53" s="76"/>
      <c r="ZD53" s="76"/>
      <c r="ZE53" s="76"/>
      <c r="ZF53" s="76"/>
      <c r="ZG53" s="76"/>
      <c r="ZH53" s="76"/>
      <c r="ZI53" s="76"/>
      <c r="ZJ53" s="76"/>
      <c r="ZK53" s="76"/>
      <c r="ZL53" s="76"/>
      <c r="ZM53" s="76"/>
      <c r="ZN53" s="76"/>
      <c r="ZO53" s="76"/>
      <c r="ZP53" s="76"/>
      <c r="ZQ53" s="76"/>
      <c r="ZR53" s="76"/>
      <c r="ZS53" s="76"/>
      <c r="ZT53" s="76"/>
      <c r="ZU53" s="76"/>
      <c r="ZV53" s="76"/>
      <c r="ZW53" s="76"/>
      <c r="ZX53" s="76"/>
      <c r="ZY53" s="76"/>
      <c r="ZZ53" s="76"/>
      <c r="AAA53" s="76"/>
      <c r="AAB53" s="76"/>
      <c r="AAC53" s="76"/>
      <c r="AAD53" s="76"/>
      <c r="AAE53" s="76"/>
      <c r="AAF53" s="76"/>
      <c r="AAG53" s="76"/>
      <c r="AAH53" s="76"/>
      <c r="AAI53" s="76"/>
      <c r="AAJ53" s="76"/>
      <c r="AAK53" s="76"/>
      <c r="AAL53" s="76"/>
      <c r="AAM53" s="76"/>
      <c r="AAN53" s="76"/>
      <c r="AAO53" s="76"/>
      <c r="AAP53" s="76"/>
      <c r="AAQ53" s="76"/>
      <c r="AAR53" s="76"/>
      <c r="AAS53" s="76"/>
      <c r="AAT53" s="76"/>
      <c r="AAU53" s="76"/>
      <c r="AAV53" s="76"/>
      <c r="AAW53" s="76"/>
      <c r="AAX53" s="76"/>
      <c r="AAY53" s="76"/>
      <c r="AAZ53" s="76"/>
      <c r="ABA53" s="76"/>
      <c r="ABB53" s="76"/>
      <c r="ABC53" s="76"/>
      <c r="ABD53" s="76"/>
      <c r="ABE53" s="76"/>
      <c r="ABF53" s="76"/>
      <c r="ABG53" s="76"/>
      <c r="ABH53" s="76"/>
      <c r="ABI53" s="76"/>
      <c r="ABJ53" s="76"/>
      <c r="ABK53" s="76"/>
      <c r="ABL53" s="76"/>
      <c r="ABM53" s="76"/>
      <c r="ABN53" s="76"/>
      <c r="ABO53" s="76"/>
      <c r="ABP53" s="76"/>
      <c r="ABQ53" s="76"/>
      <c r="ABR53" s="76"/>
      <c r="ABS53" s="76"/>
      <c r="ABT53" s="76"/>
      <c r="ABU53" s="76"/>
      <c r="ABV53" s="76"/>
      <c r="ABW53" s="76"/>
      <c r="ABX53" s="76"/>
      <c r="ABY53" s="76"/>
      <c r="ABZ53" s="76"/>
      <c r="ACA53" s="76"/>
      <c r="ACB53" s="76"/>
      <c r="ACC53" s="76"/>
      <c r="ACD53" s="76"/>
      <c r="ACE53" s="76"/>
      <c r="ACF53" s="76"/>
      <c r="ACG53" s="76"/>
      <c r="ACH53" s="76"/>
      <c r="ACI53" s="76"/>
      <c r="ACJ53" s="76"/>
      <c r="ACK53" s="76"/>
      <c r="ACL53" s="76"/>
      <c r="ACM53" s="76"/>
      <c r="ACN53" s="76"/>
      <c r="ACO53" s="76"/>
      <c r="ACP53" s="76"/>
      <c r="ACQ53" s="76"/>
      <c r="ACR53" s="76"/>
      <c r="ACS53" s="76"/>
      <c r="ACT53" s="76"/>
      <c r="ACU53" s="76"/>
      <c r="ACV53" s="76"/>
      <c r="ACW53" s="76"/>
      <c r="ACX53" s="76"/>
      <c r="ACY53" s="76"/>
      <c r="ACZ53" s="76"/>
      <c r="ADA53" s="76"/>
      <c r="ADB53" s="76"/>
      <c r="ADC53" s="76"/>
      <c r="ADD53" s="76"/>
      <c r="ADE53" s="76"/>
      <c r="ADF53" s="76"/>
      <c r="ADG53" s="76"/>
      <c r="ADH53" s="76"/>
      <c r="ADI53" s="76"/>
      <c r="ADJ53" s="76"/>
      <c r="ADK53" s="76"/>
      <c r="ADL53" s="76"/>
      <c r="ADM53" s="76"/>
      <c r="ADN53" s="76"/>
      <c r="ADO53" s="76"/>
      <c r="ADP53" s="76"/>
      <c r="ADQ53" s="76"/>
      <c r="ADR53" s="76"/>
      <c r="ADS53" s="76"/>
      <c r="ADT53" s="76"/>
      <c r="ADU53" s="76"/>
      <c r="ADV53" s="76"/>
      <c r="ADW53" s="76"/>
      <c r="ADX53" s="76"/>
      <c r="ADY53" s="76"/>
      <c r="ADZ53" s="76"/>
      <c r="AEA53" s="76"/>
      <c r="AEB53" s="76"/>
      <c r="AEC53" s="76"/>
      <c r="AED53" s="76"/>
      <c r="AEE53" s="76"/>
      <c r="AEF53" s="76"/>
      <c r="AEG53" s="76"/>
      <c r="AEH53" s="76"/>
      <c r="AEI53" s="76"/>
      <c r="AEJ53" s="76"/>
      <c r="AEK53" s="76"/>
      <c r="AEL53" s="76"/>
      <c r="AEM53" s="76"/>
      <c r="AEN53" s="76"/>
      <c r="AEO53" s="76"/>
      <c r="AEP53" s="76"/>
      <c r="AEQ53" s="76"/>
      <c r="AER53" s="76"/>
      <c r="AES53" s="76"/>
      <c r="AET53" s="76"/>
      <c r="AEU53" s="76"/>
      <c r="AEV53" s="76"/>
      <c r="AEW53" s="76"/>
      <c r="AEX53" s="76"/>
      <c r="AEY53" s="76"/>
      <c r="AEZ53" s="76"/>
      <c r="AFA53" s="76"/>
      <c r="AFB53" s="76"/>
      <c r="AFC53" s="76"/>
      <c r="AFD53" s="76"/>
      <c r="AFE53" s="76"/>
      <c r="AFF53" s="76"/>
      <c r="AFG53" s="76"/>
      <c r="AFH53" s="76"/>
      <c r="AFI53" s="76"/>
      <c r="AFJ53" s="76"/>
      <c r="AFK53" s="76"/>
      <c r="AFL53" s="76"/>
      <c r="AFM53" s="76"/>
      <c r="AFN53" s="76"/>
      <c r="AFO53" s="76"/>
      <c r="AFP53" s="76"/>
      <c r="AFQ53" s="76"/>
      <c r="AFR53" s="76"/>
      <c r="AFS53" s="76"/>
      <c r="AFT53" s="76"/>
      <c r="AFU53" s="76"/>
      <c r="AFV53" s="76"/>
      <c r="AFW53" s="76"/>
      <c r="AFX53" s="76"/>
      <c r="AFY53" s="76"/>
      <c r="AFZ53" s="76"/>
      <c r="AGA53" s="76"/>
      <c r="AGB53" s="76"/>
      <c r="AGC53" s="76"/>
      <c r="AGD53" s="76"/>
      <c r="AGE53" s="76"/>
      <c r="AGF53" s="76"/>
      <c r="AGG53" s="76"/>
      <c r="AGH53" s="76"/>
      <c r="AGI53" s="76"/>
      <c r="AGJ53" s="76"/>
      <c r="AGK53" s="76"/>
      <c r="AGL53" s="76"/>
      <c r="AGM53" s="76"/>
      <c r="AGN53" s="76"/>
      <c r="AGO53" s="76"/>
      <c r="AGP53" s="76"/>
      <c r="AGQ53" s="76"/>
      <c r="AGR53" s="76"/>
      <c r="AGS53" s="76"/>
      <c r="AGT53" s="76"/>
      <c r="AGU53" s="76"/>
      <c r="AGV53" s="76"/>
      <c r="AGW53" s="76"/>
      <c r="AGX53" s="76"/>
      <c r="AGY53" s="76"/>
      <c r="AGZ53" s="76"/>
      <c r="AHA53" s="76"/>
      <c r="AHB53" s="76"/>
      <c r="AHC53" s="76"/>
      <c r="AHD53" s="76"/>
      <c r="AHE53" s="76"/>
      <c r="AHF53" s="76"/>
      <c r="AHG53" s="76"/>
      <c r="AHH53" s="76"/>
      <c r="AHI53" s="76"/>
      <c r="AHJ53" s="76"/>
      <c r="AHK53" s="76"/>
      <c r="AHL53" s="76"/>
      <c r="AHM53" s="76"/>
      <c r="AHN53" s="76"/>
      <c r="AHO53" s="76"/>
      <c r="AHP53" s="76"/>
      <c r="AHQ53" s="76"/>
      <c r="AHR53" s="76"/>
      <c r="AHS53" s="76"/>
      <c r="AHT53" s="76"/>
      <c r="AHU53" s="76"/>
      <c r="AHV53" s="76"/>
      <c r="AHW53" s="76"/>
      <c r="AHX53" s="76"/>
      <c r="AHY53" s="76"/>
      <c r="AHZ53" s="76"/>
      <c r="AIA53" s="76"/>
      <c r="AIB53" s="76"/>
      <c r="AIC53" s="76"/>
      <c r="AID53" s="76"/>
      <c r="AIE53" s="76"/>
      <c r="AIF53" s="76"/>
      <c r="AIG53" s="76"/>
      <c r="AIH53" s="76"/>
      <c r="AII53" s="76"/>
      <c r="AIJ53" s="76"/>
      <c r="AIK53" s="76"/>
      <c r="AIL53" s="76"/>
      <c r="AIM53" s="76"/>
      <c r="AIN53" s="76"/>
      <c r="AIO53" s="76"/>
      <c r="AIP53" s="76"/>
      <c r="AIQ53" s="76"/>
      <c r="AIR53" s="76"/>
      <c r="AIS53" s="76"/>
      <c r="AIT53" s="76"/>
      <c r="AIU53" s="76"/>
      <c r="AIV53" s="76"/>
      <c r="AIW53" s="76"/>
      <c r="AIX53" s="76"/>
      <c r="AIY53" s="76"/>
      <c r="AIZ53" s="76"/>
      <c r="AJA53" s="76"/>
      <c r="AJB53" s="76"/>
      <c r="AJC53" s="76"/>
      <c r="AJD53" s="76"/>
      <c r="AJE53" s="76"/>
      <c r="AJF53" s="76"/>
      <c r="AJG53" s="76"/>
      <c r="AJH53" s="76"/>
      <c r="AJI53" s="76"/>
      <c r="AJJ53" s="76"/>
      <c r="AJK53" s="76"/>
      <c r="AJL53" s="76"/>
      <c r="AJM53" s="76"/>
      <c r="AJN53" s="76"/>
      <c r="AJO53" s="76"/>
      <c r="AJP53" s="76"/>
      <c r="AJQ53" s="76"/>
      <c r="AJR53" s="76"/>
      <c r="AJS53" s="76"/>
      <c r="AJT53" s="76"/>
      <c r="AJU53" s="76"/>
      <c r="AJV53" s="76"/>
      <c r="AJW53" s="76"/>
      <c r="AJX53" s="76"/>
      <c r="AJY53" s="76"/>
      <c r="AJZ53" s="76"/>
      <c r="AKA53" s="76"/>
      <c r="AKB53" s="76"/>
      <c r="AKC53" s="76"/>
      <c r="AKD53" s="76"/>
      <c r="AKE53" s="76"/>
      <c r="AKF53" s="76"/>
      <c r="AKG53" s="76"/>
      <c r="AKH53" s="76"/>
      <c r="AKI53" s="76"/>
      <c r="AKJ53" s="76"/>
      <c r="AKK53" s="76"/>
      <c r="AKL53" s="76"/>
      <c r="AKM53" s="76"/>
      <c r="AKN53" s="76"/>
      <c r="AKO53" s="76"/>
      <c r="AKP53" s="76"/>
      <c r="AKQ53" s="76"/>
      <c r="AKR53" s="76"/>
      <c r="AKS53" s="76"/>
      <c r="AKT53" s="76"/>
      <c r="AKU53" s="76"/>
      <c r="AKV53" s="76"/>
      <c r="AKW53" s="76"/>
      <c r="AKX53" s="76"/>
      <c r="AKY53" s="76"/>
      <c r="AKZ53" s="76"/>
      <c r="ALA53" s="76"/>
      <c r="ALB53" s="76"/>
      <c r="ALC53" s="76"/>
      <c r="ALD53" s="76"/>
      <c r="ALE53" s="76"/>
      <c r="ALF53" s="76"/>
      <c r="ALG53" s="76"/>
      <c r="ALH53" s="76"/>
      <c r="ALI53" s="76"/>
      <c r="ALJ53" s="76"/>
      <c r="ALK53" s="76"/>
      <c r="ALL53" s="76"/>
      <c r="ALM53" s="76"/>
      <c r="ALN53" s="76"/>
      <c r="ALO53" s="76"/>
      <c r="ALP53" s="76"/>
      <c r="ALQ53" s="76"/>
      <c r="ALR53" s="76"/>
      <c r="ALS53" s="76"/>
      <c r="ALT53" s="76"/>
      <c r="ALU53" s="76"/>
      <c r="ALV53" s="76"/>
      <c r="ALW53" s="76"/>
      <c r="ALX53" s="76"/>
      <c r="ALY53" s="76"/>
      <c r="ALZ53" s="76"/>
      <c r="AMA53" s="76"/>
      <c r="AMB53" s="76"/>
      <c r="AMC53" s="76"/>
      <c r="AMD53" s="76"/>
      <c r="AME53" s="76"/>
      <c r="AMF53" s="76"/>
      <c r="AMG53" s="76"/>
      <c r="AMH53" s="76"/>
      <c r="AMI53" s="76"/>
      <c r="AMJ53" s="76"/>
      <c r="AMK53" s="76"/>
      <c r="AML53" s="76"/>
      <c r="AMM53" s="76"/>
      <c r="AMN53" s="76"/>
      <c r="AMO53" s="76"/>
      <c r="AMP53" s="76"/>
      <c r="AMQ53" s="76"/>
      <c r="AMR53" s="76"/>
      <c r="AMS53" s="76"/>
      <c r="AMT53" s="76"/>
      <c r="AMU53" s="76"/>
      <c r="AMV53" s="76"/>
      <c r="AMW53" s="76"/>
      <c r="AMX53" s="76"/>
      <c r="AMY53" s="76"/>
      <c r="AMZ53" s="76"/>
      <c r="ANA53" s="76"/>
      <c r="ANB53" s="76"/>
      <c r="ANC53" s="76"/>
      <c r="AND53" s="76"/>
      <c r="ANE53" s="76"/>
      <c r="ANF53" s="76"/>
      <c r="ANG53" s="76"/>
      <c r="ANH53" s="76"/>
      <c r="ANI53" s="76"/>
      <c r="ANJ53" s="76"/>
      <c r="ANK53" s="76"/>
      <c r="ANL53" s="76"/>
      <c r="ANM53" s="76"/>
      <c r="ANN53" s="76"/>
      <c r="ANO53" s="76"/>
      <c r="ANP53" s="76"/>
      <c r="ANQ53" s="76"/>
      <c r="ANR53" s="76"/>
      <c r="ANS53" s="76"/>
      <c r="ANT53" s="76"/>
      <c r="ANU53" s="76"/>
      <c r="ANV53" s="76"/>
      <c r="ANW53" s="76"/>
      <c r="ANX53" s="76"/>
      <c r="ANY53" s="76"/>
      <c r="ANZ53" s="76"/>
      <c r="AOA53" s="76"/>
      <c r="AOB53" s="76"/>
      <c r="AOC53" s="76"/>
      <c r="AOD53" s="76"/>
      <c r="AOE53" s="76"/>
      <c r="AOF53" s="76"/>
      <c r="AOG53" s="76"/>
      <c r="AOH53" s="76"/>
      <c r="AOI53" s="76"/>
      <c r="AOJ53" s="76"/>
      <c r="AOK53" s="76"/>
      <c r="AOL53" s="76"/>
      <c r="AOM53" s="76"/>
      <c r="AON53" s="76"/>
      <c r="AOO53" s="76"/>
      <c r="AOP53" s="76"/>
      <c r="AOQ53" s="76"/>
      <c r="AOR53" s="76"/>
      <c r="AOS53" s="76"/>
      <c r="AOT53" s="76"/>
      <c r="AOU53" s="76"/>
      <c r="AOV53" s="76"/>
      <c r="AOW53" s="76"/>
      <c r="AOX53" s="76"/>
      <c r="AOY53" s="76"/>
      <c r="AOZ53" s="76"/>
      <c r="APA53" s="76"/>
      <c r="APB53" s="76"/>
      <c r="APC53" s="76"/>
      <c r="APD53" s="76"/>
      <c r="APE53" s="76"/>
      <c r="APF53" s="76"/>
      <c r="APG53" s="76"/>
      <c r="APH53" s="76"/>
      <c r="API53" s="76"/>
      <c r="APJ53" s="76"/>
      <c r="APK53" s="76"/>
      <c r="APL53" s="76"/>
      <c r="APM53" s="76"/>
      <c r="APN53" s="76"/>
      <c r="APO53" s="76"/>
      <c r="APP53" s="76"/>
      <c r="APQ53" s="76"/>
      <c r="APR53" s="76"/>
      <c r="APS53" s="76"/>
      <c r="APT53" s="76"/>
      <c r="APU53" s="76"/>
      <c r="APV53" s="76"/>
      <c r="APW53" s="76"/>
      <c r="APX53" s="76"/>
      <c r="APY53" s="76"/>
      <c r="APZ53" s="76"/>
      <c r="AQA53" s="76"/>
      <c r="AQB53" s="76"/>
      <c r="AQC53" s="76"/>
      <c r="AQD53" s="76"/>
      <c r="AQE53" s="76"/>
      <c r="AQF53" s="76"/>
      <c r="AQG53" s="76"/>
      <c r="AQH53" s="76"/>
      <c r="AQI53" s="76"/>
      <c r="AQJ53" s="76"/>
      <c r="AQK53" s="76"/>
      <c r="AQL53" s="76"/>
      <c r="AQM53" s="76"/>
      <c r="AQN53" s="76"/>
      <c r="AQO53" s="76"/>
      <c r="AQP53" s="76"/>
      <c r="AQQ53" s="76"/>
      <c r="AQR53" s="76"/>
      <c r="AQS53" s="76"/>
      <c r="AQT53" s="76"/>
      <c r="AQU53" s="76"/>
      <c r="AQV53" s="76"/>
      <c r="AQW53" s="76"/>
      <c r="AQX53" s="76"/>
      <c r="AQY53" s="76"/>
      <c r="AQZ53" s="76"/>
      <c r="ARA53" s="76"/>
      <c r="ARB53" s="76"/>
      <c r="ARC53" s="76"/>
      <c r="ARD53" s="76"/>
      <c r="ARE53" s="76"/>
      <c r="ARF53" s="76"/>
      <c r="ARG53" s="76"/>
      <c r="ARH53" s="76"/>
      <c r="ARI53" s="76"/>
      <c r="ARJ53" s="76"/>
      <c r="ARK53" s="76"/>
      <c r="ARL53" s="76"/>
      <c r="ARM53" s="76"/>
      <c r="ARN53" s="76"/>
      <c r="ARO53" s="76"/>
      <c r="ARP53" s="76"/>
      <c r="ARQ53" s="76"/>
      <c r="ARR53" s="76"/>
      <c r="ARS53" s="76"/>
      <c r="ART53" s="76"/>
      <c r="ARU53" s="76"/>
      <c r="ARV53" s="76"/>
      <c r="ARW53" s="76"/>
      <c r="ARX53" s="76"/>
      <c r="ARY53" s="76"/>
      <c r="ARZ53" s="76"/>
      <c r="ASA53" s="76"/>
      <c r="ASB53" s="76"/>
      <c r="ASC53" s="76"/>
      <c r="ASD53" s="76"/>
      <c r="ASE53" s="76"/>
      <c r="ASF53" s="76"/>
      <c r="ASG53" s="76"/>
      <c r="ASH53" s="76"/>
      <c r="ASI53" s="76"/>
      <c r="ASJ53" s="76"/>
      <c r="ASK53" s="76"/>
      <c r="ASL53" s="76"/>
      <c r="ASM53" s="76"/>
      <c r="ASN53" s="76"/>
      <c r="ASO53" s="76"/>
      <c r="ASP53" s="76"/>
      <c r="ASQ53" s="76"/>
      <c r="ASR53" s="76"/>
      <c r="ASS53" s="76"/>
      <c r="AST53" s="76"/>
      <c r="ASU53" s="76"/>
      <c r="ASV53" s="76"/>
      <c r="ASW53" s="76"/>
      <c r="ASX53" s="76"/>
      <c r="ASY53" s="76"/>
      <c r="ASZ53" s="76"/>
      <c r="ATA53" s="76"/>
      <c r="ATB53" s="76"/>
      <c r="ATC53" s="76"/>
      <c r="ATD53" s="76"/>
      <c r="ATE53" s="76"/>
      <c r="ATF53" s="76"/>
      <c r="ATG53" s="76"/>
      <c r="ATH53" s="76"/>
      <c r="ATI53" s="76"/>
      <c r="ATJ53" s="76"/>
      <c r="ATK53" s="76"/>
      <c r="ATL53" s="76"/>
      <c r="ATM53" s="76"/>
      <c r="ATN53" s="76"/>
      <c r="ATO53" s="76"/>
      <c r="ATP53" s="76"/>
      <c r="ATQ53" s="76"/>
      <c r="ATR53" s="76"/>
      <c r="ATS53" s="76"/>
      <c r="ATT53" s="76"/>
      <c r="ATU53" s="76"/>
      <c r="ATV53" s="76"/>
      <c r="ATW53" s="76"/>
      <c r="ATX53" s="76"/>
      <c r="ATY53" s="76"/>
      <c r="ATZ53" s="76"/>
      <c r="AUA53" s="76"/>
      <c r="AUB53" s="76"/>
      <c r="AUC53" s="76"/>
      <c r="AUD53" s="76"/>
      <c r="AUE53" s="76"/>
      <c r="AUF53" s="76"/>
      <c r="AUG53" s="76"/>
      <c r="AUH53" s="76"/>
      <c r="AUI53" s="76"/>
      <c r="AUJ53" s="76"/>
      <c r="AUK53" s="76"/>
      <c r="AUL53" s="76"/>
      <c r="AUM53" s="76"/>
      <c r="AUN53" s="76"/>
      <c r="AUO53" s="76"/>
      <c r="AUP53" s="76"/>
      <c r="AUQ53" s="76"/>
      <c r="AUR53" s="76"/>
      <c r="AUS53" s="76"/>
      <c r="AUT53" s="76"/>
      <c r="AUU53" s="76"/>
      <c r="AUV53" s="76"/>
      <c r="AUW53" s="76"/>
      <c r="AUX53" s="76"/>
      <c r="AUY53" s="76"/>
      <c r="AUZ53" s="76"/>
      <c r="AVA53" s="76"/>
      <c r="AVB53" s="76"/>
      <c r="AVC53" s="76"/>
      <c r="AVD53" s="76"/>
      <c r="AVE53" s="76"/>
      <c r="AVF53" s="76"/>
      <c r="AVG53" s="76"/>
      <c r="AVH53" s="76"/>
      <c r="AVI53" s="76"/>
      <c r="AVJ53" s="76"/>
      <c r="AVK53" s="76"/>
      <c r="AVL53" s="76"/>
      <c r="AVM53" s="76"/>
      <c r="AVN53" s="76"/>
      <c r="AVO53" s="76"/>
      <c r="AVP53" s="76"/>
      <c r="AVQ53" s="76"/>
      <c r="AVR53" s="76"/>
      <c r="AVS53" s="76"/>
      <c r="AVT53" s="76"/>
      <c r="AVU53" s="76"/>
      <c r="AVV53" s="76"/>
      <c r="AVW53" s="76"/>
      <c r="AVX53" s="76"/>
      <c r="AVY53" s="76"/>
      <c r="AVZ53" s="76"/>
      <c r="AWA53" s="76"/>
      <c r="AWB53" s="76"/>
      <c r="AWC53" s="76"/>
      <c r="AWD53" s="76"/>
      <c r="AWE53" s="76"/>
      <c r="AWF53" s="76"/>
      <c r="AWG53" s="76"/>
      <c r="AWH53" s="76"/>
      <c r="AWI53" s="76"/>
      <c r="AWJ53" s="76"/>
      <c r="AWK53" s="76"/>
      <c r="AWL53" s="76"/>
      <c r="AWM53" s="76"/>
      <c r="AWN53" s="76"/>
      <c r="AWO53" s="76"/>
      <c r="AWP53" s="76"/>
      <c r="AWQ53" s="76"/>
      <c r="AWR53" s="76"/>
      <c r="AWS53" s="76"/>
      <c r="AWT53" s="76"/>
      <c r="AWU53" s="76"/>
      <c r="AWV53" s="76"/>
      <c r="AWW53" s="76"/>
      <c r="AWX53" s="76"/>
      <c r="AWY53" s="76"/>
      <c r="AWZ53" s="76"/>
      <c r="AXA53" s="76"/>
      <c r="AXB53" s="76"/>
      <c r="AXC53" s="76"/>
      <c r="AXD53" s="76"/>
      <c r="AXE53" s="76"/>
      <c r="AXF53" s="76"/>
      <c r="AXG53" s="76"/>
      <c r="AXH53" s="76"/>
      <c r="AXI53" s="76"/>
      <c r="AXJ53" s="76"/>
      <c r="AXK53" s="76"/>
      <c r="AXL53" s="76"/>
      <c r="AXM53" s="76"/>
      <c r="AXN53" s="76"/>
      <c r="AXO53" s="76"/>
      <c r="AXP53" s="76"/>
      <c r="AXQ53" s="76"/>
      <c r="AXR53" s="76"/>
      <c r="AXS53" s="76"/>
      <c r="AXT53" s="76"/>
      <c r="AXU53" s="76"/>
      <c r="AXV53" s="76"/>
      <c r="AXW53" s="76"/>
      <c r="AXX53" s="76"/>
      <c r="AXY53" s="76"/>
      <c r="AXZ53" s="76"/>
      <c r="AYA53" s="76"/>
      <c r="AYB53" s="76"/>
      <c r="AYC53" s="76"/>
      <c r="AYD53" s="76"/>
      <c r="AYE53" s="76"/>
      <c r="AYF53" s="76"/>
      <c r="AYG53" s="76"/>
      <c r="AYH53" s="76"/>
      <c r="AYI53" s="76"/>
      <c r="AYJ53" s="76"/>
      <c r="AYK53" s="76"/>
      <c r="AYL53" s="76"/>
      <c r="AYM53" s="76"/>
      <c r="AYN53" s="76"/>
      <c r="AYO53" s="76"/>
      <c r="AYP53" s="76"/>
      <c r="AYQ53" s="76"/>
      <c r="AYR53" s="76"/>
      <c r="AYS53" s="76"/>
      <c r="AYT53" s="76"/>
      <c r="AYU53" s="76"/>
      <c r="AYV53" s="76"/>
      <c r="AYW53" s="76"/>
      <c r="AYX53" s="76"/>
      <c r="AYY53" s="76"/>
      <c r="AYZ53" s="76"/>
      <c r="AZA53" s="76"/>
      <c r="AZB53" s="76"/>
      <c r="AZC53" s="76"/>
      <c r="AZD53" s="76"/>
      <c r="AZE53" s="76"/>
      <c r="AZF53" s="76"/>
      <c r="AZG53" s="76"/>
      <c r="AZH53" s="76"/>
      <c r="AZI53" s="76"/>
      <c r="AZJ53" s="76"/>
      <c r="AZK53" s="76"/>
      <c r="AZL53" s="76"/>
      <c r="AZM53" s="76"/>
      <c r="AZN53" s="76"/>
      <c r="AZO53" s="76"/>
      <c r="AZP53" s="76"/>
      <c r="AZQ53" s="76"/>
      <c r="AZR53" s="76"/>
      <c r="AZS53" s="76"/>
      <c r="AZT53" s="76"/>
      <c r="AZU53" s="76"/>
      <c r="AZV53" s="76"/>
      <c r="AZW53" s="76"/>
      <c r="AZX53" s="76"/>
      <c r="AZY53" s="76"/>
      <c r="AZZ53" s="76"/>
      <c r="BAA53" s="76"/>
      <c r="BAB53" s="76"/>
      <c r="BAC53" s="76"/>
      <c r="BAD53" s="76"/>
      <c r="BAE53" s="76"/>
      <c r="BAF53" s="76"/>
      <c r="BAG53" s="76"/>
      <c r="BAH53" s="76"/>
      <c r="BAI53" s="76"/>
      <c r="BAJ53" s="76"/>
      <c r="BAK53" s="76"/>
      <c r="BAL53" s="76"/>
      <c r="BAM53" s="76"/>
      <c r="BAN53" s="76"/>
      <c r="BAO53" s="76"/>
      <c r="BAP53" s="76"/>
      <c r="BAQ53" s="76"/>
      <c r="BAR53" s="76"/>
      <c r="BAS53" s="76"/>
      <c r="BAT53" s="76"/>
      <c r="BAU53" s="76"/>
      <c r="BAV53" s="76"/>
      <c r="BAW53" s="76"/>
      <c r="BAX53" s="76"/>
      <c r="BAY53" s="76"/>
      <c r="BAZ53" s="76"/>
      <c r="BBA53" s="76"/>
      <c r="BBB53" s="76"/>
      <c r="BBC53" s="76"/>
      <c r="BBD53" s="76"/>
      <c r="BBE53" s="76"/>
      <c r="BBF53" s="76"/>
      <c r="BBG53" s="76"/>
      <c r="BBH53" s="76"/>
      <c r="BBI53" s="76"/>
      <c r="BBJ53" s="76"/>
      <c r="BBK53" s="76"/>
      <c r="BBL53" s="76"/>
      <c r="BBM53" s="76"/>
      <c r="BBN53" s="76"/>
      <c r="BBO53" s="76"/>
      <c r="BBP53" s="76"/>
      <c r="BBQ53" s="76"/>
      <c r="BBR53" s="76"/>
      <c r="BBS53" s="76"/>
      <c r="BBT53" s="76"/>
      <c r="BBU53" s="76"/>
      <c r="BBV53" s="76"/>
      <c r="BBW53" s="76"/>
      <c r="BBX53" s="76"/>
      <c r="BBY53" s="76"/>
      <c r="BBZ53" s="76"/>
      <c r="BCA53" s="76"/>
      <c r="BCB53" s="76"/>
      <c r="BCC53" s="76"/>
      <c r="BCD53" s="76"/>
      <c r="BCE53" s="76"/>
      <c r="BCF53" s="76"/>
      <c r="BCG53" s="76"/>
      <c r="BCH53" s="76"/>
      <c r="BCI53" s="76"/>
      <c r="BCJ53" s="76"/>
      <c r="BCK53" s="76"/>
      <c r="BCL53" s="76"/>
      <c r="BCM53" s="76"/>
      <c r="BCN53" s="76"/>
      <c r="BCO53" s="76"/>
      <c r="BCP53" s="76"/>
      <c r="BCQ53" s="76"/>
      <c r="BCR53" s="76"/>
      <c r="BCS53" s="76"/>
      <c r="BCT53" s="76"/>
      <c r="BCU53" s="76"/>
      <c r="BCV53" s="76"/>
      <c r="BCW53" s="76"/>
      <c r="BCX53" s="76"/>
      <c r="BCY53" s="76"/>
      <c r="BCZ53" s="76"/>
      <c r="BDA53" s="76"/>
      <c r="BDB53" s="76"/>
      <c r="BDC53" s="76"/>
      <c r="BDD53" s="76"/>
      <c r="BDE53" s="76"/>
      <c r="BDF53" s="76"/>
      <c r="BDG53" s="76"/>
      <c r="BDH53" s="76"/>
      <c r="BDI53" s="76"/>
      <c r="BDJ53" s="76"/>
      <c r="BDK53" s="76"/>
      <c r="BDL53" s="76"/>
      <c r="BDM53" s="76"/>
      <c r="BDN53" s="76"/>
      <c r="BDO53" s="76"/>
      <c r="BDP53" s="76"/>
      <c r="BDQ53" s="76"/>
      <c r="BDR53" s="76"/>
      <c r="BDS53" s="76"/>
      <c r="BDT53" s="76"/>
      <c r="BDU53" s="76"/>
      <c r="BDV53" s="76"/>
      <c r="BDW53" s="76"/>
      <c r="BDX53" s="76"/>
      <c r="BDY53" s="76"/>
      <c r="BDZ53" s="76"/>
      <c r="BEA53" s="76"/>
      <c r="BEB53" s="76"/>
      <c r="BEC53" s="76"/>
      <c r="BED53" s="76"/>
      <c r="BEE53" s="76"/>
      <c r="BEF53" s="76"/>
      <c r="BEG53" s="76"/>
      <c r="BEH53" s="76"/>
      <c r="BEI53" s="76"/>
      <c r="BEJ53" s="76"/>
      <c r="BEK53" s="76"/>
      <c r="BEL53" s="76"/>
      <c r="BEM53" s="76"/>
      <c r="BEN53" s="76"/>
      <c r="BEO53" s="76"/>
      <c r="BEP53" s="76"/>
      <c r="BEQ53" s="76"/>
      <c r="BER53" s="76"/>
      <c r="BES53" s="76"/>
      <c r="BET53" s="76"/>
      <c r="BEU53" s="76"/>
      <c r="BEV53" s="76"/>
      <c r="BEW53" s="76"/>
      <c r="BEX53" s="76"/>
      <c r="BEY53" s="76"/>
      <c r="BEZ53" s="76"/>
      <c r="BFA53" s="76"/>
      <c r="BFB53" s="76"/>
      <c r="BFC53" s="76"/>
      <c r="BFD53" s="76"/>
      <c r="BFE53" s="76"/>
      <c r="BFF53" s="76"/>
      <c r="BFG53" s="76"/>
      <c r="BFH53" s="76"/>
      <c r="BFI53" s="76"/>
      <c r="BFJ53" s="76"/>
      <c r="BFK53" s="76"/>
      <c r="BFL53" s="76"/>
      <c r="BFM53" s="76"/>
      <c r="BFN53" s="76"/>
      <c r="BFO53" s="76"/>
      <c r="BFP53" s="76"/>
      <c r="BFQ53" s="76"/>
      <c r="BFR53" s="76"/>
      <c r="BFS53" s="76"/>
      <c r="BFT53" s="76"/>
      <c r="BFU53" s="76"/>
      <c r="BFV53" s="76"/>
      <c r="BFW53" s="76"/>
      <c r="BFX53" s="76"/>
      <c r="BFY53" s="76"/>
      <c r="BFZ53" s="76"/>
      <c r="BGA53" s="76"/>
      <c r="BGB53" s="76"/>
      <c r="BGC53" s="76"/>
      <c r="BGD53" s="76"/>
      <c r="BGE53" s="76"/>
      <c r="BGF53" s="76"/>
      <c r="BGG53" s="76"/>
      <c r="BGH53" s="76"/>
      <c r="BGI53" s="76"/>
      <c r="BGJ53" s="76"/>
      <c r="BGK53" s="76"/>
      <c r="BGL53" s="76"/>
      <c r="BGM53" s="76"/>
      <c r="BGN53" s="76"/>
      <c r="BGO53" s="76"/>
      <c r="BGP53" s="76"/>
      <c r="BGQ53" s="76"/>
      <c r="BGR53" s="76"/>
      <c r="BGS53" s="76"/>
      <c r="BGT53" s="76"/>
      <c r="BGU53" s="76"/>
      <c r="BGV53" s="76"/>
      <c r="BGW53" s="76"/>
      <c r="BGX53" s="76"/>
      <c r="BGY53" s="76"/>
      <c r="BGZ53" s="76"/>
      <c r="BHA53" s="76"/>
      <c r="BHB53" s="76"/>
      <c r="BHC53" s="76"/>
      <c r="BHD53" s="76"/>
      <c r="BHE53" s="76"/>
      <c r="BHF53" s="76"/>
      <c r="BHG53" s="76"/>
      <c r="BHH53" s="76"/>
      <c r="BHI53" s="76"/>
      <c r="BHJ53" s="76"/>
      <c r="BHK53" s="76"/>
      <c r="BHL53" s="76"/>
      <c r="BHM53" s="76"/>
      <c r="BHN53" s="76"/>
      <c r="BHO53" s="76"/>
      <c r="BHP53" s="76"/>
      <c r="BHQ53" s="76"/>
      <c r="BHR53" s="76"/>
      <c r="BHS53" s="76"/>
      <c r="BHT53" s="76"/>
      <c r="BHU53" s="76"/>
      <c r="BHV53" s="76"/>
      <c r="BHW53" s="76"/>
      <c r="BHX53" s="76"/>
      <c r="BHY53" s="76"/>
      <c r="BHZ53" s="76"/>
      <c r="BIA53" s="76"/>
      <c r="BIB53" s="76"/>
      <c r="BIC53" s="76"/>
      <c r="BID53" s="76"/>
      <c r="BIE53" s="76"/>
      <c r="BIF53" s="76"/>
      <c r="BIG53" s="76"/>
      <c r="BIH53" s="76"/>
      <c r="BII53" s="76"/>
      <c r="BIJ53" s="76"/>
      <c r="BIK53" s="76"/>
      <c r="BIL53" s="76"/>
      <c r="BIM53" s="76"/>
      <c r="BIN53" s="76"/>
      <c r="BIO53" s="76"/>
      <c r="BIP53" s="76"/>
      <c r="BIQ53" s="76"/>
      <c r="BIR53" s="76"/>
      <c r="BIS53" s="76"/>
      <c r="BIT53" s="76"/>
      <c r="BIU53" s="76"/>
      <c r="BIV53" s="76"/>
      <c r="BIW53" s="76"/>
      <c r="BIX53" s="76"/>
      <c r="BIY53" s="76"/>
      <c r="BIZ53" s="76"/>
      <c r="BJA53" s="76"/>
      <c r="BJB53" s="76"/>
      <c r="BJC53" s="76"/>
      <c r="BJD53" s="76"/>
      <c r="BJE53" s="76"/>
      <c r="BJF53" s="76"/>
      <c r="BJG53" s="76"/>
      <c r="BJH53" s="76"/>
      <c r="BJI53" s="76"/>
      <c r="BJJ53" s="76"/>
      <c r="BJK53" s="76"/>
      <c r="BJL53" s="76"/>
      <c r="BJM53" s="76"/>
      <c r="BJN53" s="76"/>
      <c r="BJO53" s="76"/>
      <c r="BJP53" s="76"/>
      <c r="BJQ53" s="76"/>
      <c r="BJR53" s="76"/>
      <c r="BJS53" s="76"/>
      <c r="BJT53" s="76"/>
      <c r="BJU53" s="76"/>
      <c r="BJV53" s="76"/>
      <c r="BJW53" s="76"/>
      <c r="BJX53" s="76"/>
      <c r="BJY53" s="76"/>
      <c r="BJZ53" s="76"/>
      <c r="BKA53" s="76"/>
      <c r="BKB53" s="76"/>
      <c r="BKC53" s="76"/>
      <c r="BKD53" s="76"/>
      <c r="BKE53" s="76"/>
      <c r="BKF53" s="76"/>
      <c r="BKG53" s="76"/>
      <c r="BKH53" s="76"/>
      <c r="BKI53" s="76"/>
      <c r="BKJ53" s="76"/>
      <c r="BKK53" s="76"/>
      <c r="BKL53" s="76"/>
      <c r="BKM53" s="76"/>
      <c r="BKN53" s="76"/>
      <c r="BKO53" s="76"/>
      <c r="BKP53" s="76"/>
      <c r="BKQ53" s="76"/>
      <c r="BKR53" s="76"/>
      <c r="BKS53" s="76"/>
      <c r="BKT53" s="76"/>
      <c r="BKU53" s="76"/>
      <c r="BKV53" s="76"/>
      <c r="BKW53" s="76"/>
      <c r="BKX53" s="76"/>
      <c r="BKY53" s="76"/>
      <c r="BKZ53" s="76"/>
      <c r="BLA53" s="76"/>
      <c r="BLB53" s="76"/>
      <c r="BLC53" s="76"/>
      <c r="BLD53" s="76"/>
      <c r="BLE53" s="76"/>
      <c r="BLF53" s="76"/>
      <c r="BLG53" s="76"/>
      <c r="BLH53" s="76"/>
      <c r="BLI53" s="76"/>
      <c r="BLJ53" s="76"/>
      <c r="BLK53" s="76"/>
      <c r="BLL53" s="76"/>
      <c r="BLM53" s="76"/>
      <c r="BLN53" s="76"/>
      <c r="BLO53" s="76"/>
      <c r="BLP53" s="76"/>
      <c r="BLQ53" s="76"/>
      <c r="BLR53" s="76"/>
      <c r="BLS53" s="76"/>
      <c r="BLT53" s="76"/>
      <c r="BLU53" s="76"/>
      <c r="BLV53" s="76"/>
      <c r="BLW53" s="76"/>
      <c r="BLX53" s="76"/>
      <c r="BLY53" s="76"/>
      <c r="BLZ53" s="76"/>
      <c r="BMA53" s="76"/>
      <c r="BMB53" s="76"/>
      <c r="BMC53" s="76"/>
      <c r="BMD53" s="76"/>
      <c r="BME53" s="76"/>
      <c r="BMF53" s="76"/>
      <c r="BMG53" s="76"/>
      <c r="BMH53" s="76"/>
      <c r="BMI53" s="76"/>
      <c r="BMJ53" s="76"/>
      <c r="BMK53" s="76"/>
      <c r="BML53" s="76"/>
      <c r="BMM53" s="76"/>
      <c r="BMN53" s="76"/>
      <c r="BMO53" s="76"/>
      <c r="BMP53" s="76"/>
      <c r="BMQ53" s="76"/>
      <c r="BMR53" s="76"/>
      <c r="BMS53" s="76"/>
      <c r="BMT53" s="76"/>
      <c r="BMU53" s="76"/>
      <c r="BMV53" s="76"/>
      <c r="BMW53" s="76"/>
      <c r="BMX53" s="76"/>
      <c r="BMY53" s="76"/>
      <c r="BMZ53" s="76"/>
      <c r="BNA53" s="76"/>
      <c r="BNB53" s="76"/>
      <c r="BNC53" s="76"/>
      <c r="BND53" s="76"/>
      <c r="BNE53" s="76"/>
      <c r="BNF53" s="76"/>
      <c r="BNG53" s="76"/>
      <c r="BNH53" s="76"/>
      <c r="BNI53" s="76"/>
      <c r="BNJ53" s="76"/>
      <c r="BNK53" s="76"/>
      <c r="BNL53" s="76"/>
      <c r="BNM53" s="76"/>
      <c r="BNN53" s="76"/>
      <c r="BNO53" s="76"/>
      <c r="BNP53" s="76"/>
      <c r="BNQ53" s="76"/>
      <c r="BNR53" s="76"/>
      <c r="BNS53" s="76"/>
      <c r="BNT53" s="76"/>
      <c r="BNU53" s="76"/>
      <c r="BNV53" s="76"/>
      <c r="BNW53" s="76"/>
      <c r="BNX53" s="76"/>
      <c r="BNY53" s="76"/>
      <c r="BNZ53" s="76"/>
      <c r="BOA53" s="76"/>
      <c r="BOB53" s="76"/>
      <c r="BOC53" s="76"/>
      <c r="BOD53" s="76"/>
      <c r="BOE53" s="76"/>
      <c r="BOF53" s="76"/>
      <c r="BOG53" s="76"/>
      <c r="BOH53" s="76"/>
      <c r="BOI53" s="76"/>
      <c r="BOJ53" s="76"/>
      <c r="BOK53" s="76"/>
      <c r="BOL53" s="76"/>
      <c r="BOM53" s="76"/>
      <c r="BON53" s="76"/>
      <c r="BOO53" s="76"/>
      <c r="BOP53" s="76"/>
      <c r="BOQ53" s="76"/>
      <c r="BOR53" s="76"/>
      <c r="BOS53" s="76"/>
      <c r="BOT53" s="76"/>
      <c r="BOU53" s="76"/>
      <c r="BOV53" s="76"/>
      <c r="BOW53" s="76"/>
      <c r="BOX53" s="76"/>
      <c r="BOY53" s="76"/>
      <c r="BOZ53" s="76"/>
      <c r="BPA53" s="76"/>
      <c r="BPB53" s="76"/>
      <c r="BPC53" s="76"/>
      <c r="BPD53" s="76"/>
      <c r="BPE53" s="76"/>
      <c r="BPF53" s="76"/>
      <c r="BPG53" s="76"/>
      <c r="BPH53" s="76"/>
      <c r="BPI53" s="76"/>
      <c r="BPJ53" s="76"/>
      <c r="BPK53" s="76"/>
      <c r="BPL53" s="76"/>
      <c r="BPM53" s="76"/>
      <c r="BPN53" s="76"/>
      <c r="BPO53" s="76"/>
      <c r="BPP53" s="76"/>
      <c r="BPQ53" s="76"/>
      <c r="BPR53" s="76"/>
      <c r="BPS53" s="76"/>
      <c r="BPT53" s="76"/>
      <c r="BPU53" s="76"/>
      <c r="BPV53" s="76"/>
      <c r="BPW53" s="76"/>
      <c r="BPX53" s="76"/>
      <c r="BPY53" s="76"/>
      <c r="BPZ53" s="76"/>
      <c r="BQA53" s="76"/>
      <c r="BQB53" s="76"/>
      <c r="BQC53" s="76"/>
      <c r="BQD53" s="76"/>
      <c r="BQE53" s="76"/>
      <c r="BQF53" s="76"/>
      <c r="BQG53" s="76"/>
      <c r="BQH53" s="76"/>
      <c r="BQI53" s="76"/>
      <c r="BQJ53" s="76"/>
      <c r="BQK53" s="76"/>
      <c r="BQL53" s="76"/>
      <c r="BQM53" s="76"/>
      <c r="BQN53" s="76"/>
      <c r="BQO53" s="76"/>
      <c r="BQP53" s="76"/>
      <c r="BQQ53" s="76"/>
      <c r="BQR53" s="76"/>
      <c r="BQS53" s="76"/>
      <c r="BQT53" s="76"/>
      <c r="BQU53" s="76"/>
      <c r="BQV53" s="76"/>
      <c r="BQW53" s="76"/>
      <c r="BQX53" s="76"/>
      <c r="BQY53" s="76"/>
      <c r="BQZ53" s="76"/>
      <c r="BRA53" s="76"/>
      <c r="BRB53" s="76"/>
      <c r="BRC53" s="76"/>
      <c r="BRD53" s="76"/>
      <c r="BRE53" s="76"/>
      <c r="BRF53" s="76"/>
      <c r="BRG53" s="76"/>
      <c r="BRH53" s="76"/>
      <c r="BRI53" s="76"/>
      <c r="BRJ53" s="76"/>
      <c r="BRK53" s="76"/>
      <c r="BRL53" s="76"/>
      <c r="BRM53" s="76"/>
      <c r="BRN53" s="76"/>
      <c r="BRO53" s="76"/>
      <c r="BRP53" s="76"/>
      <c r="BRQ53" s="76"/>
      <c r="BRR53" s="76"/>
      <c r="BRS53" s="76"/>
      <c r="BRT53" s="76"/>
      <c r="BRU53" s="76"/>
      <c r="BRV53" s="76"/>
      <c r="BRW53" s="76"/>
      <c r="BRX53" s="76"/>
      <c r="BRY53" s="76"/>
      <c r="BRZ53" s="76"/>
      <c r="BSA53" s="76"/>
      <c r="BSB53" s="76"/>
      <c r="BSC53" s="76"/>
      <c r="BSD53" s="76"/>
      <c r="BSE53" s="76"/>
      <c r="BSF53" s="76"/>
      <c r="BSG53" s="76"/>
      <c r="BSH53" s="76"/>
      <c r="BSI53" s="76"/>
      <c r="BSJ53" s="76"/>
      <c r="BSK53" s="76"/>
      <c r="BSL53" s="76"/>
      <c r="BSM53" s="76"/>
      <c r="BSN53" s="76"/>
      <c r="BSO53" s="76"/>
      <c r="BSP53" s="76"/>
      <c r="BSQ53" s="76"/>
      <c r="BSR53" s="76"/>
      <c r="BSS53" s="76"/>
      <c r="BST53" s="76"/>
      <c r="BSU53" s="76"/>
      <c r="BSV53" s="76"/>
      <c r="BSW53" s="76"/>
      <c r="BSX53" s="76"/>
      <c r="BSY53" s="76"/>
      <c r="BSZ53" s="76"/>
      <c r="BTA53" s="76"/>
      <c r="BTB53" s="76"/>
      <c r="BTC53" s="76"/>
      <c r="BTD53" s="76"/>
      <c r="BTE53" s="76"/>
      <c r="BTF53" s="76"/>
      <c r="BTG53" s="76"/>
      <c r="BTH53" s="76"/>
      <c r="BTI53" s="76"/>
      <c r="BTJ53" s="76"/>
      <c r="BTK53" s="76"/>
      <c r="BTL53" s="76"/>
      <c r="BTM53" s="76"/>
      <c r="BTN53" s="76"/>
      <c r="BTO53" s="76"/>
      <c r="BTP53" s="76"/>
      <c r="BTQ53" s="76"/>
      <c r="BTR53" s="76"/>
      <c r="BTS53" s="76"/>
      <c r="BTT53" s="76"/>
      <c r="BTU53" s="76"/>
      <c r="BTV53" s="76"/>
      <c r="BTW53" s="76"/>
      <c r="BTX53" s="76"/>
      <c r="BTY53" s="76"/>
      <c r="BTZ53" s="76"/>
      <c r="BUA53" s="76"/>
      <c r="BUB53" s="76"/>
      <c r="BUC53" s="76"/>
      <c r="BUD53" s="76"/>
      <c r="BUE53" s="76"/>
      <c r="BUF53" s="76"/>
      <c r="BUG53" s="76"/>
      <c r="BUH53" s="76"/>
      <c r="BUI53" s="76"/>
      <c r="BUJ53" s="76"/>
      <c r="BUK53" s="76"/>
      <c r="BUL53" s="76"/>
      <c r="BUM53" s="76"/>
      <c r="BUN53" s="76"/>
      <c r="BUO53" s="76"/>
      <c r="BUP53" s="76"/>
      <c r="BUQ53" s="76"/>
      <c r="BUR53" s="76"/>
      <c r="BUS53" s="76"/>
      <c r="BUT53" s="76"/>
      <c r="BUU53" s="76"/>
      <c r="BUV53" s="76"/>
      <c r="BUW53" s="76"/>
      <c r="BUX53" s="76"/>
      <c r="BUY53" s="76"/>
      <c r="BUZ53" s="76"/>
      <c r="BVA53" s="76"/>
      <c r="BVB53" s="76"/>
      <c r="BVC53" s="76"/>
      <c r="BVD53" s="76"/>
      <c r="BVE53" s="76"/>
      <c r="BVF53" s="76"/>
      <c r="BVG53" s="76"/>
      <c r="BVH53" s="76"/>
      <c r="BVI53" s="76"/>
      <c r="BVJ53" s="76"/>
      <c r="BVK53" s="76"/>
      <c r="BVL53" s="76"/>
      <c r="BVM53" s="76"/>
      <c r="BVN53" s="76"/>
      <c r="BVO53" s="76"/>
      <c r="BVP53" s="76"/>
      <c r="BVQ53" s="76"/>
      <c r="BVR53" s="76"/>
      <c r="BVS53" s="76"/>
      <c r="BVT53" s="76"/>
      <c r="BVU53" s="76"/>
      <c r="BVV53" s="76"/>
      <c r="BVW53" s="76"/>
      <c r="BVX53" s="76"/>
      <c r="BVY53" s="76"/>
      <c r="BVZ53" s="76"/>
      <c r="BWA53" s="76"/>
      <c r="BWB53" s="76"/>
      <c r="BWC53" s="76"/>
      <c r="BWD53" s="76"/>
      <c r="BWE53" s="76"/>
      <c r="BWF53" s="76"/>
      <c r="BWG53" s="76"/>
      <c r="BWH53" s="76"/>
      <c r="BWI53" s="76"/>
      <c r="BWJ53" s="76"/>
      <c r="BWK53" s="76"/>
      <c r="BWL53" s="76"/>
      <c r="BWM53" s="76"/>
      <c r="BWN53" s="76"/>
      <c r="BWO53" s="76"/>
      <c r="BWP53" s="76"/>
      <c r="BWQ53" s="76"/>
      <c r="BWR53" s="76"/>
      <c r="BWS53" s="76"/>
      <c r="BWT53" s="76"/>
      <c r="BWU53" s="76"/>
      <c r="BWV53" s="76"/>
      <c r="BWW53" s="76"/>
      <c r="BWX53" s="76"/>
      <c r="BWY53" s="76"/>
      <c r="BWZ53" s="76"/>
      <c r="BXA53" s="76"/>
      <c r="BXB53" s="76"/>
      <c r="BXC53" s="76"/>
      <c r="BXD53" s="76"/>
      <c r="BXE53" s="76"/>
      <c r="BXF53" s="76"/>
      <c r="BXG53" s="76"/>
      <c r="BXH53" s="76"/>
      <c r="BXI53" s="76"/>
      <c r="BXJ53" s="76"/>
      <c r="BXK53" s="76"/>
      <c r="BXL53" s="76"/>
      <c r="BXM53" s="76"/>
      <c r="BXN53" s="76"/>
      <c r="BXO53" s="76"/>
      <c r="BXP53" s="76"/>
      <c r="BXQ53" s="76"/>
      <c r="BXR53" s="76"/>
      <c r="BXS53" s="76"/>
      <c r="BXT53" s="76"/>
      <c r="BXU53" s="76"/>
      <c r="BXV53" s="76"/>
      <c r="BXW53" s="76"/>
      <c r="BXX53" s="76"/>
      <c r="BXY53" s="76"/>
      <c r="BXZ53" s="76"/>
      <c r="BYA53" s="76"/>
      <c r="BYB53" s="76"/>
      <c r="BYC53" s="76"/>
      <c r="BYD53" s="76"/>
      <c r="BYE53" s="76"/>
      <c r="BYF53" s="76"/>
      <c r="BYG53" s="76"/>
      <c r="BYH53" s="76"/>
      <c r="BYI53" s="76"/>
      <c r="BYJ53" s="76"/>
      <c r="BYK53" s="76"/>
      <c r="BYL53" s="76"/>
      <c r="BYM53" s="76"/>
      <c r="BYN53" s="76"/>
      <c r="BYO53" s="76"/>
      <c r="BYP53" s="76"/>
      <c r="BYQ53" s="76"/>
      <c r="BYR53" s="76"/>
      <c r="BYS53" s="76"/>
      <c r="BYT53" s="76"/>
      <c r="BYU53" s="76"/>
      <c r="BYV53" s="76"/>
      <c r="BYW53" s="76"/>
      <c r="BYX53" s="76"/>
      <c r="BYY53" s="76"/>
      <c r="BYZ53" s="76"/>
      <c r="BZA53" s="76"/>
      <c r="BZB53" s="76"/>
      <c r="BZC53" s="76"/>
      <c r="BZD53" s="76"/>
      <c r="BZE53" s="76"/>
      <c r="BZF53" s="76"/>
      <c r="BZG53" s="76"/>
      <c r="BZH53" s="76"/>
      <c r="BZI53" s="76"/>
      <c r="BZJ53" s="76"/>
      <c r="BZK53" s="76"/>
      <c r="BZL53" s="76"/>
      <c r="BZM53" s="76"/>
      <c r="BZN53" s="76"/>
      <c r="BZO53" s="76"/>
      <c r="BZP53" s="76"/>
      <c r="BZQ53" s="76"/>
      <c r="BZR53" s="76"/>
      <c r="BZS53" s="76"/>
      <c r="BZT53" s="76"/>
      <c r="BZU53" s="76"/>
      <c r="BZV53" s="76"/>
      <c r="BZW53" s="76"/>
      <c r="BZX53" s="76"/>
      <c r="BZY53" s="76"/>
      <c r="BZZ53" s="76"/>
      <c r="CAA53" s="76"/>
      <c r="CAB53" s="76"/>
      <c r="CAC53" s="76"/>
      <c r="CAD53" s="76"/>
      <c r="CAE53" s="76"/>
      <c r="CAF53" s="76"/>
      <c r="CAG53" s="76"/>
      <c r="CAH53" s="76"/>
      <c r="CAI53" s="76"/>
      <c r="CAJ53" s="76"/>
      <c r="CAK53" s="76"/>
      <c r="CAL53" s="76"/>
      <c r="CAM53" s="76"/>
      <c r="CAN53" s="76"/>
      <c r="CAO53" s="76"/>
      <c r="CAP53" s="76"/>
      <c r="CAQ53" s="76"/>
      <c r="CAR53" s="76"/>
      <c r="CAS53" s="76"/>
      <c r="CAT53" s="76"/>
      <c r="CAU53" s="76"/>
      <c r="CAV53" s="76"/>
      <c r="CAW53" s="76"/>
      <c r="CAX53" s="76"/>
      <c r="CAY53" s="76"/>
      <c r="CAZ53" s="76"/>
      <c r="CBA53" s="76"/>
      <c r="CBB53" s="76"/>
      <c r="CBC53" s="76"/>
      <c r="CBD53" s="76"/>
      <c r="CBE53" s="76"/>
      <c r="CBF53" s="76"/>
      <c r="CBG53" s="76"/>
      <c r="CBH53" s="76"/>
      <c r="CBI53" s="76"/>
      <c r="CBJ53" s="76"/>
      <c r="CBK53" s="76"/>
      <c r="CBL53" s="76"/>
      <c r="CBM53" s="76"/>
      <c r="CBN53" s="76"/>
      <c r="CBO53" s="76"/>
      <c r="CBP53" s="76"/>
      <c r="CBQ53" s="76"/>
      <c r="CBR53" s="76"/>
      <c r="CBS53" s="76"/>
      <c r="CBT53" s="76"/>
      <c r="CBU53" s="76"/>
      <c r="CBV53" s="76"/>
      <c r="CBW53" s="76"/>
      <c r="CBX53" s="76"/>
      <c r="CBY53" s="76"/>
      <c r="CBZ53" s="76"/>
      <c r="CCA53" s="76"/>
      <c r="CCB53" s="76"/>
      <c r="CCC53" s="76"/>
      <c r="CCD53" s="76"/>
      <c r="CCE53" s="76"/>
      <c r="CCF53" s="76"/>
      <c r="CCG53" s="76"/>
      <c r="CCH53" s="76"/>
      <c r="CCI53" s="76"/>
      <c r="CCJ53" s="76"/>
      <c r="CCK53" s="76"/>
      <c r="CCL53" s="76"/>
      <c r="CCM53" s="76"/>
      <c r="CCN53" s="76"/>
      <c r="CCO53" s="76"/>
      <c r="CCP53" s="76"/>
      <c r="CCQ53" s="76"/>
      <c r="CCR53" s="76"/>
      <c r="CCS53" s="76"/>
      <c r="CCT53" s="76"/>
      <c r="CCU53" s="76"/>
      <c r="CCV53" s="76"/>
      <c r="CCW53" s="76"/>
      <c r="CCX53" s="76"/>
      <c r="CCY53" s="76"/>
      <c r="CCZ53" s="76"/>
      <c r="CDA53" s="76"/>
      <c r="CDB53" s="76"/>
      <c r="CDC53" s="76"/>
      <c r="CDD53" s="76"/>
      <c r="CDE53" s="76"/>
      <c r="CDF53" s="76"/>
      <c r="CDG53" s="76"/>
      <c r="CDH53" s="76"/>
      <c r="CDI53" s="76"/>
      <c r="CDJ53" s="76"/>
      <c r="CDK53" s="76"/>
      <c r="CDL53" s="76"/>
      <c r="CDM53" s="76"/>
      <c r="CDN53" s="76"/>
      <c r="CDO53" s="76"/>
      <c r="CDP53" s="76"/>
      <c r="CDQ53" s="76"/>
      <c r="CDR53" s="76"/>
      <c r="CDS53" s="76"/>
      <c r="CDT53" s="76"/>
      <c r="CDU53" s="76"/>
      <c r="CDV53" s="76"/>
      <c r="CDW53" s="76"/>
      <c r="CDX53" s="76"/>
      <c r="CDY53" s="76"/>
      <c r="CDZ53" s="76"/>
      <c r="CEA53" s="76"/>
      <c r="CEB53" s="76"/>
      <c r="CEC53" s="76"/>
      <c r="CED53" s="76"/>
      <c r="CEE53" s="76"/>
      <c r="CEF53" s="76"/>
      <c r="CEG53" s="76"/>
      <c r="CEH53" s="76"/>
      <c r="CEI53" s="76"/>
      <c r="CEJ53" s="76"/>
      <c r="CEK53" s="76"/>
      <c r="CEL53" s="76"/>
      <c r="CEM53" s="76"/>
      <c r="CEN53" s="76"/>
      <c r="CEO53" s="76"/>
      <c r="CEP53" s="76"/>
      <c r="CEQ53" s="76"/>
      <c r="CER53" s="76"/>
      <c r="CES53" s="76"/>
      <c r="CET53" s="76"/>
      <c r="CEU53" s="76"/>
      <c r="CEV53" s="76"/>
      <c r="CEW53" s="76"/>
      <c r="CEX53" s="76"/>
      <c r="CEY53" s="76"/>
      <c r="CEZ53" s="76"/>
      <c r="CFA53" s="76"/>
      <c r="CFB53" s="76"/>
      <c r="CFC53" s="76"/>
      <c r="CFD53" s="76"/>
      <c r="CFE53" s="76"/>
      <c r="CFF53" s="76"/>
      <c r="CFG53" s="76"/>
      <c r="CFH53" s="76"/>
      <c r="CFI53" s="76"/>
      <c r="CFJ53" s="76"/>
      <c r="CFK53" s="76"/>
      <c r="CFL53" s="76"/>
      <c r="CFM53" s="76"/>
      <c r="CFN53" s="76"/>
      <c r="CFO53" s="76"/>
      <c r="CFP53" s="76"/>
      <c r="CFQ53" s="76"/>
      <c r="CFR53" s="76"/>
      <c r="CFS53" s="76"/>
      <c r="CFT53" s="76"/>
      <c r="CFU53" s="76"/>
      <c r="CFV53" s="76"/>
      <c r="CFW53" s="76"/>
      <c r="CFX53" s="76"/>
      <c r="CFY53" s="76"/>
      <c r="CFZ53" s="76"/>
      <c r="CGA53" s="76"/>
      <c r="CGB53" s="76"/>
      <c r="CGC53" s="76"/>
      <c r="CGD53" s="76"/>
      <c r="CGE53" s="76"/>
      <c r="CGF53" s="76"/>
      <c r="CGG53" s="76"/>
      <c r="CGH53" s="76"/>
      <c r="CGI53" s="76"/>
      <c r="CGJ53" s="76"/>
      <c r="CGK53" s="76"/>
      <c r="CGL53" s="76"/>
      <c r="CGM53" s="76"/>
      <c r="CGN53" s="76"/>
      <c r="CGO53" s="76"/>
      <c r="CGP53" s="76"/>
      <c r="CGQ53" s="76"/>
      <c r="CGR53" s="76"/>
      <c r="CGS53" s="76"/>
      <c r="CGT53" s="76"/>
      <c r="CGU53" s="76"/>
      <c r="CGV53" s="76"/>
      <c r="CGW53" s="76"/>
      <c r="CGX53" s="76"/>
      <c r="CGY53" s="76"/>
      <c r="CGZ53" s="76"/>
      <c r="CHA53" s="76"/>
      <c r="CHB53" s="76"/>
      <c r="CHC53" s="76"/>
      <c r="CHD53" s="76"/>
      <c r="CHE53" s="76"/>
      <c r="CHF53" s="76"/>
      <c r="CHG53" s="76"/>
      <c r="CHH53" s="76"/>
      <c r="CHI53" s="76"/>
      <c r="CHJ53" s="76"/>
      <c r="CHK53" s="76"/>
      <c r="CHL53" s="76"/>
      <c r="CHM53" s="76"/>
      <c r="CHN53" s="76"/>
      <c r="CHO53" s="76"/>
      <c r="CHP53" s="76"/>
      <c r="CHQ53" s="76"/>
      <c r="CHR53" s="76"/>
      <c r="CHS53" s="76"/>
      <c r="CHT53" s="76"/>
      <c r="CHU53" s="76"/>
      <c r="CHV53" s="76"/>
      <c r="CHW53" s="76"/>
      <c r="CHX53" s="76"/>
      <c r="CHY53" s="76"/>
      <c r="CHZ53" s="76"/>
      <c r="CIA53" s="76"/>
      <c r="CIB53" s="76"/>
      <c r="CIC53" s="76"/>
      <c r="CID53" s="76"/>
      <c r="CIE53" s="76"/>
      <c r="CIF53" s="76"/>
      <c r="CIG53" s="76"/>
      <c r="CIH53" s="76"/>
      <c r="CII53" s="76"/>
      <c r="CIJ53" s="76"/>
      <c r="CIK53" s="76"/>
      <c r="CIL53" s="76"/>
      <c r="CIM53" s="76"/>
      <c r="CIN53" s="76"/>
      <c r="CIO53" s="76"/>
      <c r="CIP53" s="76"/>
      <c r="CIQ53" s="76"/>
      <c r="CIR53" s="76"/>
      <c r="CIS53" s="76"/>
      <c r="CIT53" s="76"/>
      <c r="CIU53" s="76"/>
      <c r="CIV53" s="76"/>
      <c r="CIW53" s="76"/>
      <c r="CIX53" s="76"/>
      <c r="CIY53" s="76"/>
      <c r="CIZ53" s="76"/>
      <c r="CJA53" s="76"/>
      <c r="CJB53" s="76"/>
      <c r="CJC53" s="76"/>
      <c r="CJD53" s="76"/>
      <c r="CJE53" s="76"/>
      <c r="CJF53" s="76"/>
      <c r="CJG53" s="76"/>
      <c r="CJH53" s="76"/>
      <c r="CJI53" s="76"/>
      <c r="CJJ53" s="76"/>
      <c r="CJK53" s="76"/>
      <c r="CJL53" s="76"/>
      <c r="CJM53" s="76"/>
      <c r="CJN53" s="76"/>
      <c r="CJO53" s="76"/>
      <c r="CJP53" s="76"/>
      <c r="CJQ53" s="76"/>
      <c r="CJR53" s="76"/>
      <c r="CJS53" s="76"/>
      <c r="CJT53" s="76"/>
      <c r="CJU53" s="76"/>
      <c r="CJV53" s="76"/>
      <c r="CJW53" s="76"/>
      <c r="CJX53" s="76"/>
      <c r="CJY53" s="76"/>
      <c r="CJZ53" s="76"/>
      <c r="CKA53" s="76"/>
      <c r="CKB53" s="76"/>
      <c r="CKC53" s="76"/>
      <c r="CKD53" s="76"/>
      <c r="CKE53" s="76"/>
      <c r="CKF53" s="76"/>
      <c r="CKG53" s="76"/>
      <c r="CKH53" s="76"/>
      <c r="CKI53" s="76"/>
      <c r="CKJ53" s="76"/>
      <c r="CKK53" s="76"/>
      <c r="CKL53" s="76"/>
      <c r="CKM53" s="76"/>
      <c r="CKN53" s="76"/>
      <c r="CKO53" s="76"/>
      <c r="CKP53" s="76"/>
      <c r="CKQ53" s="76"/>
      <c r="CKR53" s="76"/>
      <c r="CKS53" s="76"/>
      <c r="CKT53" s="76"/>
      <c r="CKU53" s="76"/>
      <c r="CKV53" s="76"/>
      <c r="CKW53" s="76"/>
      <c r="CKX53" s="76"/>
      <c r="CKY53" s="76"/>
      <c r="CKZ53" s="76"/>
      <c r="CLA53" s="76"/>
      <c r="CLB53" s="76"/>
      <c r="CLC53" s="76"/>
      <c r="CLD53" s="76"/>
      <c r="CLE53" s="76"/>
      <c r="CLF53" s="76"/>
      <c r="CLG53" s="76"/>
      <c r="CLH53" s="76"/>
      <c r="CLI53" s="76"/>
      <c r="CLJ53" s="76"/>
      <c r="CLK53" s="76"/>
      <c r="CLL53" s="76"/>
      <c r="CLM53" s="76"/>
      <c r="CLN53" s="76"/>
      <c r="CLO53" s="76"/>
      <c r="CLP53" s="76"/>
      <c r="CLQ53" s="76"/>
      <c r="CLR53" s="76"/>
      <c r="CLS53" s="76"/>
      <c r="CLT53" s="76"/>
      <c r="CLU53" s="76"/>
      <c r="CLV53" s="76"/>
      <c r="CLW53" s="76"/>
      <c r="CLX53" s="76"/>
      <c r="CLY53" s="76"/>
      <c r="CLZ53" s="76"/>
      <c r="CMA53" s="76"/>
      <c r="CMB53" s="76"/>
      <c r="CMC53" s="76"/>
      <c r="CMD53" s="76"/>
      <c r="CME53" s="76"/>
      <c r="CMF53" s="76"/>
      <c r="CMG53" s="76"/>
      <c r="CMH53" s="76"/>
      <c r="CMI53" s="76"/>
      <c r="CMJ53" s="76"/>
      <c r="CMK53" s="76"/>
      <c r="CML53" s="76"/>
      <c r="CMM53" s="76"/>
      <c r="CMN53" s="76"/>
      <c r="CMO53" s="76"/>
      <c r="CMP53" s="76"/>
      <c r="CMQ53" s="76"/>
      <c r="CMR53" s="76"/>
      <c r="CMS53" s="76"/>
      <c r="CMT53" s="76"/>
      <c r="CMU53" s="76"/>
      <c r="CMV53" s="76"/>
      <c r="CMW53" s="76"/>
      <c r="CMX53" s="76"/>
      <c r="CMY53" s="76"/>
      <c r="CMZ53" s="76"/>
      <c r="CNA53" s="76"/>
      <c r="CNB53" s="76"/>
      <c r="CNC53" s="76"/>
      <c r="CND53" s="76"/>
      <c r="CNE53" s="76"/>
      <c r="CNF53" s="76"/>
      <c r="CNG53" s="76"/>
      <c r="CNH53" s="76"/>
      <c r="CNI53" s="76"/>
      <c r="CNJ53" s="76"/>
      <c r="CNK53" s="76"/>
      <c r="CNL53" s="76"/>
      <c r="CNM53" s="76"/>
      <c r="CNN53" s="76"/>
      <c r="CNO53" s="76"/>
      <c r="CNP53" s="76"/>
      <c r="CNQ53" s="76"/>
      <c r="CNR53" s="76"/>
      <c r="CNS53" s="76"/>
      <c r="CNT53" s="76"/>
      <c r="CNU53" s="76"/>
      <c r="CNV53" s="76"/>
      <c r="CNW53" s="76"/>
      <c r="CNX53" s="76"/>
      <c r="CNY53" s="76"/>
      <c r="CNZ53" s="76"/>
      <c r="COA53" s="76"/>
      <c r="COB53" s="76"/>
      <c r="COC53" s="76"/>
      <c r="COD53" s="76"/>
      <c r="COE53" s="76"/>
      <c r="COF53" s="76"/>
      <c r="COG53" s="76"/>
      <c r="COH53" s="76"/>
      <c r="COI53" s="76"/>
      <c r="COJ53" s="76"/>
      <c r="COK53" s="76"/>
      <c r="COL53" s="76"/>
      <c r="COM53" s="76"/>
      <c r="CON53" s="76"/>
      <c r="COO53" s="76"/>
      <c r="COP53" s="76"/>
      <c r="COQ53" s="76"/>
      <c r="COR53" s="76"/>
      <c r="COS53" s="76"/>
      <c r="COT53" s="76"/>
      <c r="COU53" s="76"/>
      <c r="COV53" s="76"/>
      <c r="COW53" s="76"/>
      <c r="COX53" s="76"/>
      <c r="COY53" s="76"/>
      <c r="COZ53" s="76"/>
      <c r="CPA53" s="76"/>
      <c r="CPB53" s="76"/>
      <c r="CPC53" s="76"/>
      <c r="CPD53" s="76"/>
      <c r="CPE53" s="76"/>
      <c r="CPF53" s="76"/>
      <c r="CPG53" s="76"/>
      <c r="CPH53" s="76"/>
      <c r="CPI53" s="76"/>
      <c r="CPJ53" s="76"/>
      <c r="CPK53" s="76"/>
      <c r="CPL53" s="76"/>
      <c r="CPM53" s="76"/>
      <c r="CPN53" s="76"/>
      <c r="CPO53" s="76"/>
      <c r="CPP53" s="76"/>
      <c r="CPQ53" s="76"/>
      <c r="CPR53" s="76"/>
      <c r="CPS53" s="76"/>
      <c r="CPT53" s="76"/>
      <c r="CPU53" s="76"/>
      <c r="CPV53" s="76"/>
      <c r="CPW53" s="76"/>
      <c r="CPX53" s="76"/>
      <c r="CPY53" s="76"/>
      <c r="CPZ53" s="76"/>
      <c r="CQA53" s="76"/>
      <c r="CQB53" s="76"/>
      <c r="CQC53" s="76"/>
      <c r="CQD53" s="76"/>
      <c r="CQE53" s="76"/>
      <c r="CQF53" s="76"/>
      <c r="CQG53" s="76"/>
      <c r="CQH53" s="76"/>
      <c r="CQI53" s="76"/>
      <c r="CQJ53" s="76"/>
      <c r="CQK53" s="76"/>
      <c r="CQL53" s="76"/>
      <c r="CQM53" s="76"/>
      <c r="CQN53" s="76"/>
      <c r="CQO53" s="76"/>
      <c r="CQP53" s="76"/>
      <c r="CQQ53" s="76"/>
      <c r="CQR53" s="76"/>
      <c r="CQS53" s="76"/>
      <c r="CQT53" s="76"/>
      <c r="CQU53" s="76"/>
      <c r="CQV53" s="76"/>
      <c r="CQW53" s="76"/>
      <c r="CQX53" s="76"/>
      <c r="CQY53" s="76"/>
      <c r="CQZ53" s="76"/>
      <c r="CRA53" s="76"/>
      <c r="CRB53" s="76"/>
      <c r="CRC53" s="76"/>
      <c r="CRD53" s="76"/>
      <c r="CRE53" s="76"/>
      <c r="CRF53" s="76"/>
      <c r="CRG53" s="76"/>
      <c r="CRH53" s="76"/>
      <c r="CRI53" s="76"/>
      <c r="CRJ53" s="76"/>
      <c r="CRK53" s="76"/>
      <c r="CRL53" s="76"/>
      <c r="CRM53" s="76"/>
      <c r="CRN53" s="76"/>
      <c r="CRO53" s="76"/>
      <c r="CRP53" s="76"/>
      <c r="CRQ53" s="76"/>
      <c r="CRR53" s="76"/>
      <c r="CRS53" s="76"/>
      <c r="CRT53" s="76"/>
      <c r="CRU53" s="76"/>
      <c r="CRV53" s="76"/>
      <c r="CRW53" s="76"/>
      <c r="CRX53" s="76"/>
      <c r="CRY53" s="76"/>
      <c r="CRZ53" s="76"/>
      <c r="CSA53" s="76"/>
      <c r="CSB53" s="76"/>
      <c r="CSC53" s="76"/>
      <c r="CSD53" s="76"/>
      <c r="CSE53" s="76"/>
      <c r="CSF53" s="76"/>
      <c r="CSG53" s="76"/>
      <c r="CSH53" s="76"/>
      <c r="CSI53" s="76"/>
      <c r="CSJ53" s="76"/>
      <c r="CSK53" s="76"/>
      <c r="CSL53" s="76"/>
      <c r="CSM53" s="76"/>
      <c r="CSN53" s="76"/>
      <c r="CSO53" s="76"/>
      <c r="CSP53" s="76"/>
      <c r="CSQ53" s="76"/>
      <c r="CSR53" s="76"/>
      <c r="CSS53" s="76"/>
      <c r="CST53" s="76"/>
      <c r="CSU53" s="76"/>
      <c r="CSV53" s="76"/>
      <c r="CSW53" s="76"/>
      <c r="CSX53" s="76"/>
      <c r="CSY53" s="76"/>
      <c r="CSZ53" s="76"/>
      <c r="CTA53" s="76"/>
      <c r="CTB53" s="76"/>
      <c r="CTC53" s="76"/>
      <c r="CTD53" s="76"/>
      <c r="CTE53" s="76"/>
      <c r="CTF53" s="76"/>
      <c r="CTG53" s="76"/>
      <c r="CTH53" s="76"/>
      <c r="CTI53" s="76"/>
      <c r="CTJ53" s="76"/>
      <c r="CTK53" s="76"/>
      <c r="CTL53" s="76"/>
      <c r="CTM53" s="76"/>
      <c r="CTN53" s="76"/>
      <c r="CTO53" s="76"/>
      <c r="CTP53" s="76"/>
      <c r="CTQ53" s="76"/>
      <c r="CTR53" s="76"/>
      <c r="CTS53" s="76"/>
      <c r="CTT53" s="76"/>
      <c r="CTU53" s="76"/>
      <c r="CTV53" s="76"/>
      <c r="CTW53" s="76"/>
      <c r="CTX53" s="76"/>
      <c r="CTY53" s="76"/>
      <c r="CTZ53" s="76"/>
      <c r="CUA53" s="76"/>
      <c r="CUB53" s="76"/>
      <c r="CUC53" s="76"/>
      <c r="CUD53" s="76"/>
      <c r="CUE53" s="76"/>
      <c r="CUF53" s="76"/>
      <c r="CUG53" s="76"/>
      <c r="CUH53" s="76"/>
      <c r="CUI53" s="76"/>
      <c r="CUJ53" s="76"/>
      <c r="CUK53" s="76"/>
      <c r="CUL53" s="76"/>
      <c r="CUM53" s="76"/>
      <c r="CUN53" s="76"/>
      <c r="CUO53" s="76"/>
      <c r="CUP53" s="76"/>
      <c r="CUQ53" s="76"/>
      <c r="CUR53" s="76"/>
      <c r="CUS53" s="76"/>
      <c r="CUT53" s="76"/>
      <c r="CUU53" s="76"/>
      <c r="CUV53" s="76"/>
      <c r="CUW53" s="76"/>
      <c r="CUX53" s="76"/>
      <c r="CUY53" s="76"/>
      <c r="CUZ53" s="76"/>
      <c r="CVA53" s="76"/>
      <c r="CVB53" s="76"/>
      <c r="CVC53" s="76"/>
      <c r="CVD53" s="76"/>
      <c r="CVE53" s="76"/>
      <c r="CVF53" s="76"/>
      <c r="CVG53" s="76"/>
      <c r="CVH53" s="76"/>
      <c r="CVI53" s="76"/>
      <c r="CVJ53" s="76"/>
      <c r="CVK53" s="76"/>
      <c r="CVL53" s="76"/>
      <c r="CVM53" s="76"/>
      <c r="CVN53" s="76"/>
      <c r="CVO53" s="76"/>
      <c r="CVP53" s="76"/>
      <c r="CVQ53" s="76"/>
      <c r="CVR53" s="76"/>
      <c r="CVS53" s="76"/>
      <c r="CVT53" s="76"/>
      <c r="CVU53" s="76"/>
      <c r="CVV53" s="76"/>
      <c r="CVW53" s="76"/>
      <c r="CVX53" s="76"/>
      <c r="CVY53" s="76"/>
      <c r="CVZ53" s="76"/>
      <c r="CWA53" s="76"/>
      <c r="CWB53" s="76"/>
      <c r="CWC53" s="76"/>
      <c r="CWD53" s="76"/>
      <c r="CWE53" s="76"/>
      <c r="CWF53" s="76"/>
      <c r="CWG53" s="76"/>
      <c r="CWH53" s="76"/>
      <c r="CWI53" s="76"/>
      <c r="CWJ53" s="76"/>
      <c r="CWK53" s="76"/>
      <c r="CWL53" s="76"/>
      <c r="CWM53" s="76"/>
      <c r="CWN53" s="76"/>
      <c r="CWO53" s="76"/>
      <c r="CWP53" s="76"/>
      <c r="CWQ53" s="76"/>
      <c r="CWR53" s="76"/>
      <c r="CWS53" s="76"/>
      <c r="CWT53" s="76"/>
      <c r="CWU53" s="76"/>
      <c r="CWV53" s="76"/>
      <c r="CWW53" s="76"/>
      <c r="CWX53" s="76"/>
      <c r="CWY53" s="76"/>
      <c r="CWZ53" s="76"/>
      <c r="CXA53" s="76"/>
      <c r="CXB53" s="76"/>
      <c r="CXC53" s="76"/>
      <c r="CXD53" s="76"/>
      <c r="CXE53" s="76"/>
      <c r="CXF53" s="76"/>
      <c r="CXG53" s="76"/>
      <c r="CXH53" s="76"/>
      <c r="CXI53" s="76"/>
      <c r="CXJ53" s="76"/>
      <c r="CXK53" s="76"/>
      <c r="CXL53" s="76"/>
      <c r="CXM53" s="76"/>
      <c r="CXN53" s="76"/>
      <c r="CXO53" s="76"/>
      <c r="CXP53" s="76"/>
      <c r="CXQ53" s="76"/>
      <c r="CXR53" s="76"/>
      <c r="CXS53" s="76"/>
      <c r="CXT53" s="76"/>
      <c r="CXU53" s="76"/>
      <c r="CXV53" s="76"/>
      <c r="CXW53" s="76"/>
      <c r="CXX53" s="76"/>
      <c r="CXY53" s="76"/>
      <c r="CXZ53" s="76"/>
      <c r="CYA53" s="76"/>
      <c r="CYB53" s="76"/>
      <c r="CYC53" s="76"/>
      <c r="CYD53" s="76"/>
      <c r="CYE53" s="76"/>
      <c r="CYF53" s="76"/>
      <c r="CYG53" s="76"/>
      <c r="CYH53" s="76"/>
      <c r="CYI53" s="76"/>
      <c r="CYJ53" s="76"/>
      <c r="CYK53" s="76"/>
      <c r="CYL53" s="76"/>
      <c r="CYM53" s="76"/>
      <c r="CYN53" s="76"/>
      <c r="CYO53" s="76"/>
      <c r="CYP53" s="76"/>
      <c r="CYQ53" s="76"/>
      <c r="CYR53" s="76"/>
      <c r="CYS53" s="76"/>
      <c r="CYT53" s="76"/>
      <c r="CYU53" s="76"/>
      <c r="CYV53" s="76"/>
      <c r="CYW53" s="76"/>
      <c r="CYX53" s="76"/>
      <c r="CYY53" s="76"/>
      <c r="CYZ53" s="76"/>
      <c r="CZA53" s="76"/>
      <c r="CZB53" s="76"/>
      <c r="CZC53" s="76"/>
      <c r="CZD53" s="76"/>
      <c r="CZE53" s="76"/>
      <c r="CZF53" s="76"/>
      <c r="CZG53" s="76"/>
      <c r="CZH53" s="76"/>
      <c r="CZI53" s="76"/>
      <c r="CZJ53" s="76"/>
      <c r="CZK53" s="76"/>
      <c r="CZL53" s="76"/>
      <c r="CZM53" s="76"/>
      <c r="CZN53" s="76"/>
      <c r="CZO53" s="76"/>
      <c r="CZP53" s="76"/>
      <c r="CZQ53" s="76"/>
      <c r="CZR53" s="76"/>
      <c r="CZS53" s="76"/>
      <c r="CZT53" s="76"/>
      <c r="CZU53" s="76"/>
      <c r="CZV53" s="76"/>
      <c r="CZW53" s="76"/>
      <c r="CZX53" s="76"/>
      <c r="CZY53" s="76"/>
      <c r="CZZ53" s="76"/>
      <c r="DAA53" s="76"/>
      <c r="DAB53" s="76"/>
      <c r="DAC53" s="76"/>
      <c r="DAD53" s="76"/>
      <c r="DAE53" s="76"/>
      <c r="DAF53" s="76"/>
      <c r="DAG53" s="76"/>
      <c r="DAH53" s="76"/>
      <c r="DAI53" s="76"/>
      <c r="DAJ53" s="76"/>
      <c r="DAK53" s="76"/>
      <c r="DAL53" s="76"/>
      <c r="DAM53" s="76"/>
      <c r="DAN53" s="76"/>
      <c r="DAO53" s="76"/>
      <c r="DAP53" s="76"/>
      <c r="DAQ53" s="76"/>
      <c r="DAR53" s="76"/>
      <c r="DAS53" s="76"/>
      <c r="DAT53" s="76"/>
      <c r="DAU53" s="76"/>
      <c r="DAV53" s="76"/>
      <c r="DAW53" s="76"/>
      <c r="DAX53" s="76"/>
      <c r="DAY53" s="76"/>
      <c r="DAZ53" s="76"/>
      <c r="DBA53" s="76"/>
      <c r="DBB53" s="76"/>
      <c r="DBC53" s="76"/>
      <c r="DBD53" s="76"/>
      <c r="DBE53" s="76"/>
      <c r="DBF53" s="76"/>
      <c r="DBG53" s="76"/>
      <c r="DBH53" s="76"/>
      <c r="DBI53" s="76"/>
      <c r="DBJ53" s="76"/>
      <c r="DBK53" s="76"/>
      <c r="DBL53" s="76"/>
      <c r="DBM53" s="76"/>
      <c r="DBN53" s="76"/>
      <c r="DBO53" s="76"/>
      <c r="DBP53" s="76"/>
      <c r="DBQ53" s="76"/>
      <c r="DBR53" s="76"/>
      <c r="DBS53" s="76"/>
      <c r="DBT53" s="76"/>
      <c r="DBU53" s="76"/>
      <c r="DBV53" s="76"/>
      <c r="DBW53" s="76"/>
      <c r="DBX53" s="76"/>
      <c r="DBY53" s="76"/>
      <c r="DBZ53" s="76"/>
      <c r="DCA53" s="76"/>
      <c r="DCB53" s="76"/>
      <c r="DCC53" s="76"/>
      <c r="DCD53" s="76"/>
      <c r="DCE53" s="76"/>
      <c r="DCF53" s="76"/>
      <c r="DCG53" s="76"/>
      <c r="DCH53" s="76"/>
      <c r="DCI53" s="76"/>
      <c r="DCJ53" s="76"/>
      <c r="DCK53" s="76"/>
      <c r="DCL53" s="76"/>
      <c r="DCM53" s="76"/>
      <c r="DCN53" s="76"/>
      <c r="DCO53" s="76"/>
      <c r="DCP53" s="76"/>
      <c r="DCQ53" s="76"/>
      <c r="DCR53" s="76"/>
      <c r="DCS53" s="76"/>
      <c r="DCT53" s="76"/>
      <c r="DCU53" s="76"/>
      <c r="DCV53" s="76"/>
      <c r="DCW53" s="76"/>
      <c r="DCX53" s="76"/>
      <c r="DCY53" s="76"/>
      <c r="DCZ53" s="76"/>
      <c r="DDA53" s="76"/>
      <c r="DDB53" s="76"/>
      <c r="DDC53" s="76"/>
      <c r="DDD53" s="76"/>
      <c r="DDE53" s="76"/>
      <c r="DDF53" s="76"/>
      <c r="DDG53" s="76"/>
      <c r="DDH53" s="76"/>
      <c r="DDI53" s="76"/>
      <c r="DDJ53" s="76"/>
      <c r="DDK53" s="76"/>
      <c r="DDL53" s="76"/>
      <c r="DDM53" s="76"/>
      <c r="DDN53" s="76"/>
      <c r="DDO53" s="76"/>
      <c r="DDP53" s="76"/>
      <c r="DDQ53" s="76"/>
      <c r="DDR53" s="76"/>
      <c r="DDS53" s="76"/>
      <c r="DDT53" s="76"/>
      <c r="DDU53" s="76"/>
      <c r="DDV53" s="76"/>
      <c r="DDW53" s="76"/>
      <c r="DDX53" s="76"/>
      <c r="DDY53" s="76"/>
      <c r="DDZ53" s="76"/>
      <c r="DEA53" s="76"/>
      <c r="DEB53" s="76"/>
      <c r="DEC53" s="76"/>
      <c r="DED53" s="76"/>
      <c r="DEE53" s="76"/>
      <c r="DEF53" s="76"/>
      <c r="DEG53" s="76"/>
      <c r="DEH53" s="76"/>
      <c r="DEI53" s="76"/>
      <c r="DEJ53" s="76"/>
      <c r="DEK53" s="76"/>
      <c r="DEL53" s="76"/>
      <c r="DEM53" s="76"/>
      <c r="DEN53" s="76"/>
      <c r="DEO53" s="76"/>
      <c r="DEP53" s="76"/>
      <c r="DEQ53" s="76"/>
      <c r="DER53" s="76"/>
      <c r="DES53" s="76"/>
      <c r="DET53" s="76"/>
      <c r="DEU53" s="76"/>
      <c r="DEV53" s="76"/>
      <c r="DEW53" s="76"/>
      <c r="DEX53" s="76"/>
      <c r="DEY53" s="76"/>
      <c r="DEZ53" s="76"/>
      <c r="DFA53" s="76"/>
      <c r="DFB53" s="76"/>
      <c r="DFC53" s="76"/>
      <c r="DFD53" s="76"/>
      <c r="DFE53" s="76"/>
      <c r="DFF53" s="76"/>
      <c r="DFG53" s="76"/>
      <c r="DFH53" s="76"/>
      <c r="DFI53" s="76"/>
      <c r="DFJ53" s="76"/>
      <c r="DFK53" s="76"/>
      <c r="DFL53" s="76"/>
      <c r="DFM53" s="76"/>
      <c r="DFN53" s="76"/>
      <c r="DFO53" s="76"/>
      <c r="DFP53" s="76"/>
      <c r="DFQ53" s="76"/>
      <c r="DFR53" s="76"/>
      <c r="DFS53" s="76"/>
      <c r="DFT53" s="76"/>
      <c r="DFU53" s="76"/>
      <c r="DFV53" s="76"/>
      <c r="DFW53" s="76"/>
      <c r="DFX53" s="76"/>
      <c r="DFY53" s="76"/>
      <c r="DFZ53" s="76"/>
      <c r="DGA53" s="76"/>
      <c r="DGB53" s="76"/>
      <c r="DGC53" s="76"/>
      <c r="DGD53" s="76"/>
      <c r="DGE53" s="76"/>
      <c r="DGF53" s="76"/>
      <c r="DGG53" s="76"/>
      <c r="DGH53" s="76"/>
      <c r="DGI53" s="76"/>
      <c r="DGJ53" s="76"/>
      <c r="DGK53" s="76"/>
      <c r="DGL53" s="76"/>
      <c r="DGM53" s="76"/>
      <c r="DGN53" s="76"/>
      <c r="DGO53" s="76"/>
      <c r="DGP53" s="76"/>
      <c r="DGQ53" s="76"/>
      <c r="DGR53" s="76"/>
      <c r="DGS53" s="76"/>
      <c r="DGT53" s="76"/>
      <c r="DGU53" s="76"/>
      <c r="DGV53" s="76"/>
      <c r="DGW53" s="76"/>
      <c r="DGX53" s="76"/>
      <c r="DGY53" s="76"/>
      <c r="DGZ53" s="76"/>
      <c r="DHA53" s="76"/>
      <c r="DHB53" s="76"/>
      <c r="DHC53" s="76"/>
      <c r="DHD53" s="76"/>
      <c r="DHE53" s="76"/>
      <c r="DHF53" s="76"/>
      <c r="DHG53" s="76"/>
      <c r="DHH53" s="76"/>
      <c r="DHI53" s="76"/>
      <c r="DHJ53" s="76"/>
      <c r="DHK53" s="76"/>
      <c r="DHL53" s="76"/>
      <c r="DHM53" s="76"/>
      <c r="DHN53" s="76"/>
      <c r="DHO53" s="76"/>
      <c r="DHP53" s="76"/>
      <c r="DHQ53" s="76"/>
      <c r="DHR53" s="76"/>
      <c r="DHS53" s="76"/>
      <c r="DHT53" s="76"/>
      <c r="DHU53" s="76"/>
      <c r="DHV53" s="76"/>
      <c r="DHW53" s="76"/>
      <c r="DHX53" s="76"/>
      <c r="DHY53" s="76"/>
      <c r="DHZ53" s="76"/>
      <c r="DIA53" s="76"/>
      <c r="DIB53" s="76"/>
      <c r="DIC53" s="76"/>
      <c r="DID53" s="76"/>
      <c r="DIE53" s="76"/>
      <c r="DIF53" s="76"/>
      <c r="DIG53" s="76"/>
      <c r="DIH53" s="76"/>
      <c r="DII53" s="76"/>
      <c r="DIJ53" s="76"/>
      <c r="DIK53" s="76"/>
      <c r="DIL53" s="76"/>
      <c r="DIM53" s="76"/>
      <c r="DIN53" s="76"/>
      <c r="DIO53" s="76"/>
      <c r="DIP53" s="76"/>
      <c r="DIQ53" s="76"/>
      <c r="DIR53" s="76"/>
      <c r="DIS53" s="76"/>
      <c r="DIT53" s="76"/>
      <c r="DIU53" s="76"/>
      <c r="DIV53" s="76"/>
      <c r="DIW53" s="76"/>
      <c r="DIX53" s="76"/>
      <c r="DIY53" s="76"/>
      <c r="DIZ53" s="76"/>
      <c r="DJA53" s="76"/>
      <c r="DJB53" s="76"/>
      <c r="DJC53" s="76"/>
      <c r="DJD53" s="76"/>
      <c r="DJE53" s="76"/>
      <c r="DJF53" s="76"/>
      <c r="DJG53" s="76"/>
      <c r="DJH53" s="76"/>
      <c r="DJI53" s="76"/>
      <c r="DJJ53" s="76"/>
      <c r="DJK53" s="76"/>
      <c r="DJL53" s="76"/>
      <c r="DJM53" s="76"/>
      <c r="DJN53" s="76"/>
      <c r="DJO53" s="76"/>
      <c r="DJP53" s="76"/>
      <c r="DJQ53" s="76"/>
      <c r="DJR53" s="76"/>
      <c r="DJS53" s="76"/>
      <c r="DJT53" s="76"/>
      <c r="DJU53" s="76"/>
      <c r="DJV53" s="76"/>
      <c r="DJW53" s="76"/>
      <c r="DJX53" s="76"/>
      <c r="DJY53" s="76"/>
      <c r="DJZ53" s="76"/>
      <c r="DKA53" s="76"/>
      <c r="DKB53" s="76"/>
      <c r="DKC53" s="76"/>
      <c r="DKD53" s="76"/>
      <c r="DKE53" s="76"/>
      <c r="DKF53" s="76"/>
      <c r="DKG53" s="76"/>
      <c r="DKH53" s="76"/>
      <c r="DKI53" s="76"/>
      <c r="DKJ53" s="76"/>
      <c r="DKK53" s="76"/>
      <c r="DKL53" s="76"/>
      <c r="DKM53" s="76"/>
      <c r="DKN53" s="76"/>
      <c r="DKO53" s="76"/>
      <c r="DKP53" s="76"/>
      <c r="DKQ53" s="76"/>
      <c r="DKR53" s="76"/>
      <c r="DKS53" s="76"/>
      <c r="DKT53" s="76"/>
      <c r="DKU53" s="76"/>
      <c r="DKV53" s="76"/>
      <c r="DKW53" s="76"/>
      <c r="DKX53" s="76"/>
      <c r="DKY53" s="76"/>
      <c r="DKZ53" s="76"/>
      <c r="DLA53" s="76"/>
      <c r="DLB53" s="76"/>
      <c r="DLC53" s="76"/>
      <c r="DLD53" s="76"/>
      <c r="DLE53" s="76"/>
      <c r="DLF53" s="76"/>
      <c r="DLG53" s="76"/>
      <c r="DLH53" s="76"/>
      <c r="DLI53" s="76"/>
      <c r="DLJ53" s="76"/>
      <c r="DLK53" s="76"/>
      <c r="DLL53" s="76"/>
      <c r="DLM53" s="76"/>
      <c r="DLN53" s="76"/>
      <c r="DLO53" s="76"/>
      <c r="DLP53" s="76"/>
      <c r="DLQ53" s="76"/>
      <c r="DLR53" s="76"/>
      <c r="DLS53" s="76"/>
      <c r="DLT53" s="76"/>
      <c r="DLU53" s="76"/>
      <c r="DLV53" s="76"/>
      <c r="DLW53" s="76"/>
      <c r="DLX53" s="76"/>
      <c r="DLY53" s="76"/>
      <c r="DLZ53" s="76"/>
      <c r="DMA53" s="76"/>
      <c r="DMB53" s="76"/>
      <c r="DMC53" s="76"/>
      <c r="DMD53" s="76"/>
      <c r="DME53" s="76"/>
      <c r="DMF53" s="76"/>
      <c r="DMG53" s="76"/>
      <c r="DMH53" s="76"/>
      <c r="DMI53" s="76"/>
      <c r="DMJ53" s="76"/>
      <c r="DMK53" s="76"/>
      <c r="DML53" s="76"/>
      <c r="DMM53" s="76"/>
      <c r="DMN53" s="76"/>
      <c r="DMO53" s="76"/>
      <c r="DMP53" s="76"/>
      <c r="DMQ53" s="76"/>
      <c r="DMR53" s="76"/>
      <c r="DMS53" s="76"/>
      <c r="DMT53" s="76"/>
      <c r="DMU53" s="76"/>
      <c r="DMV53" s="76"/>
      <c r="DMW53" s="76"/>
      <c r="DMX53" s="76"/>
      <c r="DMY53" s="76"/>
      <c r="DMZ53" s="76"/>
      <c r="DNA53" s="76"/>
      <c r="DNB53" s="76"/>
      <c r="DNC53" s="76"/>
      <c r="DND53" s="76"/>
      <c r="DNE53" s="76"/>
      <c r="DNF53" s="76"/>
      <c r="DNG53" s="76"/>
      <c r="DNH53" s="76"/>
      <c r="DNI53" s="76"/>
      <c r="DNJ53" s="76"/>
      <c r="DNK53" s="76"/>
      <c r="DNL53" s="76"/>
      <c r="DNM53" s="76"/>
      <c r="DNN53" s="76"/>
      <c r="DNO53" s="76"/>
      <c r="DNP53" s="76"/>
      <c r="DNQ53" s="76"/>
      <c r="DNR53" s="76"/>
      <c r="DNS53" s="76"/>
      <c r="DNT53" s="76"/>
      <c r="DNU53" s="76"/>
      <c r="DNV53" s="76"/>
      <c r="DNW53" s="76"/>
      <c r="DNX53" s="76"/>
      <c r="DNY53" s="76"/>
      <c r="DNZ53" s="76"/>
      <c r="DOA53" s="76"/>
      <c r="DOB53" s="76"/>
      <c r="DOC53" s="76"/>
      <c r="DOD53" s="76"/>
      <c r="DOE53" s="76"/>
      <c r="DOF53" s="76"/>
      <c r="DOG53" s="76"/>
      <c r="DOH53" s="76"/>
      <c r="DOI53" s="76"/>
      <c r="DOJ53" s="76"/>
      <c r="DOK53" s="76"/>
      <c r="DOL53" s="76"/>
      <c r="DOM53" s="76"/>
      <c r="DON53" s="76"/>
      <c r="DOO53" s="76"/>
      <c r="DOP53" s="76"/>
      <c r="DOQ53" s="76"/>
      <c r="DOR53" s="76"/>
      <c r="DOS53" s="76"/>
      <c r="DOT53" s="76"/>
      <c r="DOU53" s="76"/>
      <c r="DOV53" s="76"/>
      <c r="DOW53" s="76"/>
      <c r="DOX53" s="76"/>
      <c r="DOY53" s="76"/>
      <c r="DOZ53" s="76"/>
      <c r="DPA53" s="76"/>
      <c r="DPB53" s="76"/>
      <c r="DPC53" s="76"/>
      <c r="DPD53" s="76"/>
      <c r="DPE53" s="76"/>
      <c r="DPF53" s="76"/>
      <c r="DPG53" s="76"/>
      <c r="DPH53" s="76"/>
      <c r="DPI53" s="76"/>
      <c r="DPJ53" s="76"/>
      <c r="DPK53" s="76"/>
      <c r="DPL53" s="76"/>
      <c r="DPM53" s="76"/>
      <c r="DPN53" s="76"/>
      <c r="DPO53" s="76"/>
      <c r="DPP53" s="76"/>
      <c r="DPQ53" s="76"/>
      <c r="DPR53" s="76"/>
      <c r="DPS53" s="76"/>
      <c r="DPT53" s="76"/>
      <c r="DPU53" s="76"/>
      <c r="DPV53" s="76"/>
      <c r="DPW53" s="76"/>
      <c r="DPX53" s="76"/>
      <c r="DPY53" s="76"/>
      <c r="DPZ53" s="76"/>
      <c r="DQA53" s="76"/>
      <c r="DQB53" s="76"/>
      <c r="DQC53" s="76"/>
      <c r="DQD53" s="76"/>
      <c r="DQE53" s="76"/>
      <c r="DQF53" s="76"/>
      <c r="DQG53" s="76"/>
      <c r="DQH53" s="76"/>
      <c r="DQI53" s="76"/>
      <c r="DQJ53" s="76"/>
      <c r="DQK53" s="76"/>
      <c r="DQL53" s="76"/>
      <c r="DQM53" s="76"/>
      <c r="DQN53" s="76"/>
      <c r="DQO53" s="76"/>
      <c r="DQP53" s="76"/>
      <c r="DQQ53" s="76"/>
      <c r="DQR53" s="76"/>
      <c r="DQS53" s="76"/>
      <c r="DQT53" s="76"/>
      <c r="DQU53" s="76"/>
      <c r="DQV53" s="76"/>
      <c r="DQW53" s="76"/>
      <c r="DQX53" s="76"/>
      <c r="DQY53" s="76"/>
      <c r="DQZ53" s="76"/>
      <c r="DRA53" s="76"/>
      <c r="DRB53" s="76"/>
      <c r="DRC53" s="76"/>
      <c r="DRD53" s="76"/>
      <c r="DRE53" s="76"/>
      <c r="DRF53" s="76"/>
      <c r="DRG53" s="76"/>
      <c r="DRH53" s="76"/>
      <c r="DRI53" s="76"/>
      <c r="DRJ53" s="76"/>
      <c r="DRK53" s="76"/>
      <c r="DRL53" s="76"/>
      <c r="DRM53" s="76"/>
      <c r="DRN53" s="76"/>
      <c r="DRO53" s="76"/>
      <c r="DRP53" s="76"/>
      <c r="DRQ53" s="76"/>
      <c r="DRR53" s="76"/>
      <c r="DRS53" s="76"/>
      <c r="DRT53" s="76"/>
      <c r="DRU53" s="76"/>
      <c r="DRV53" s="76"/>
      <c r="DRW53" s="76"/>
      <c r="DRX53" s="76"/>
      <c r="DRY53" s="76"/>
      <c r="DRZ53" s="76"/>
      <c r="DSA53" s="76"/>
      <c r="DSB53" s="76"/>
      <c r="DSC53" s="76"/>
      <c r="DSD53" s="76"/>
      <c r="DSE53" s="76"/>
      <c r="DSF53" s="76"/>
      <c r="DSG53" s="76"/>
      <c r="DSH53" s="76"/>
      <c r="DSI53" s="76"/>
      <c r="DSJ53" s="76"/>
      <c r="DSK53" s="76"/>
      <c r="DSL53" s="76"/>
      <c r="DSM53" s="76"/>
      <c r="DSN53" s="76"/>
      <c r="DSO53" s="76"/>
      <c r="DSP53" s="76"/>
      <c r="DSQ53" s="76"/>
      <c r="DSR53" s="76"/>
      <c r="DSS53" s="76"/>
      <c r="DST53" s="76"/>
      <c r="DSU53" s="76"/>
      <c r="DSV53" s="76"/>
      <c r="DSW53" s="76"/>
      <c r="DSX53" s="76"/>
      <c r="DSY53" s="76"/>
      <c r="DSZ53" s="76"/>
      <c r="DTA53" s="76"/>
      <c r="DTB53" s="76"/>
      <c r="DTC53" s="76"/>
      <c r="DTD53" s="76"/>
      <c r="DTE53" s="76"/>
      <c r="DTF53" s="76"/>
      <c r="DTG53" s="76"/>
      <c r="DTH53" s="76"/>
      <c r="DTI53" s="76"/>
      <c r="DTJ53" s="76"/>
      <c r="DTK53" s="76"/>
      <c r="DTL53" s="76"/>
      <c r="DTM53" s="76"/>
      <c r="DTN53" s="76"/>
      <c r="DTO53" s="76"/>
      <c r="DTP53" s="76"/>
      <c r="DTQ53" s="76"/>
      <c r="DTR53" s="76"/>
      <c r="DTS53" s="76"/>
      <c r="DTT53" s="76"/>
      <c r="DTU53" s="76"/>
      <c r="DTV53" s="76"/>
      <c r="DTW53" s="76"/>
      <c r="DTX53" s="76"/>
      <c r="DTY53" s="76"/>
      <c r="DTZ53" s="76"/>
      <c r="DUA53" s="76"/>
      <c r="DUB53" s="76"/>
      <c r="DUC53" s="76"/>
      <c r="DUD53" s="76"/>
      <c r="DUE53" s="76"/>
      <c r="DUF53" s="76"/>
      <c r="DUG53" s="76"/>
      <c r="DUH53" s="76"/>
      <c r="DUI53" s="76"/>
      <c r="DUJ53" s="76"/>
      <c r="DUK53" s="76"/>
      <c r="DUL53" s="76"/>
      <c r="DUM53" s="76"/>
      <c r="DUN53" s="76"/>
      <c r="DUO53" s="76"/>
      <c r="DUP53" s="76"/>
      <c r="DUQ53" s="76"/>
      <c r="DUR53" s="76"/>
      <c r="DUS53" s="76"/>
      <c r="DUT53" s="76"/>
      <c r="DUU53" s="76"/>
      <c r="DUV53" s="76"/>
      <c r="DUW53" s="76"/>
      <c r="DUX53" s="76"/>
      <c r="DUY53" s="76"/>
      <c r="DUZ53" s="76"/>
      <c r="DVA53" s="76"/>
      <c r="DVB53" s="76"/>
      <c r="DVC53" s="76"/>
      <c r="DVD53" s="76"/>
      <c r="DVE53" s="76"/>
      <c r="DVF53" s="76"/>
      <c r="DVG53" s="76"/>
      <c r="DVH53" s="76"/>
      <c r="DVI53" s="76"/>
      <c r="DVJ53" s="76"/>
      <c r="DVK53" s="76"/>
      <c r="DVL53" s="76"/>
      <c r="DVM53" s="76"/>
      <c r="DVN53" s="76"/>
      <c r="DVO53" s="76"/>
      <c r="DVP53" s="76"/>
      <c r="DVQ53" s="76"/>
      <c r="DVR53" s="76"/>
      <c r="DVS53" s="76"/>
      <c r="DVT53" s="76"/>
      <c r="DVU53" s="76"/>
      <c r="DVV53" s="76"/>
      <c r="DVW53" s="76"/>
      <c r="DVX53" s="76"/>
      <c r="DVY53" s="76"/>
      <c r="DVZ53" s="76"/>
      <c r="DWA53" s="76"/>
      <c r="DWB53" s="76"/>
      <c r="DWC53" s="76"/>
      <c r="DWD53" s="76"/>
      <c r="DWE53" s="76"/>
      <c r="DWF53" s="76"/>
      <c r="DWG53" s="76"/>
      <c r="DWH53" s="76"/>
      <c r="DWI53" s="76"/>
      <c r="DWJ53" s="76"/>
      <c r="DWK53" s="76"/>
      <c r="DWL53" s="76"/>
      <c r="DWM53" s="76"/>
      <c r="DWN53" s="76"/>
      <c r="DWO53" s="76"/>
      <c r="DWP53" s="76"/>
      <c r="DWQ53" s="76"/>
      <c r="DWR53" s="76"/>
      <c r="DWS53" s="76"/>
      <c r="DWT53" s="76"/>
      <c r="DWU53" s="76"/>
      <c r="DWV53" s="76"/>
      <c r="DWW53" s="76"/>
      <c r="DWX53" s="76"/>
      <c r="DWY53" s="76"/>
      <c r="DWZ53" s="76"/>
      <c r="DXA53" s="76"/>
      <c r="DXB53" s="76"/>
      <c r="DXC53" s="76"/>
      <c r="DXD53" s="76"/>
      <c r="DXE53" s="76"/>
      <c r="DXF53" s="76"/>
      <c r="DXG53" s="76"/>
      <c r="DXH53" s="76"/>
      <c r="DXI53" s="76"/>
      <c r="DXJ53" s="76"/>
      <c r="DXK53" s="76"/>
      <c r="DXL53" s="76"/>
      <c r="DXM53" s="76"/>
      <c r="DXN53" s="76"/>
      <c r="DXO53" s="76"/>
      <c r="DXP53" s="76"/>
      <c r="DXQ53" s="76"/>
      <c r="DXR53" s="76"/>
      <c r="DXS53" s="76"/>
      <c r="DXT53" s="76"/>
      <c r="DXU53" s="76"/>
      <c r="DXV53" s="76"/>
      <c r="DXW53" s="76"/>
      <c r="DXX53" s="76"/>
      <c r="DXY53" s="76"/>
      <c r="DXZ53" s="76"/>
      <c r="DYA53" s="76"/>
      <c r="DYB53" s="76"/>
      <c r="DYC53" s="76"/>
      <c r="DYD53" s="76"/>
      <c r="DYE53" s="76"/>
      <c r="DYF53" s="76"/>
      <c r="DYG53" s="76"/>
      <c r="DYH53" s="76"/>
      <c r="DYI53" s="76"/>
      <c r="DYJ53" s="76"/>
      <c r="DYK53" s="76"/>
      <c r="DYL53" s="76"/>
      <c r="DYM53" s="76"/>
      <c r="DYN53" s="76"/>
      <c r="DYO53" s="76"/>
      <c r="DYP53" s="76"/>
      <c r="DYQ53" s="76"/>
      <c r="DYR53" s="76"/>
      <c r="DYS53" s="76"/>
      <c r="DYT53" s="76"/>
      <c r="DYU53" s="76"/>
      <c r="DYV53" s="76"/>
      <c r="DYW53" s="76"/>
      <c r="DYX53" s="76"/>
      <c r="DYY53" s="76"/>
      <c r="DYZ53" s="76"/>
      <c r="DZA53" s="76"/>
      <c r="DZB53" s="76"/>
      <c r="DZC53" s="76"/>
      <c r="DZD53" s="76"/>
      <c r="DZE53" s="76"/>
      <c r="DZF53" s="76"/>
      <c r="DZG53" s="76"/>
      <c r="DZH53" s="76"/>
      <c r="DZI53" s="76"/>
      <c r="DZJ53" s="76"/>
      <c r="DZK53" s="76"/>
      <c r="DZL53" s="76"/>
      <c r="DZM53" s="76"/>
      <c r="DZN53" s="76"/>
      <c r="DZO53" s="76"/>
      <c r="DZP53" s="76"/>
      <c r="DZQ53" s="76"/>
      <c r="DZR53" s="76"/>
      <c r="DZS53" s="76"/>
      <c r="DZT53" s="76"/>
      <c r="DZU53" s="76"/>
      <c r="DZV53" s="76"/>
      <c r="DZW53" s="76"/>
      <c r="DZX53" s="76"/>
      <c r="DZY53" s="76"/>
      <c r="DZZ53" s="76"/>
      <c r="EAA53" s="76"/>
      <c r="EAB53" s="76"/>
      <c r="EAC53" s="76"/>
      <c r="EAD53" s="76"/>
      <c r="EAE53" s="76"/>
      <c r="EAF53" s="76"/>
      <c r="EAG53" s="76"/>
      <c r="EAH53" s="76"/>
      <c r="EAI53" s="76"/>
      <c r="EAJ53" s="76"/>
      <c r="EAK53" s="76"/>
      <c r="EAL53" s="76"/>
      <c r="EAM53" s="76"/>
      <c r="EAN53" s="76"/>
      <c r="EAO53" s="76"/>
      <c r="EAP53" s="76"/>
      <c r="EAQ53" s="76"/>
      <c r="EAR53" s="76"/>
      <c r="EAS53" s="76"/>
      <c r="EAT53" s="76"/>
      <c r="EAU53" s="76"/>
      <c r="EAV53" s="76"/>
      <c r="EAW53" s="76"/>
      <c r="EAX53" s="76"/>
      <c r="EAY53" s="76"/>
      <c r="EAZ53" s="76"/>
      <c r="EBA53" s="76"/>
      <c r="EBB53" s="76"/>
      <c r="EBC53" s="76"/>
      <c r="EBD53" s="76"/>
      <c r="EBE53" s="76"/>
      <c r="EBF53" s="76"/>
      <c r="EBG53" s="76"/>
      <c r="EBH53" s="76"/>
      <c r="EBI53" s="76"/>
      <c r="EBJ53" s="76"/>
      <c r="EBK53" s="76"/>
      <c r="EBL53" s="76"/>
      <c r="EBM53" s="76"/>
      <c r="EBN53" s="76"/>
      <c r="EBO53" s="76"/>
      <c r="EBP53" s="76"/>
      <c r="EBQ53" s="76"/>
      <c r="EBR53" s="76"/>
      <c r="EBS53" s="76"/>
      <c r="EBT53" s="76"/>
      <c r="EBU53" s="76"/>
      <c r="EBV53" s="76"/>
      <c r="EBW53" s="76"/>
      <c r="EBX53" s="76"/>
      <c r="EBY53" s="76"/>
      <c r="EBZ53" s="76"/>
      <c r="ECA53" s="76"/>
      <c r="ECB53" s="76"/>
      <c r="ECC53" s="76"/>
      <c r="ECD53" s="76"/>
      <c r="ECE53" s="76"/>
      <c r="ECF53" s="76"/>
      <c r="ECG53" s="76"/>
      <c r="ECH53" s="76"/>
      <c r="ECI53" s="76"/>
      <c r="ECJ53" s="76"/>
      <c r="ECK53" s="76"/>
      <c r="ECL53" s="76"/>
      <c r="ECM53" s="76"/>
      <c r="ECN53" s="76"/>
      <c r="ECO53" s="76"/>
      <c r="ECP53" s="76"/>
      <c r="ECQ53" s="76"/>
      <c r="ECR53" s="76"/>
      <c r="ECS53" s="76"/>
      <c r="ECT53" s="76"/>
      <c r="ECU53" s="76"/>
      <c r="ECV53" s="76"/>
      <c r="ECW53" s="76"/>
      <c r="ECX53" s="76"/>
      <c r="ECY53" s="76"/>
      <c r="ECZ53" s="76"/>
      <c r="EDA53" s="76"/>
      <c r="EDB53" s="76"/>
      <c r="EDC53" s="76"/>
      <c r="EDD53" s="76"/>
      <c r="EDE53" s="76"/>
      <c r="EDF53" s="76"/>
      <c r="EDG53" s="76"/>
      <c r="EDH53" s="76"/>
      <c r="EDI53" s="76"/>
      <c r="EDJ53" s="76"/>
      <c r="EDK53" s="76"/>
      <c r="EDL53" s="76"/>
      <c r="EDM53" s="76"/>
      <c r="EDN53" s="76"/>
      <c r="EDO53" s="76"/>
      <c r="EDP53" s="76"/>
      <c r="EDQ53" s="76"/>
      <c r="EDR53" s="76"/>
      <c r="EDS53" s="76"/>
      <c r="EDT53" s="76"/>
      <c r="EDU53" s="76"/>
      <c r="EDV53" s="76"/>
      <c r="EDW53" s="76"/>
      <c r="EDX53" s="76"/>
      <c r="EDY53" s="76"/>
      <c r="EDZ53" s="76"/>
      <c r="EEA53" s="76"/>
      <c r="EEB53" s="76"/>
      <c r="EEC53" s="76"/>
      <c r="EED53" s="76"/>
      <c r="EEE53" s="76"/>
      <c r="EEF53" s="76"/>
      <c r="EEG53" s="76"/>
      <c r="EEH53" s="76"/>
      <c r="EEI53" s="76"/>
      <c r="EEJ53" s="76"/>
      <c r="EEK53" s="76"/>
      <c r="EEL53" s="76"/>
      <c r="EEM53" s="76"/>
      <c r="EEN53" s="76"/>
      <c r="EEO53" s="76"/>
      <c r="EEP53" s="76"/>
      <c r="EEQ53" s="76"/>
      <c r="EER53" s="76"/>
      <c r="EES53" s="76"/>
      <c r="EET53" s="76"/>
      <c r="EEU53" s="76"/>
      <c r="EEV53" s="76"/>
      <c r="EEW53" s="76"/>
      <c r="EEX53" s="76"/>
      <c r="EEY53" s="76"/>
      <c r="EEZ53" s="76"/>
      <c r="EFA53" s="76"/>
      <c r="EFB53" s="76"/>
      <c r="EFC53" s="76"/>
      <c r="EFD53" s="76"/>
      <c r="EFE53" s="76"/>
      <c r="EFF53" s="76"/>
      <c r="EFG53" s="76"/>
      <c r="EFH53" s="76"/>
      <c r="EFI53" s="76"/>
      <c r="EFJ53" s="76"/>
      <c r="EFK53" s="76"/>
      <c r="EFL53" s="76"/>
      <c r="EFM53" s="76"/>
      <c r="EFN53" s="76"/>
      <c r="EFO53" s="76"/>
      <c r="EFP53" s="76"/>
      <c r="EFQ53" s="76"/>
      <c r="EFR53" s="76"/>
      <c r="EFS53" s="76"/>
      <c r="EFT53" s="76"/>
      <c r="EFU53" s="76"/>
      <c r="EFV53" s="76"/>
      <c r="EFW53" s="76"/>
      <c r="EFX53" s="76"/>
      <c r="EFY53" s="76"/>
      <c r="EFZ53" s="76"/>
      <c r="EGA53" s="76"/>
      <c r="EGB53" s="76"/>
      <c r="EGC53" s="76"/>
      <c r="EGD53" s="76"/>
      <c r="EGE53" s="76"/>
      <c r="EGF53" s="76"/>
      <c r="EGG53" s="76"/>
      <c r="EGH53" s="76"/>
      <c r="EGI53" s="76"/>
      <c r="EGJ53" s="76"/>
      <c r="EGK53" s="76"/>
      <c r="EGL53" s="76"/>
      <c r="EGM53" s="76"/>
      <c r="EGN53" s="76"/>
      <c r="EGO53" s="76"/>
      <c r="EGP53" s="76"/>
      <c r="EGQ53" s="76"/>
      <c r="EGR53" s="76"/>
      <c r="EGS53" s="76"/>
      <c r="EGT53" s="76"/>
      <c r="EGU53" s="76"/>
      <c r="EGV53" s="76"/>
      <c r="EGW53" s="76"/>
      <c r="EGX53" s="76"/>
      <c r="EGY53" s="76"/>
      <c r="EGZ53" s="76"/>
      <c r="EHA53" s="76"/>
      <c r="EHB53" s="76"/>
      <c r="EHC53" s="76"/>
      <c r="EHD53" s="76"/>
      <c r="EHE53" s="76"/>
      <c r="EHF53" s="76"/>
      <c r="EHG53" s="76"/>
      <c r="EHH53" s="76"/>
      <c r="EHI53" s="76"/>
      <c r="EHJ53" s="76"/>
      <c r="EHK53" s="76"/>
      <c r="EHL53" s="76"/>
      <c r="EHM53" s="76"/>
      <c r="EHN53" s="76"/>
      <c r="EHO53" s="76"/>
      <c r="EHP53" s="76"/>
      <c r="EHQ53" s="76"/>
      <c r="EHR53" s="76"/>
      <c r="EHS53" s="76"/>
      <c r="EHT53" s="76"/>
      <c r="EHU53" s="76"/>
      <c r="EHV53" s="76"/>
      <c r="EHW53" s="76"/>
      <c r="EHX53" s="76"/>
      <c r="EHY53" s="76"/>
      <c r="EHZ53" s="76"/>
      <c r="EIA53" s="76"/>
      <c r="EIB53" s="76"/>
      <c r="EIC53" s="76"/>
      <c r="EID53" s="76"/>
      <c r="EIE53" s="76"/>
      <c r="EIF53" s="76"/>
      <c r="EIG53" s="76"/>
      <c r="EIH53" s="76"/>
      <c r="EII53" s="76"/>
      <c r="EIJ53" s="76"/>
      <c r="EIK53" s="76"/>
      <c r="EIL53" s="76"/>
      <c r="EIM53" s="76"/>
      <c r="EIN53" s="76"/>
      <c r="EIO53" s="76"/>
      <c r="EIP53" s="76"/>
      <c r="EIQ53" s="76"/>
      <c r="EIR53" s="76"/>
      <c r="EIS53" s="76"/>
      <c r="EIT53" s="76"/>
      <c r="EIU53" s="76"/>
      <c r="EIV53" s="76"/>
      <c r="EIW53" s="76"/>
      <c r="EIX53" s="76"/>
      <c r="EIY53" s="76"/>
      <c r="EIZ53" s="76"/>
      <c r="EJA53" s="76"/>
      <c r="EJB53" s="76"/>
      <c r="EJC53" s="76"/>
      <c r="EJD53" s="76"/>
      <c r="EJE53" s="76"/>
      <c r="EJF53" s="76"/>
      <c r="EJG53" s="76"/>
      <c r="EJH53" s="76"/>
      <c r="EJI53" s="76"/>
      <c r="EJJ53" s="76"/>
      <c r="EJK53" s="76"/>
      <c r="EJL53" s="76"/>
      <c r="EJM53" s="76"/>
      <c r="EJN53" s="76"/>
      <c r="EJO53" s="76"/>
      <c r="EJP53" s="76"/>
      <c r="EJQ53" s="76"/>
      <c r="EJR53" s="76"/>
      <c r="EJS53" s="76"/>
      <c r="EJT53" s="76"/>
      <c r="EJU53" s="76"/>
      <c r="EJV53" s="76"/>
      <c r="EJW53" s="76"/>
      <c r="EJX53" s="76"/>
      <c r="EJY53" s="76"/>
      <c r="EJZ53" s="76"/>
      <c r="EKA53" s="76"/>
      <c r="EKB53" s="76"/>
      <c r="EKC53" s="76"/>
      <c r="EKD53" s="76"/>
      <c r="EKE53" s="76"/>
      <c r="EKF53" s="76"/>
      <c r="EKG53" s="76"/>
      <c r="EKH53" s="76"/>
      <c r="EKI53" s="76"/>
      <c r="EKJ53" s="76"/>
      <c r="EKK53" s="76"/>
      <c r="EKL53" s="76"/>
      <c r="EKM53" s="76"/>
      <c r="EKN53" s="76"/>
      <c r="EKO53" s="76"/>
      <c r="EKP53" s="76"/>
      <c r="EKQ53" s="76"/>
      <c r="EKR53" s="76"/>
      <c r="EKS53" s="76"/>
      <c r="EKT53" s="76"/>
      <c r="EKU53" s="76"/>
      <c r="EKV53" s="76"/>
      <c r="EKW53" s="76"/>
      <c r="EKX53" s="76"/>
      <c r="EKY53" s="76"/>
      <c r="EKZ53" s="76"/>
      <c r="ELA53" s="76"/>
      <c r="ELB53" s="76"/>
      <c r="ELC53" s="76"/>
      <c r="ELD53" s="76"/>
      <c r="ELE53" s="76"/>
      <c r="ELF53" s="76"/>
      <c r="ELG53" s="76"/>
      <c r="ELH53" s="76"/>
      <c r="ELI53" s="76"/>
      <c r="ELJ53" s="76"/>
      <c r="ELK53" s="76"/>
      <c r="ELL53" s="76"/>
      <c r="ELM53" s="76"/>
      <c r="ELN53" s="76"/>
      <c r="ELO53" s="76"/>
      <c r="ELP53" s="76"/>
      <c r="ELQ53" s="76"/>
      <c r="ELR53" s="76"/>
      <c r="ELS53" s="76"/>
      <c r="ELT53" s="76"/>
      <c r="ELU53" s="76"/>
      <c r="ELV53" s="76"/>
      <c r="ELW53" s="76"/>
      <c r="ELX53" s="76"/>
      <c r="ELY53" s="76"/>
      <c r="ELZ53" s="76"/>
      <c r="EMA53" s="76"/>
      <c r="EMB53" s="76"/>
      <c r="EMC53" s="76"/>
      <c r="EMD53" s="76"/>
      <c r="EME53" s="76"/>
      <c r="EMF53" s="76"/>
      <c r="EMG53" s="76"/>
      <c r="EMH53" s="76"/>
      <c r="EMI53" s="76"/>
      <c r="EMJ53" s="76"/>
      <c r="EMK53" s="76"/>
      <c r="EML53" s="76"/>
      <c r="EMM53" s="76"/>
      <c r="EMN53" s="76"/>
      <c r="EMO53" s="76"/>
      <c r="EMP53" s="76"/>
      <c r="EMQ53" s="76"/>
      <c r="EMR53" s="76"/>
      <c r="EMS53" s="76"/>
      <c r="EMT53" s="76"/>
      <c r="EMU53" s="76"/>
      <c r="EMV53" s="76"/>
      <c r="EMW53" s="76"/>
      <c r="EMX53" s="76"/>
      <c r="EMY53" s="76"/>
      <c r="EMZ53" s="76"/>
      <c r="ENA53" s="76"/>
      <c r="ENB53" s="76"/>
      <c r="ENC53" s="76"/>
      <c r="END53" s="76"/>
      <c r="ENE53" s="76"/>
      <c r="ENF53" s="76"/>
      <c r="ENG53" s="76"/>
      <c r="ENH53" s="76"/>
      <c r="ENI53" s="76"/>
      <c r="ENJ53" s="76"/>
      <c r="ENK53" s="76"/>
      <c r="ENL53" s="76"/>
      <c r="ENM53" s="76"/>
      <c r="ENN53" s="76"/>
      <c r="ENO53" s="76"/>
      <c r="ENP53" s="76"/>
      <c r="ENQ53" s="76"/>
      <c r="ENR53" s="76"/>
      <c r="ENS53" s="76"/>
      <c r="ENT53" s="76"/>
      <c r="ENU53" s="76"/>
      <c r="ENV53" s="76"/>
      <c r="ENW53" s="76"/>
      <c r="ENX53" s="76"/>
      <c r="ENY53" s="76"/>
      <c r="ENZ53" s="76"/>
      <c r="EOA53" s="76"/>
      <c r="EOB53" s="76"/>
      <c r="EOC53" s="76"/>
      <c r="EOD53" s="76"/>
      <c r="EOE53" s="76"/>
      <c r="EOF53" s="76"/>
      <c r="EOG53" s="76"/>
      <c r="EOH53" s="76"/>
      <c r="EOI53" s="76"/>
      <c r="EOJ53" s="76"/>
      <c r="EOK53" s="76"/>
      <c r="EOL53" s="76"/>
      <c r="EOM53" s="76"/>
      <c r="EON53" s="76"/>
      <c r="EOO53" s="76"/>
      <c r="EOP53" s="76"/>
      <c r="EOQ53" s="76"/>
      <c r="EOR53" s="76"/>
      <c r="EOS53" s="76"/>
      <c r="EOT53" s="76"/>
      <c r="EOU53" s="76"/>
      <c r="EOV53" s="76"/>
      <c r="EOW53" s="76"/>
      <c r="EOX53" s="76"/>
      <c r="EOY53" s="76"/>
      <c r="EOZ53" s="76"/>
      <c r="EPA53" s="76"/>
      <c r="EPB53" s="76"/>
      <c r="EPC53" s="76"/>
      <c r="EPD53" s="76"/>
      <c r="EPE53" s="76"/>
      <c r="EPF53" s="76"/>
      <c r="EPG53" s="76"/>
      <c r="EPH53" s="76"/>
      <c r="EPI53" s="76"/>
      <c r="EPJ53" s="76"/>
      <c r="EPK53" s="76"/>
      <c r="EPL53" s="76"/>
      <c r="EPM53" s="76"/>
      <c r="EPN53" s="76"/>
      <c r="EPO53" s="76"/>
      <c r="EPP53" s="76"/>
      <c r="EPQ53" s="76"/>
      <c r="EPR53" s="76"/>
      <c r="EPS53" s="76"/>
      <c r="EPT53" s="76"/>
      <c r="EPU53" s="76"/>
      <c r="EPV53" s="76"/>
      <c r="EPW53" s="76"/>
      <c r="EPX53" s="76"/>
      <c r="EPY53" s="76"/>
      <c r="EPZ53" s="76"/>
      <c r="EQA53" s="76"/>
      <c r="EQB53" s="76"/>
      <c r="EQC53" s="76"/>
      <c r="EQD53" s="76"/>
      <c r="EQE53" s="76"/>
      <c r="EQF53" s="76"/>
      <c r="EQG53" s="76"/>
      <c r="EQH53" s="76"/>
      <c r="EQI53" s="76"/>
      <c r="EQJ53" s="76"/>
      <c r="EQK53" s="76"/>
      <c r="EQL53" s="76"/>
      <c r="EQM53" s="76"/>
      <c r="EQN53" s="76"/>
      <c r="EQO53" s="76"/>
      <c r="EQP53" s="76"/>
      <c r="EQQ53" s="76"/>
      <c r="EQR53" s="76"/>
      <c r="EQS53" s="76"/>
      <c r="EQT53" s="76"/>
      <c r="EQU53" s="76"/>
      <c r="EQV53" s="76"/>
      <c r="EQW53" s="76"/>
      <c r="EQX53" s="76"/>
      <c r="EQY53" s="76"/>
      <c r="EQZ53" s="76"/>
      <c r="ERA53" s="76"/>
      <c r="ERB53" s="76"/>
      <c r="ERC53" s="76"/>
      <c r="ERD53" s="76"/>
      <c r="ERE53" s="76"/>
      <c r="ERF53" s="76"/>
      <c r="ERG53" s="76"/>
      <c r="ERH53" s="76"/>
      <c r="ERI53" s="76"/>
      <c r="ERJ53" s="76"/>
      <c r="ERK53" s="76"/>
      <c r="ERL53" s="76"/>
      <c r="ERM53" s="76"/>
      <c r="ERN53" s="76"/>
      <c r="ERO53" s="76"/>
      <c r="ERP53" s="76"/>
      <c r="ERQ53" s="76"/>
      <c r="ERR53" s="76"/>
      <c r="ERS53" s="76"/>
      <c r="ERT53" s="76"/>
      <c r="ERU53" s="76"/>
      <c r="ERV53" s="76"/>
      <c r="ERW53" s="76"/>
      <c r="ERX53" s="76"/>
      <c r="ERY53" s="76"/>
      <c r="ERZ53" s="76"/>
      <c r="ESA53" s="76"/>
      <c r="ESB53" s="76"/>
      <c r="ESC53" s="76"/>
      <c r="ESD53" s="76"/>
      <c r="ESE53" s="76"/>
      <c r="ESF53" s="76"/>
      <c r="ESG53" s="76"/>
      <c r="ESH53" s="76"/>
      <c r="ESI53" s="76"/>
      <c r="ESJ53" s="76"/>
      <c r="ESK53" s="76"/>
      <c r="ESL53" s="76"/>
      <c r="ESM53" s="76"/>
      <c r="ESN53" s="76"/>
      <c r="ESO53" s="76"/>
      <c r="ESP53" s="76"/>
      <c r="ESQ53" s="76"/>
      <c r="ESR53" s="76"/>
      <c r="ESS53" s="76"/>
      <c r="EST53" s="76"/>
      <c r="ESU53" s="76"/>
      <c r="ESV53" s="76"/>
      <c r="ESW53" s="76"/>
      <c r="ESX53" s="76"/>
      <c r="ESY53" s="76"/>
      <c r="ESZ53" s="76"/>
      <c r="ETA53" s="76"/>
      <c r="ETB53" s="76"/>
      <c r="ETC53" s="76"/>
      <c r="ETD53" s="76"/>
      <c r="ETE53" s="76"/>
      <c r="ETF53" s="76"/>
      <c r="ETG53" s="76"/>
      <c r="ETH53" s="76"/>
      <c r="ETI53" s="76"/>
      <c r="ETJ53" s="76"/>
      <c r="ETK53" s="76"/>
      <c r="ETL53" s="76"/>
      <c r="ETM53" s="76"/>
      <c r="ETN53" s="76"/>
      <c r="ETO53" s="76"/>
      <c r="ETP53" s="76"/>
      <c r="ETQ53" s="76"/>
      <c r="ETR53" s="76"/>
      <c r="ETS53" s="76"/>
      <c r="ETT53" s="76"/>
      <c r="ETU53" s="76"/>
      <c r="ETV53" s="76"/>
      <c r="ETW53" s="76"/>
      <c r="ETX53" s="76"/>
      <c r="ETY53" s="76"/>
      <c r="ETZ53" s="76"/>
      <c r="EUA53" s="76"/>
      <c r="EUB53" s="76"/>
      <c r="EUC53" s="76"/>
      <c r="EUD53" s="76"/>
      <c r="EUE53" s="76"/>
      <c r="EUF53" s="76"/>
      <c r="EUG53" s="76"/>
      <c r="EUH53" s="76"/>
      <c r="EUI53" s="76"/>
      <c r="EUJ53" s="76"/>
      <c r="EUK53" s="76"/>
      <c r="EUL53" s="76"/>
      <c r="EUM53" s="76"/>
      <c r="EUN53" s="76"/>
      <c r="EUO53" s="76"/>
      <c r="EUP53" s="76"/>
      <c r="EUQ53" s="76"/>
      <c r="EUR53" s="76"/>
      <c r="EUS53" s="76"/>
      <c r="EUT53" s="76"/>
      <c r="EUU53" s="76"/>
      <c r="EUV53" s="76"/>
      <c r="EUW53" s="76"/>
      <c r="EUX53" s="76"/>
      <c r="EUY53" s="76"/>
      <c r="EUZ53" s="76"/>
      <c r="EVA53" s="76"/>
      <c r="EVB53" s="76"/>
      <c r="EVC53" s="76"/>
      <c r="EVD53" s="76"/>
      <c r="EVE53" s="76"/>
      <c r="EVF53" s="76"/>
      <c r="EVG53" s="76"/>
      <c r="EVH53" s="76"/>
      <c r="EVI53" s="76"/>
      <c r="EVJ53" s="76"/>
      <c r="EVK53" s="76"/>
      <c r="EVL53" s="76"/>
      <c r="EVM53" s="76"/>
      <c r="EVN53" s="76"/>
      <c r="EVO53" s="76"/>
      <c r="EVP53" s="76"/>
      <c r="EVQ53" s="76"/>
      <c r="EVR53" s="76"/>
      <c r="EVS53" s="76"/>
      <c r="EVT53" s="76"/>
      <c r="EVU53" s="76"/>
      <c r="EVV53" s="76"/>
      <c r="EVW53" s="76"/>
      <c r="EVX53" s="76"/>
      <c r="EVY53" s="76"/>
      <c r="EVZ53" s="76"/>
      <c r="EWA53" s="76"/>
      <c r="EWB53" s="76"/>
      <c r="EWC53" s="76"/>
      <c r="EWD53" s="76"/>
      <c r="EWE53" s="76"/>
      <c r="EWF53" s="76"/>
      <c r="EWG53" s="76"/>
      <c r="EWH53" s="76"/>
      <c r="EWI53" s="76"/>
      <c r="EWJ53" s="76"/>
      <c r="EWK53" s="76"/>
      <c r="EWL53" s="76"/>
      <c r="EWM53" s="76"/>
      <c r="EWN53" s="76"/>
      <c r="EWO53" s="76"/>
      <c r="EWP53" s="76"/>
      <c r="EWQ53" s="76"/>
      <c r="EWR53" s="76"/>
      <c r="EWS53" s="76"/>
      <c r="EWT53" s="76"/>
      <c r="EWU53" s="76"/>
      <c r="EWV53" s="76"/>
      <c r="EWW53" s="76"/>
      <c r="EWX53" s="76"/>
      <c r="EWY53" s="76"/>
      <c r="EWZ53" s="76"/>
      <c r="EXA53" s="76"/>
      <c r="EXB53" s="76"/>
      <c r="EXC53" s="76"/>
      <c r="EXD53" s="76"/>
      <c r="EXE53" s="76"/>
      <c r="EXF53" s="76"/>
      <c r="EXG53" s="76"/>
      <c r="EXH53" s="76"/>
      <c r="EXI53" s="76"/>
      <c r="EXJ53" s="76"/>
      <c r="EXK53" s="76"/>
      <c r="EXL53" s="76"/>
      <c r="EXM53" s="76"/>
      <c r="EXN53" s="76"/>
      <c r="EXO53" s="76"/>
      <c r="EXP53" s="76"/>
      <c r="EXQ53" s="76"/>
      <c r="EXR53" s="76"/>
      <c r="EXS53" s="76"/>
      <c r="EXT53" s="76"/>
      <c r="EXU53" s="76"/>
      <c r="EXV53" s="76"/>
      <c r="EXW53" s="76"/>
      <c r="EXX53" s="76"/>
      <c r="EXY53" s="76"/>
      <c r="EXZ53" s="76"/>
      <c r="EYA53" s="76"/>
      <c r="EYB53" s="76"/>
      <c r="EYC53" s="76"/>
      <c r="EYD53" s="76"/>
      <c r="EYE53" s="76"/>
      <c r="EYF53" s="76"/>
      <c r="EYG53" s="76"/>
      <c r="EYH53" s="76"/>
      <c r="EYI53" s="76"/>
      <c r="EYJ53" s="76"/>
      <c r="EYK53" s="76"/>
      <c r="EYL53" s="76"/>
      <c r="EYM53" s="76"/>
      <c r="EYN53" s="76"/>
      <c r="EYO53" s="76"/>
      <c r="EYP53" s="76"/>
      <c r="EYQ53" s="76"/>
      <c r="EYR53" s="76"/>
      <c r="EYS53" s="76"/>
      <c r="EYT53" s="76"/>
      <c r="EYU53" s="76"/>
      <c r="EYV53" s="76"/>
      <c r="EYW53" s="76"/>
      <c r="EYX53" s="76"/>
      <c r="EYY53" s="76"/>
      <c r="EYZ53" s="76"/>
      <c r="EZA53" s="76"/>
      <c r="EZB53" s="76"/>
      <c r="EZC53" s="76"/>
      <c r="EZD53" s="76"/>
      <c r="EZE53" s="76"/>
      <c r="EZF53" s="76"/>
      <c r="EZG53" s="76"/>
      <c r="EZH53" s="76"/>
      <c r="EZI53" s="76"/>
      <c r="EZJ53" s="76"/>
      <c r="EZK53" s="76"/>
      <c r="EZL53" s="76"/>
      <c r="EZM53" s="76"/>
      <c r="EZN53" s="76"/>
      <c r="EZO53" s="76"/>
      <c r="EZP53" s="76"/>
      <c r="EZQ53" s="76"/>
      <c r="EZR53" s="76"/>
      <c r="EZS53" s="76"/>
      <c r="EZT53" s="76"/>
      <c r="EZU53" s="76"/>
      <c r="EZV53" s="76"/>
      <c r="EZW53" s="76"/>
      <c r="EZX53" s="76"/>
      <c r="EZY53" s="76"/>
      <c r="EZZ53" s="76"/>
      <c r="FAA53" s="76"/>
      <c r="FAB53" s="76"/>
      <c r="FAC53" s="76"/>
      <c r="FAD53" s="76"/>
      <c r="FAE53" s="76"/>
      <c r="FAF53" s="76"/>
      <c r="FAG53" s="76"/>
      <c r="FAH53" s="76"/>
      <c r="FAI53" s="76"/>
      <c r="FAJ53" s="76"/>
      <c r="FAK53" s="76"/>
      <c r="FAL53" s="76"/>
      <c r="FAM53" s="76"/>
      <c r="FAN53" s="76"/>
      <c r="FAO53" s="76"/>
      <c r="FAP53" s="76"/>
      <c r="FAQ53" s="76"/>
      <c r="FAR53" s="76"/>
      <c r="FAS53" s="76"/>
      <c r="FAT53" s="76"/>
      <c r="FAU53" s="76"/>
      <c r="FAV53" s="76"/>
      <c r="FAW53" s="76"/>
      <c r="FAX53" s="76"/>
      <c r="FAY53" s="76"/>
      <c r="FAZ53" s="76"/>
      <c r="FBA53" s="76"/>
      <c r="FBB53" s="76"/>
      <c r="FBC53" s="76"/>
      <c r="FBD53" s="76"/>
      <c r="FBE53" s="76"/>
      <c r="FBF53" s="76"/>
      <c r="FBG53" s="76"/>
      <c r="FBH53" s="76"/>
      <c r="FBI53" s="76"/>
      <c r="FBJ53" s="76"/>
      <c r="FBK53" s="76"/>
      <c r="FBL53" s="76"/>
      <c r="FBM53" s="76"/>
      <c r="FBN53" s="76"/>
      <c r="FBO53" s="76"/>
      <c r="FBP53" s="76"/>
      <c r="FBQ53" s="76"/>
      <c r="FBR53" s="76"/>
      <c r="FBS53" s="76"/>
      <c r="FBT53" s="76"/>
      <c r="FBU53" s="76"/>
      <c r="FBV53" s="76"/>
      <c r="FBW53" s="76"/>
      <c r="FBX53" s="76"/>
      <c r="FBY53" s="76"/>
      <c r="FBZ53" s="76"/>
      <c r="FCA53" s="76"/>
      <c r="FCB53" s="76"/>
      <c r="FCC53" s="76"/>
      <c r="FCD53" s="76"/>
      <c r="FCE53" s="76"/>
      <c r="FCF53" s="76"/>
      <c r="FCG53" s="76"/>
      <c r="FCH53" s="76"/>
      <c r="FCI53" s="76"/>
      <c r="FCJ53" s="76"/>
      <c r="FCK53" s="76"/>
      <c r="FCL53" s="76"/>
      <c r="FCM53" s="76"/>
      <c r="FCN53" s="76"/>
      <c r="FCO53" s="76"/>
      <c r="FCP53" s="76"/>
      <c r="FCQ53" s="76"/>
      <c r="FCR53" s="76"/>
      <c r="FCS53" s="76"/>
      <c r="FCT53" s="76"/>
      <c r="FCU53" s="76"/>
      <c r="FCV53" s="76"/>
      <c r="FCW53" s="76"/>
      <c r="FCX53" s="76"/>
      <c r="FCY53" s="76"/>
      <c r="FCZ53" s="76"/>
      <c r="FDA53" s="76"/>
      <c r="FDB53" s="76"/>
      <c r="FDC53" s="76"/>
      <c r="FDD53" s="76"/>
      <c r="FDE53" s="76"/>
      <c r="FDF53" s="76"/>
      <c r="FDG53" s="76"/>
      <c r="FDH53" s="76"/>
      <c r="FDI53" s="76"/>
      <c r="FDJ53" s="76"/>
      <c r="FDK53" s="76"/>
      <c r="FDL53" s="76"/>
      <c r="FDM53" s="76"/>
      <c r="FDN53" s="76"/>
      <c r="FDO53" s="76"/>
      <c r="FDP53" s="76"/>
      <c r="FDQ53" s="76"/>
      <c r="FDR53" s="76"/>
      <c r="FDS53" s="76"/>
      <c r="FDT53" s="76"/>
      <c r="FDU53" s="76"/>
      <c r="FDV53" s="76"/>
      <c r="FDW53" s="76"/>
      <c r="FDX53" s="76"/>
      <c r="FDY53" s="76"/>
      <c r="FDZ53" s="76"/>
      <c r="FEA53" s="76"/>
      <c r="FEB53" s="76"/>
      <c r="FEC53" s="76"/>
      <c r="FED53" s="76"/>
      <c r="FEE53" s="76"/>
      <c r="FEF53" s="76"/>
      <c r="FEG53" s="76"/>
      <c r="FEH53" s="76"/>
      <c r="FEI53" s="76"/>
      <c r="FEJ53" s="76"/>
      <c r="FEK53" s="76"/>
      <c r="FEL53" s="76"/>
      <c r="FEM53" s="76"/>
      <c r="FEN53" s="76"/>
      <c r="FEO53" s="76"/>
      <c r="FEP53" s="76"/>
      <c r="FEQ53" s="76"/>
      <c r="FER53" s="76"/>
      <c r="FES53" s="76"/>
      <c r="FET53" s="76"/>
      <c r="FEU53" s="76"/>
      <c r="FEV53" s="76"/>
      <c r="FEW53" s="76"/>
      <c r="FEX53" s="76"/>
      <c r="FEY53" s="76"/>
      <c r="FEZ53" s="76"/>
      <c r="FFA53" s="76"/>
      <c r="FFB53" s="76"/>
      <c r="FFC53" s="76"/>
      <c r="FFD53" s="76"/>
      <c r="FFE53" s="76"/>
      <c r="FFF53" s="76"/>
      <c r="FFG53" s="76"/>
      <c r="FFH53" s="76"/>
      <c r="FFI53" s="76"/>
      <c r="FFJ53" s="76"/>
      <c r="FFK53" s="76"/>
      <c r="FFL53" s="76"/>
      <c r="FFM53" s="76"/>
      <c r="FFN53" s="76"/>
      <c r="FFO53" s="76"/>
      <c r="FFP53" s="76"/>
      <c r="FFQ53" s="76"/>
      <c r="FFR53" s="76"/>
      <c r="FFS53" s="76"/>
      <c r="FFT53" s="76"/>
      <c r="FFU53" s="76"/>
      <c r="FFV53" s="76"/>
      <c r="FFW53" s="76"/>
      <c r="FFX53" s="76"/>
      <c r="FFY53" s="76"/>
      <c r="FFZ53" s="76"/>
      <c r="FGA53" s="76"/>
      <c r="FGB53" s="76"/>
      <c r="FGC53" s="76"/>
      <c r="FGD53" s="76"/>
      <c r="FGE53" s="76"/>
      <c r="FGF53" s="76"/>
      <c r="FGG53" s="76"/>
      <c r="FGH53" s="76"/>
      <c r="FGI53" s="76"/>
      <c r="FGJ53" s="76"/>
      <c r="FGK53" s="76"/>
      <c r="FGL53" s="76"/>
      <c r="FGM53" s="76"/>
      <c r="FGN53" s="76"/>
      <c r="FGO53" s="76"/>
      <c r="FGP53" s="76"/>
      <c r="FGQ53" s="76"/>
      <c r="FGR53" s="76"/>
      <c r="FGS53" s="76"/>
      <c r="FGT53" s="76"/>
      <c r="FGU53" s="76"/>
      <c r="FGV53" s="76"/>
      <c r="FGW53" s="76"/>
      <c r="FGX53" s="76"/>
      <c r="FGY53" s="76"/>
      <c r="FGZ53" s="76"/>
      <c r="FHA53" s="76"/>
      <c r="FHB53" s="76"/>
      <c r="FHC53" s="76"/>
      <c r="FHD53" s="76"/>
      <c r="FHE53" s="76"/>
      <c r="FHF53" s="76"/>
      <c r="FHG53" s="76"/>
      <c r="FHH53" s="76"/>
      <c r="FHI53" s="76"/>
      <c r="FHJ53" s="76"/>
      <c r="FHK53" s="76"/>
      <c r="FHL53" s="76"/>
      <c r="FHM53" s="76"/>
      <c r="FHN53" s="76"/>
      <c r="FHO53" s="76"/>
      <c r="FHP53" s="76"/>
      <c r="FHQ53" s="76"/>
      <c r="FHR53" s="76"/>
      <c r="FHS53" s="76"/>
      <c r="FHT53" s="76"/>
      <c r="FHU53" s="76"/>
      <c r="FHV53" s="76"/>
      <c r="FHW53" s="76"/>
      <c r="FHX53" s="76"/>
      <c r="FHY53" s="76"/>
      <c r="FHZ53" s="76"/>
      <c r="FIA53" s="76"/>
      <c r="FIB53" s="76"/>
      <c r="FIC53" s="76"/>
      <c r="FID53" s="76"/>
      <c r="FIE53" s="76"/>
      <c r="FIF53" s="76"/>
      <c r="FIG53" s="76"/>
      <c r="FIH53" s="76"/>
      <c r="FII53" s="76"/>
      <c r="FIJ53" s="76"/>
      <c r="FIK53" s="76"/>
      <c r="FIL53" s="76"/>
      <c r="FIM53" s="76"/>
      <c r="FIN53" s="76"/>
      <c r="FIO53" s="76"/>
      <c r="FIP53" s="76"/>
      <c r="FIQ53" s="76"/>
      <c r="FIR53" s="76"/>
      <c r="FIS53" s="76"/>
      <c r="FIT53" s="76"/>
      <c r="FIU53" s="76"/>
      <c r="FIV53" s="76"/>
      <c r="FIW53" s="76"/>
      <c r="FIX53" s="76"/>
      <c r="FIY53" s="76"/>
      <c r="FIZ53" s="76"/>
      <c r="FJA53" s="76"/>
      <c r="FJB53" s="76"/>
      <c r="FJC53" s="76"/>
      <c r="FJD53" s="76"/>
      <c r="FJE53" s="76"/>
      <c r="FJF53" s="76"/>
      <c r="FJG53" s="76"/>
      <c r="FJH53" s="76"/>
      <c r="FJI53" s="76"/>
      <c r="FJJ53" s="76"/>
      <c r="FJK53" s="76"/>
      <c r="FJL53" s="76"/>
      <c r="FJM53" s="76"/>
      <c r="FJN53" s="76"/>
      <c r="FJO53" s="76"/>
      <c r="FJP53" s="76"/>
      <c r="FJQ53" s="76"/>
      <c r="FJR53" s="76"/>
      <c r="FJS53" s="76"/>
      <c r="FJT53" s="76"/>
      <c r="FJU53" s="76"/>
      <c r="FJV53" s="76"/>
      <c r="FJW53" s="76"/>
      <c r="FJX53" s="76"/>
      <c r="FJY53" s="76"/>
      <c r="FJZ53" s="76"/>
      <c r="FKA53" s="76"/>
      <c r="FKB53" s="76"/>
      <c r="FKC53" s="76"/>
      <c r="FKD53" s="76"/>
      <c r="FKE53" s="76"/>
      <c r="FKF53" s="76"/>
      <c r="FKG53" s="76"/>
      <c r="FKH53" s="76"/>
      <c r="FKI53" s="76"/>
      <c r="FKJ53" s="76"/>
      <c r="FKK53" s="76"/>
      <c r="FKL53" s="76"/>
      <c r="FKM53" s="76"/>
      <c r="FKN53" s="76"/>
      <c r="FKO53" s="76"/>
      <c r="FKP53" s="76"/>
      <c r="FKQ53" s="76"/>
      <c r="FKR53" s="76"/>
      <c r="FKS53" s="76"/>
      <c r="FKT53" s="76"/>
      <c r="FKU53" s="76"/>
      <c r="FKV53" s="76"/>
      <c r="FKW53" s="76"/>
      <c r="FKX53" s="76"/>
      <c r="FKY53" s="76"/>
      <c r="FKZ53" s="76"/>
      <c r="FLA53" s="76"/>
      <c r="FLB53" s="76"/>
      <c r="FLC53" s="76"/>
      <c r="FLD53" s="76"/>
      <c r="FLE53" s="76"/>
      <c r="FLF53" s="76"/>
      <c r="FLG53" s="76"/>
      <c r="FLH53" s="76"/>
      <c r="FLI53" s="76"/>
      <c r="FLJ53" s="76"/>
      <c r="FLK53" s="76"/>
      <c r="FLL53" s="76"/>
      <c r="FLM53" s="76"/>
      <c r="FLN53" s="76"/>
      <c r="FLO53" s="76"/>
      <c r="FLP53" s="76"/>
      <c r="FLQ53" s="76"/>
      <c r="FLR53" s="76"/>
      <c r="FLS53" s="76"/>
      <c r="FLT53" s="76"/>
      <c r="FLU53" s="76"/>
      <c r="FLV53" s="76"/>
      <c r="FLW53" s="76"/>
      <c r="FLX53" s="76"/>
      <c r="FLY53" s="76"/>
      <c r="FLZ53" s="76"/>
      <c r="FMA53" s="76"/>
      <c r="FMB53" s="76"/>
      <c r="FMC53" s="76"/>
      <c r="FMD53" s="76"/>
      <c r="FME53" s="76"/>
      <c r="FMF53" s="76"/>
      <c r="FMG53" s="76"/>
      <c r="FMH53" s="76"/>
      <c r="FMI53" s="76"/>
      <c r="FMJ53" s="76"/>
      <c r="FMK53" s="76"/>
      <c r="FML53" s="76"/>
      <c r="FMM53" s="76"/>
      <c r="FMN53" s="76"/>
      <c r="FMO53" s="76"/>
      <c r="FMP53" s="76"/>
      <c r="FMQ53" s="76"/>
      <c r="FMR53" s="76"/>
      <c r="FMS53" s="76"/>
      <c r="FMT53" s="76"/>
      <c r="FMU53" s="76"/>
      <c r="FMV53" s="76"/>
      <c r="FMW53" s="76"/>
      <c r="FMX53" s="76"/>
      <c r="FMY53" s="76"/>
      <c r="FMZ53" s="76"/>
      <c r="FNA53" s="76"/>
      <c r="FNB53" s="76"/>
      <c r="FNC53" s="76"/>
      <c r="FND53" s="76"/>
      <c r="FNE53" s="76"/>
      <c r="FNF53" s="76"/>
      <c r="FNG53" s="76"/>
      <c r="FNH53" s="76"/>
      <c r="FNI53" s="76"/>
      <c r="FNJ53" s="76"/>
      <c r="FNK53" s="76"/>
      <c r="FNL53" s="76"/>
      <c r="FNM53" s="76"/>
      <c r="FNN53" s="76"/>
      <c r="FNO53" s="76"/>
      <c r="FNP53" s="76"/>
      <c r="FNQ53" s="76"/>
      <c r="FNR53" s="76"/>
      <c r="FNS53" s="76"/>
      <c r="FNT53" s="76"/>
      <c r="FNU53" s="76"/>
      <c r="FNV53" s="76"/>
      <c r="FNW53" s="76"/>
      <c r="FNX53" s="76"/>
      <c r="FNY53" s="76"/>
      <c r="FNZ53" s="76"/>
      <c r="FOA53" s="76"/>
      <c r="FOB53" s="76"/>
      <c r="FOC53" s="76"/>
      <c r="FOD53" s="76"/>
      <c r="FOE53" s="76"/>
      <c r="FOF53" s="76"/>
      <c r="FOG53" s="76"/>
      <c r="FOH53" s="76"/>
      <c r="FOI53" s="76"/>
      <c r="FOJ53" s="76"/>
      <c r="FOK53" s="76"/>
      <c r="FOL53" s="76"/>
      <c r="FOM53" s="76"/>
      <c r="FON53" s="76"/>
      <c r="FOO53" s="76"/>
      <c r="FOP53" s="76"/>
      <c r="FOQ53" s="76"/>
      <c r="FOR53" s="76"/>
      <c r="FOS53" s="76"/>
      <c r="FOT53" s="76"/>
      <c r="FOU53" s="76"/>
      <c r="FOV53" s="76"/>
      <c r="FOW53" s="76"/>
      <c r="FOX53" s="76"/>
      <c r="FOY53" s="76"/>
      <c r="FOZ53" s="76"/>
      <c r="FPA53" s="76"/>
      <c r="FPB53" s="76"/>
      <c r="FPC53" s="76"/>
      <c r="FPD53" s="76"/>
      <c r="FPE53" s="76"/>
      <c r="FPF53" s="76"/>
      <c r="FPG53" s="76"/>
      <c r="FPH53" s="76"/>
      <c r="FPI53" s="76"/>
      <c r="FPJ53" s="76"/>
      <c r="FPK53" s="76"/>
      <c r="FPL53" s="76"/>
      <c r="FPM53" s="76"/>
      <c r="FPN53" s="76"/>
      <c r="FPO53" s="76"/>
      <c r="FPP53" s="76"/>
      <c r="FPQ53" s="76"/>
      <c r="FPR53" s="76"/>
      <c r="FPS53" s="76"/>
      <c r="FPT53" s="76"/>
      <c r="FPU53" s="76"/>
      <c r="FPV53" s="76"/>
      <c r="FPW53" s="76"/>
      <c r="FPX53" s="76"/>
      <c r="FPY53" s="76"/>
      <c r="FPZ53" s="76"/>
      <c r="FQA53" s="76"/>
      <c r="FQB53" s="76"/>
      <c r="FQC53" s="76"/>
      <c r="FQD53" s="76"/>
      <c r="FQE53" s="76"/>
      <c r="FQF53" s="76"/>
      <c r="FQG53" s="76"/>
      <c r="FQH53" s="76"/>
      <c r="FQI53" s="76"/>
      <c r="FQJ53" s="76"/>
      <c r="FQK53" s="76"/>
      <c r="FQL53" s="76"/>
      <c r="FQM53" s="76"/>
      <c r="FQN53" s="76"/>
      <c r="FQO53" s="76"/>
      <c r="FQP53" s="76"/>
      <c r="FQQ53" s="76"/>
      <c r="FQR53" s="76"/>
      <c r="FQS53" s="76"/>
      <c r="FQT53" s="76"/>
      <c r="FQU53" s="76"/>
      <c r="FQV53" s="76"/>
      <c r="FQW53" s="76"/>
      <c r="FQX53" s="76"/>
      <c r="FQY53" s="76"/>
      <c r="FQZ53" s="76"/>
      <c r="FRA53" s="76"/>
      <c r="FRB53" s="76"/>
      <c r="FRC53" s="76"/>
      <c r="FRD53" s="76"/>
      <c r="FRE53" s="76"/>
      <c r="FRF53" s="76"/>
      <c r="FRG53" s="76"/>
      <c r="FRH53" s="76"/>
      <c r="FRI53" s="76"/>
      <c r="FRJ53" s="76"/>
      <c r="FRK53" s="76"/>
      <c r="FRL53" s="76"/>
      <c r="FRM53" s="76"/>
      <c r="FRN53" s="76"/>
      <c r="FRO53" s="76"/>
      <c r="FRP53" s="76"/>
      <c r="FRQ53" s="76"/>
      <c r="FRR53" s="76"/>
      <c r="FRS53" s="76"/>
      <c r="FRT53" s="76"/>
      <c r="FRU53" s="76"/>
      <c r="FRV53" s="76"/>
      <c r="FRW53" s="76"/>
      <c r="FRX53" s="76"/>
      <c r="FRY53" s="76"/>
      <c r="FRZ53" s="76"/>
      <c r="FSA53" s="76"/>
      <c r="FSB53" s="76"/>
      <c r="FSC53" s="76"/>
      <c r="FSD53" s="76"/>
      <c r="FSE53" s="76"/>
      <c r="FSF53" s="76"/>
      <c r="FSG53" s="76"/>
      <c r="FSH53" s="76"/>
      <c r="FSI53" s="76"/>
      <c r="FSJ53" s="76"/>
      <c r="FSK53" s="76"/>
      <c r="FSL53" s="76"/>
      <c r="FSM53" s="76"/>
      <c r="FSN53" s="76"/>
      <c r="FSO53" s="76"/>
      <c r="FSP53" s="76"/>
      <c r="FSQ53" s="76"/>
      <c r="FSR53" s="76"/>
      <c r="FSS53" s="76"/>
      <c r="FST53" s="76"/>
      <c r="FSU53" s="76"/>
      <c r="FSV53" s="76"/>
      <c r="FSW53" s="76"/>
      <c r="FSX53" s="76"/>
      <c r="FSY53" s="76"/>
      <c r="FSZ53" s="76"/>
      <c r="FTA53" s="76"/>
      <c r="FTB53" s="76"/>
      <c r="FTC53" s="76"/>
      <c r="FTD53" s="76"/>
      <c r="FTE53" s="76"/>
      <c r="FTF53" s="76"/>
      <c r="FTG53" s="76"/>
      <c r="FTH53" s="76"/>
      <c r="FTI53" s="76"/>
      <c r="FTJ53" s="76"/>
      <c r="FTK53" s="76"/>
      <c r="FTL53" s="76"/>
      <c r="FTM53" s="76"/>
      <c r="FTN53" s="76"/>
      <c r="FTO53" s="76"/>
      <c r="FTP53" s="76"/>
      <c r="FTQ53" s="76"/>
      <c r="FTR53" s="76"/>
      <c r="FTS53" s="76"/>
      <c r="FTT53" s="76"/>
      <c r="FTU53" s="76"/>
      <c r="FTV53" s="76"/>
      <c r="FTW53" s="76"/>
      <c r="FTX53" s="76"/>
      <c r="FTY53" s="76"/>
      <c r="FTZ53" s="76"/>
      <c r="FUA53" s="76"/>
      <c r="FUB53" s="76"/>
      <c r="FUC53" s="76"/>
      <c r="FUD53" s="76"/>
      <c r="FUE53" s="76"/>
      <c r="FUF53" s="76"/>
      <c r="FUG53" s="76"/>
      <c r="FUH53" s="76"/>
      <c r="FUI53" s="76"/>
      <c r="FUJ53" s="76"/>
      <c r="FUK53" s="76"/>
      <c r="FUL53" s="76"/>
      <c r="FUM53" s="76"/>
      <c r="FUN53" s="76"/>
      <c r="FUO53" s="76"/>
      <c r="FUP53" s="76"/>
      <c r="FUQ53" s="76"/>
      <c r="FUR53" s="76"/>
      <c r="FUS53" s="76"/>
      <c r="FUT53" s="76"/>
      <c r="FUU53" s="76"/>
      <c r="FUV53" s="76"/>
      <c r="FUW53" s="76"/>
      <c r="FUX53" s="76"/>
      <c r="FUY53" s="76"/>
      <c r="FUZ53" s="76"/>
      <c r="FVA53" s="76"/>
      <c r="FVB53" s="76"/>
      <c r="FVC53" s="76"/>
      <c r="FVD53" s="76"/>
      <c r="FVE53" s="76"/>
      <c r="FVF53" s="76"/>
      <c r="FVG53" s="76"/>
      <c r="FVH53" s="76"/>
      <c r="FVI53" s="76"/>
      <c r="FVJ53" s="76"/>
      <c r="FVK53" s="76"/>
      <c r="FVL53" s="76"/>
      <c r="FVM53" s="76"/>
      <c r="FVN53" s="76"/>
      <c r="FVO53" s="76"/>
      <c r="FVP53" s="76"/>
      <c r="FVQ53" s="76"/>
      <c r="FVR53" s="76"/>
      <c r="FVS53" s="76"/>
      <c r="FVT53" s="76"/>
      <c r="FVU53" s="76"/>
      <c r="FVV53" s="76"/>
      <c r="FVW53" s="76"/>
      <c r="FVX53" s="76"/>
      <c r="FVY53" s="76"/>
      <c r="FVZ53" s="76"/>
      <c r="FWA53" s="76"/>
      <c r="FWB53" s="76"/>
      <c r="FWC53" s="76"/>
      <c r="FWD53" s="76"/>
      <c r="FWE53" s="76"/>
      <c r="FWF53" s="76"/>
      <c r="FWG53" s="76"/>
      <c r="FWH53" s="76"/>
      <c r="FWI53" s="76"/>
      <c r="FWJ53" s="76"/>
      <c r="FWK53" s="76"/>
      <c r="FWL53" s="76"/>
      <c r="FWM53" s="76"/>
      <c r="FWN53" s="76"/>
      <c r="FWO53" s="76"/>
      <c r="FWP53" s="76"/>
      <c r="FWQ53" s="76"/>
      <c r="FWR53" s="76"/>
      <c r="FWS53" s="76"/>
      <c r="FWT53" s="76"/>
      <c r="FWU53" s="76"/>
      <c r="FWV53" s="76"/>
      <c r="FWW53" s="76"/>
      <c r="FWX53" s="76"/>
      <c r="FWY53" s="76"/>
      <c r="FWZ53" s="76"/>
      <c r="FXA53" s="76"/>
      <c r="FXB53" s="76"/>
      <c r="FXC53" s="76"/>
      <c r="FXD53" s="76"/>
      <c r="FXE53" s="76"/>
      <c r="FXF53" s="76"/>
      <c r="FXG53" s="76"/>
      <c r="FXH53" s="76"/>
      <c r="FXI53" s="76"/>
      <c r="FXJ53" s="76"/>
      <c r="FXK53" s="76"/>
      <c r="FXL53" s="76"/>
      <c r="FXM53" s="76"/>
      <c r="FXN53" s="76"/>
      <c r="FXO53" s="76"/>
      <c r="FXP53" s="76"/>
      <c r="FXQ53" s="76"/>
      <c r="FXR53" s="76"/>
      <c r="FXS53" s="76"/>
      <c r="FXT53" s="76"/>
      <c r="FXU53" s="76"/>
      <c r="FXV53" s="76"/>
      <c r="FXW53" s="76"/>
      <c r="FXX53" s="76"/>
      <c r="FXY53" s="76"/>
      <c r="FXZ53" s="76"/>
      <c r="FYA53" s="76"/>
      <c r="FYB53" s="76"/>
      <c r="FYC53" s="76"/>
      <c r="FYD53" s="76"/>
      <c r="FYE53" s="76"/>
      <c r="FYF53" s="76"/>
      <c r="FYG53" s="76"/>
      <c r="FYH53" s="76"/>
      <c r="FYI53" s="76"/>
      <c r="FYJ53" s="76"/>
      <c r="FYK53" s="76"/>
      <c r="FYL53" s="76"/>
      <c r="FYM53" s="76"/>
      <c r="FYN53" s="76"/>
      <c r="FYO53" s="76"/>
      <c r="FYP53" s="76"/>
      <c r="FYQ53" s="76"/>
      <c r="FYR53" s="76"/>
      <c r="FYS53" s="76"/>
      <c r="FYT53" s="76"/>
      <c r="FYU53" s="76"/>
      <c r="FYV53" s="76"/>
      <c r="FYW53" s="76"/>
      <c r="FYX53" s="76"/>
      <c r="FYY53" s="76"/>
      <c r="FYZ53" s="76"/>
      <c r="FZA53" s="76"/>
      <c r="FZB53" s="76"/>
      <c r="FZC53" s="76"/>
      <c r="FZD53" s="76"/>
      <c r="FZE53" s="76"/>
      <c r="FZF53" s="76"/>
      <c r="FZG53" s="76"/>
      <c r="FZH53" s="76"/>
      <c r="FZI53" s="76"/>
      <c r="FZJ53" s="76"/>
      <c r="FZK53" s="76"/>
      <c r="FZL53" s="76"/>
      <c r="FZM53" s="76"/>
      <c r="FZN53" s="76"/>
      <c r="FZO53" s="76"/>
      <c r="FZP53" s="76"/>
      <c r="FZQ53" s="76"/>
      <c r="FZR53" s="76"/>
      <c r="FZS53" s="76"/>
      <c r="FZT53" s="76"/>
      <c r="FZU53" s="76"/>
      <c r="FZV53" s="76"/>
      <c r="FZW53" s="76"/>
      <c r="FZX53" s="76"/>
      <c r="FZY53" s="76"/>
      <c r="FZZ53" s="76"/>
      <c r="GAA53" s="76"/>
      <c r="GAB53" s="76"/>
      <c r="GAC53" s="76"/>
      <c r="GAD53" s="76"/>
      <c r="GAE53" s="76"/>
      <c r="GAF53" s="76"/>
      <c r="GAG53" s="76"/>
      <c r="GAH53" s="76"/>
      <c r="GAI53" s="76"/>
      <c r="GAJ53" s="76"/>
      <c r="GAK53" s="76"/>
      <c r="GAL53" s="76"/>
      <c r="GAM53" s="76"/>
      <c r="GAN53" s="76"/>
      <c r="GAO53" s="76"/>
      <c r="GAP53" s="76"/>
      <c r="GAQ53" s="76"/>
      <c r="GAR53" s="76"/>
      <c r="GAS53" s="76"/>
      <c r="GAT53" s="76"/>
      <c r="GAU53" s="76"/>
      <c r="GAV53" s="76"/>
      <c r="GAW53" s="76"/>
      <c r="GAX53" s="76"/>
      <c r="GAY53" s="76"/>
      <c r="GAZ53" s="76"/>
      <c r="GBA53" s="76"/>
      <c r="GBB53" s="76"/>
      <c r="GBC53" s="76"/>
      <c r="GBD53" s="76"/>
      <c r="GBE53" s="76"/>
      <c r="GBF53" s="76"/>
      <c r="GBG53" s="76"/>
      <c r="GBH53" s="76"/>
      <c r="GBI53" s="76"/>
      <c r="GBJ53" s="76"/>
      <c r="GBK53" s="76"/>
      <c r="GBL53" s="76"/>
      <c r="GBM53" s="76"/>
      <c r="GBN53" s="76"/>
      <c r="GBO53" s="76"/>
      <c r="GBP53" s="76"/>
      <c r="GBQ53" s="76"/>
      <c r="GBR53" s="76"/>
      <c r="GBS53" s="76"/>
      <c r="GBT53" s="76"/>
      <c r="GBU53" s="76"/>
      <c r="GBV53" s="76"/>
      <c r="GBW53" s="76"/>
      <c r="GBX53" s="76"/>
      <c r="GBY53" s="76"/>
      <c r="GBZ53" s="76"/>
      <c r="GCA53" s="76"/>
      <c r="GCB53" s="76"/>
      <c r="GCC53" s="76"/>
      <c r="GCD53" s="76"/>
      <c r="GCE53" s="76"/>
      <c r="GCF53" s="76"/>
      <c r="GCG53" s="76"/>
      <c r="GCH53" s="76"/>
      <c r="GCI53" s="76"/>
      <c r="GCJ53" s="76"/>
      <c r="GCK53" s="76"/>
      <c r="GCL53" s="76"/>
      <c r="GCM53" s="76"/>
      <c r="GCN53" s="76"/>
      <c r="GCO53" s="76"/>
      <c r="GCP53" s="76"/>
      <c r="GCQ53" s="76"/>
      <c r="GCR53" s="76"/>
      <c r="GCS53" s="76"/>
      <c r="GCT53" s="76"/>
      <c r="GCU53" s="76"/>
      <c r="GCV53" s="76"/>
      <c r="GCW53" s="76"/>
      <c r="GCX53" s="76"/>
      <c r="GCY53" s="76"/>
      <c r="GCZ53" s="76"/>
      <c r="GDA53" s="76"/>
      <c r="GDB53" s="76"/>
      <c r="GDC53" s="76"/>
      <c r="GDD53" s="76"/>
      <c r="GDE53" s="76"/>
      <c r="GDF53" s="76"/>
      <c r="GDG53" s="76"/>
      <c r="GDH53" s="76"/>
      <c r="GDI53" s="76"/>
      <c r="GDJ53" s="76"/>
      <c r="GDK53" s="76"/>
      <c r="GDL53" s="76"/>
      <c r="GDM53" s="76"/>
      <c r="GDN53" s="76"/>
      <c r="GDO53" s="76"/>
      <c r="GDP53" s="76"/>
      <c r="GDQ53" s="76"/>
      <c r="GDR53" s="76"/>
      <c r="GDS53" s="76"/>
      <c r="GDT53" s="76"/>
      <c r="GDU53" s="76"/>
      <c r="GDV53" s="76"/>
      <c r="GDW53" s="76"/>
      <c r="GDX53" s="76"/>
      <c r="GDY53" s="76"/>
      <c r="GDZ53" s="76"/>
      <c r="GEA53" s="76"/>
      <c r="GEB53" s="76"/>
      <c r="GEC53" s="76"/>
      <c r="GED53" s="76"/>
      <c r="GEE53" s="76"/>
      <c r="GEF53" s="76"/>
      <c r="GEG53" s="76"/>
      <c r="GEH53" s="76"/>
      <c r="GEI53" s="76"/>
      <c r="GEJ53" s="76"/>
      <c r="GEK53" s="76"/>
      <c r="GEL53" s="76"/>
      <c r="GEM53" s="76"/>
      <c r="GEN53" s="76"/>
      <c r="GEO53" s="76"/>
      <c r="GEP53" s="76"/>
      <c r="GEQ53" s="76"/>
      <c r="GER53" s="76"/>
      <c r="GES53" s="76"/>
      <c r="GET53" s="76"/>
      <c r="GEU53" s="76"/>
      <c r="GEV53" s="76"/>
      <c r="GEW53" s="76"/>
      <c r="GEX53" s="76"/>
      <c r="GEY53" s="76"/>
      <c r="GEZ53" s="76"/>
      <c r="GFA53" s="76"/>
      <c r="GFB53" s="76"/>
      <c r="GFC53" s="76"/>
      <c r="GFD53" s="76"/>
      <c r="GFE53" s="76"/>
      <c r="GFF53" s="76"/>
      <c r="GFG53" s="76"/>
      <c r="GFH53" s="76"/>
      <c r="GFI53" s="76"/>
      <c r="GFJ53" s="76"/>
      <c r="GFK53" s="76"/>
      <c r="GFL53" s="76"/>
      <c r="GFM53" s="76"/>
      <c r="GFN53" s="76"/>
      <c r="GFO53" s="76"/>
      <c r="GFP53" s="76"/>
      <c r="GFQ53" s="76"/>
      <c r="GFR53" s="76"/>
      <c r="GFS53" s="76"/>
      <c r="GFT53" s="76"/>
      <c r="GFU53" s="76"/>
      <c r="GFV53" s="76"/>
      <c r="GFW53" s="76"/>
      <c r="GFX53" s="76"/>
      <c r="GFY53" s="76"/>
      <c r="GFZ53" s="76"/>
      <c r="GGA53" s="76"/>
      <c r="GGB53" s="76"/>
      <c r="GGC53" s="76"/>
      <c r="GGD53" s="76"/>
      <c r="GGE53" s="76"/>
      <c r="GGF53" s="76"/>
      <c r="GGG53" s="76"/>
      <c r="GGH53" s="76"/>
      <c r="GGI53" s="76"/>
      <c r="GGJ53" s="76"/>
      <c r="GGK53" s="76"/>
      <c r="GGL53" s="76"/>
      <c r="GGM53" s="76"/>
      <c r="GGN53" s="76"/>
      <c r="GGO53" s="76"/>
      <c r="GGP53" s="76"/>
      <c r="GGQ53" s="76"/>
      <c r="GGR53" s="76"/>
      <c r="GGS53" s="76"/>
      <c r="GGT53" s="76"/>
      <c r="GGU53" s="76"/>
      <c r="GGV53" s="76"/>
      <c r="GGW53" s="76"/>
      <c r="GGX53" s="76"/>
      <c r="GGY53" s="76"/>
      <c r="GGZ53" s="76"/>
      <c r="GHA53" s="76"/>
      <c r="GHB53" s="76"/>
      <c r="GHC53" s="76"/>
      <c r="GHD53" s="76"/>
      <c r="GHE53" s="76"/>
      <c r="GHF53" s="76"/>
      <c r="GHG53" s="76"/>
      <c r="GHH53" s="76"/>
      <c r="GHI53" s="76"/>
      <c r="GHJ53" s="76"/>
      <c r="GHK53" s="76"/>
      <c r="GHL53" s="76"/>
      <c r="GHM53" s="76"/>
      <c r="GHN53" s="76"/>
      <c r="GHO53" s="76"/>
      <c r="GHP53" s="76"/>
      <c r="GHQ53" s="76"/>
      <c r="GHR53" s="76"/>
      <c r="GHS53" s="76"/>
      <c r="GHT53" s="76"/>
      <c r="GHU53" s="76"/>
      <c r="GHV53" s="76"/>
      <c r="GHW53" s="76"/>
      <c r="GHX53" s="76"/>
      <c r="GHY53" s="76"/>
      <c r="GHZ53" s="76"/>
      <c r="GIA53" s="76"/>
      <c r="GIB53" s="76"/>
      <c r="GIC53" s="76"/>
      <c r="GID53" s="76"/>
      <c r="GIE53" s="76"/>
      <c r="GIF53" s="76"/>
      <c r="GIG53" s="76"/>
      <c r="GIH53" s="76"/>
      <c r="GII53" s="76"/>
      <c r="GIJ53" s="76"/>
      <c r="GIK53" s="76"/>
      <c r="GIL53" s="76"/>
      <c r="GIM53" s="76"/>
      <c r="GIN53" s="76"/>
      <c r="GIO53" s="76"/>
      <c r="GIP53" s="76"/>
      <c r="GIQ53" s="76"/>
      <c r="GIR53" s="76"/>
      <c r="GIS53" s="76"/>
      <c r="GIT53" s="76"/>
      <c r="GIU53" s="76"/>
      <c r="GIV53" s="76"/>
      <c r="GIW53" s="76"/>
      <c r="GIX53" s="76"/>
      <c r="GIY53" s="76"/>
      <c r="GIZ53" s="76"/>
      <c r="GJA53" s="76"/>
      <c r="GJB53" s="76"/>
      <c r="GJC53" s="76"/>
      <c r="GJD53" s="76"/>
      <c r="GJE53" s="76"/>
      <c r="GJF53" s="76"/>
      <c r="GJG53" s="76"/>
      <c r="GJH53" s="76"/>
      <c r="GJI53" s="76"/>
      <c r="GJJ53" s="76"/>
      <c r="GJK53" s="76"/>
      <c r="GJL53" s="76"/>
      <c r="GJM53" s="76"/>
      <c r="GJN53" s="76"/>
      <c r="GJO53" s="76"/>
      <c r="GJP53" s="76"/>
      <c r="GJQ53" s="76"/>
      <c r="GJR53" s="76"/>
      <c r="GJS53" s="76"/>
      <c r="GJT53" s="76"/>
      <c r="GJU53" s="76"/>
      <c r="GJV53" s="76"/>
      <c r="GJW53" s="76"/>
      <c r="GJX53" s="76"/>
      <c r="GJY53" s="76"/>
      <c r="GJZ53" s="76"/>
      <c r="GKA53" s="76"/>
      <c r="GKB53" s="76"/>
      <c r="GKC53" s="76"/>
      <c r="GKD53" s="76"/>
      <c r="GKE53" s="76"/>
      <c r="GKF53" s="76"/>
      <c r="GKG53" s="76"/>
      <c r="GKH53" s="76"/>
      <c r="GKI53" s="76"/>
      <c r="GKJ53" s="76"/>
      <c r="GKK53" s="76"/>
      <c r="GKL53" s="76"/>
      <c r="GKM53" s="76"/>
      <c r="GKN53" s="76"/>
      <c r="GKO53" s="76"/>
      <c r="GKP53" s="76"/>
      <c r="GKQ53" s="76"/>
      <c r="GKR53" s="76"/>
      <c r="GKS53" s="76"/>
      <c r="GKT53" s="76"/>
      <c r="GKU53" s="76"/>
      <c r="GKV53" s="76"/>
      <c r="GKW53" s="76"/>
      <c r="GKX53" s="76"/>
      <c r="GKY53" s="76"/>
      <c r="GKZ53" s="76"/>
      <c r="GLA53" s="76"/>
      <c r="GLB53" s="76"/>
      <c r="GLC53" s="76"/>
      <c r="GLD53" s="76"/>
      <c r="GLE53" s="76"/>
      <c r="GLF53" s="76"/>
      <c r="GLG53" s="76"/>
      <c r="GLH53" s="76"/>
      <c r="GLI53" s="76"/>
      <c r="GLJ53" s="76"/>
      <c r="GLK53" s="76"/>
      <c r="GLL53" s="76"/>
      <c r="GLM53" s="76"/>
      <c r="GLN53" s="76"/>
      <c r="GLO53" s="76"/>
      <c r="GLP53" s="76"/>
      <c r="GLQ53" s="76"/>
      <c r="GLR53" s="76"/>
      <c r="GLS53" s="76"/>
      <c r="GLT53" s="76"/>
      <c r="GLU53" s="76"/>
      <c r="GLV53" s="76"/>
      <c r="GLW53" s="76"/>
      <c r="GLX53" s="76"/>
      <c r="GLY53" s="76"/>
      <c r="GLZ53" s="76"/>
      <c r="GMA53" s="76"/>
      <c r="GMB53" s="76"/>
      <c r="GMC53" s="76"/>
      <c r="GMD53" s="76"/>
      <c r="GME53" s="76"/>
      <c r="GMF53" s="76"/>
      <c r="GMG53" s="76"/>
      <c r="GMH53" s="76"/>
      <c r="GMI53" s="76"/>
      <c r="GMJ53" s="76"/>
      <c r="GMK53" s="76"/>
      <c r="GML53" s="76"/>
      <c r="GMM53" s="76"/>
      <c r="GMN53" s="76"/>
      <c r="GMO53" s="76"/>
      <c r="GMP53" s="76"/>
      <c r="GMQ53" s="76"/>
      <c r="GMR53" s="76"/>
      <c r="GMS53" s="76"/>
      <c r="GMT53" s="76"/>
      <c r="GMU53" s="76"/>
      <c r="GMV53" s="76"/>
      <c r="GMW53" s="76"/>
      <c r="GMX53" s="76"/>
      <c r="GMY53" s="76"/>
      <c r="GMZ53" s="76"/>
      <c r="GNA53" s="76"/>
      <c r="GNB53" s="76"/>
      <c r="GNC53" s="76"/>
      <c r="GND53" s="76"/>
      <c r="GNE53" s="76"/>
      <c r="GNF53" s="76"/>
      <c r="GNG53" s="76"/>
      <c r="GNH53" s="76"/>
      <c r="GNI53" s="76"/>
      <c r="GNJ53" s="76"/>
      <c r="GNK53" s="76"/>
      <c r="GNL53" s="76"/>
      <c r="GNM53" s="76"/>
      <c r="GNN53" s="76"/>
      <c r="GNO53" s="76"/>
      <c r="GNP53" s="76"/>
      <c r="GNQ53" s="76"/>
      <c r="GNR53" s="76"/>
      <c r="GNS53" s="76"/>
      <c r="GNT53" s="76"/>
      <c r="GNU53" s="76"/>
      <c r="GNV53" s="76"/>
      <c r="GNW53" s="76"/>
      <c r="GNX53" s="76"/>
      <c r="GNY53" s="76"/>
      <c r="GNZ53" s="76"/>
      <c r="GOA53" s="76"/>
      <c r="GOB53" s="76"/>
      <c r="GOC53" s="76"/>
      <c r="GOD53" s="76"/>
      <c r="GOE53" s="76"/>
      <c r="GOF53" s="76"/>
      <c r="GOG53" s="76"/>
      <c r="GOH53" s="76"/>
      <c r="GOI53" s="76"/>
      <c r="GOJ53" s="76"/>
      <c r="GOK53" s="76"/>
      <c r="GOL53" s="76"/>
      <c r="GOM53" s="76"/>
      <c r="GON53" s="76"/>
      <c r="GOO53" s="76"/>
      <c r="GOP53" s="76"/>
      <c r="GOQ53" s="76"/>
      <c r="GOR53" s="76"/>
      <c r="GOS53" s="76"/>
      <c r="GOT53" s="76"/>
      <c r="GOU53" s="76"/>
      <c r="GOV53" s="76"/>
      <c r="GOW53" s="76"/>
      <c r="GOX53" s="76"/>
      <c r="GOY53" s="76"/>
      <c r="GOZ53" s="76"/>
      <c r="GPA53" s="76"/>
      <c r="GPB53" s="76"/>
      <c r="GPC53" s="76"/>
      <c r="GPD53" s="76"/>
      <c r="GPE53" s="76"/>
      <c r="GPF53" s="76"/>
      <c r="GPG53" s="76"/>
      <c r="GPH53" s="76"/>
      <c r="GPI53" s="76"/>
      <c r="GPJ53" s="76"/>
      <c r="GPK53" s="76"/>
      <c r="GPL53" s="76"/>
      <c r="GPM53" s="76"/>
      <c r="GPN53" s="76"/>
      <c r="GPO53" s="76"/>
      <c r="GPP53" s="76"/>
      <c r="GPQ53" s="76"/>
      <c r="GPR53" s="76"/>
      <c r="GPS53" s="76"/>
      <c r="GPT53" s="76"/>
      <c r="GPU53" s="76"/>
      <c r="GPV53" s="76"/>
      <c r="GPW53" s="76"/>
      <c r="GPX53" s="76"/>
      <c r="GPY53" s="76"/>
      <c r="GPZ53" s="76"/>
      <c r="GQA53" s="76"/>
      <c r="GQB53" s="76"/>
      <c r="GQC53" s="76"/>
      <c r="GQD53" s="76"/>
      <c r="GQE53" s="76"/>
      <c r="GQF53" s="76"/>
      <c r="GQG53" s="76"/>
      <c r="GQH53" s="76"/>
      <c r="GQI53" s="76"/>
      <c r="GQJ53" s="76"/>
      <c r="GQK53" s="76"/>
      <c r="GQL53" s="76"/>
      <c r="GQM53" s="76"/>
      <c r="GQN53" s="76"/>
      <c r="GQO53" s="76"/>
      <c r="GQP53" s="76"/>
      <c r="GQQ53" s="76"/>
      <c r="GQR53" s="76"/>
      <c r="GQS53" s="76"/>
      <c r="GQT53" s="76"/>
      <c r="GQU53" s="76"/>
      <c r="GQV53" s="76"/>
      <c r="GQW53" s="76"/>
      <c r="GQX53" s="76"/>
      <c r="GQY53" s="76"/>
      <c r="GQZ53" s="76"/>
      <c r="GRA53" s="76"/>
      <c r="GRB53" s="76"/>
      <c r="GRC53" s="76"/>
      <c r="GRD53" s="76"/>
      <c r="GRE53" s="76"/>
      <c r="GRF53" s="76"/>
      <c r="GRG53" s="76"/>
      <c r="GRH53" s="76"/>
      <c r="GRI53" s="76"/>
      <c r="GRJ53" s="76"/>
      <c r="GRK53" s="76"/>
      <c r="GRL53" s="76"/>
      <c r="GRM53" s="76"/>
      <c r="GRN53" s="76"/>
      <c r="GRO53" s="76"/>
      <c r="GRP53" s="76"/>
      <c r="GRQ53" s="76"/>
      <c r="GRR53" s="76"/>
      <c r="GRS53" s="76"/>
      <c r="GRT53" s="76"/>
      <c r="GRU53" s="76"/>
      <c r="GRV53" s="76"/>
      <c r="GRW53" s="76"/>
      <c r="GRX53" s="76"/>
      <c r="GRY53" s="76"/>
      <c r="GRZ53" s="76"/>
      <c r="GSA53" s="76"/>
      <c r="GSB53" s="76"/>
      <c r="GSC53" s="76"/>
      <c r="GSD53" s="76"/>
      <c r="GSE53" s="76"/>
      <c r="GSF53" s="76"/>
      <c r="GSG53" s="76"/>
      <c r="GSH53" s="76"/>
      <c r="GSI53" s="76"/>
      <c r="GSJ53" s="76"/>
      <c r="GSK53" s="76"/>
      <c r="GSL53" s="76"/>
      <c r="GSM53" s="76"/>
      <c r="GSN53" s="76"/>
      <c r="GSO53" s="76"/>
      <c r="GSP53" s="76"/>
      <c r="GSQ53" s="76"/>
      <c r="GSR53" s="76"/>
      <c r="GSS53" s="76"/>
      <c r="GST53" s="76"/>
      <c r="GSU53" s="76"/>
      <c r="GSV53" s="76"/>
      <c r="GSW53" s="76"/>
      <c r="GSX53" s="76"/>
      <c r="GSY53" s="76"/>
      <c r="GSZ53" s="76"/>
      <c r="GTA53" s="76"/>
      <c r="GTB53" s="76"/>
      <c r="GTC53" s="76"/>
      <c r="GTD53" s="76"/>
      <c r="GTE53" s="76"/>
      <c r="GTF53" s="76"/>
      <c r="GTG53" s="76"/>
      <c r="GTH53" s="76"/>
      <c r="GTI53" s="76"/>
      <c r="GTJ53" s="76"/>
      <c r="GTK53" s="76"/>
      <c r="GTL53" s="76"/>
      <c r="GTM53" s="76"/>
      <c r="GTN53" s="76"/>
      <c r="GTO53" s="76"/>
      <c r="GTP53" s="76"/>
      <c r="GTQ53" s="76"/>
      <c r="GTR53" s="76"/>
      <c r="GTS53" s="76"/>
      <c r="GTT53" s="76"/>
      <c r="GTU53" s="76"/>
      <c r="GTV53" s="76"/>
      <c r="GTW53" s="76"/>
      <c r="GTX53" s="76"/>
      <c r="GTY53" s="76"/>
      <c r="GTZ53" s="76"/>
      <c r="GUA53" s="76"/>
      <c r="GUB53" s="76"/>
      <c r="GUC53" s="76"/>
      <c r="GUD53" s="76"/>
      <c r="GUE53" s="76"/>
      <c r="GUF53" s="76"/>
      <c r="GUG53" s="76"/>
      <c r="GUH53" s="76"/>
      <c r="GUI53" s="76"/>
      <c r="GUJ53" s="76"/>
      <c r="GUK53" s="76"/>
      <c r="GUL53" s="76"/>
      <c r="GUM53" s="76"/>
      <c r="GUN53" s="76"/>
      <c r="GUO53" s="76"/>
      <c r="GUP53" s="76"/>
      <c r="GUQ53" s="76"/>
      <c r="GUR53" s="76"/>
      <c r="GUS53" s="76"/>
      <c r="GUT53" s="76"/>
      <c r="GUU53" s="76"/>
      <c r="GUV53" s="76"/>
      <c r="GUW53" s="76"/>
      <c r="GUX53" s="76"/>
      <c r="GUY53" s="76"/>
      <c r="GUZ53" s="76"/>
      <c r="GVA53" s="76"/>
      <c r="GVB53" s="76"/>
      <c r="GVC53" s="76"/>
      <c r="GVD53" s="76"/>
      <c r="GVE53" s="76"/>
      <c r="GVF53" s="76"/>
      <c r="GVG53" s="76"/>
      <c r="GVH53" s="76"/>
      <c r="GVI53" s="76"/>
      <c r="GVJ53" s="76"/>
      <c r="GVK53" s="76"/>
      <c r="GVL53" s="76"/>
      <c r="GVM53" s="76"/>
      <c r="GVN53" s="76"/>
      <c r="GVO53" s="76"/>
      <c r="GVP53" s="76"/>
      <c r="GVQ53" s="76"/>
      <c r="GVR53" s="76"/>
      <c r="GVS53" s="76"/>
      <c r="GVT53" s="76"/>
      <c r="GVU53" s="76"/>
      <c r="GVV53" s="76"/>
      <c r="GVW53" s="76"/>
      <c r="GVX53" s="76"/>
      <c r="GVY53" s="76"/>
      <c r="GVZ53" s="76"/>
      <c r="GWA53" s="76"/>
      <c r="GWB53" s="76"/>
      <c r="GWC53" s="76"/>
      <c r="GWD53" s="76"/>
      <c r="GWE53" s="76"/>
      <c r="GWF53" s="76"/>
      <c r="GWG53" s="76"/>
      <c r="GWH53" s="76"/>
      <c r="GWI53" s="76"/>
      <c r="GWJ53" s="76"/>
      <c r="GWK53" s="76"/>
      <c r="GWL53" s="76"/>
      <c r="GWM53" s="76"/>
      <c r="GWN53" s="76"/>
      <c r="GWO53" s="76"/>
      <c r="GWP53" s="76"/>
      <c r="GWQ53" s="76"/>
      <c r="GWR53" s="76"/>
      <c r="GWS53" s="76"/>
      <c r="GWT53" s="76"/>
      <c r="GWU53" s="76"/>
      <c r="GWV53" s="76"/>
      <c r="GWW53" s="76"/>
      <c r="GWX53" s="76"/>
      <c r="GWY53" s="76"/>
      <c r="GWZ53" s="76"/>
      <c r="GXA53" s="76"/>
      <c r="GXB53" s="76"/>
      <c r="GXC53" s="76"/>
      <c r="GXD53" s="76"/>
      <c r="GXE53" s="76"/>
      <c r="GXF53" s="76"/>
      <c r="GXG53" s="76"/>
      <c r="GXH53" s="76"/>
      <c r="GXI53" s="76"/>
      <c r="GXJ53" s="76"/>
      <c r="GXK53" s="76"/>
      <c r="GXL53" s="76"/>
      <c r="GXM53" s="76"/>
      <c r="GXN53" s="76"/>
      <c r="GXO53" s="76"/>
      <c r="GXP53" s="76"/>
      <c r="GXQ53" s="76"/>
      <c r="GXR53" s="76"/>
      <c r="GXS53" s="76"/>
      <c r="GXT53" s="76"/>
      <c r="GXU53" s="76"/>
      <c r="GXV53" s="76"/>
      <c r="GXW53" s="76"/>
      <c r="GXX53" s="76"/>
      <c r="GXY53" s="76"/>
      <c r="GXZ53" s="76"/>
      <c r="GYA53" s="76"/>
      <c r="GYB53" s="76"/>
      <c r="GYC53" s="76"/>
      <c r="GYD53" s="76"/>
      <c r="GYE53" s="76"/>
      <c r="GYF53" s="76"/>
      <c r="GYG53" s="76"/>
      <c r="GYH53" s="76"/>
      <c r="GYI53" s="76"/>
      <c r="GYJ53" s="76"/>
      <c r="GYK53" s="76"/>
      <c r="GYL53" s="76"/>
      <c r="GYM53" s="76"/>
      <c r="GYN53" s="76"/>
      <c r="GYO53" s="76"/>
      <c r="GYP53" s="76"/>
      <c r="GYQ53" s="76"/>
      <c r="GYR53" s="76"/>
      <c r="GYS53" s="76"/>
      <c r="GYT53" s="76"/>
      <c r="GYU53" s="76"/>
      <c r="GYV53" s="76"/>
      <c r="GYW53" s="76"/>
      <c r="GYX53" s="76"/>
      <c r="GYY53" s="76"/>
      <c r="GYZ53" s="76"/>
      <c r="GZA53" s="76"/>
      <c r="GZB53" s="76"/>
      <c r="GZC53" s="76"/>
      <c r="GZD53" s="76"/>
      <c r="GZE53" s="76"/>
      <c r="GZF53" s="76"/>
      <c r="GZG53" s="76"/>
      <c r="GZH53" s="76"/>
      <c r="GZI53" s="76"/>
      <c r="GZJ53" s="76"/>
      <c r="GZK53" s="76"/>
      <c r="GZL53" s="76"/>
      <c r="GZM53" s="76"/>
      <c r="GZN53" s="76"/>
      <c r="GZO53" s="76"/>
      <c r="GZP53" s="76"/>
      <c r="GZQ53" s="76"/>
      <c r="GZR53" s="76"/>
      <c r="GZS53" s="76"/>
      <c r="GZT53" s="76"/>
      <c r="GZU53" s="76"/>
      <c r="GZV53" s="76"/>
      <c r="GZW53" s="76"/>
      <c r="GZX53" s="76"/>
      <c r="GZY53" s="76"/>
      <c r="GZZ53" s="76"/>
      <c r="HAA53" s="76"/>
      <c r="HAB53" s="76"/>
      <c r="HAC53" s="76"/>
      <c r="HAD53" s="76"/>
      <c r="HAE53" s="76"/>
      <c r="HAF53" s="76"/>
      <c r="HAG53" s="76"/>
      <c r="HAH53" s="76"/>
      <c r="HAI53" s="76"/>
      <c r="HAJ53" s="76"/>
      <c r="HAK53" s="76"/>
      <c r="HAL53" s="76"/>
      <c r="HAM53" s="76"/>
      <c r="HAN53" s="76"/>
      <c r="HAO53" s="76"/>
      <c r="HAP53" s="76"/>
      <c r="HAQ53" s="76"/>
      <c r="HAR53" s="76"/>
      <c r="HAS53" s="76"/>
      <c r="HAT53" s="76"/>
      <c r="HAU53" s="76"/>
      <c r="HAV53" s="76"/>
      <c r="HAW53" s="76"/>
      <c r="HAX53" s="76"/>
      <c r="HAY53" s="76"/>
      <c r="HAZ53" s="76"/>
      <c r="HBA53" s="76"/>
      <c r="HBB53" s="76"/>
      <c r="HBC53" s="76"/>
      <c r="HBD53" s="76"/>
      <c r="HBE53" s="76"/>
      <c r="HBF53" s="76"/>
      <c r="HBG53" s="76"/>
      <c r="HBH53" s="76"/>
      <c r="HBI53" s="76"/>
      <c r="HBJ53" s="76"/>
      <c r="HBK53" s="76"/>
      <c r="HBL53" s="76"/>
      <c r="HBM53" s="76"/>
      <c r="HBN53" s="76"/>
      <c r="HBO53" s="76"/>
      <c r="HBP53" s="76"/>
      <c r="HBQ53" s="76"/>
      <c r="HBR53" s="76"/>
      <c r="HBS53" s="76"/>
      <c r="HBT53" s="76"/>
      <c r="HBU53" s="76"/>
      <c r="HBV53" s="76"/>
      <c r="HBW53" s="76"/>
      <c r="HBX53" s="76"/>
      <c r="HBY53" s="76"/>
      <c r="HBZ53" s="76"/>
      <c r="HCA53" s="76"/>
      <c r="HCB53" s="76"/>
      <c r="HCC53" s="76"/>
      <c r="HCD53" s="76"/>
      <c r="HCE53" s="76"/>
      <c r="HCF53" s="76"/>
      <c r="HCG53" s="76"/>
      <c r="HCH53" s="76"/>
      <c r="HCI53" s="76"/>
      <c r="HCJ53" s="76"/>
      <c r="HCK53" s="76"/>
      <c r="HCL53" s="76"/>
      <c r="HCM53" s="76"/>
      <c r="HCN53" s="76"/>
      <c r="HCO53" s="76"/>
      <c r="HCP53" s="76"/>
      <c r="HCQ53" s="76"/>
      <c r="HCR53" s="76"/>
      <c r="HCS53" s="76"/>
      <c r="HCT53" s="76"/>
      <c r="HCU53" s="76"/>
      <c r="HCV53" s="76"/>
      <c r="HCW53" s="76"/>
      <c r="HCX53" s="76"/>
      <c r="HCY53" s="76"/>
      <c r="HCZ53" s="76"/>
      <c r="HDA53" s="76"/>
      <c r="HDB53" s="76"/>
      <c r="HDC53" s="76"/>
      <c r="HDD53" s="76"/>
      <c r="HDE53" s="76"/>
      <c r="HDF53" s="76"/>
      <c r="HDG53" s="76"/>
      <c r="HDH53" s="76"/>
      <c r="HDI53" s="76"/>
      <c r="HDJ53" s="76"/>
      <c r="HDK53" s="76"/>
      <c r="HDL53" s="76"/>
      <c r="HDM53" s="76"/>
      <c r="HDN53" s="76"/>
      <c r="HDO53" s="76"/>
      <c r="HDP53" s="76"/>
      <c r="HDQ53" s="76"/>
      <c r="HDR53" s="76"/>
      <c r="HDS53" s="76"/>
      <c r="HDT53" s="76"/>
      <c r="HDU53" s="76"/>
      <c r="HDV53" s="76"/>
      <c r="HDW53" s="76"/>
      <c r="HDX53" s="76"/>
      <c r="HDY53" s="76"/>
      <c r="HDZ53" s="76"/>
      <c r="HEA53" s="76"/>
      <c r="HEB53" s="76"/>
      <c r="HEC53" s="76"/>
      <c r="HED53" s="76"/>
      <c r="HEE53" s="76"/>
      <c r="HEF53" s="76"/>
      <c r="HEG53" s="76"/>
      <c r="HEH53" s="76"/>
      <c r="HEI53" s="76"/>
      <c r="HEJ53" s="76"/>
      <c r="HEK53" s="76"/>
      <c r="HEL53" s="76"/>
      <c r="HEM53" s="76"/>
      <c r="HEN53" s="76"/>
      <c r="HEO53" s="76"/>
      <c r="HEP53" s="76"/>
      <c r="HEQ53" s="76"/>
      <c r="HER53" s="76"/>
      <c r="HES53" s="76"/>
      <c r="HET53" s="76"/>
      <c r="HEU53" s="76"/>
      <c r="HEV53" s="76"/>
      <c r="HEW53" s="76"/>
      <c r="HEX53" s="76"/>
      <c r="HEY53" s="76"/>
      <c r="HEZ53" s="76"/>
      <c r="HFA53" s="76"/>
      <c r="HFB53" s="76"/>
      <c r="HFC53" s="76"/>
      <c r="HFD53" s="76"/>
      <c r="HFE53" s="76"/>
      <c r="HFF53" s="76"/>
      <c r="HFG53" s="76"/>
      <c r="HFH53" s="76"/>
      <c r="HFI53" s="76"/>
      <c r="HFJ53" s="76"/>
      <c r="HFK53" s="76"/>
      <c r="HFL53" s="76"/>
      <c r="HFM53" s="76"/>
      <c r="HFN53" s="76"/>
      <c r="HFO53" s="76"/>
      <c r="HFP53" s="76"/>
      <c r="HFQ53" s="76"/>
      <c r="HFR53" s="76"/>
      <c r="HFS53" s="76"/>
      <c r="HFT53" s="76"/>
      <c r="HFU53" s="76"/>
      <c r="HFV53" s="76"/>
      <c r="HFW53" s="76"/>
      <c r="HFX53" s="76"/>
      <c r="HFY53" s="76"/>
      <c r="HFZ53" s="76"/>
      <c r="HGA53" s="76"/>
      <c r="HGB53" s="76"/>
      <c r="HGC53" s="76"/>
      <c r="HGD53" s="76"/>
      <c r="HGE53" s="76"/>
      <c r="HGF53" s="76"/>
      <c r="HGG53" s="76"/>
      <c r="HGH53" s="76"/>
      <c r="HGI53" s="76"/>
      <c r="HGJ53" s="76"/>
      <c r="HGK53" s="76"/>
      <c r="HGL53" s="76"/>
      <c r="HGM53" s="76"/>
      <c r="HGN53" s="76"/>
      <c r="HGO53" s="76"/>
      <c r="HGP53" s="76"/>
      <c r="HGQ53" s="76"/>
      <c r="HGR53" s="76"/>
      <c r="HGS53" s="76"/>
      <c r="HGT53" s="76"/>
      <c r="HGU53" s="76"/>
      <c r="HGV53" s="76"/>
      <c r="HGW53" s="76"/>
      <c r="HGX53" s="76"/>
      <c r="HGY53" s="76"/>
      <c r="HGZ53" s="76"/>
      <c r="HHA53" s="76"/>
      <c r="HHB53" s="76"/>
      <c r="HHC53" s="76"/>
      <c r="HHD53" s="76"/>
      <c r="HHE53" s="76"/>
      <c r="HHF53" s="76"/>
      <c r="HHG53" s="76"/>
      <c r="HHH53" s="76"/>
      <c r="HHI53" s="76"/>
      <c r="HHJ53" s="76"/>
      <c r="HHK53" s="76"/>
      <c r="HHL53" s="76"/>
      <c r="HHM53" s="76"/>
      <c r="HHN53" s="76"/>
      <c r="HHO53" s="76"/>
      <c r="HHP53" s="76"/>
      <c r="HHQ53" s="76"/>
      <c r="HHR53" s="76"/>
      <c r="HHS53" s="76"/>
      <c r="HHT53" s="76"/>
      <c r="HHU53" s="76"/>
      <c r="HHV53" s="76"/>
      <c r="HHW53" s="76"/>
      <c r="HHX53" s="76"/>
      <c r="HHY53" s="76"/>
      <c r="HHZ53" s="76"/>
      <c r="HIA53" s="76"/>
      <c r="HIB53" s="76"/>
      <c r="HIC53" s="76"/>
      <c r="HID53" s="76"/>
      <c r="HIE53" s="76"/>
      <c r="HIF53" s="76"/>
      <c r="HIG53" s="76"/>
      <c r="HIH53" s="76"/>
      <c r="HII53" s="76"/>
      <c r="HIJ53" s="76"/>
      <c r="HIK53" s="76"/>
      <c r="HIL53" s="76"/>
      <c r="HIM53" s="76"/>
      <c r="HIN53" s="76"/>
      <c r="HIO53" s="76"/>
      <c r="HIP53" s="76"/>
      <c r="HIQ53" s="76"/>
      <c r="HIR53" s="76"/>
      <c r="HIS53" s="76"/>
      <c r="HIT53" s="76"/>
      <c r="HIU53" s="76"/>
      <c r="HIV53" s="76"/>
      <c r="HIW53" s="76"/>
      <c r="HIX53" s="76"/>
      <c r="HIY53" s="76"/>
      <c r="HIZ53" s="76"/>
      <c r="HJA53" s="76"/>
      <c r="HJB53" s="76"/>
      <c r="HJC53" s="76"/>
      <c r="HJD53" s="76"/>
      <c r="HJE53" s="76"/>
      <c r="HJF53" s="76"/>
      <c r="HJG53" s="76"/>
      <c r="HJH53" s="76"/>
      <c r="HJI53" s="76"/>
      <c r="HJJ53" s="76"/>
      <c r="HJK53" s="76"/>
      <c r="HJL53" s="76"/>
      <c r="HJM53" s="76"/>
      <c r="HJN53" s="76"/>
      <c r="HJO53" s="76"/>
      <c r="HJP53" s="76"/>
      <c r="HJQ53" s="76"/>
      <c r="HJR53" s="76"/>
      <c r="HJS53" s="76"/>
      <c r="HJT53" s="76"/>
      <c r="HJU53" s="76"/>
      <c r="HJV53" s="76"/>
      <c r="HJW53" s="76"/>
      <c r="HJX53" s="76"/>
      <c r="HJY53" s="76"/>
      <c r="HJZ53" s="76"/>
      <c r="HKA53" s="76"/>
      <c r="HKB53" s="76"/>
      <c r="HKC53" s="76"/>
      <c r="HKD53" s="76"/>
      <c r="HKE53" s="76"/>
      <c r="HKF53" s="76"/>
      <c r="HKG53" s="76"/>
      <c r="HKH53" s="76"/>
      <c r="HKI53" s="76"/>
      <c r="HKJ53" s="76"/>
      <c r="HKK53" s="76"/>
      <c r="HKL53" s="76"/>
      <c r="HKM53" s="76"/>
      <c r="HKN53" s="76"/>
      <c r="HKO53" s="76"/>
      <c r="HKP53" s="76"/>
      <c r="HKQ53" s="76"/>
      <c r="HKR53" s="76"/>
      <c r="HKS53" s="76"/>
      <c r="HKT53" s="76"/>
      <c r="HKU53" s="76"/>
      <c r="HKV53" s="76"/>
      <c r="HKW53" s="76"/>
      <c r="HKX53" s="76"/>
      <c r="HKY53" s="76"/>
      <c r="HKZ53" s="76"/>
      <c r="HLA53" s="76"/>
      <c r="HLB53" s="76"/>
      <c r="HLC53" s="76"/>
      <c r="HLD53" s="76"/>
      <c r="HLE53" s="76"/>
      <c r="HLF53" s="76"/>
      <c r="HLG53" s="76"/>
      <c r="HLH53" s="76"/>
      <c r="HLI53" s="76"/>
      <c r="HLJ53" s="76"/>
      <c r="HLK53" s="76"/>
      <c r="HLL53" s="76"/>
      <c r="HLM53" s="76"/>
      <c r="HLN53" s="76"/>
      <c r="HLO53" s="76"/>
      <c r="HLP53" s="76"/>
      <c r="HLQ53" s="76"/>
      <c r="HLR53" s="76"/>
      <c r="HLS53" s="76"/>
      <c r="HLT53" s="76"/>
      <c r="HLU53" s="76"/>
      <c r="HLV53" s="76"/>
      <c r="HLW53" s="76"/>
      <c r="HLX53" s="76"/>
      <c r="HLY53" s="76"/>
      <c r="HLZ53" s="76"/>
      <c r="HMA53" s="76"/>
      <c r="HMB53" s="76"/>
      <c r="HMC53" s="76"/>
      <c r="HMD53" s="76"/>
      <c r="HME53" s="76"/>
      <c r="HMF53" s="76"/>
      <c r="HMG53" s="76"/>
      <c r="HMH53" s="76"/>
      <c r="HMI53" s="76"/>
      <c r="HMJ53" s="76"/>
      <c r="HMK53" s="76"/>
      <c r="HML53" s="76"/>
      <c r="HMM53" s="76"/>
      <c r="HMN53" s="76"/>
      <c r="HMO53" s="76"/>
      <c r="HMP53" s="76"/>
      <c r="HMQ53" s="76"/>
      <c r="HMR53" s="76"/>
      <c r="HMS53" s="76"/>
      <c r="HMT53" s="76"/>
      <c r="HMU53" s="76"/>
      <c r="HMV53" s="76"/>
      <c r="HMW53" s="76"/>
      <c r="HMX53" s="76"/>
      <c r="HMY53" s="76"/>
      <c r="HMZ53" s="76"/>
      <c r="HNA53" s="76"/>
      <c r="HNB53" s="76"/>
      <c r="HNC53" s="76"/>
      <c r="HND53" s="76"/>
      <c r="HNE53" s="76"/>
      <c r="HNF53" s="76"/>
      <c r="HNG53" s="76"/>
      <c r="HNH53" s="76"/>
      <c r="HNI53" s="76"/>
      <c r="HNJ53" s="76"/>
      <c r="HNK53" s="76"/>
      <c r="HNL53" s="76"/>
      <c r="HNM53" s="76"/>
      <c r="HNN53" s="76"/>
      <c r="HNO53" s="76"/>
      <c r="HNP53" s="76"/>
      <c r="HNQ53" s="76"/>
      <c r="HNR53" s="76"/>
      <c r="HNS53" s="76"/>
      <c r="HNT53" s="76"/>
      <c r="HNU53" s="76"/>
      <c r="HNV53" s="76"/>
      <c r="HNW53" s="76"/>
      <c r="HNX53" s="76"/>
      <c r="HNY53" s="76"/>
      <c r="HNZ53" s="76"/>
      <c r="HOA53" s="76"/>
      <c r="HOB53" s="76"/>
      <c r="HOC53" s="76"/>
      <c r="HOD53" s="76"/>
      <c r="HOE53" s="76"/>
      <c r="HOF53" s="76"/>
      <c r="HOG53" s="76"/>
      <c r="HOH53" s="76"/>
      <c r="HOI53" s="76"/>
      <c r="HOJ53" s="76"/>
      <c r="HOK53" s="76"/>
      <c r="HOL53" s="76"/>
      <c r="HOM53" s="76"/>
      <c r="HON53" s="76"/>
      <c r="HOO53" s="76"/>
      <c r="HOP53" s="76"/>
      <c r="HOQ53" s="76"/>
      <c r="HOR53" s="76"/>
      <c r="HOS53" s="76"/>
      <c r="HOT53" s="76"/>
      <c r="HOU53" s="76"/>
      <c r="HOV53" s="76"/>
      <c r="HOW53" s="76"/>
      <c r="HOX53" s="76"/>
      <c r="HOY53" s="76"/>
      <c r="HOZ53" s="76"/>
      <c r="HPA53" s="76"/>
      <c r="HPB53" s="76"/>
      <c r="HPC53" s="76"/>
      <c r="HPD53" s="76"/>
      <c r="HPE53" s="76"/>
      <c r="HPF53" s="76"/>
      <c r="HPG53" s="76"/>
      <c r="HPH53" s="76"/>
      <c r="HPI53" s="76"/>
      <c r="HPJ53" s="76"/>
      <c r="HPK53" s="76"/>
      <c r="HPL53" s="76"/>
      <c r="HPM53" s="76"/>
      <c r="HPN53" s="76"/>
      <c r="HPO53" s="76"/>
      <c r="HPP53" s="76"/>
      <c r="HPQ53" s="76"/>
      <c r="HPR53" s="76"/>
      <c r="HPS53" s="76"/>
      <c r="HPT53" s="76"/>
      <c r="HPU53" s="76"/>
      <c r="HPV53" s="76"/>
      <c r="HPW53" s="76"/>
      <c r="HPX53" s="76"/>
      <c r="HPY53" s="76"/>
      <c r="HPZ53" s="76"/>
      <c r="HQA53" s="76"/>
      <c r="HQB53" s="76"/>
      <c r="HQC53" s="76"/>
      <c r="HQD53" s="76"/>
      <c r="HQE53" s="76"/>
      <c r="HQF53" s="76"/>
      <c r="HQG53" s="76"/>
      <c r="HQH53" s="76"/>
      <c r="HQI53" s="76"/>
      <c r="HQJ53" s="76"/>
      <c r="HQK53" s="76"/>
      <c r="HQL53" s="76"/>
      <c r="HQM53" s="76"/>
      <c r="HQN53" s="76"/>
      <c r="HQO53" s="76"/>
      <c r="HQP53" s="76"/>
      <c r="HQQ53" s="76"/>
      <c r="HQR53" s="76"/>
      <c r="HQS53" s="76"/>
      <c r="HQT53" s="76"/>
      <c r="HQU53" s="76"/>
      <c r="HQV53" s="76"/>
      <c r="HQW53" s="76"/>
      <c r="HQX53" s="76"/>
      <c r="HQY53" s="76"/>
      <c r="HQZ53" s="76"/>
      <c r="HRA53" s="76"/>
      <c r="HRB53" s="76"/>
      <c r="HRC53" s="76"/>
      <c r="HRD53" s="76"/>
      <c r="HRE53" s="76"/>
      <c r="HRF53" s="76"/>
      <c r="HRG53" s="76"/>
      <c r="HRH53" s="76"/>
      <c r="HRI53" s="76"/>
      <c r="HRJ53" s="76"/>
      <c r="HRK53" s="76"/>
      <c r="HRL53" s="76"/>
      <c r="HRM53" s="76"/>
      <c r="HRN53" s="76"/>
      <c r="HRO53" s="76"/>
      <c r="HRP53" s="76"/>
      <c r="HRQ53" s="76"/>
      <c r="HRR53" s="76"/>
      <c r="HRS53" s="76"/>
      <c r="HRT53" s="76"/>
      <c r="HRU53" s="76"/>
      <c r="HRV53" s="76"/>
      <c r="HRW53" s="76"/>
      <c r="HRX53" s="76"/>
      <c r="HRY53" s="76"/>
      <c r="HRZ53" s="76"/>
      <c r="HSA53" s="76"/>
      <c r="HSB53" s="76"/>
      <c r="HSC53" s="76"/>
      <c r="HSD53" s="76"/>
      <c r="HSE53" s="76"/>
      <c r="HSF53" s="76"/>
      <c r="HSG53" s="76"/>
      <c r="HSH53" s="76"/>
      <c r="HSI53" s="76"/>
      <c r="HSJ53" s="76"/>
      <c r="HSK53" s="76"/>
      <c r="HSL53" s="76"/>
      <c r="HSM53" s="76"/>
      <c r="HSN53" s="76"/>
      <c r="HSO53" s="76"/>
      <c r="HSP53" s="76"/>
      <c r="HSQ53" s="76"/>
      <c r="HSR53" s="76"/>
      <c r="HSS53" s="76"/>
      <c r="HST53" s="76"/>
      <c r="HSU53" s="76"/>
      <c r="HSV53" s="76"/>
      <c r="HSW53" s="76"/>
      <c r="HSX53" s="76"/>
      <c r="HSY53" s="76"/>
      <c r="HSZ53" s="76"/>
      <c r="HTA53" s="76"/>
      <c r="HTB53" s="76"/>
      <c r="HTC53" s="76"/>
      <c r="HTD53" s="76"/>
      <c r="HTE53" s="76"/>
      <c r="HTF53" s="76"/>
      <c r="HTG53" s="76"/>
      <c r="HTH53" s="76"/>
      <c r="HTI53" s="76"/>
      <c r="HTJ53" s="76"/>
      <c r="HTK53" s="76"/>
      <c r="HTL53" s="76"/>
      <c r="HTM53" s="76"/>
      <c r="HTN53" s="76"/>
      <c r="HTO53" s="76"/>
      <c r="HTP53" s="76"/>
      <c r="HTQ53" s="76"/>
      <c r="HTR53" s="76"/>
      <c r="HTS53" s="76"/>
      <c r="HTT53" s="76"/>
      <c r="HTU53" s="76"/>
      <c r="HTV53" s="76"/>
      <c r="HTW53" s="76"/>
      <c r="HTX53" s="76"/>
      <c r="HTY53" s="76"/>
      <c r="HTZ53" s="76"/>
      <c r="HUA53" s="76"/>
      <c r="HUB53" s="76"/>
      <c r="HUC53" s="76"/>
      <c r="HUD53" s="76"/>
      <c r="HUE53" s="76"/>
      <c r="HUF53" s="76"/>
      <c r="HUG53" s="76"/>
      <c r="HUH53" s="76"/>
      <c r="HUI53" s="76"/>
      <c r="HUJ53" s="76"/>
      <c r="HUK53" s="76"/>
      <c r="HUL53" s="76"/>
      <c r="HUM53" s="76"/>
      <c r="HUN53" s="76"/>
      <c r="HUO53" s="76"/>
      <c r="HUP53" s="76"/>
      <c r="HUQ53" s="76"/>
      <c r="HUR53" s="76"/>
      <c r="HUS53" s="76"/>
      <c r="HUT53" s="76"/>
      <c r="HUU53" s="76"/>
      <c r="HUV53" s="76"/>
      <c r="HUW53" s="76"/>
      <c r="HUX53" s="76"/>
      <c r="HUY53" s="76"/>
      <c r="HUZ53" s="76"/>
      <c r="HVA53" s="76"/>
      <c r="HVB53" s="76"/>
      <c r="HVC53" s="76"/>
      <c r="HVD53" s="76"/>
      <c r="HVE53" s="76"/>
      <c r="HVF53" s="76"/>
      <c r="HVG53" s="76"/>
      <c r="HVH53" s="76"/>
      <c r="HVI53" s="76"/>
      <c r="HVJ53" s="76"/>
      <c r="HVK53" s="76"/>
      <c r="HVL53" s="76"/>
      <c r="HVM53" s="76"/>
      <c r="HVN53" s="76"/>
      <c r="HVO53" s="76"/>
      <c r="HVP53" s="76"/>
      <c r="HVQ53" s="76"/>
      <c r="HVR53" s="76"/>
      <c r="HVS53" s="76"/>
      <c r="HVT53" s="76"/>
      <c r="HVU53" s="76"/>
      <c r="HVV53" s="76"/>
      <c r="HVW53" s="76"/>
      <c r="HVX53" s="76"/>
      <c r="HVY53" s="76"/>
      <c r="HVZ53" s="76"/>
      <c r="HWA53" s="76"/>
      <c r="HWB53" s="76"/>
      <c r="HWC53" s="76"/>
      <c r="HWD53" s="76"/>
      <c r="HWE53" s="76"/>
      <c r="HWF53" s="76"/>
      <c r="HWG53" s="76"/>
      <c r="HWH53" s="76"/>
      <c r="HWI53" s="76"/>
      <c r="HWJ53" s="76"/>
      <c r="HWK53" s="76"/>
      <c r="HWL53" s="76"/>
      <c r="HWM53" s="76"/>
      <c r="HWN53" s="76"/>
      <c r="HWO53" s="76"/>
      <c r="HWP53" s="76"/>
      <c r="HWQ53" s="76"/>
      <c r="HWR53" s="76"/>
      <c r="HWS53" s="76"/>
      <c r="HWT53" s="76"/>
      <c r="HWU53" s="76"/>
      <c r="HWV53" s="76"/>
      <c r="HWW53" s="76"/>
      <c r="HWX53" s="76"/>
      <c r="HWY53" s="76"/>
      <c r="HWZ53" s="76"/>
      <c r="HXA53" s="76"/>
      <c r="HXB53" s="76"/>
      <c r="HXC53" s="76"/>
      <c r="HXD53" s="76"/>
      <c r="HXE53" s="76"/>
      <c r="HXF53" s="76"/>
      <c r="HXG53" s="76"/>
      <c r="HXH53" s="76"/>
      <c r="HXI53" s="76"/>
      <c r="HXJ53" s="76"/>
      <c r="HXK53" s="76"/>
      <c r="HXL53" s="76"/>
      <c r="HXM53" s="76"/>
      <c r="HXN53" s="76"/>
      <c r="HXO53" s="76"/>
      <c r="HXP53" s="76"/>
      <c r="HXQ53" s="76"/>
      <c r="HXR53" s="76"/>
      <c r="HXS53" s="76"/>
      <c r="HXT53" s="76"/>
      <c r="HXU53" s="76"/>
      <c r="HXV53" s="76"/>
      <c r="HXW53" s="76"/>
      <c r="HXX53" s="76"/>
      <c r="HXY53" s="76"/>
      <c r="HXZ53" s="76"/>
      <c r="HYA53" s="76"/>
      <c r="HYB53" s="76"/>
      <c r="HYC53" s="76"/>
      <c r="HYD53" s="76"/>
      <c r="HYE53" s="76"/>
      <c r="HYF53" s="76"/>
      <c r="HYG53" s="76"/>
      <c r="HYH53" s="76"/>
      <c r="HYI53" s="76"/>
      <c r="HYJ53" s="76"/>
      <c r="HYK53" s="76"/>
      <c r="HYL53" s="76"/>
      <c r="HYM53" s="76"/>
      <c r="HYN53" s="76"/>
      <c r="HYO53" s="76"/>
      <c r="HYP53" s="76"/>
      <c r="HYQ53" s="76"/>
      <c r="HYR53" s="76"/>
      <c r="HYS53" s="76"/>
      <c r="HYT53" s="76"/>
      <c r="HYU53" s="76"/>
      <c r="HYV53" s="76"/>
      <c r="HYW53" s="76"/>
      <c r="HYX53" s="76"/>
      <c r="HYY53" s="76"/>
      <c r="HYZ53" s="76"/>
      <c r="HZA53" s="76"/>
      <c r="HZB53" s="76"/>
      <c r="HZC53" s="76"/>
      <c r="HZD53" s="76"/>
      <c r="HZE53" s="76"/>
      <c r="HZF53" s="76"/>
      <c r="HZG53" s="76"/>
      <c r="HZH53" s="76"/>
      <c r="HZI53" s="76"/>
      <c r="HZJ53" s="76"/>
      <c r="HZK53" s="76"/>
      <c r="HZL53" s="76"/>
      <c r="HZM53" s="76"/>
      <c r="HZN53" s="76"/>
      <c r="HZO53" s="76"/>
      <c r="HZP53" s="76"/>
      <c r="HZQ53" s="76"/>
      <c r="HZR53" s="76"/>
      <c r="HZS53" s="76"/>
      <c r="HZT53" s="76"/>
      <c r="HZU53" s="76"/>
      <c r="HZV53" s="76"/>
      <c r="HZW53" s="76"/>
      <c r="HZX53" s="76"/>
      <c r="HZY53" s="76"/>
      <c r="HZZ53" s="76"/>
      <c r="IAA53" s="76"/>
      <c r="IAB53" s="76"/>
      <c r="IAC53" s="76"/>
      <c r="IAD53" s="76"/>
      <c r="IAE53" s="76"/>
      <c r="IAF53" s="76"/>
      <c r="IAG53" s="76"/>
      <c r="IAH53" s="76"/>
      <c r="IAI53" s="76"/>
      <c r="IAJ53" s="76"/>
      <c r="IAK53" s="76"/>
      <c r="IAL53" s="76"/>
      <c r="IAM53" s="76"/>
      <c r="IAN53" s="76"/>
      <c r="IAO53" s="76"/>
      <c r="IAP53" s="76"/>
      <c r="IAQ53" s="76"/>
      <c r="IAR53" s="76"/>
      <c r="IAS53" s="76"/>
      <c r="IAT53" s="76"/>
      <c r="IAU53" s="76"/>
      <c r="IAV53" s="76"/>
      <c r="IAW53" s="76"/>
      <c r="IAX53" s="76"/>
      <c r="IAY53" s="76"/>
      <c r="IAZ53" s="76"/>
      <c r="IBA53" s="76"/>
      <c r="IBB53" s="76"/>
      <c r="IBC53" s="76"/>
      <c r="IBD53" s="76"/>
      <c r="IBE53" s="76"/>
      <c r="IBF53" s="76"/>
      <c r="IBG53" s="76"/>
      <c r="IBH53" s="76"/>
      <c r="IBI53" s="76"/>
      <c r="IBJ53" s="76"/>
      <c r="IBK53" s="76"/>
      <c r="IBL53" s="76"/>
      <c r="IBM53" s="76"/>
      <c r="IBN53" s="76"/>
      <c r="IBO53" s="76"/>
      <c r="IBP53" s="76"/>
      <c r="IBQ53" s="76"/>
      <c r="IBR53" s="76"/>
      <c r="IBS53" s="76"/>
      <c r="IBT53" s="76"/>
      <c r="IBU53" s="76"/>
      <c r="IBV53" s="76"/>
      <c r="IBW53" s="76"/>
      <c r="IBX53" s="76"/>
      <c r="IBY53" s="76"/>
      <c r="IBZ53" s="76"/>
      <c r="ICA53" s="76"/>
      <c r="ICB53" s="76"/>
      <c r="ICC53" s="76"/>
      <c r="ICD53" s="76"/>
      <c r="ICE53" s="76"/>
      <c r="ICF53" s="76"/>
      <c r="ICG53" s="76"/>
      <c r="ICH53" s="76"/>
      <c r="ICI53" s="76"/>
      <c r="ICJ53" s="76"/>
      <c r="ICK53" s="76"/>
      <c r="ICL53" s="76"/>
      <c r="ICM53" s="76"/>
      <c r="ICN53" s="76"/>
      <c r="ICO53" s="76"/>
      <c r="ICP53" s="76"/>
      <c r="ICQ53" s="76"/>
      <c r="ICR53" s="76"/>
      <c r="ICS53" s="76"/>
      <c r="ICT53" s="76"/>
      <c r="ICU53" s="76"/>
      <c r="ICV53" s="76"/>
      <c r="ICW53" s="76"/>
      <c r="ICX53" s="76"/>
      <c r="ICY53" s="76"/>
      <c r="ICZ53" s="76"/>
      <c r="IDA53" s="76"/>
      <c r="IDB53" s="76"/>
      <c r="IDC53" s="76"/>
      <c r="IDD53" s="76"/>
      <c r="IDE53" s="76"/>
      <c r="IDF53" s="76"/>
      <c r="IDG53" s="76"/>
      <c r="IDH53" s="76"/>
      <c r="IDI53" s="76"/>
      <c r="IDJ53" s="76"/>
      <c r="IDK53" s="76"/>
      <c r="IDL53" s="76"/>
      <c r="IDM53" s="76"/>
      <c r="IDN53" s="76"/>
      <c r="IDO53" s="76"/>
      <c r="IDP53" s="76"/>
      <c r="IDQ53" s="76"/>
      <c r="IDR53" s="76"/>
      <c r="IDS53" s="76"/>
      <c r="IDT53" s="76"/>
      <c r="IDU53" s="76"/>
      <c r="IDV53" s="76"/>
      <c r="IDW53" s="76"/>
      <c r="IDX53" s="76"/>
      <c r="IDY53" s="76"/>
      <c r="IDZ53" s="76"/>
      <c r="IEA53" s="76"/>
      <c r="IEB53" s="76"/>
      <c r="IEC53" s="76"/>
      <c r="IED53" s="76"/>
      <c r="IEE53" s="76"/>
      <c r="IEF53" s="76"/>
      <c r="IEG53" s="76"/>
      <c r="IEH53" s="76"/>
      <c r="IEI53" s="76"/>
      <c r="IEJ53" s="76"/>
      <c r="IEK53" s="76"/>
      <c r="IEL53" s="76"/>
      <c r="IEM53" s="76"/>
      <c r="IEN53" s="76"/>
      <c r="IEO53" s="76"/>
      <c r="IEP53" s="76"/>
      <c r="IEQ53" s="76"/>
      <c r="IER53" s="76"/>
      <c r="IES53" s="76"/>
      <c r="IET53" s="76"/>
      <c r="IEU53" s="76"/>
      <c r="IEV53" s="76"/>
      <c r="IEW53" s="76"/>
      <c r="IEX53" s="76"/>
      <c r="IEY53" s="76"/>
      <c r="IEZ53" s="76"/>
      <c r="IFA53" s="76"/>
      <c r="IFB53" s="76"/>
      <c r="IFC53" s="76"/>
      <c r="IFD53" s="76"/>
      <c r="IFE53" s="76"/>
      <c r="IFF53" s="76"/>
      <c r="IFG53" s="76"/>
      <c r="IFH53" s="76"/>
      <c r="IFI53" s="76"/>
      <c r="IFJ53" s="76"/>
      <c r="IFK53" s="76"/>
      <c r="IFL53" s="76"/>
      <c r="IFM53" s="76"/>
      <c r="IFN53" s="76"/>
      <c r="IFO53" s="76"/>
      <c r="IFP53" s="76"/>
      <c r="IFQ53" s="76"/>
      <c r="IFR53" s="76"/>
      <c r="IFS53" s="76"/>
      <c r="IFT53" s="76"/>
      <c r="IFU53" s="76"/>
      <c r="IFV53" s="76"/>
      <c r="IFW53" s="76"/>
      <c r="IFX53" s="76"/>
      <c r="IFY53" s="76"/>
      <c r="IFZ53" s="76"/>
      <c r="IGA53" s="76"/>
      <c r="IGB53" s="76"/>
      <c r="IGC53" s="76"/>
      <c r="IGD53" s="76"/>
      <c r="IGE53" s="76"/>
      <c r="IGF53" s="76"/>
      <c r="IGG53" s="76"/>
      <c r="IGH53" s="76"/>
      <c r="IGI53" s="76"/>
      <c r="IGJ53" s="76"/>
      <c r="IGK53" s="76"/>
      <c r="IGL53" s="76"/>
      <c r="IGM53" s="76"/>
      <c r="IGN53" s="76"/>
      <c r="IGO53" s="76"/>
      <c r="IGP53" s="76"/>
      <c r="IGQ53" s="76"/>
      <c r="IGR53" s="76"/>
      <c r="IGS53" s="76"/>
      <c r="IGT53" s="76"/>
      <c r="IGU53" s="76"/>
      <c r="IGV53" s="76"/>
      <c r="IGW53" s="76"/>
      <c r="IGX53" s="76"/>
      <c r="IGY53" s="76"/>
      <c r="IGZ53" s="76"/>
      <c r="IHA53" s="76"/>
      <c r="IHB53" s="76"/>
      <c r="IHC53" s="76"/>
      <c r="IHD53" s="76"/>
      <c r="IHE53" s="76"/>
      <c r="IHF53" s="76"/>
      <c r="IHG53" s="76"/>
      <c r="IHH53" s="76"/>
      <c r="IHI53" s="76"/>
      <c r="IHJ53" s="76"/>
      <c r="IHK53" s="76"/>
      <c r="IHL53" s="76"/>
      <c r="IHM53" s="76"/>
      <c r="IHN53" s="76"/>
      <c r="IHO53" s="76"/>
      <c r="IHP53" s="76"/>
      <c r="IHQ53" s="76"/>
      <c r="IHR53" s="76"/>
      <c r="IHS53" s="76"/>
      <c r="IHT53" s="76"/>
      <c r="IHU53" s="76"/>
      <c r="IHV53" s="76"/>
      <c r="IHW53" s="76"/>
      <c r="IHX53" s="76"/>
      <c r="IHY53" s="76"/>
      <c r="IHZ53" s="76"/>
      <c r="IIA53" s="76"/>
      <c r="IIB53" s="76"/>
      <c r="IIC53" s="76"/>
      <c r="IID53" s="76"/>
      <c r="IIE53" s="76"/>
      <c r="IIF53" s="76"/>
      <c r="IIG53" s="76"/>
      <c r="IIH53" s="76"/>
      <c r="III53" s="76"/>
      <c r="IIJ53" s="76"/>
      <c r="IIK53" s="76"/>
      <c r="IIL53" s="76"/>
      <c r="IIM53" s="76"/>
      <c r="IIN53" s="76"/>
      <c r="IIO53" s="76"/>
      <c r="IIP53" s="76"/>
      <c r="IIQ53" s="76"/>
      <c r="IIR53" s="76"/>
      <c r="IIS53" s="76"/>
      <c r="IIT53" s="76"/>
      <c r="IIU53" s="76"/>
      <c r="IIV53" s="76"/>
      <c r="IIW53" s="76"/>
      <c r="IIX53" s="76"/>
      <c r="IIY53" s="76"/>
      <c r="IIZ53" s="76"/>
      <c r="IJA53" s="76"/>
      <c r="IJB53" s="76"/>
      <c r="IJC53" s="76"/>
      <c r="IJD53" s="76"/>
      <c r="IJE53" s="76"/>
      <c r="IJF53" s="76"/>
      <c r="IJG53" s="76"/>
      <c r="IJH53" s="76"/>
      <c r="IJI53" s="76"/>
      <c r="IJJ53" s="76"/>
      <c r="IJK53" s="76"/>
      <c r="IJL53" s="76"/>
      <c r="IJM53" s="76"/>
      <c r="IJN53" s="76"/>
      <c r="IJO53" s="76"/>
      <c r="IJP53" s="76"/>
      <c r="IJQ53" s="76"/>
      <c r="IJR53" s="76"/>
      <c r="IJS53" s="76"/>
      <c r="IJT53" s="76"/>
      <c r="IJU53" s="76"/>
      <c r="IJV53" s="76"/>
      <c r="IJW53" s="76"/>
      <c r="IJX53" s="76"/>
      <c r="IJY53" s="76"/>
      <c r="IJZ53" s="76"/>
      <c r="IKA53" s="76"/>
      <c r="IKB53" s="76"/>
      <c r="IKC53" s="76"/>
      <c r="IKD53" s="76"/>
      <c r="IKE53" s="76"/>
      <c r="IKF53" s="76"/>
      <c r="IKG53" s="76"/>
      <c r="IKH53" s="76"/>
      <c r="IKI53" s="76"/>
      <c r="IKJ53" s="76"/>
      <c r="IKK53" s="76"/>
      <c r="IKL53" s="76"/>
      <c r="IKM53" s="76"/>
      <c r="IKN53" s="76"/>
      <c r="IKO53" s="76"/>
      <c r="IKP53" s="76"/>
      <c r="IKQ53" s="76"/>
      <c r="IKR53" s="76"/>
      <c r="IKS53" s="76"/>
      <c r="IKT53" s="76"/>
      <c r="IKU53" s="76"/>
      <c r="IKV53" s="76"/>
      <c r="IKW53" s="76"/>
      <c r="IKX53" s="76"/>
      <c r="IKY53" s="76"/>
      <c r="IKZ53" s="76"/>
      <c r="ILA53" s="76"/>
      <c r="ILB53" s="76"/>
      <c r="ILC53" s="76"/>
      <c r="ILD53" s="76"/>
      <c r="ILE53" s="76"/>
      <c r="ILF53" s="76"/>
      <c r="ILG53" s="76"/>
      <c r="ILH53" s="76"/>
      <c r="ILI53" s="76"/>
      <c r="ILJ53" s="76"/>
      <c r="ILK53" s="76"/>
      <c r="ILL53" s="76"/>
      <c r="ILM53" s="76"/>
      <c r="ILN53" s="76"/>
      <c r="ILO53" s="76"/>
      <c r="ILP53" s="76"/>
      <c r="ILQ53" s="76"/>
      <c r="ILR53" s="76"/>
      <c r="ILS53" s="76"/>
      <c r="ILT53" s="76"/>
      <c r="ILU53" s="76"/>
      <c r="ILV53" s="76"/>
      <c r="ILW53" s="76"/>
      <c r="ILX53" s="76"/>
      <c r="ILY53" s="76"/>
      <c r="ILZ53" s="76"/>
      <c r="IMA53" s="76"/>
      <c r="IMB53" s="76"/>
      <c r="IMC53" s="76"/>
      <c r="IMD53" s="76"/>
      <c r="IME53" s="76"/>
      <c r="IMF53" s="76"/>
      <c r="IMG53" s="76"/>
      <c r="IMH53" s="76"/>
      <c r="IMI53" s="76"/>
      <c r="IMJ53" s="76"/>
      <c r="IMK53" s="76"/>
      <c r="IML53" s="76"/>
      <c r="IMM53" s="76"/>
      <c r="IMN53" s="76"/>
      <c r="IMO53" s="76"/>
      <c r="IMP53" s="76"/>
      <c r="IMQ53" s="76"/>
      <c r="IMR53" s="76"/>
      <c r="IMS53" s="76"/>
      <c r="IMT53" s="76"/>
      <c r="IMU53" s="76"/>
      <c r="IMV53" s="76"/>
      <c r="IMW53" s="76"/>
      <c r="IMX53" s="76"/>
      <c r="IMY53" s="76"/>
      <c r="IMZ53" s="76"/>
      <c r="INA53" s="76"/>
      <c r="INB53" s="76"/>
      <c r="INC53" s="76"/>
      <c r="IND53" s="76"/>
      <c r="INE53" s="76"/>
      <c r="INF53" s="76"/>
      <c r="ING53" s="76"/>
      <c r="INH53" s="76"/>
      <c r="INI53" s="76"/>
      <c r="INJ53" s="76"/>
      <c r="INK53" s="76"/>
      <c r="INL53" s="76"/>
      <c r="INM53" s="76"/>
      <c r="INN53" s="76"/>
      <c r="INO53" s="76"/>
      <c r="INP53" s="76"/>
      <c r="INQ53" s="76"/>
      <c r="INR53" s="76"/>
      <c r="INS53" s="76"/>
      <c r="INT53" s="76"/>
      <c r="INU53" s="76"/>
      <c r="INV53" s="76"/>
      <c r="INW53" s="76"/>
      <c r="INX53" s="76"/>
      <c r="INY53" s="76"/>
      <c r="INZ53" s="76"/>
      <c r="IOA53" s="76"/>
      <c r="IOB53" s="76"/>
      <c r="IOC53" s="76"/>
      <c r="IOD53" s="76"/>
      <c r="IOE53" s="76"/>
      <c r="IOF53" s="76"/>
      <c r="IOG53" s="76"/>
      <c r="IOH53" s="76"/>
      <c r="IOI53" s="76"/>
      <c r="IOJ53" s="76"/>
      <c r="IOK53" s="76"/>
      <c r="IOL53" s="76"/>
      <c r="IOM53" s="76"/>
      <c r="ION53" s="76"/>
      <c r="IOO53" s="76"/>
      <c r="IOP53" s="76"/>
      <c r="IOQ53" s="76"/>
      <c r="IOR53" s="76"/>
      <c r="IOS53" s="76"/>
      <c r="IOT53" s="76"/>
      <c r="IOU53" s="76"/>
      <c r="IOV53" s="76"/>
      <c r="IOW53" s="76"/>
      <c r="IOX53" s="76"/>
      <c r="IOY53" s="76"/>
      <c r="IOZ53" s="76"/>
      <c r="IPA53" s="76"/>
      <c r="IPB53" s="76"/>
      <c r="IPC53" s="76"/>
      <c r="IPD53" s="76"/>
      <c r="IPE53" s="76"/>
      <c r="IPF53" s="76"/>
      <c r="IPG53" s="76"/>
      <c r="IPH53" s="76"/>
      <c r="IPI53" s="76"/>
      <c r="IPJ53" s="76"/>
      <c r="IPK53" s="76"/>
      <c r="IPL53" s="76"/>
      <c r="IPM53" s="76"/>
      <c r="IPN53" s="76"/>
      <c r="IPO53" s="76"/>
      <c r="IPP53" s="76"/>
      <c r="IPQ53" s="76"/>
      <c r="IPR53" s="76"/>
      <c r="IPS53" s="76"/>
      <c r="IPT53" s="76"/>
      <c r="IPU53" s="76"/>
      <c r="IPV53" s="76"/>
      <c r="IPW53" s="76"/>
      <c r="IPX53" s="76"/>
      <c r="IPY53" s="76"/>
      <c r="IPZ53" s="76"/>
      <c r="IQA53" s="76"/>
      <c r="IQB53" s="76"/>
      <c r="IQC53" s="76"/>
      <c r="IQD53" s="76"/>
      <c r="IQE53" s="76"/>
      <c r="IQF53" s="76"/>
      <c r="IQG53" s="76"/>
      <c r="IQH53" s="76"/>
      <c r="IQI53" s="76"/>
      <c r="IQJ53" s="76"/>
      <c r="IQK53" s="76"/>
      <c r="IQL53" s="76"/>
      <c r="IQM53" s="76"/>
      <c r="IQN53" s="76"/>
      <c r="IQO53" s="76"/>
      <c r="IQP53" s="76"/>
      <c r="IQQ53" s="76"/>
      <c r="IQR53" s="76"/>
      <c r="IQS53" s="76"/>
      <c r="IQT53" s="76"/>
      <c r="IQU53" s="76"/>
      <c r="IQV53" s="76"/>
      <c r="IQW53" s="76"/>
      <c r="IQX53" s="76"/>
      <c r="IQY53" s="76"/>
      <c r="IQZ53" s="76"/>
      <c r="IRA53" s="76"/>
      <c r="IRB53" s="76"/>
      <c r="IRC53" s="76"/>
      <c r="IRD53" s="76"/>
      <c r="IRE53" s="76"/>
      <c r="IRF53" s="76"/>
      <c r="IRG53" s="76"/>
      <c r="IRH53" s="76"/>
      <c r="IRI53" s="76"/>
      <c r="IRJ53" s="76"/>
      <c r="IRK53" s="76"/>
      <c r="IRL53" s="76"/>
      <c r="IRM53" s="76"/>
      <c r="IRN53" s="76"/>
      <c r="IRO53" s="76"/>
      <c r="IRP53" s="76"/>
      <c r="IRQ53" s="76"/>
      <c r="IRR53" s="76"/>
      <c r="IRS53" s="76"/>
      <c r="IRT53" s="76"/>
      <c r="IRU53" s="76"/>
      <c r="IRV53" s="76"/>
      <c r="IRW53" s="76"/>
      <c r="IRX53" s="76"/>
      <c r="IRY53" s="76"/>
      <c r="IRZ53" s="76"/>
      <c r="ISA53" s="76"/>
      <c r="ISB53" s="76"/>
      <c r="ISC53" s="76"/>
      <c r="ISD53" s="76"/>
      <c r="ISE53" s="76"/>
      <c r="ISF53" s="76"/>
      <c r="ISG53" s="76"/>
      <c r="ISH53" s="76"/>
      <c r="ISI53" s="76"/>
      <c r="ISJ53" s="76"/>
      <c r="ISK53" s="76"/>
      <c r="ISL53" s="76"/>
      <c r="ISM53" s="76"/>
      <c r="ISN53" s="76"/>
      <c r="ISO53" s="76"/>
      <c r="ISP53" s="76"/>
      <c r="ISQ53" s="76"/>
      <c r="ISR53" s="76"/>
      <c r="ISS53" s="76"/>
      <c r="IST53" s="76"/>
      <c r="ISU53" s="76"/>
      <c r="ISV53" s="76"/>
      <c r="ISW53" s="76"/>
      <c r="ISX53" s="76"/>
      <c r="ISY53" s="76"/>
      <c r="ISZ53" s="76"/>
      <c r="ITA53" s="76"/>
      <c r="ITB53" s="76"/>
      <c r="ITC53" s="76"/>
      <c r="ITD53" s="76"/>
      <c r="ITE53" s="76"/>
      <c r="ITF53" s="76"/>
      <c r="ITG53" s="76"/>
      <c r="ITH53" s="76"/>
      <c r="ITI53" s="76"/>
      <c r="ITJ53" s="76"/>
      <c r="ITK53" s="76"/>
      <c r="ITL53" s="76"/>
      <c r="ITM53" s="76"/>
      <c r="ITN53" s="76"/>
      <c r="ITO53" s="76"/>
      <c r="ITP53" s="76"/>
      <c r="ITQ53" s="76"/>
      <c r="ITR53" s="76"/>
      <c r="ITS53" s="76"/>
      <c r="ITT53" s="76"/>
      <c r="ITU53" s="76"/>
      <c r="ITV53" s="76"/>
      <c r="ITW53" s="76"/>
      <c r="ITX53" s="76"/>
      <c r="ITY53" s="76"/>
      <c r="ITZ53" s="76"/>
      <c r="IUA53" s="76"/>
      <c r="IUB53" s="76"/>
      <c r="IUC53" s="76"/>
      <c r="IUD53" s="76"/>
      <c r="IUE53" s="76"/>
      <c r="IUF53" s="76"/>
      <c r="IUG53" s="76"/>
      <c r="IUH53" s="76"/>
      <c r="IUI53" s="76"/>
      <c r="IUJ53" s="76"/>
      <c r="IUK53" s="76"/>
      <c r="IUL53" s="76"/>
      <c r="IUM53" s="76"/>
      <c r="IUN53" s="76"/>
      <c r="IUO53" s="76"/>
      <c r="IUP53" s="76"/>
      <c r="IUQ53" s="76"/>
      <c r="IUR53" s="76"/>
      <c r="IUS53" s="76"/>
      <c r="IUT53" s="76"/>
      <c r="IUU53" s="76"/>
      <c r="IUV53" s="76"/>
      <c r="IUW53" s="76"/>
      <c r="IUX53" s="76"/>
      <c r="IUY53" s="76"/>
      <c r="IUZ53" s="76"/>
      <c r="IVA53" s="76"/>
      <c r="IVB53" s="76"/>
      <c r="IVC53" s="76"/>
      <c r="IVD53" s="76"/>
      <c r="IVE53" s="76"/>
      <c r="IVF53" s="76"/>
      <c r="IVG53" s="76"/>
      <c r="IVH53" s="76"/>
      <c r="IVI53" s="76"/>
      <c r="IVJ53" s="76"/>
      <c r="IVK53" s="76"/>
      <c r="IVL53" s="76"/>
      <c r="IVM53" s="76"/>
      <c r="IVN53" s="76"/>
      <c r="IVO53" s="76"/>
      <c r="IVP53" s="76"/>
      <c r="IVQ53" s="76"/>
      <c r="IVR53" s="76"/>
      <c r="IVS53" s="76"/>
      <c r="IVT53" s="76"/>
      <c r="IVU53" s="76"/>
      <c r="IVV53" s="76"/>
      <c r="IVW53" s="76"/>
      <c r="IVX53" s="76"/>
      <c r="IVY53" s="76"/>
      <c r="IVZ53" s="76"/>
      <c r="IWA53" s="76"/>
      <c r="IWB53" s="76"/>
      <c r="IWC53" s="76"/>
      <c r="IWD53" s="76"/>
      <c r="IWE53" s="76"/>
      <c r="IWF53" s="76"/>
      <c r="IWG53" s="76"/>
      <c r="IWH53" s="76"/>
      <c r="IWI53" s="76"/>
      <c r="IWJ53" s="76"/>
      <c r="IWK53" s="76"/>
      <c r="IWL53" s="76"/>
      <c r="IWM53" s="76"/>
      <c r="IWN53" s="76"/>
      <c r="IWO53" s="76"/>
      <c r="IWP53" s="76"/>
      <c r="IWQ53" s="76"/>
      <c r="IWR53" s="76"/>
      <c r="IWS53" s="76"/>
      <c r="IWT53" s="76"/>
      <c r="IWU53" s="76"/>
      <c r="IWV53" s="76"/>
      <c r="IWW53" s="76"/>
      <c r="IWX53" s="76"/>
      <c r="IWY53" s="76"/>
      <c r="IWZ53" s="76"/>
      <c r="IXA53" s="76"/>
      <c r="IXB53" s="76"/>
      <c r="IXC53" s="76"/>
      <c r="IXD53" s="76"/>
      <c r="IXE53" s="76"/>
      <c r="IXF53" s="76"/>
      <c r="IXG53" s="76"/>
      <c r="IXH53" s="76"/>
      <c r="IXI53" s="76"/>
      <c r="IXJ53" s="76"/>
      <c r="IXK53" s="76"/>
      <c r="IXL53" s="76"/>
      <c r="IXM53" s="76"/>
      <c r="IXN53" s="76"/>
      <c r="IXO53" s="76"/>
      <c r="IXP53" s="76"/>
      <c r="IXQ53" s="76"/>
      <c r="IXR53" s="76"/>
      <c r="IXS53" s="76"/>
      <c r="IXT53" s="76"/>
      <c r="IXU53" s="76"/>
      <c r="IXV53" s="76"/>
      <c r="IXW53" s="76"/>
      <c r="IXX53" s="76"/>
      <c r="IXY53" s="76"/>
      <c r="IXZ53" s="76"/>
      <c r="IYA53" s="76"/>
      <c r="IYB53" s="76"/>
      <c r="IYC53" s="76"/>
      <c r="IYD53" s="76"/>
      <c r="IYE53" s="76"/>
      <c r="IYF53" s="76"/>
      <c r="IYG53" s="76"/>
      <c r="IYH53" s="76"/>
      <c r="IYI53" s="76"/>
      <c r="IYJ53" s="76"/>
      <c r="IYK53" s="76"/>
      <c r="IYL53" s="76"/>
      <c r="IYM53" s="76"/>
      <c r="IYN53" s="76"/>
      <c r="IYO53" s="76"/>
      <c r="IYP53" s="76"/>
      <c r="IYQ53" s="76"/>
      <c r="IYR53" s="76"/>
      <c r="IYS53" s="76"/>
      <c r="IYT53" s="76"/>
      <c r="IYU53" s="76"/>
      <c r="IYV53" s="76"/>
      <c r="IYW53" s="76"/>
      <c r="IYX53" s="76"/>
      <c r="IYY53" s="76"/>
      <c r="IYZ53" s="76"/>
      <c r="IZA53" s="76"/>
      <c r="IZB53" s="76"/>
      <c r="IZC53" s="76"/>
      <c r="IZD53" s="76"/>
      <c r="IZE53" s="76"/>
      <c r="IZF53" s="76"/>
      <c r="IZG53" s="76"/>
      <c r="IZH53" s="76"/>
      <c r="IZI53" s="76"/>
      <c r="IZJ53" s="76"/>
      <c r="IZK53" s="76"/>
      <c r="IZL53" s="76"/>
      <c r="IZM53" s="76"/>
      <c r="IZN53" s="76"/>
      <c r="IZO53" s="76"/>
      <c r="IZP53" s="76"/>
      <c r="IZQ53" s="76"/>
      <c r="IZR53" s="76"/>
      <c r="IZS53" s="76"/>
      <c r="IZT53" s="76"/>
      <c r="IZU53" s="76"/>
      <c r="IZV53" s="76"/>
      <c r="IZW53" s="76"/>
      <c r="IZX53" s="76"/>
      <c r="IZY53" s="76"/>
      <c r="IZZ53" s="76"/>
      <c r="JAA53" s="76"/>
      <c r="JAB53" s="76"/>
      <c r="JAC53" s="76"/>
      <c r="JAD53" s="76"/>
      <c r="JAE53" s="76"/>
      <c r="JAF53" s="76"/>
      <c r="JAG53" s="76"/>
      <c r="JAH53" s="76"/>
      <c r="JAI53" s="76"/>
      <c r="JAJ53" s="76"/>
      <c r="JAK53" s="76"/>
      <c r="JAL53" s="76"/>
      <c r="JAM53" s="76"/>
      <c r="JAN53" s="76"/>
      <c r="JAO53" s="76"/>
      <c r="JAP53" s="76"/>
      <c r="JAQ53" s="76"/>
      <c r="JAR53" s="76"/>
      <c r="JAS53" s="76"/>
      <c r="JAT53" s="76"/>
      <c r="JAU53" s="76"/>
      <c r="JAV53" s="76"/>
      <c r="JAW53" s="76"/>
      <c r="JAX53" s="76"/>
      <c r="JAY53" s="76"/>
      <c r="JAZ53" s="76"/>
      <c r="JBA53" s="76"/>
      <c r="JBB53" s="76"/>
      <c r="JBC53" s="76"/>
      <c r="JBD53" s="76"/>
      <c r="JBE53" s="76"/>
      <c r="JBF53" s="76"/>
      <c r="JBG53" s="76"/>
      <c r="JBH53" s="76"/>
      <c r="JBI53" s="76"/>
      <c r="JBJ53" s="76"/>
      <c r="JBK53" s="76"/>
      <c r="JBL53" s="76"/>
      <c r="JBM53" s="76"/>
      <c r="JBN53" s="76"/>
      <c r="JBO53" s="76"/>
      <c r="JBP53" s="76"/>
      <c r="JBQ53" s="76"/>
      <c r="JBR53" s="76"/>
      <c r="JBS53" s="76"/>
      <c r="JBT53" s="76"/>
      <c r="JBU53" s="76"/>
      <c r="JBV53" s="76"/>
      <c r="JBW53" s="76"/>
      <c r="JBX53" s="76"/>
      <c r="JBY53" s="76"/>
      <c r="JBZ53" s="76"/>
      <c r="JCA53" s="76"/>
      <c r="JCB53" s="76"/>
      <c r="JCC53" s="76"/>
      <c r="JCD53" s="76"/>
      <c r="JCE53" s="76"/>
      <c r="JCF53" s="76"/>
      <c r="JCG53" s="76"/>
      <c r="JCH53" s="76"/>
      <c r="JCI53" s="76"/>
      <c r="JCJ53" s="76"/>
      <c r="JCK53" s="76"/>
      <c r="JCL53" s="76"/>
      <c r="JCM53" s="76"/>
      <c r="JCN53" s="76"/>
      <c r="JCO53" s="76"/>
      <c r="JCP53" s="76"/>
      <c r="JCQ53" s="76"/>
      <c r="JCR53" s="76"/>
      <c r="JCS53" s="76"/>
      <c r="JCT53" s="76"/>
      <c r="JCU53" s="76"/>
      <c r="JCV53" s="76"/>
      <c r="JCW53" s="76"/>
      <c r="JCX53" s="76"/>
      <c r="JCY53" s="76"/>
      <c r="JCZ53" s="76"/>
      <c r="JDA53" s="76"/>
      <c r="JDB53" s="76"/>
      <c r="JDC53" s="76"/>
      <c r="JDD53" s="76"/>
      <c r="JDE53" s="76"/>
      <c r="JDF53" s="76"/>
      <c r="JDG53" s="76"/>
      <c r="JDH53" s="76"/>
      <c r="JDI53" s="76"/>
      <c r="JDJ53" s="76"/>
      <c r="JDK53" s="76"/>
      <c r="JDL53" s="76"/>
      <c r="JDM53" s="76"/>
      <c r="JDN53" s="76"/>
      <c r="JDO53" s="76"/>
      <c r="JDP53" s="76"/>
      <c r="JDQ53" s="76"/>
      <c r="JDR53" s="76"/>
      <c r="JDS53" s="76"/>
      <c r="JDT53" s="76"/>
      <c r="JDU53" s="76"/>
      <c r="JDV53" s="76"/>
      <c r="JDW53" s="76"/>
      <c r="JDX53" s="76"/>
      <c r="JDY53" s="76"/>
      <c r="JDZ53" s="76"/>
      <c r="JEA53" s="76"/>
      <c r="JEB53" s="76"/>
      <c r="JEC53" s="76"/>
      <c r="JED53" s="76"/>
      <c r="JEE53" s="76"/>
      <c r="JEF53" s="76"/>
      <c r="JEG53" s="76"/>
      <c r="JEH53" s="76"/>
      <c r="JEI53" s="76"/>
      <c r="JEJ53" s="76"/>
      <c r="JEK53" s="76"/>
      <c r="JEL53" s="76"/>
      <c r="JEM53" s="76"/>
      <c r="JEN53" s="76"/>
      <c r="JEO53" s="76"/>
      <c r="JEP53" s="76"/>
      <c r="JEQ53" s="76"/>
      <c r="JER53" s="76"/>
      <c r="JES53" s="76"/>
      <c r="JET53" s="76"/>
      <c r="JEU53" s="76"/>
      <c r="JEV53" s="76"/>
      <c r="JEW53" s="76"/>
      <c r="JEX53" s="76"/>
      <c r="JEY53" s="76"/>
      <c r="JEZ53" s="76"/>
      <c r="JFA53" s="76"/>
      <c r="JFB53" s="76"/>
      <c r="JFC53" s="76"/>
      <c r="JFD53" s="76"/>
      <c r="JFE53" s="76"/>
      <c r="JFF53" s="76"/>
      <c r="JFG53" s="76"/>
      <c r="JFH53" s="76"/>
      <c r="JFI53" s="76"/>
      <c r="JFJ53" s="76"/>
      <c r="JFK53" s="76"/>
      <c r="JFL53" s="76"/>
      <c r="JFM53" s="76"/>
      <c r="JFN53" s="76"/>
      <c r="JFO53" s="76"/>
      <c r="JFP53" s="76"/>
      <c r="JFQ53" s="76"/>
      <c r="JFR53" s="76"/>
      <c r="JFS53" s="76"/>
      <c r="JFT53" s="76"/>
      <c r="JFU53" s="76"/>
      <c r="JFV53" s="76"/>
      <c r="JFW53" s="76"/>
      <c r="JFX53" s="76"/>
      <c r="JFY53" s="76"/>
      <c r="JFZ53" s="76"/>
      <c r="JGA53" s="76"/>
      <c r="JGB53" s="76"/>
      <c r="JGC53" s="76"/>
      <c r="JGD53" s="76"/>
      <c r="JGE53" s="76"/>
      <c r="JGF53" s="76"/>
      <c r="JGG53" s="76"/>
      <c r="JGH53" s="76"/>
      <c r="JGI53" s="76"/>
      <c r="JGJ53" s="76"/>
      <c r="JGK53" s="76"/>
      <c r="JGL53" s="76"/>
      <c r="JGM53" s="76"/>
      <c r="JGN53" s="76"/>
      <c r="JGO53" s="76"/>
      <c r="JGP53" s="76"/>
      <c r="JGQ53" s="76"/>
      <c r="JGR53" s="76"/>
      <c r="JGS53" s="76"/>
      <c r="JGT53" s="76"/>
      <c r="JGU53" s="76"/>
      <c r="JGV53" s="76"/>
      <c r="JGW53" s="76"/>
      <c r="JGX53" s="76"/>
      <c r="JGY53" s="76"/>
      <c r="JGZ53" s="76"/>
      <c r="JHA53" s="76"/>
      <c r="JHB53" s="76"/>
      <c r="JHC53" s="76"/>
      <c r="JHD53" s="76"/>
      <c r="JHE53" s="76"/>
      <c r="JHF53" s="76"/>
      <c r="JHG53" s="76"/>
      <c r="JHH53" s="76"/>
      <c r="JHI53" s="76"/>
      <c r="JHJ53" s="76"/>
      <c r="JHK53" s="76"/>
      <c r="JHL53" s="76"/>
      <c r="JHM53" s="76"/>
      <c r="JHN53" s="76"/>
      <c r="JHO53" s="76"/>
      <c r="JHP53" s="76"/>
      <c r="JHQ53" s="76"/>
      <c r="JHR53" s="76"/>
      <c r="JHS53" s="76"/>
      <c r="JHT53" s="76"/>
      <c r="JHU53" s="76"/>
      <c r="JHV53" s="76"/>
      <c r="JHW53" s="76"/>
      <c r="JHX53" s="76"/>
      <c r="JHY53" s="76"/>
      <c r="JHZ53" s="76"/>
      <c r="JIA53" s="76"/>
      <c r="JIB53" s="76"/>
      <c r="JIC53" s="76"/>
      <c r="JID53" s="76"/>
      <c r="JIE53" s="76"/>
      <c r="JIF53" s="76"/>
      <c r="JIG53" s="76"/>
      <c r="JIH53" s="76"/>
      <c r="JII53" s="76"/>
      <c r="JIJ53" s="76"/>
      <c r="JIK53" s="76"/>
      <c r="JIL53" s="76"/>
      <c r="JIM53" s="76"/>
      <c r="JIN53" s="76"/>
      <c r="JIO53" s="76"/>
      <c r="JIP53" s="76"/>
      <c r="JIQ53" s="76"/>
      <c r="JIR53" s="76"/>
      <c r="JIS53" s="76"/>
      <c r="JIT53" s="76"/>
      <c r="JIU53" s="76"/>
      <c r="JIV53" s="76"/>
      <c r="JIW53" s="76"/>
      <c r="JIX53" s="76"/>
      <c r="JIY53" s="76"/>
      <c r="JIZ53" s="76"/>
      <c r="JJA53" s="76"/>
      <c r="JJB53" s="76"/>
      <c r="JJC53" s="76"/>
      <c r="JJD53" s="76"/>
      <c r="JJE53" s="76"/>
      <c r="JJF53" s="76"/>
      <c r="JJG53" s="76"/>
      <c r="JJH53" s="76"/>
      <c r="JJI53" s="76"/>
      <c r="JJJ53" s="76"/>
      <c r="JJK53" s="76"/>
      <c r="JJL53" s="76"/>
      <c r="JJM53" s="76"/>
      <c r="JJN53" s="76"/>
      <c r="JJO53" s="76"/>
      <c r="JJP53" s="76"/>
      <c r="JJQ53" s="76"/>
      <c r="JJR53" s="76"/>
      <c r="JJS53" s="76"/>
      <c r="JJT53" s="76"/>
      <c r="JJU53" s="76"/>
      <c r="JJV53" s="76"/>
      <c r="JJW53" s="76"/>
      <c r="JJX53" s="76"/>
      <c r="JJY53" s="76"/>
      <c r="JJZ53" s="76"/>
      <c r="JKA53" s="76"/>
      <c r="JKB53" s="76"/>
      <c r="JKC53" s="76"/>
      <c r="JKD53" s="76"/>
      <c r="JKE53" s="76"/>
      <c r="JKF53" s="76"/>
      <c r="JKG53" s="76"/>
      <c r="JKH53" s="76"/>
      <c r="JKI53" s="76"/>
      <c r="JKJ53" s="76"/>
      <c r="JKK53" s="76"/>
      <c r="JKL53" s="76"/>
      <c r="JKM53" s="76"/>
      <c r="JKN53" s="76"/>
      <c r="JKO53" s="76"/>
      <c r="JKP53" s="76"/>
      <c r="JKQ53" s="76"/>
      <c r="JKR53" s="76"/>
      <c r="JKS53" s="76"/>
      <c r="JKT53" s="76"/>
      <c r="JKU53" s="76"/>
      <c r="JKV53" s="76"/>
      <c r="JKW53" s="76"/>
      <c r="JKX53" s="76"/>
      <c r="JKY53" s="76"/>
      <c r="JKZ53" s="76"/>
      <c r="JLA53" s="76"/>
      <c r="JLB53" s="76"/>
      <c r="JLC53" s="76"/>
      <c r="JLD53" s="76"/>
      <c r="JLE53" s="76"/>
      <c r="JLF53" s="76"/>
      <c r="JLG53" s="76"/>
      <c r="JLH53" s="76"/>
      <c r="JLI53" s="76"/>
      <c r="JLJ53" s="76"/>
      <c r="JLK53" s="76"/>
      <c r="JLL53" s="76"/>
      <c r="JLM53" s="76"/>
      <c r="JLN53" s="76"/>
      <c r="JLO53" s="76"/>
      <c r="JLP53" s="76"/>
      <c r="JLQ53" s="76"/>
      <c r="JLR53" s="76"/>
      <c r="JLS53" s="76"/>
      <c r="JLT53" s="76"/>
      <c r="JLU53" s="76"/>
      <c r="JLV53" s="76"/>
      <c r="JLW53" s="76"/>
      <c r="JLX53" s="76"/>
      <c r="JLY53" s="76"/>
      <c r="JLZ53" s="76"/>
      <c r="JMA53" s="76"/>
      <c r="JMB53" s="76"/>
      <c r="JMC53" s="76"/>
      <c r="JMD53" s="76"/>
      <c r="JME53" s="76"/>
      <c r="JMF53" s="76"/>
      <c r="JMG53" s="76"/>
      <c r="JMH53" s="76"/>
      <c r="JMI53" s="76"/>
      <c r="JMJ53" s="76"/>
      <c r="JMK53" s="76"/>
      <c r="JML53" s="76"/>
      <c r="JMM53" s="76"/>
      <c r="JMN53" s="76"/>
      <c r="JMO53" s="76"/>
      <c r="JMP53" s="76"/>
      <c r="JMQ53" s="76"/>
      <c r="JMR53" s="76"/>
      <c r="JMS53" s="76"/>
      <c r="JMT53" s="76"/>
      <c r="JMU53" s="76"/>
      <c r="JMV53" s="76"/>
      <c r="JMW53" s="76"/>
      <c r="JMX53" s="76"/>
      <c r="JMY53" s="76"/>
      <c r="JMZ53" s="76"/>
      <c r="JNA53" s="76"/>
      <c r="JNB53" s="76"/>
      <c r="JNC53" s="76"/>
      <c r="JND53" s="76"/>
      <c r="JNE53" s="76"/>
      <c r="JNF53" s="76"/>
      <c r="JNG53" s="76"/>
      <c r="JNH53" s="76"/>
      <c r="JNI53" s="76"/>
      <c r="JNJ53" s="76"/>
      <c r="JNK53" s="76"/>
      <c r="JNL53" s="76"/>
      <c r="JNM53" s="76"/>
      <c r="JNN53" s="76"/>
      <c r="JNO53" s="76"/>
      <c r="JNP53" s="76"/>
      <c r="JNQ53" s="76"/>
      <c r="JNR53" s="76"/>
      <c r="JNS53" s="76"/>
      <c r="JNT53" s="76"/>
      <c r="JNU53" s="76"/>
      <c r="JNV53" s="76"/>
      <c r="JNW53" s="76"/>
      <c r="JNX53" s="76"/>
      <c r="JNY53" s="76"/>
      <c r="JNZ53" s="76"/>
      <c r="JOA53" s="76"/>
      <c r="JOB53" s="76"/>
      <c r="JOC53" s="76"/>
      <c r="JOD53" s="76"/>
      <c r="JOE53" s="76"/>
      <c r="JOF53" s="76"/>
      <c r="JOG53" s="76"/>
      <c r="JOH53" s="76"/>
      <c r="JOI53" s="76"/>
      <c r="JOJ53" s="76"/>
      <c r="JOK53" s="76"/>
      <c r="JOL53" s="76"/>
      <c r="JOM53" s="76"/>
      <c r="JON53" s="76"/>
      <c r="JOO53" s="76"/>
      <c r="JOP53" s="76"/>
      <c r="JOQ53" s="76"/>
      <c r="JOR53" s="76"/>
      <c r="JOS53" s="76"/>
      <c r="JOT53" s="76"/>
      <c r="JOU53" s="76"/>
      <c r="JOV53" s="76"/>
      <c r="JOW53" s="76"/>
      <c r="JOX53" s="76"/>
      <c r="JOY53" s="76"/>
      <c r="JOZ53" s="76"/>
      <c r="JPA53" s="76"/>
      <c r="JPB53" s="76"/>
      <c r="JPC53" s="76"/>
      <c r="JPD53" s="76"/>
      <c r="JPE53" s="76"/>
      <c r="JPF53" s="76"/>
      <c r="JPG53" s="76"/>
      <c r="JPH53" s="76"/>
      <c r="JPI53" s="76"/>
      <c r="JPJ53" s="76"/>
      <c r="JPK53" s="76"/>
      <c r="JPL53" s="76"/>
      <c r="JPM53" s="76"/>
      <c r="JPN53" s="76"/>
      <c r="JPO53" s="76"/>
      <c r="JPP53" s="76"/>
      <c r="JPQ53" s="76"/>
      <c r="JPR53" s="76"/>
      <c r="JPS53" s="76"/>
      <c r="JPT53" s="76"/>
      <c r="JPU53" s="76"/>
      <c r="JPV53" s="76"/>
      <c r="JPW53" s="76"/>
      <c r="JPX53" s="76"/>
      <c r="JPY53" s="76"/>
      <c r="JPZ53" s="76"/>
      <c r="JQA53" s="76"/>
      <c r="JQB53" s="76"/>
      <c r="JQC53" s="76"/>
      <c r="JQD53" s="76"/>
      <c r="JQE53" s="76"/>
      <c r="JQF53" s="76"/>
      <c r="JQG53" s="76"/>
      <c r="JQH53" s="76"/>
      <c r="JQI53" s="76"/>
      <c r="JQJ53" s="76"/>
      <c r="JQK53" s="76"/>
      <c r="JQL53" s="76"/>
      <c r="JQM53" s="76"/>
      <c r="JQN53" s="76"/>
      <c r="JQO53" s="76"/>
      <c r="JQP53" s="76"/>
      <c r="JQQ53" s="76"/>
      <c r="JQR53" s="76"/>
      <c r="JQS53" s="76"/>
      <c r="JQT53" s="76"/>
      <c r="JQU53" s="76"/>
      <c r="JQV53" s="76"/>
      <c r="JQW53" s="76"/>
      <c r="JQX53" s="76"/>
      <c r="JQY53" s="76"/>
      <c r="JQZ53" s="76"/>
      <c r="JRA53" s="76"/>
      <c r="JRB53" s="76"/>
      <c r="JRC53" s="76"/>
      <c r="JRD53" s="76"/>
      <c r="JRE53" s="76"/>
      <c r="JRF53" s="76"/>
      <c r="JRG53" s="76"/>
      <c r="JRH53" s="76"/>
      <c r="JRI53" s="76"/>
      <c r="JRJ53" s="76"/>
      <c r="JRK53" s="76"/>
      <c r="JRL53" s="76"/>
      <c r="JRM53" s="76"/>
      <c r="JRN53" s="76"/>
      <c r="JRO53" s="76"/>
      <c r="JRP53" s="76"/>
      <c r="JRQ53" s="76"/>
      <c r="JRR53" s="76"/>
      <c r="JRS53" s="76"/>
      <c r="JRT53" s="76"/>
      <c r="JRU53" s="76"/>
      <c r="JRV53" s="76"/>
      <c r="JRW53" s="76"/>
      <c r="JRX53" s="76"/>
      <c r="JRY53" s="76"/>
      <c r="JRZ53" s="76"/>
      <c r="JSA53" s="76"/>
      <c r="JSB53" s="76"/>
      <c r="JSC53" s="76"/>
      <c r="JSD53" s="76"/>
      <c r="JSE53" s="76"/>
      <c r="JSF53" s="76"/>
      <c r="JSG53" s="76"/>
      <c r="JSH53" s="76"/>
      <c r="JSI53" s="76"/>
      <c r="JSJ53" s="76"/>
      <c r="JSK53" s="76"/>
      <c r="JSL53" s="76"/>
      <c r="JSM53" s="76"/>
      <c r="JSN53" s="76"/>
      <c r="JSO53" s="76"/>
      <c r="JSP53" s="76"/>
      <c r="JSQ53" s="76"/>
      <c r="JSR53" s="76"/>
      <c r="JSS53" s="76"/>
      <c r="JST53" s="76"/>
      <c r="JSU53" s="76"/>
      <c r="JSV53" s="76"/>
      <c r="JSW53" s="76"/>
      <c r="JSX53" s="76"/>
      <c r="JSY53" s="76"/>
      <c r="JSZ53" s="76"/>
      <c r="JTA53" s="76"/>
      <c r="JTB53" s="76"/>
      <c r="JTC53" s="76"/>
      <c r="JTD53" s="76"/>
      <c r="JTE53" s="76"/>
      <c r="JTF53" s="76"/>
      <c r="JTG53" s="76"/>
      <c r="JTH53" s="76"/>
      <c r="JTI53" s="76"/>
      <c r="JTJ53" s="76"/>
      <c r="JTK53" s="76"/>
      <c r="JTL53" s="76"/>
      <c r="JTM53" s="76"/>
      <c r="JTN53" s="76"/>
      <c r="JTO53" s="76"/>
      <c r="JTP53" s="76"/>
      <c r="JTQ53" s="76"/>
      <c r="JTR53" s="76"/>
      <c r="JTS53" s="76"/>
      <c r="JTT53" s="76"/>
      <c r="JTU53" s="76"/>
      <c r="JTV53" s="76"/>
      <c r="JTW53" s="76"/>
      <c r="JTX53" s="76"/>
      <c r="JTY53" s="76"/>
      <c r="JTZ53" s="76"/>
      <c r="JUA53" s="76"/>
      <c r="JUB53" s="76"/>
      <c r="JUC53" s="76"/>
      <c r="JUD53" s="76"/>
      <c r="JUE53" s="76"/>
      <c r="JUF53" s="76"/>
      <c r="JUG53" s="76"/>
      <c r="JUH53" s="76"/>
      <c r="JUI53" s="76"/>
      <c r="JUJ53" s="76"/>
      <c r="JUK53" s="76"/>
      <c r="JUL53" s="76"/>
      <c r="JUM53" s="76"/>
      <c r="JUN53" s="76"/>
      <c r="JUO53" s="76"/>
      <c r="JUP53" s="76"/>
      <c r="JUQ53" s="76"/>
      <c r="JUR53" s="76"/>
      <c r="JUS53" s="76"/>
      <c r="JUT53" s="76"/>
      <c r="JUU53" s="76"/>
      <c r="JUV53" s="76"/>
      <c r="JUW53" s="76"/>
      <c r="JUX53" s="76"/>
      <c r="JUY53" s="76"/>
      <c r="JUZ53" s="76"/>
      <c r="JVA53" s="76"/>
      <c r="JVB53" s="76"/>
      <c r="JVC53" s="76"/>
      <c r="JVD53" s="76"/>
      <c r="JVE53" s="76"/>
      <c r="JVF53" s="76"/>
      <c r="JVG53" s="76"/>
      <c r="JVH53" s="76"/>
      <c r="JVI53" s="76"/>
      <c r="JVJ53" s="76"/>
      <c r="JVK53" s="76"/>
      <c r="JVL53" s="76"/>
      <c r="JVM53" s="76"/>
      <c r="JVN53" s="76"/>
      <c r="JVO53" s="76"/>
      <c r="JVP53" s="76"/>
      <c r="JVQ53" s="76"/>
      <c r="JVR53" s="76"/>
      <c r="JVS53" s="76"/>
      <c r="JVT53" s="76"/>
      <c r="JVU53" s="76"/>
      <c r="JVV53" s="76"/>
      <c r="JVW53" s="76"/>
      <c r="JVX53" s="76"/>
      <c r="JVY53" s="76"/>
      <c r="JVZ53" s="76"/>
      <c r="JWA53" s="76"/>
      <c r="JWB53" s="76"/>
      <c r="JWC53" s="76"/>
      <c r="JWD53" s="76"/>
      <c r="JWE53" s="76"/>
      <c r="JWF53" s="76"/>
      <c r="JWG53" s="76"/>
      <c r="JWH53" s="76"/>
      <c r="JWI53" s="76"/>
      <c r="JWJ53" s="76"/>
      <c r="JWK53" s="76"/>
      <c r="JWL53" s="76"/>
      <c r="JWM53" s="76"/>
      <c r="JWN53" s="76"/>
      <c r="JWO53" s="76"/>
      <c r="JWP53" s="76"/>
      <c r="JWQ53" s="76"/>
      <c r="JWR53" s="76"/>
      <c r="JWS53" s="76"/>
      <c r="JWT53" s="76"/>
      <c r="JWU53" s="76"/>
      <c r="JWV53" s="76"/>
      <c r="JWW53" s="76"/>
      <c r="JWX53" s="76"/>
      <c r="JWY53" s="76"/>
      <c r="JWZ53" s="76"/>
      <c r="JXA53" s="76"/>
      <c r="JXB53" s="76"/>
      <c r="JXC53" s="76"/>
      <c r="JXD53" s="76"/>
      <c r="JXE53" s="76"/>
      <c r="JXF53" s="76"/>
      <c r="JXG53" s="76"/>
      <c r="JXH53" s="76"/>
      <c r="JXI53" s="76"/>
      <c r="JXJ53" s="76"/>
      <c r="JXK53" s="76"/>
      <c r="JXL53" s="76"/>
      <c r="JXM53" s="76"/>
      <c r="JXN53" s="76"/>
      <c r="JXO53" s="76"/>
      <c r="JXP53" s="76"/>
      <c r="JXQ53" s="76"/>
      <c r="JXR53" s="76"/>
      <c r="JXS53" s="76"/>
      <c r="JXT53" s="76"/>
      <c r="JXU53" s="76"/>
      <c r="JXV53" s="76"/>
      <c r="JXW53" s="76"/>
      <c r="JXX53" s="76"/>
      <c r="JXY53" s="76"/>
      <c r="JXZ53" s="76"/>
      <c r="JYA53" s="76"/>
      <c r="JYB53" s="76"/>
      <c r="JYC53" s="76"/>
      <c r="JYD53" s="76"/>
      <c r="JYE53" s="76"/>
      <c r="JYF53" s="76"/>
      <c r="JYG53" s="76"/>
      <c r="JYH53" s="76"/>
      <c r="JYI53" s="76"/>
      <c r="JYJ53" s="76"/>
      <c r="JYK53" s="76"/>
      <c r="JYL53" s="76"/>
      <c r="JYM53" s="76"/>
      <c r="JYN53" s="76"/>
      <c r="JYO53" s="76"/>
      <c r="JYP53" s="76"/>
      <c r="JYQ53" s="76"/>
      <c r="JYR53" s="76"/>
      <c r="JYS53" s="76"/>
      <c r="JYT53" s="76"/>
      <c r="JYU53" s="76"/>
      <c r="JYV53" s="76"/>
      <c r="JYW53" s="76"/>
      <c r="JYX53" s="76"/>
      <c r="JYY53" s="76"/>
      <c r="JYZ53" s="76"/>
      <c r="JZA53" s="76"/>
      <c r="JZB53" s="76"/>
      <c r="JZC53" s="76"/>
      <c r="JZD53" s="76"/>
      <c r="JZE53" s="76"/>
      <c r="JZF53" s="76"/>
      <c r="JZG53" s="76"/>
      <c r="JZH53" s="76"/>
      <c r="JZI53" s="76"/>
      <c r="JZJ53" s="76"/>
      <c r="JZK53" s="76"/>
      <c r="JZL53" s="76"/>
      <c r="JZM53" s="76"/>
      <c r="JZN53" s="76"/>
      <c r="JZO53" s="76"/>
      <c r="JZP53" s="76"/>
      <c r="JZQ53" s="76"/>
      <c r="JZR53" s="76"/>
      <c r="JZS53" s="76"/>
      <c r="JZT53" s="76"/>
      <c r="JZU53" s="76"/>
      <c r="JZV53" s="76"/>
      <c r="JZW53" s="76"/>
      <c r="JZX53" s="76"/>
      <c r="JZY53" s="76"/>
      <c r="JZZ53" s="76"/>
      <c r="KAA53" s="76"/>
      <c r="KAB53" s="76"/>
      <c r="KAC53" s="76"/>
      <c r="KAD53" s="76"/>
      <c r="KAE53" s="76"/>
      <c r="KAF53" s="76"/>
      <c r="KAG53" s="76"/>
      <c r="KAH53" s="76"/>
      <c r="KAI53" s="76"/>
      <c r="KAJ53" s="76"/>
      <c r="KAK53" s="76"/>
      <c r="KAL53" s="76"/>
      <c r="KAM53" s="76"/>
      <c r="KAN53" s="76"/>
      <c r="KAO53" s="76"/>
      <c r="KAP53" s="76"/>
      <c r="KAQ53" s="76"/>
      <c r="KAR53" s="76"/>
      <c r="KAS53" s="76"/>
      <c r="KAT53" s="76"/>
      <c r="KAU53" s="76"/>
      <c r="KAV53" s="76"/>
      <c r="KAW53" s="76"/>
      <c r="KAX53" s="76"/>
      <c r="KAY53" s="76"/>
      <c r="KAZ53" s="76"/>
      <c r="KBA53" s="76"/>
      <c r="KBB53" s="76"/>
      <c r="KBC53" s="76"/>
      <c r="KBD53" s="76"/>
      <c r="KBE53" s="76"/>
      <c r="KBF53" s="76"/>
      <c r="KBG53" s="76"/>
      <c r="KBH53" s="76"/>
      <c r="KBI53" s="76"/>
      <c r="KBJ53" s="76"/>
      <c r="KBK53" s="76"/>
      <c r="KBL53" s="76"/>
      <c r="KBM53" s="76"/>
      <c r="KBN53" s="76"/>
      <c r="KBO53" s="76"/>
      <c r="KBP53" s="76"/>
      <c r="KBQ53" s="76"/>
      <c r="KBR53" s="76"/>
      <c r="KBS53" s="76"/>
      <c r="KBT53" s="76"/>
      <c r="KBU53" s="76"/>
      <c r="KBV53" s="76"/>
      <c r="KBW53" s="76"/>
      <c r="KBX53" s="76"/>
      <c r="KBY53" s="76"/>
      <c r="KBZ53" s="76"/>
      <c r="KCA53" s="76"/>
      <c r="KCB53" s="76"/>
      <c r="KCC53" s="76"/>
      <c r="KCD53" s="76"/>
      <c r="KCE53" s="76"/>
      <c r="KCF53" s="76"/>
      <c r="KCG53" s="76"/>
      <c r="KCH53" s="76"/>
      <c r="KCI53" s="76"/>
      <c r="KCJ53" s="76"/>
      <c r="KCK53" s="76"/>
      <c r="KCL53" s="76"/>
      <c r="KCM53" s="76"/>
      <c r="KCN53" s="76"/>
      <c r="KCO53" s="76"/>
      <c r="KCP53" s="76"/>
      <c r="KCQ53" s="76"/>
      <c r="KCR53" s="76"/>
      <c r="KCS53" s="76"/>
      <c r="KCT53" s="76"/>
      <c r="KCU53" s="76"/>
      <c r="KCV53" s="76"/>
      <c r="KCW53" s="76"/>
      <c r="KCX53" s="76"/>
      <c r="KCY53" s="76"/>
      <c r="KCZ53" s="76"/>
      <c r="KDA53" s="76"/>
      <c r="KDB53" s="76"/>
      <c r="KDC53" s="76"/>
      <c r="KDD53" s="76"/>
      <c r="KDE53" s="76"/>
      <c r="KDF53" s="76"/>
      <c r="KDG53" s="76"/>
      <c r="KDH53" s="76"/>
      <c r="KDI53" s="76"/>
      <c r="KDJ53" s="76"/>
      <c r="KDK53" s="76"/>
      <c r="KDL53" s="76"/>
      <c r="KDM53" s="76"/>
      <c r="KDN53" s="76"/>
      <c r="KDO53" s="76"/>
      <c r="KDP53" s="76"/>
      <c r="KDQ53" s="76"/>
      <c r="KDR53" s="76"/>
      <c r="KDS53" s="76"/>
      <c r="KDT53" s="76"/>
      <c r="KDU53" s="76"/>
      <c r="KDV53" s="76"/>
      <c r="KDW53" s="76"/>
      <c r="KDX53" s="76"/>
      <c r="KDY53" s="76"/>
      <c r="KDZ53" s="76"/>
      <c r="KEA53" s="76"/>
      <c r="KEB53" s="76"/>
      <c r="KEC53" s="76"/>
      <c r="KED53" s="76"/>
      <c r="KEE53" s="76"/>
      <c r="KEF53" s="76"/>
      <c r="KEG53" s="76"/>
      <c r="KEH53" s="76"/>
      <c r="KEI53" s="76"/>
      <c r="KEJ53" s="76"/>
      <c r="KEK53" s="76"/>
      <c r="KEL53" s="76"/>
      <c r="KEM53" s="76"/>
      <c r="KEN53" s="76"/>
      <c r="KEO53" s="76"/>
      <c r="KEP53" s="76"/>
      <c r="KEQ53" s="76"/>
      <c r="KER53" s="76"/>
      <c r="KES53" s="76"/>
      <c r="KET53" s="76"/>
      <c r="KEU53" s="76"/>
      <c r="KEV53" s="76"/>
      <c r="KEW53" s="76"/>
      <c r="KEX53" s="76"/>
      <c r="KEY53" s="76"/>
      <c r="KEZ53" s="76"/>
      <c r="KFA53" s="76"/>
      <c r="KFB53" s="76"/>
      <c r="KFC53" s="76"/>
      <c r="KFD53" s="76"/>
      <c r="KFE53" s="76"/>
      <c r="KFF53" s="76"/>
      <c r="KFG53" s="76"/>
      <c r="KFH53" s="76"/>
      <c r="KFI53" s="76"/>
      <c r="KFJ53" s="76"/>
      <c r="KFK53" s="76"/>
      <c r="KFL53" s="76"/>
      <c r="KFM53" s="76"/>
      <c r="KFN53" s="76"/>
      <c r="KFO53" s="76"/>
      <c r="KFP53" s="76"/>
      <c r="KFQ53" s="76"/>
      <c r="KFR53" s="76"/>
      <c r="KFS53" s="76"/>
      <c r="KFT53" s="76"/>
      <c r="KFU53" s="76"/>
      <c r="KFV53" s="76"/>
      <c r="KFW53" s="76"/>
      <c r="KFX53" s="76"/>
      <c r="KFY53" s="76"/>
      <c r="KFZ53" s="76"/>
      <c r="KGA53" s="76"/>
      <c r="KGB53" s="76"/>
      <c r="KGC53" s="76"/>
      <c r="KGD53" s="76"/>
      <c r="KGE53" s="76"/>
      <c r="KGF53" s="76"/>
      <c r="KGG53" s="76"/>
      <c r="KGH53" s="76"/>
      <c r="KGI53" s="76"/>
      <c r="KGJ53" s="76"/>
      <c r="KGK53" s="76"/>
      <c r="KGL53" s="76"/>
      <c r="KGM53" s="76"/>
      <c r="KGN53" s="76"/>
      <c r="KGO53" s="76"/>
      <c r="KGP53" s="76"/>
      <c r="KGQ53" s="76"/>
      <c r="KGR53" s="76"/>
      <c r="KGS53" s="76"/>
      <c r="KGT53" s="76"/>
      <c r="KGU53" s="76"/>
      <c r="KGV53" s="76"/>
      <c r="KGW53" s="76"/>
      <c r="KGX53" s="76"/>
      <c r="KGY53" s="76"/>
      <c r="KGZ53" s="76"/>
      <c r="KHA53" s="76"/>
      <c r="KHB53" s="76"/>
      <c r="KHC53" s="76"/>
      <c r="KHD53" s="76"/>
      <c r="KHE53" s="76"/>
      <c r="KHF53" s="76"/>
      <c r="KHG53" s="76"/>
      <c r="KHH53" s="76"/>
      <c r="KHI53" s="76"/>
      <c r="KHJ53" s="76"/>
      <c r="KHK53" s="76"/>
      <c r="KHL53" s="76"/>
      <c r="KHM53" s="76"/>
      <c r="KHN53" s="76"/>
      <c r="KHO53" s="76"/>
      <c r="KHP53" s="76"/>
      <c r="KHQ53" s="76"/>
      <c r="KHR53" s="76"/>
      <c r="KHS53" s="76"/>
      <c r="KHT53" s="76"/>
      <c r="KHU53" s="76"/>
      <c r="KHV53" s="76"/>
      <c r="KHW53" s="76"/>
      <c r="KHX53" s="76"/>
      <c r="KHY53" s="76"/>
      <c r="KHZ53" s="76"/>
      <c r="KIA53" s="76"/>
      <c r="KIB53" s="76"/>
      <c r="KIC53" s="76"/>
      <c r="KID53" s="76"/>
      <c r="KIE53" s="76"/>
      <c r="KIF53" s="76"/>
      <c r="KIG53" s="76"/>
      <c r="KIH53" s="76"/>
      <c r="KII53" s="76"/>
      <c r="KIJ53" s="76"/>
      <c r="KIK53" s="76"/>
      <c r="KIL53" s="76"/>
      <c r="KIM53" s="76"/>
      <c r="KIN53" s="76"/>
      <c r="KIO53" s="76"/>
      <c r="KIP53" s="76"/>
      <c r="KIQ53" s="76"/>
      <c r="KIR53" s="76"/>
      <c r="KIS53" s="76"/>
      <c r="KIT53" s="76"/>
      <c r="KIU53" s="76"/>
      <c r="KIV53" s="76"/>
      <c r="KIW53" s="76"/>
      <c r="KIX53" s="76"/>
      <c r="KIY53" s="76"/>
      <c r="KIZ53" s="76"/>
      <c r="KJA53" s="76"/>
      <c r="KJB53" s="76"/>
      <c r="KJC53" s="76"/>
      <c r="KJD53" s="76"/>
      <c r="KJE53" s="76"/>
      <c r="KJF53" s="76"/>
      <c r="KJG53" s="76"/>
      <c r="KJH53" s="76"/>
      <c r="KJI53" s="76"/>
      <c r="KJJ53" s="76"/>
      <c r="KJK53" s="76"/>
      <c r="KJL53" s="76"/>
      <c r="KJM53" s="76"/>
      <c r="KJN53" s="76"/>
      <c r="KJO53" s="76"/>
      <c r="KJP53" s="76"/>
      <c r="KJQ53" s="76"/>
      <c r="KJR53" s="76"/>
      <c r="KJS53" s="76"/>
      <c r="KJT53" s="76"/>
      <c r="KJU53" s="76"/>
      <c r="KJV53" s="76"/>
      <c r="KJW53" s="76"/>
      <c r="KJX53" s="76"/>
      <c r="KJY53" s="76"/>
      <c r="KJZ53" s="76"/>
      <c r="KKA53" s="76"/>
      <c r="KKB53" s="76"/>
      <c r="KKC53" s="76"/>
      <c r="KKD53" s="76"/>
      <c r="KKE53" s="76"/>
      <c r="KKF53" s="76"/>
      <c r="KKG53" s="76"/>
      <c r="KKH53" s="76"/>
      <c r="KKI53" s="76"/>
      <c r="KKJ53" s="76"/>
      <c r="KKK53" s="76"/>
      <c r="KKL53" s="76"/>
      <c r="KKM53" s="76"/>
      <c r="KKN53" s="76"/>
      <c r="KKO53" s="76"/>
      <c r="KKP53" s="76"/>
      <c r="KKQ53" s="76"/>
      <c r="KKR53" s="76"/>
      <c r="KKS53" s="76"/>
      <c r="KKT53" s="76"/>
      <c r="KKU53" s="76"/>
      <c r="KKV53" s="76"/>
      <c r="KKW53" s="76"/>
      <c r="KKX53" s="76"/>
      <c r="KKY53" s="76"/>
      <c r="KKZ53" s="76"/>
      <c r="KLA53" s="76"/>
      <c r="KLB53" s="76"/>
      <c r="KLC53" s="76"/>
      <c r="KLD53" s="76"/>
      <c r="KLE53" s="76"/>
      <c r="KLF53" s="76"/>
      <c r="KLG53" s="76"/>
      <c r="KLH53" s="76"/>
      <c r="KLI53" s="76"/>
      <c r="KLJ53" s="76"/>
      <c r="KLK53" s="76"/>
      <c r="KLL53" s="76"/>
      <c r="KLM53" s="76"/>
      <c r="KLN53" s="76"/>
      <c r="KLO53" s="76"/>
      <c r="KLP53" s="76"/>
      <c r="KLQ53" s="76"/>
      <c r="KLR53" s="76"/>
      <c r="KLS53" s="76"/>
      <c r="KLT53" s="76"/>
      <c r="KLU53" s="76"/>
      <c r="KLV53" s="76"/>
      <c r="KLW53" s="76"/>
      <c r="KLX53" s="76"/>
      <c r="KLY53" s="76"/>
      <c r="KLZ53" s="76"/>
      <c r="KMA53" s="76"/>
      <c r="KMB53" s="76"/>
      <c r="KMC53" s="76"/>
      <c r="KMD53" s="76"/>
      <c r="KME53" s="76"/>
      <c r="KMF53" s="76"/>
      <c r="KMG53" s="76"/>
      <c r="KMH53" s="76"/>
      <c r="KMI53" s="76"/>
      <c r="KMJ53" s="76"/>
      <c r="KMK53" s="76"/>
      <c r="KML53" s="76"/>
      <c r="KMM53" s="76"/>
      <c r="KMN53" s="76"/>
      <c r="KMO53" s="76"/>
      <c r="KMP53" s="76"/>
      <c r="KMQ53" s="76"/>
      <c r="KMR53" s="76"/>
      <c r="KMS53" s="76"/>
      <c r="KMT53" s="76"/>
      <c r="KMU53" s="76"/>
      <c r="KMV53" s="76"/>
      <c r="KMW53" s="76"/>
      <c r="KMX53" s="76"/>
      <c r="KMY53" s="76"/>
      <c r="KMZ53" s="76"/>
      <c r="KNA53" s="76"/>
      <c r="KNB53" s="76"/>
      <c r="KNC53" s="76"/>
      <c r="KND53" s="76"/>
      <c r="KNE53" s="76"/>
      <c r="KNF53" s="76"/>
      <c r="KNG53" s="76"/>
      <c r="KNH53" s="76"/>
      <c r="KNI53" s="76"/>
      <c r="KNJ53" s="76"/>
      <c r="KNK53" s="76"/>
      <c r="KNL53" s="76"/>
      <c r="KNM53" s="76"/>
      <c r="KNN53" s="76"/>
      <c r="KNO53" s="76"/>
      <c r="KNP53" s="76"/>
      <c r="KNQ53" s="76"/>
      <c r="KNR53" s="76"/>
      <c r="KNS53" s="76"/>
      <c r="KNT53" s="76"/>
      <c r="KNU53" s="76"/>
      <c r="KNV53" s="76"/>
      <c r="KNW53" s="76"/>
      <c r="KNX53" s="76"/>
      <c r="KNY53" s="76"/>
      <c r="KNZ53" s="76"/>
      <c r="KOA53" s="76"/>
      <c r="KOB53" s="76"/>
      <c r="KOC53" s="76"/>
      <c r="KOD53" s="76"/>
      <c r="KOE53" s="76"/>
      <c r="KOF53" s="76"/>
      <c r="KOG53" s="76"/>
      <c r="KOH53" s="76"/>
      <c r="KOI53" s="76"/>
      <c r="KOJ53" s="76"/>
      <c r="KOK53" s="76"/>
      <c r="KOL53" s="76"/>
      <c r="KOM53" s="76"/>
      <c r="KON53" s="76"/>
      <c r="KOO53" s="76"/>
      <c r="KOP53" s="76"/>
      <c r="KOQ53" s="76"/>
      <c r="KOR53" s="76"/>
      <c r="KOS53" s="76"/>
      <c r="KOT53" s="76"/>
      <c r="KOU53" s="76"/>
      <c r="KOV53" s="76"/>
      <c r="KOW53" s="76"/>
      <c r="KOX53" s="76"/>
      <c r="KOY53" s="76"/>
      <c r="KOZ53" s="76"/>
      <c r="KPA53" s="76"/>
      <c r="KPB53" s="76"/>
      <c r="KPC53" s="76"/>
      <c r="KPD53" s="76"/>
      <c r="KPE53" s="76"/>
      <c r="KPF53" s="76"/>
      <c r="KPG53" s="76"/>
      <c r="KPH53" s="76"/>
      <c r="KPI53" s="76"/>
      <c r="KPJ53" s="76"/>
      <c r="KPK53" s="76"/>
      <c r="KPL53" s="76"/>
      <c r="KPM53" s="76"/>
      <c r="KPN53" s="76"/>
      <c r="KPO53" s="76"/>
      <c r="KPP53" s="76"/>
      <c r="KPQ53" s="76"/>
      <c r="KPR53" s="76"/>
      <c r="KPS53" s="76"/>
      <c r="KPT53" s="76"/>
      <c r="KPU53" s="76"/>
      <c r="KPV53" s="76"/>
      <c r="KPW53" s="76"/>
      <c r="KPX53" s="76"/>
      <c r="KPY53" s="76"/>
      <c r="KPZ53" s="76"/>
      <c r="KQA53" s="76"/>
      <c r="KQB53" s="76"/>
      <c r="KQC53" s="76"/>
      <c r="KQD53" s="76"/>
      <c r="KQE53" s="76"/>
      <c r="KQF53" s="76"/>
      <c r="KQG53" s="76"/>
      <c r="KQH53" s="76"/>
      <c r="KQI53" s="76"/>
      <c r="KQJ53" s="76"/>
      <c r="KQK53" s="76"/>
      <c r="KQL53" s="76"/>
      <c r="KQM53" s="76"/>
      <c r="KQN53" s="76"/>
      <c r="KQO53" s="76"/>
      <c r="KQP53" s="76"/>
      <c r="KQQ53" s="76"/>
      <c r="KQR53" s="76"/>
      <c r="KQS53" s="76"/>
      <c r="KQT53" s="76"/>
      <c r="KQU53" s="76"/>
      <c r="KQV53" s="76"/>
      <c r="KQW53" s="76"/>
      <c r="KQX53" s="76"/>
      <c r="KQY53" s="76"/>
      <c r="KQZ53" s="76"/>
      <c r="KRA53" s="76"/>
      <c r="KRB53" s="76"/>
      <c r="KRC53" s="76"/>
      <c r="KRD53" s="76"/>
      <c r="KRE53" s="76"/>
      <c r="KRF53" s="76"/>
      <c r="KRG53" s="76"/>
      <c r="KRH53" s="76"/>
      <c r="KRI53" s="76"/>
      <c r="KRJ53" s="76"/>
      <c r="KRK53" s="76"/>
      <c r="KRL53" s="76"/>
      <c r="KRM53" s="76"/>
      <c r="KRN53" s="76"/>
      <c r="KRO53" s="76"/>
      <c r="KRP53" s="76"/>
      <c r="KRQ53" s="76"/>
      <c r="KRR53" s="76"/>
      <c r="KRS53" s="76"/>
      <c r="KRT53" s="76"/>
      <c r="KRU53" s="76"/>
      <c r="KRV53" s="76"/>
      <c r="KRW53" s="76"/>
      <c r="KRX53" s="76"/>
      <c r="KRY53" s="76"/>
      <c r="KRZ53" s="76"/>
      <c r="KSA53" s="76"/>
      <c r="KSB53" s="76"/>
      <c r="KSC53" s="76"/>
      <c r="KSD53" s="76"/>
      <c r="KSE53" s="76"/>
      <c r="KSF53" s="76"/>
      <c r="KSG53" s="76"/>
      <c r="KSH53" s="76"/>
      <c r="KSI53" s="76"/>
      <c r="KSJ53" s="76"/>
      <c r="KSK53" s="76"/>
      <c r="KSL53" s="76"/>
      <c r="KSM53" s="76"/>
      <c r="KSN53" s="76"/>
      <c r="KSO53" s="76"/>
      <c r="KSP53" s="76"/>
      <c r="KSQ53" s="76"/>
      <c r="KSR53" s="76"/>
      <c r="KSS53" s="76"/>
      <c r="KST53" s="76"/>
      <c r="KSU53" s="76"/>
      <c r="KSV53" s="76"/>
      <c r="KSW53" s="76"/>
      <c r="KSX53" s="76"/>
      <c r="KSY53" s="76"/>
      <c r="KSZ53" s="76"/>
      <c r="KTA53" s="76"/>
      <c r="KTB53" s="76"/>
      <c r="KTC53" s="76"/>
      <c r="KTD53" s="76"/>
      <c r="KTE53" s="76"/>
      <c r="KTF53" s="76"/>
      <c r="KTG53" s="76"/>
      <c r="KTH53" s="76"/>
      <c r="KTI53" s="76"/>
      <c r="KTJ53" s="76"/>
      <c r="KTK53" s="76"/>
      <c r="KTL53" s="76"/>
      <c r="KTM53" s="76"/>
      <c r="KTN53" s="76"/>
      <c r="KTO53" s="76"/>
      <c r="KTP53" s="76"/>
      <c r="KTQ53" s="76"/>
      <c r="KTR53" s="76"/>
      <c r="KTS53" s="76"/>
      <c r="KTT53" s="76"/>
      <c r="KTU53" s="76"/>
      <c r="KTV53" s="76"/>
      <c r="KTW53" s="76"/>
      <c r="KTX53" s="76"/>
      <c r="KTY53" s="76"/>
      <c r="KTZ53" s="76"/>
      <c r="KUA53" s="76"/>
      <c r="KUB53" s="76"/>
      <c r="KUC53" s="76"/>
      <c r="KUD53" s="76"/>
      <c r="KUE53" s="76"/>
      <c r="KUF53" s="76"/>
      <c r="KUG53" s="76"/>
      <c r="KUH53" s="76"/>
      <c r="KUI53" s="76"/>
      <c r="KUJ53" s="76"/>
      <c r="KUK53" s="76"/>
      <c r="KUL53" s="76"/>
      <c r="KUM53" s="76"/>
      <c r="KUN53" s="76"/>
      <c r="KUO53" s="76"/>
      <c r="KUP53" s="76"/>
      <c r="KUQ53" s="76"/>
      <c r="KUR53" s="76"/>
      <c r="KUS53" s="76"/>
      <c r="KUT53" s="76"/>
      <c r="KUU53" s="76"/>
      <c r="KUV53" s="76"/>
      <c r="KUW53" s="76"/>
      <c r="KUX53" s="76"/>
      <c r="KUY53" s="76"/>
      <c r="KUZ53" s="76"/>
      <c r="KVA53" s="76"/>
      <c r="KVB53" s="76"/>
      <c r="KVC53" s="76"/>
      <c r="KVD53" s="76"/>
      <c r="KVE53" s="76"/>
      <c r="KVF53" s="76"/>
      <c r="KVG53" s="76"/>
      <c r="KVH53" s="76"/>
      <c r="KVI53" s="76"/>
      <c r="KVJ53" s="76"/>
      <c r="KVK53" s="76"/>
      <c r="KVL53" s="76"/>
      <c r="KVM53" s="76"/>
      <c r="KVN53" s="76"/>
      <c r="KVO53" s="76"/>
      <c r="KVP53" s="76"/>
      <c r="KVQ53" s="76"/>
      <c r="KVR53" s="76"/>
      <c r="KVS53" s="76"/>
      <c r="KVT53" s="76"/>
      <c r="KVU53" s="76"/>
      <c r="KVV53" s="76"/>
      <c r="KVW53" s="76"/>
      <c r="KVX53" s="76"/>
      <c r="KVY53" s="76"/>
      <c r="KVZ53" s="76"/>
      <c r="KWA53" s="76"/>
      <c r="KWB53" s="76"/>
      <c r="KWC53" s="76"/>
      <c r="KWD53" s="76"/>
      <c r="KWE53" s="76"/>
      <c r="KWF53" s="76"/>
      <c r="KWG53" s="76"/>
      <c r="KWH53" s="76"/>
      <c r="KWI53" s="76"/>
      <c r="KWJ53" s="76"/>
      <c r="KWK53" s="76"/>
      <c r="KWL53" s="76"/>
      <c r="KWM53" s="76"/>
      <c r="KWN53" s="76"/>
      <c r="KWO53" s="76"/>
      <c r="KWP53" s="76"/>
      <c r="KWQ53" s="76"/>
      <c r="KWR53" s="76"/>
      <c r="KWS53" s="76"/>
      <c r="KWT53" s="76"/>
      <c r="KWU53" s="76"/>
      <c r="KWV53" s="76"/>
      <c r="KWW53" s="76"/>
      <c r="KWX53" s="76"/>
      <c r="KWY53" s="76"/>
      <c r="KWZ53" s="76"/>
      <c r="KXA53" s="76"/>
      <c r="KXB53" s="76"/>
      <c r="KXC53" s="76"/>
      <c r="KXD53" s="76"/>
      <c r="KXE53" s="76"/>
      <c r="KXF53" s="76"/>
      <c r="KXG53" s="76"/>
      <c r="KXH53" s="76"/>
      <c r="KXI53" s="76"/>
      <c r="KXJ53" s="76"/>
      <c r="KXK53" s="76"/>
      <c r="KXL53" s="76"/>
      <c r="KXM53" s="76"/>
      <c r="KXN53" s="76"/>
      <c r="KXO53" s="76"/>
      <c r="KXP53" s="76"/>
      <c r="KXQ53" s="76"/>
      <c r="KXR53" s="76"/>
      <c r="KXS53" s="76"/>
      <c r="KXT53" s="76"/>
      <c r="KXU53" s="76"/>
      <c r="KXV53" s="76"/>
      <c r="KXW53" s="76"/>
      <c r="KXX53" s="76"/>
      <c r="KXY53" s="76"/>
      <c r="KXZ53" s="76"/>
      <c r="KYA53" s="76"/>
      <c r="KYB53" s="76"/>
      <c r="KYC53" s="76"/>
      <c r="KYD53" s="76"/>
      <c r="KYE53" s="76"/>
      <c r="KYF53" s="76"/>
      <c r="KYG53" s="76"/>
      <c r="KYH53" s="76"/>
      <c r="KYI53" s="76"/>
      <c r="KYJ53" s="76"/>
      <c r="KYK53" s="76"/>
      <c r="KYL53" s="76"/>
      <c r="KYM53" s="76"/>
      <c r="KYN53" s="76"/>
      <c r="KYO53" s="76"/>
      <c r="KYP53" s="76"/>
      <c r="KYQ53" s="76"/>
      <c r="KYR53" s="76"/>
      <c r="KYS53" s="76"/>
      <c r="KYT53" s="76"/>
      <c r="KYU53" s="76"/>
      <c r="KYV53" s="76"/>
      <c r="KYW53" s="76"/>
      <c r="KYX53" s="76"/>
      <c r="KYY53" s="76"/>
      <c r="KYZ53" s="76"/>
      <c r="KZA53" s="76"/>
      <c r="KZB53" s="76"/>
      <c r="KZC53" s="76"/>
      <c r="KZD53" s="76"/>
      <c r="KZE53" s="76"/>
      <c r="KZF53" s="76"/>
      <c r="KZG53" s="76"/>
      <c r="KZH53" s="76"/>
      <c r="KZI53" s="76"/>
      <c r="KZJ53" s="76"/>
      <c r="KZK53" s="76"/>
      <c r="KZL53" s="76"/>
      <c r="KZM53" s="76"/>
      <c r="KZN53" s="76"/>
      <c r="KZO53" s="76"/>
      <c r="KZP53" s="76"/>
      <c r="KZQ53" s="76"/>
      <c r="KZR53" s="76"/>
      <c r="KZS53" s="76"/>
      <c r="KZT53" s="76"/>
      <c r="KZU53" s="76"/>
      <c r="KZV53" s="76"/>
      <c r="KZW53" s="76"/>
      <c r="KZX53" s="76"/>
      <c r="KZY53" s="76"/>
      <c r="KZZ53" s="76"/>
      <c r="LAA53" s="76"/>
      <c r="LAB53" s="76"/>
      <c r="LAC53" s="76"/>
      <c r="LAD53" s="76"/>
      <c r="LAE53" s="76"/>
      <c r="LAF53" s="76"/>
      <c r="LAG53" s="76"/>
      <c r="LAH53" s="76"/>
      <c r="LAI53" s="76"/>
      <c r="LAJ53" s="76"/>
      <c r="LAK53" s="76"/>
      <c r="LAL53" s="76"/>
      <c r="LAM53" s="76"/>
      <c r="LAN53" s="76"/>
      <c r="LAO53" s="76"/>
      <c r="LAP53" s="76"/>
      <c r="LAQ53" s="76"/>
      <c r="LAR53" s="76"/>
      <c r="LAS53" s="76"/>
      <c r="LAT53" s="76"/>
      <c r="LAU53" s="76"/>
      <c r="LAV53" s="76"/>
      <c r="LAW53" s="76"/>
      <c r="LAX53" s="76"/>
      <c r="LAY53" s="76"/>
      <c r="LAZ53" s="76"/>
      <c r="LBA53" s="76"/>
      <c r="LBB53" s="76"/>
      <c r="LBC53" s="76"/>
      <c r="LBD53" s="76"/>
      <c r="LBE53" s="76"/>
      <c r="LBF53" s="76"/>
      <c r="LBG53" s="76"/>
      <c r="LBH53" s="76"/>
      <c r="LBI53" s="76"/>
      <c r="LBJ53" s="76"/>
      <c r="LBK53" s="76"/>
      <c r="LBL53" s="76"/>
      <c r="LBM53" s="76"/>
      <c r="LBN53" s="76"/>
      <c r="LBO53" s="76"/>
      <c r="LBP53" s="76"/>
      <c r="LBQ53" s="76"/>
      <c r="LBR53" s="76"/>
      <c r="LBS53" s="76"/>
      <c r="LBT53" s="76"/>
      <c r="LBU53" s="76"/>
      <c r="LBV53" s="76"/>
      <c r="LBW53" s="76"/>
      <c r="LBX53" s="76"/>
      <c r="LBY53" s="76"/>
      <c r="LBZ53" s="76"/>
      <c r="LCA53" s="76"/>
      <c r="LCB53" s="76"/>
      <c r="LCC53" s="76"/>
      <c r="LCD53" s="76"/>
      <c r="LCE53" s="76"/>
      <c r="LCF53" s="76"/>
      <c r="LCG53" s="76"/>
      <c r="LCH53" s="76"/>
      <c r="LCI53" s="76"/>
      <c r="LCJ53" s="76"/>
      <c r="LCK53" s="76"/>
      <c r="LCL53" s="76"/>
      <c r="LCM53" s="76"/>
      <c r="LCN53" s="76"/>
      <c r="LCO53" s="76"/>
      <c r="LCP53" s="76"/>
      <c r="LCQ53" s="76"/>
      <c r="LCR53" s="76"/>
      <c r="LCS53" s="76"/>
      <c r="LCT53" s="76"/>
      <c r="LCU53" s="76"/>
      <c r="LCV53" s="76"/>
      <c r="LCW53" s="76"/>
      <c r="LCX53" s="76"/>
      <c r="LCY53" s="76"/>
      <c r="LCZ53" s="76"/>
      <c r="LDA53" s="76"/>
      <c r="LDB53" s="76"/>
      <c r="LDC53" s="76"/>
      <c r="LDD53" s="76"/>
      <c r="LDE53" s="76"/>
      <c r="LDF53" s="76"/>
      <c r="LDG53" s="76"/>
      <c r="LDH53" s="76"/>
      <c r="LDI53" s="76"/>
      <c r="LDJ53" s="76"/>
      <c r="LDK53" s="76"/>
      <c r="LDL53" s="76"/>
      <c r="LDM53" s="76"/>
      <c r="LDN53" s="76"/>
      <c r="LDO53" s="76"/>
      <c r="LDP53" s="76"/>
      <c r="LDQ53" s="76"/>
      <c r="LDR53" s="76"/>
      <c r="LDS53" s="76"/>
      <c r="LDT53" s="76"/>
      <c r="LDU53" s="76"/>
      <c r="LDV53" s="76"/>
      <c r="LDW53" s="76"/>
      <c r="LDX53" s="76"/>
      <c r="LDY53" s="76"/>
      <c r="LDZ53" s="76"/>
      <c r="LEA53" s="76"/>
      <c r="LEB53" s="76"/>
      <c r="LEC53" s="76"/>
      <c r="LED53" s="76"/>
      <c r="LEE53" s="76"/>
      <c r="LEF53" s="76"/>
      <c r="LEG53" s="76"/>
      <c r="LEH53" s="76"/>
      <c r="LEI53" s="76"/>
      <c r="LEJ53" s="76"/>
      <c r="LEK53" s="76"/>
      <c r="LEL53" s="76"/>
      <c r="LEM53" s="76"/>
      <c r="LEN53" s="76"/>
      <c r="LEO53" s="76"/>
      <c r="LEP53" s="76"/>
      <c r="LEQ53" s="76"/>
      <c r="LER53" s="76"/>
      <c r="LES53" s="76"/>
      <c r="LET53" s="76"/>
      <c r="LEU53" s="76"/>
      <c r="LEV53" s="76"/>
      <c r="LEW53" s="76"/>
      <c r="LEX53" s="76"/>
      <c r="LEY53" s="76"/>
      <c r="LEZ53" s="76"/>
      <c r="LFA53" s="76"/>
      <c r="LFB53" s="76"/>
      <c r="LFC53" s="76"/>
      <c r="LFD53" s="76"/>
      <c r="LFE53" s="76"/>
      <c r="LFF53" s="76"/>
      <c r="LFG53" s="76"/>
      <c r="LFH53" s="76"/>
      <c r="LFI53" s="76"/>
      <c r="LFJ53" s="76"/>
      <c r="LFK53" s="76"/>
      <c r="LFL53" s="76"/>
      <c r="LFM53" s="76"/>
      <c r="LFN53" s="76"/>
      <c r="LFO53" s="76"/>
      <c r="LFP53" s="76"/>
      <c r="LFQ53" s="76"/>
      <c r="LFR53" s="76"/>
      <c r="LFS53" s="76"/>
      <c r="LFT53" s="76"/>
      <c r="LFU53" s="76"/>
      <c r="LFV53" s="76"/>
      <c r="LFW53" s="76"/>
      <c r="LFX53" s="76"/>
      <c r="LFY53" s="76"/>
      <c r="LFZ53" s="76"/>
      <c r="LGA53" s="76"/>
      <c r="LGB53" s="76"/>
      <c r="LGC53" s="76"/>
      <c r="LGD53" s="76"/>
      <c r="LGE53" s="76"/>
      <c r="LGF53" s="76"/>
      <c r="LGG53" s="76"/>
      <c r="LGH53" s="76"/>
      <c r="LGI53" s="76"/>
      <c r="LGJ53" s="76"/>
      <c r="LGK53" s="76"/>
      <c r="LGL53" s="76"/>
      <c r="LGM53" s="76"/>
      <c r="LGN53" s="76"/>
      <c r="LGO53" s="76"/>
      <c r="LGP53" s="76"/>
      <c r="LGQ53" s="76"/>
      <c r="LGR53" s="76"/>
      <c r="LGS53" s="76"/>
      <c r="LGT53" s="76"/>
      <c r="LGU53" s="76"/>
      <c r="LGV53" s="76"/>
      <c r="LGW53" s="76"/>
      <c r="LGX53" s="76"/>
      <c r="LGY53" s="76"/>
      <c r="LGZ53" s="76"/>
      <c r="LHA53" s="76"/>
      <c r="LHB53" s="76"/>
      <c r="LHC53" s="76"/>
      <c r="LHD53" s="76"/>
      <c r="LHE53" s="76"/>
      <c r="LHF53" s="76"/>
      <c r="LHG53" s="76"/>
      <c r="LHH53" s="76"/>
      <c r="LHI53" s="76"/>
      <c r="LHJ53" s="76"/>
      <c r="LHK53" s="76"/>
      <c r="LHL53" s="76"/>
      <c r="LHM53" s="76"/>
      <c r="LHN53" s="76"/>
      <c r="LHO53" s="76"/>
      <c r="LHP53" s="76"/>
      <c r="LHQ53" s="76"/>
      <c r="LHR53" s="76"/>
      <c r="LHS53" s="76"/>
      <c r="LHT53" s="76"/>
      <c r="LHU53" s="76"/>
      <c r="LHV53" s="76"/>
      <c r="LHW53" s="76"/>
      <c r="LHX53" s="76"/>
      <c r="LHY53" s="76"/>
      <c r="LHZ53" s="76"/>
      <c r="LIA53" s="76"/>
      <c r="LIB53" s="76"/>
      <c r="LIC53" s="76"/>
      <c r="LID53" s="76"/>
      <c r="LIE53" s="76"/>
      <c r="LIF53" s="76"/>
      <c r="LIG53" s="76"/>
      <c r="LIH53" s="76"/>
      <c r="LII53" s="76"/>
      <c r="LIJ53" s="76"/>
      <c r="LIK53" s="76"/>
      <c r="LIL53" s="76"/>
      <c r="LIM53" s="76"/>
      <c r="LIN53" s="76"/>
      <c r="LIO53" s="76"/>
      <c r="LIP53" s="76"/>
      <c r="LIQ53" s="76"/>
      <c r="LIR53" s="76"/>
      <c r="LIS53" s="76"/>
      <c r="LIT53" s="76"/>
      <c r="LIU53" s="76"/>
      <c r="LIV53" s="76"/>
      <c r="LIW53" s="76"/>
      <c r="LIX53" s="76"/>
      <c r="LIY53" s="76"/>
      <c r="LIZ53" s="76"/>
      <c r="LJA53" s="76"/>
      <c r="LJB53" s="76"/>
      <c r="LJC53" s="76"/>
      <c r="LJD53" s="76"/>
      <c r="LJE53" s="76"/>
      <c r="LJF53" s="76"/>
      <c r="LJG53" s="76"/>
      <c r="LJH53" s="76"/>
      <c r="LJI53" s="76"/>
      <c r="LJJ53" s="76"/>
      <c r="LJK53" s="76"/>
      <c r="LJL53" s="76"/>
      <c r="LJM53" s="76"/>
      <c r="LJN53" s="76"/>
      <c r="LJO53" s="76"/>
      <c r="LJP53" s="76"/>
      <c r="LJQ53" s="76"/>
      <c r="LJR53" s="76"/>
      <c r="LJS53" s="76"/>
      <c r="LJT53" s="76"/>
      <c r="LJU53" s="76"/>
      <c r="LJV53" s="76"/>
      <c r="LJW53" s="76"/>
      <c r="LJX53" s="76"/>
      <c r="LJY53" s="76"/>
      <c r="LJZ53" s="76"/>
      <c r="LKA53" s="76"/>
      <c r="LKB53" s="76"/>
      <c r="LKC53" s="76"/>
      <c r="LKD53" s="76"/>
      <c r="LKE53" s="76"/>
      <c r="LKF53" s="76"/>
      <c r="LKG53" s="76"/>
      <c r="LKH53" s="76"/>
      <c r="LKI53" s="76"/>
      <c r="LKJ53" s="76"/>
      <c r="LKK53" s="76"/>
      <c r="LKL53" s="76"/>
      <c r="LKM53" s="76"/>
      <c r="LKN53" s="76"/>
      <c r="LKO53" s="76"/>
      <c r="LKP53" s="76"/>
      <c r="LKQ53" s="76"/>
      <c r="LKR53" s="76"/>
      <c r="LKS53" s="76"/>
      <c r="LKT53" s="76"/>
      <c r="LKU53" s="76"/>
      <c r="LKV53" s="76"/>
      <c r="LKW53" s="76"/>
      <c r="LKX53" s="76"/>
      <c r="LKY53" s="76"/>
      <c r="LKZ53" s="76"/>
      <c r="LLA53" s="76"/>
      <c r="LLB53" s="76"/>
      <c r="LLC53" s="76"/>
      <c r="LLD53" s="76"/>
      <c r="LLE53" s="76"/>
      <c r="LLF53" s="76"/>
      <c r="LLG53" s="76"/>
      <c r="LLH53" s="76"/>
      <c r="LLI53" s="76"/>
      <c r="LLJ53" s="76"/>
      <c r="LLK53" s="76"/>
      <c r="LLL53" s="76"/>
      <c r="LLM53" s="76"/>
      <c r="LLN53" s="76"/>
      <c r="LLO53" s="76"/>
      <c r="LLP53" s="76"/>
      <c r="LLQ53" s="76"/>
      <c r="LLR53" s="76"/>
      <c r="LLS53" s="76"/>
      <c r="LLT53" s="76"/>
      <c r="LLU53" s="76"/>
      <c r="LLV53" s="76"/>
      <c r="LLW53" s="76"/>
      <c r="LLX53" s="76"/>
      <c r="LLY53" s="76"/>
      <c r="LLZ53" s="76"/>
      <c r="LMA53" s="76"/>
      <c r="LMB53" s="76"/>
      <c r="LMC53" s="76"/>
      <c r="LMD53" s="76"/>
      <c r="LME53" s="76"/>
      <c r="LMF53" s="76"/>
      <c r="LMG53" s="76"/>
      <c r="LMH53" s="76"/>
      <c r="LMI53" s="76"/>
      <c r="LMJ53" s="76"/>
      <c r="LMK53" s="76"/>
      <c r="LML53" s="76"/>
      <c r="LMM53" s="76"/>
      <c r="LMN53" s="76"/>
      <c r="LMO53" s="76"/>
      <c r="LMP53" s="76"/>
      <c r="LMQ53" s="76"/>
      <c r="LMR53" s="76"/>
      <c r="LMS53" s="76"/>
      <c r="LMT53" s="76"/>
      <c r="LMU53" s="76"/>
      <c r="LMV53" s="76"/>
      <c r="LMW53" s="76"/>
      <c r="LMX53" s="76"/>
      <c r="LMY53" s="76"/>
      <c r="LMZ53" s="76"/>
      <c r="LNA53" s="76"/>
      <c r="LNB53" s="76"/>
      <c r="LNC53" s="76"/>
      <c r="LND53" s="76"/>
      <c r="LNE53" s="76"/>
      <c r="LNF53" s="76"/>
      <c r="LNG53" s="76"/>
      <c r="LNH53" s="76"/>
      <c r="LNI53" s="76"/>
      <c r="LNJ53" s="76"/>
      <c r="LNK53" s="76"/>
      <c r="LNL53" s="76"/>
      <c r="LNM53" s="76"/>
      <c r="LNN53" s="76"/>
      <c r="LNO53" s="76"/>
      <c r="LNP53" s="76"/>
      <c r="LNQ53" s="76"/>
      <c r="LNR53" s="76"/>
      <c r="LNS53" s="76"/>
      <c r="LNT53" s="76"/>
      <c r="LNU53" s="76"/>
      <c r="LNV53" s="76"/>
      <c r="LNW53" s="76"/>
      <c r="LNX53" s="76"/>
      <c r="LNY53" s="76"/>
      <c r="LNZ53" s="76"/>
      <c r="LOA53" s="76"/>
      <c r="LOB53" s="76"/>
      <c r="LOC53" s="76"/>
      <c r="LOD53" s="76"/>
      <c r="LOE53" s="76"/>
      <c r="LOF53" s="76"/>
      <c r="LOG53" s="76"/>
      <c r="LOH53" s="76"/>
      <c r="LOI53" s="76"/>
      <c r="LOJ53" s="76"/>
      <c r="LOK53" s="76"/>
      <c r="LOL53" s="76"/>
      <c r="LOM53" s="76"/>
      <c r="LON53" s="76"/>
      <c r="LOO53" s="76"/>
      <c r="LOP53" s="76"/>
      <c r="LOQ53" s="76"/>
      <c r="LOR53" s="76"/>
      <c r="LOS53" s="76"/>
      <c r="LOT53" s="76"/>
      <c r="LOU53" s="76"/>
      <c r="LOV53" s="76"/>
      <c r="LOW53" s="76"/>
      <c r="LOX53" s="76"/>
      <c r="LOY53" s="76"/>
      <c r="LOZ53" s="76"/>
      <c r="LPA53" s="76"/>
      <c r="LPB53" s="76"/>
      <c r="LPC53" s="76"/>
      <c r="LPD53" s="76"/>
      <c r="LPE53" s="76"/>
      <c r="LPF53" s="76"/>
      <c r="LPG53" s="76"/>
      <c r="LPH53" s="76"/>
      <c r="LPI53" s="76"/>
      <c r="LPJ53" s="76"/>
      <c r="LPK53" s="76"/>
      <c r="LPL53" s="76"/>
      <c r="LPM53" s="76"/>
      <c r="LPN53" s="76"/>
      <c r="LPO53" s="76"/>
      <c r="LPP53" s="76"/>
      <c r="LPQ53" s="76"/>
      <c r="LPR53" s="76"/>
      <c r="LPS53" s="76"/>
      <c r="LPT53" s="76"/>
      <c r="LPU53" s="76"/>
      <c r="LPV53" s="76"/>
      <c r="LPW53" s="76"/>
      <c r="LPX53" s="76"/>
      <c r="LPY53" s="76"/>
      <c r="LPZ53" s="76"/>
      <c r="LQA53" s="76"/>
      <c r="LQB53" s="76"/>
      <c r="LQC53" s="76"/>
      <c r="LQD53" s="76"/>
      <c r="LQE53" s="76"/>
      <c r="LQF53" s="76"/>
      <c r="LQG53" s="76"/>
      <c r="LQH53" s="76"/>
      <c r="LQI53" s="76"/>
      <c r="LQJ53" s="76"/>
      <c r="LQK53" s="76"/>
      <c r="LQL53" s="76"/>
      <c r="LQM53" s="76"/>
      <c r="LQN53" s="76"/>
      <c r="LQO53" s="76"/>
      <c r="LQP53" s="76"/>
      <c r="LQQ53" s="76"/>
      <c r="LQR53" s="76"/>
      <c r="LQS53" s="76"/>
      <c r="LQT53" s="76"/>
      <c r="LQU53" s="76"/>
      <c r="LQV53" s="76"/>
      <c r="LQW53" s="76"/>
      <c r="LQX53" s="76"/>
      <c r="LQY53" s="76"/>
      <c r="LQZ53" s="76"/>
      <c r="LRA53" s="76"/>
      <c r="LRB53" s="76"/>
      <c r="LRC53" s="76"/>
      <c r="LRD53" s="76"/>
      <c r="LRE53" s="76"/>
      <c r="LRF53" s="76"/>
      <c r="LRG53" s="76"/>
      <c r="LRH53" s="76"/>
      <c r="LRI53" s="76"/>
      <c r="LRJ53" s="76"/>
      <c r="LRK53" s="76"/>
      <c r="LRL53" s="76"/>
      <c r="LRM53" s="76"/>
      <c r="LRN53" s="76"/>
      <c r="LRO53" s="76"/>
      <c r="LRP53" s="76"/>
      <c r="LRQ53" s="76"/>
      <c r="LRR53" s="76"/>
      <c r="LRS53" s="76"/>
      <c r="LRT53" s="76"/>
      <c r="LRU53" s="76"/>
      <c r="LRV53" s="76"/>
      <c r="LRW53" s="76"/>
      <c r="LRX53" s="76"/>
      <c r="LRY53" s="76"/>
      <c r="LRZ53" s="76"/>
      <c r="LSA53" s="76"/>
      <c r="LSB53" s="76"/>
      <c r="LSC53" s="76"/>
      <c r="LSD53" s="76"/>
      <c r="LSE53" s="76"/>
      <c r="LSF53" s="76"/>
      <c r="LSG53" s="76"/>
      <c r="LSH53" s="76"/>
      <c r="LSI53" s="76"/>
      <c r="LSJ53" s="76"/>
      <c r="LSK53" s="76"/>
      <c r="LSL53" s="76"/>
      <c r="LSM53" s="76"/>
      <c r="LSN53" s="76"/>
      <c r="LSO53" s="76"/>
      <c r="LSP53" s="76"/>
      <c r="LSQ53" s="76"/>
      <c r="LSR53" s="76"/>
      <c r="LSS53" s="76"/>
      <c r="LST53" s="76"/>
      <c r="LSU53" s="76"/>
      <c r="LSV53" s="76"/>
      <c r="LSW53" s="76"/>
      <c r="LSX53" s="76"/>
      <c r="LSY53" s="76"/>
      <c r="LSZ53" s="76"/>
      <c r="LTA53" s="76"/>
      <c r="LTB53" s="76"/>
      <c r="LTC53" s="76"/>
      <c r="LTD53" s="76"/>
      <c r="LTE53" s="76"/>
      <c r="LTF53" s="76"/>
      <c r="LTG53" s="76"/>
      <c r="LTH53" s="76"/>
      <c r="LTI53" s="76"/>
      <c r="LTJ53" s="76"/>
      <c r="LTK53" s="76"/>
      <c r="LTL53" s="76"/>
      <c r="LTM53" s="76"/>
      <c r="LTN53" s="76"/>
      <c r="LTO53" s="76"/>
      <c r="LTP53" s="76"/>
      <c r="LTQ53" s="76"/>
      <c r="LTR53" s="76"/>
      <c r="LTS53" s="76"/>
      <c r="LTT53" s="76"/>
      <c r="LTU53" s="76"/>
      <c r="LTV53" s="76"/>
      <c r="LTW53" s="76"/>
      <c r="LTX53" s="76"/>
      <c r="LTY53" s="76"/>
      <c r="LTZ53" s="76"/>
      <c r="LUA53" s="76"/>
      <c r="LUB53" s="76"/>
      <c r="LUC53" s="76"/>
      <c r="LUD53" s="76"/>
      <c r="LUE53" s="76"/>
      <c r="LUF53" s="76"/>
      <c r="LUG53" s="76"/>
      <c r="LUH53" s="76"/>
      <c r="LUI53" s="76"/>
      <c r="LUJ53" s="76"/>
      <c r="LUK53" s="76"/>
      <c r="LUL53" s="76"/>
      <c r="LUM53" s="76"/>
      <c r="LUN53" s="76"/>
      <c r="LUO53" s="76"/>
      <c r="LUP53" s="76"/>
      <c r="LUQ53" s="76"/>
      <c r="LUR53" s="76"/>
      <c r="LUS53" s="76"/>
      <c r="LUT53" s="76"/>
      <c r="LUU53" s="76"/>
      <c r="LUV53" s="76"/>
      <c r="LUW53" s="76"/>
      <c r="LUX53" s="76"/>
      <c r="LUY53" s="76"/>
      <c r="LUZ53" s="76"/>
      <c r="LVA53" s="76"/>
      <c r="LVB53" s="76"/>
      <c r="LVC53" s="76"/>
      <c r="LVD53" s="76"/>
      <c r="LVE53" s="76"/>
      <c r="LVF53" s="76"/>
      <c r="LVG53" s="76"/>
      <c r="LVH53" s="76"/>
      <c r="LVI53" s="76"/>
      <c r="LVJ53" s="76"/>
      <c r="LVK53" s="76"/>
      <c r="LVL53" s="76"/>
      <c r="LVM53" s="76"/>
      <c r="LVN53" s="76"/>
      <c r="LVO53" s="76"/>
      <c r="LVP53" s="76"/>
      <c r="LVQ53" s="76"/>
      <c r="LVR53" s="76"/>
      <c r="LVS53" s="76"/>
      <c r="LVT53" s="76"/>
      <c r="LVU53" s="76"/>
      <c r="LVV53" s="76"/>
      <c r="LVW53" s="76"/>
      <c r="LVX53" s="76"/>
      <c r="LVY53" s="76"/>
      <c r="LVZ53" s="76"/>
      <c r="LWA53" s="76"/>
      <c r="LWB53" s="76"/>
      <c r="LWC53" s="76"/>
      <c r="LWD53" s="76"/>
      <c r="LWE53" s="76"/>
      <c r="LWF53" s="76"/>
      <c r="LWG53" s="76"/>
      <c r="LWH53" s="76"/>
      <c r="LWI53" s="76"/>
      <c r="LWJ53" s="76"/>
      <c r="LWK53" s="76"/>
      <c r="LWL53" s="76"/>
      <c r="LWM53" s="76"/>
      <c r="LWN53" s="76"/>
      <c r="LWO53" s="76"/>
      <c r="LWP53" s="76"/>
      <c r="LWQ53" s="76"/>
      <c r="LWR53" s="76"/>
      <c r="LWS53" s="76"/>
      <c r="LWT53" s="76"/>
      <c r="LWU53" s="76"/>
      <c r="LWV53" s="76"/>
      <c r="LWW53" s="76"/>
      <c r="LWX53" s="76"/>
      <c r="LWY53" s="76"/>
      <c r="LWZ53" s="76"/>
      <c r="LXA53" s="76"/>
      <c r="LXB53" s="76"/>
      <c r="LXC53" s="76"/>
      <c r="LXD53" s="76"/>
      <c r="LXE53" s="76"/>
      <c r="LXF53" s="76"/>
      <c r="LXG53" s="76"/>
      <c r="LXH53" s="76"/>
      <c r="LXI53" s="76"/>
      <c r="LXJ53" s="76"/>
      <c r="LXK53" s="76"/>
      <c r="LXL53" s="76"/>
      <c r="LXM53" s="76"/>
      <c r="LXN53" s="76"/>
      <c r="LXO53" s="76"/>
      <c r="LXP53" s="76"/>
      <c r="LXQ53" s="76"/>
      <c r="LXR53" s="76"/>
      <c r="LXS53" s="76"/>
      <c r="LXT53" s="76"/>
      <c r="LXU53" s="76"/>
      <c r="LXV53" s="76"/>
      <c r="LXW53" s="76"/>
      <c r="LXX53" s="76"/>
      <c r="LXY53" s="76"/>
      <c r="LXZ53" s="76"/>
      <c r="LYA53" s="76"/>
      <c r="LYB53" s="76"/>
      <c r="LYC53" s="76"/>
      <c r="LYD53" s="76"/>
      <c r="LYE53" s="76"/>
      <c r="LYF53" s="76"/>
      <c r="LYG53" s="76"/>
      <c r="LYH53" s="76"/>
      <c r="LYI53" s="76"/>
      <c r="LYJ53" s="76"/>
      <c r="LYK53" s="76"/>
      <c r="LYL53" s="76"/>
      <c r="LYM53" s="76"/>
      <c r="LYN53" s="76"/>
      <c r="LYO53" s="76"/>
      <c r="LYP53" s="76"/>
      <c r="LYQ53" s="76"/>
      <c r="LYR53" s="76"/>
      <c r="LYS53" s="76"/>
      <c r="LYT53" s="76"/>
      <c r="LYU53" s="76"/>
      <c r="LYV53" s="76"/>
      <c r="LYW53" s="76"/>
      <c r="LYX53" s="76"/>
      <c r="LYY53" s="76"/>
      <c r="LYZ53" s="76"/>
      <c r="LZA53" s="76"/>
      <c r="LZB53" s="76"/>
      <c r="LZC53" s="76"/>
      <c r="LZD53" s="76"/>
      <c r="LZE53" s="76"/>
      <c r="LZF53" s="76"/>
      <c r="LZG53" s="76"/>
      <c r="LZH53" s="76"/>
      <c r="LZI53" s="76"/>
      <c r="LZJ53" s="76"/>
      <c r="LZK53" s="76"/>
      <c r="LZL53" s="76"/>
      <c r="LZM53" s="76"/>
      <c r="LZN53" s="76"/>
      <c r="LZO53" s="76"/>
      <c r="LZP53" s="76"/>
      <c r="LZQ53" s="76"/>
      <c r="LZR53" s="76"/>
      <c r="LZS53" s="76"/>
      <c r="LZT53" s="76"/>
      <c r="LZU53" s="76"/>
      <c r="LZV53" s="76"/>
      <c r="LZW53" s="76"/>
      <c r="LZX53" s="76"/>
      <c r="LZY53" s="76"/>
      <c r="LZZ53" s="76"/>
      <c r="MAA53" s="76"/>
      <c r="MAB53" s="76"/>
      <c r="MAC53" s="76"/>
      <c r="MAD53" s="76"/>
      <c r="MAE53" s="76"/>
      <c r="MAF53" s="76"/>
      <c r="MAG53" s="76"/>
      <c r="MAH53" s="76"/>
      <c r="MAI53" s="76"/>
      <c r="MAJ53" s="76"/>
      <c r="MAK53" s="76"/>
      <c r="MAL53" s="76"/>
      <c r="MAM53" s="76"/>
      <c r="MAN53" s="76"/>
      <c r="MAO53" s="76"/>
      <c r="MAP53" s="76"/>
      <c r="MAQ53" s="76"/>
      <c r="MAR53" s="76"/>
      <c r="MAS53" s="76"/>
      <c r="MAT53" s="76"/>
      <c r="MAU53" s="76"/>
      <c r="MAV53" s="76"/>
      <c r="MAW53" s="76"/>
      <c r="MAX53" s="76"/>
      <c r="MAY53" s="76"/>
      <c r="MAZ53" s="76"/>
      <c r="MBA53" s="76"/>
      <c r="MBB53" s="76"/>
      <c r="MBC53" s="76"/>
      <c r="MBD53" s="76"/>
      <c r="MBE53" s="76"/>
      <c r="MBF53" s="76"/>
      <c r="MBG53" s="76"/>
      <c r="MBH53" s="76"/>
      <c r="MBI53" s="76"/>
      <c r="MBJ53" s="76"/>
      <c r="MBK53" s="76"/>
      <c r="MBL53" s="76"/>
      <c r="MBM53" s="76"/>
      <c r="MBN53" s="76"/>
      <c r="MBO53" s="76"/>
      <c r="MBP53" s="76"/>
      <c r="MBQ53" s="76"/>
      <c r="MBR53" s="76"/>
      <c r="MBS53" s="76"/>
      <c r="MBT53" s="76"/>
      <c r="MBU53" s="76"/>
      <c r="MBV53" s="76"/>
      <c r="MBW53" s="76"/>
      <c r="MBX53" s="76"/>
      <c r="MBY53" s="76"/>
      <c r="MBZ53" s="76"/>
      <c r="MCA53" s="76"/>
      <c r="MCB53" s="76"/>
      <c r="MCC53" s="76"/>
      <c r="MCD53" s="76"/>
      <c r="MCE53" s="76"/>
      <c r="MCF53" s="76"/>
      <c r="MCG53" s="76"/>
      <c r="MCH53" s="76"/>
      <c r="MCI53" s="76"/>
      <c r="MCJ53" s="76"/>
      <c r="MCK53" s="76"/>
      <c r="MCL53" s="76"/>
      <c r="MCM53" s="76"/>
      <c r="MCN53" s="76"/>
      <c r="MCO53" s="76"/>
      <c r="MCP53" s="76"/>
      <c r="MCQ53" s="76"/>
      <c r="MCR53" s="76"/>
      <c r="MCS53" s="76"/>
      <c r="MCT53" s="76"/>
      <c r="MCU53" s="76"/>
      <c r="MCV53" s="76"/>
      <c r="MCW53" s="76"/>
      <c r="MCX53" s="76"/>
      <c r="MCY53" s="76"/>
      <c r="MCZ53" s="76"/>
      <c r="MDA53" s="76"/>
      <c r="MDB53" s="76"/>
      <c r="MDC53" s="76"/>
      <c r="MDD53" s="76"/>
      <c r="MDE53" s="76"/>
      <c r="MDF53" s="76"/>
      <c r="MDG53" s="76"/>
      <c r="MDH53" s="76"/>
      <c r="MDI53" s="76"/>
      <c r="MDJ53" s="76"/>
      <c r="MDK53" s="76"/>
      <c r="MDL53" s="76"/>
      <c r="MDM53" s="76"/>
      <c r="MDN53" s="76"/>
      <c r="MDO53" s="76"/>
      <c r="MDP53" s="76"/>
      <c r="MDQ53" s="76"/>
      <c r="MDR53" s="76"/>
      <c r="MDS53" s="76"/>
      <c r="MDT53" s="76"/>
      <c r="MDU53" s="76"/>
      <c r="MDV53" s="76"/>
      <c r="MDW53" s="76"/>
      <c r="MDX53" s="76"/>
      <c r="MDY53" s="76"/>
      <c r="MDZ53" s="76"/>
      <c r="MEA53" s="76"/>
      <c r="MEB53" s="76"/>
      <c r="MEC53" s="76"/>
      <c r="MED53" s="76"/>
      <c r="MEE53" s="76"/>
      <c r="MEF53" s="76"/>
      <c r="MEG53" s="76"/>
      <c r="MEH53" s="76"/>
      <c r="MEI53" s="76"/>
      <c r="MEJ53" s="76"/>
      <c r="MEK53" s="76"/>
      <c r="MEL53" s="76"/>
      <c r="MEM53" s="76"/>
      <c r="MEN53" s="76"/>
      <c r="MEO53" s="76"/>
      <c r="MEP53" s="76"/>
      <c r="MEQ53" s="76"/>
      <c r="MER53" s="76"/>
      <c r="MES53" s="76"/>
      <c r="MET53" s="76"/>
      <c r="MEU53" s="76"/>
      <c r="MEV53" s="76"/>
      <c r="MEW53" s="76"/>
      <c r="MEX53" s="76"/>
      <c r="MEY53" s="76"/>
      <c r="MEZ53" s="76"/>
      <c r="MFA53" s="76"/>
      <c r="MFB53" s="76"/>
      <c r="MFC53" s="76"/>
      <c r="MFD53" s="76"/>
      <c r="MFE53" s="76"/>
      <c r="MFF53" s="76"/>
      <c r="MFG53" s="76"/>
      <c r="MFH53" s="76"/>
      <c r="MFI53" s="76"/>
      <c r="MFJ53" s="76"/>
      <c r="MFK53" s="76"/>
      <c r="MFL53" s="76"/>
      <c r="MFM53" s="76"/>
      <c r="MFN53" s="76"/>
      <c r="MFO53" s="76"/>
      <c r="MFP53" s="76"/>
      <c r="MFQ53" s="76"/>
      <c r="MFR53" s="76"/>
      <c r="MFS53" s="76"/>
      <c r="MFT53" s="76"/>
      <c r="MFU53" s="76"/>
      <c r="MFV53" s="76"/>
      <c r="MFW53" s="76"/>
      <c r="MFX53" s="76"/>
      <c r="MFY53" s="76"/>
      <c r="MFZ53" s="76"/>
      <c r="MGA53" s="76"/>
      <c r="MGB53" s="76"/>
      <c r="MGC53" s="76"/>
      <c r="MGD53" s="76"/>
      <c r="MGE53" s="76"/>
      <c r="MGF53" s="76"/>
      <c r="MGG53" s="76"/>
      <c r="MGH53" s="76"/>
      <c r="MGI53" s="76"/>
      <c r="MGJ53" s="76"/>
      <c r="MGK53" s="76"/>
      <c r="MGL53" s="76"/>
      <c r="MGM53" s="76"/>
      <c r="MGN53" s="76"/>
      <c r="MGO53" s="76"/>
      <c r="MGP53" s="76"/>
      <c r="MGQ53" s="76"/>
      <c r="MGR53" s="76"/>
      <c r="MGS53" s="76"/>
      <c r="MGT53" s="76"/>
      <c r="MGU53" s="76"/>
      <c r="MGV53" s="76"/>
      <c r="MGW53" s="76"/>
      <c r="MGX53" s="76"/>
      <c r="MGY53" s="76"/>
      <c r="MGZ53" s="76"/>
      <c r="MHA53" s="76"/>
      <c r="MHB53" s="76"/>
      <c r="MHC53" s="76"/>
      <c r="MHD53" s="76"/>
      <c r="MHE53" s="76"/>
      <c r="MHF53" s="76"/>
      <c r="MHG53" s="76"/>
      <c r="MHH53" s="76"/>
      <c r="MHI53" s="76"/>
      <c r="MHJ53" s="76"/>
      <c r="MHK53" s="76"/>
      <c r="MHL53" s="76"/>
      <c r="MHM53" s="76"/>
      <c r="MHN53" s="76"/>
      <c r="MHO53" s="76"/>
      <c r="MHP53" s="76"/>
      <c r="MHQ53" s="76"/>
      <c r="MHR53" s="76"/>
      <c r="MHS53" s="76"/>
      <c r="MHT53" s="76"/>
      <c r="MHU53" s="76"/>
      <c r="MHV53" s="76"/>
      <c r="MHW53" s="76"/>
      <c r="MHX53" s="76"/>
      <c r="MHY53" s="76"/>
      <c r="MHZ53" s="76"/>
      <c r="MIA53" s="76"/>
      <c r="MIB53" s="76"/>
      <c r="MIC53" s="76"/>
      <c r="MID53" s="76"/>
      <c r="MIE53" s="76"/>
      <c r="MIF53" s="76"/>
      <c r="MIG53" s="76"/>
      <c r="MIH53" s="76"/>
      <c r="MII53" s="76"/>
      <c r="MIJ53" s="76"/>
      <c r="MIK53" s="76"/>
      <c r="MIL53" s="76"/>
      <c r="MIM53" s="76"/>
      <c r="MIN53" s="76"/>
      <c r="MIO53" s="76"/>
      <c r="MIP53" s="76"/>
      <c r="MIQ53" s="76"/>
      <c r="MIR53" s="76"/>
      <c r="MIS53" s="76"/>
      <c r="MIT53" s="76"/>
      <c r="MIU53" s="76"/>
      <c r="MIV53" s="76"/>
      <c r="MIW53" s="76"/>
      <c r="MIX53" s="76"/>
      <c r="MIY53" s="76"/>
      <c r="MIZ53" s="76"/>
      <c r="MJA53" s="76"/>
      <c r="MJB53" s="76"/>
      <c r="MJC53" s="76"/>
      <c r="MJD53" s="76"/>
      <c r="MJE53" s="76"/>
      <c r="MJF53" s="76"/>
      <c r="MJG53" s="76"/>
      <c r="MJH53" s="76"/>
      <c r="MJI53" s="76"/>
      <c r="MJJ53" s="76"/>
      <c r="MJK53" s="76"/>
      <c r="MJL53" s="76"/>
      <c r="MJM53" s="76"/>
      <c r="MJN53" s="76"/>
      <c r="MJO53" s="76"/>
      <c r="MJP53" s="76"/>
      <c r="MJQ53" s="76"/>
      <c r="MJR53" s="76"/>
      <c r="MJS53" s="76"/>
      <c r="MJT53" s="76"/>
      <c r="MJU53" s="76"/>
      <c r="MJV53" s="76"/>
      <c r="MJW53" s="76"/>
      <c r="MJX53" s="76"/>
      <c r="MJY53" s="76"/>
      <c r="MJZ53" s="76"/>
      <c r="MKA53" s="76"/>
      <c r="MKB53" s="76"/>
      <c r="MKC53" s="76"/>
      <c r="MKD53" s="76"/>
      <c r="MKE53" s="76"/>
      <c r="MKF53" s="76"/>
      <c r="MKG53" s="76"/>
      <c r="MKH53" s="76"/>
      <c r="MKI53" s="76"/>
      <c r="MKJ53" s="76"/>
      <c r="MKK53" s="76"/>
      <c r="MKL53" s="76"/>
      <c r="MKM53" s="76"/>
      <c r="MKN53" s="76"/>
      <c r="MKO53" s="76"/>
      <c r="MKP53" s="76"/>
      <c r="MKQ53" s="76"/>
      <c r="MKR53" s="76"/>
      <c r="MKS53" s="76"/>
      <c r="MKT53" s="76"/>
      <c r="MKU53" s="76"/>
      <c r="MKV53" s="76"/>
      <c r="MKW53" s="76"/>
      <c r="MKX53" s="76"/>
      <c r="MKY53" s="76"/>
      <c r="MKZ53" s="76"/>
      <c r="MLA53" s="76"/>
      <c r="MLB53" s="76"/>
      <c r="MLC53" s="76"/>
      <c r="MLD53" s="76"/>
      <c r="MLE53" s="76"/>
      <c r="MLF53" s="76"/>
      <c r="MLG53" s="76"/>
      <c r="MLH53" s="76"/>
      <c r="MLI53" s="76"/>
      <c r="MLJ53" s="76"/>
      <c r="MLK53" s="76"/>
      <c r="MLL53" s="76"/>
      <c r="MLM53" s="76"/>
      <c r="MLN53" s="76"/>
      <c r="MLO53" s="76"/>
      <c r="MLP53" s="76"/>
      <c r="MLQ53" s="76"/>
      <c r="MLR53" s="76"/>
      <c r="MLS53" s="76"/>
      <c r="MLT53" s="76"/>
      <c r="MLU53" s="76"/>
      <c r="MLV53" s="76"/>
      <c r="MLW53" s="76"/>
      <c r="MLX53" s="76"/>
      <c r="MLY53" s="76"/>
      <c r="MLZ53" s="76"/>
      <c r="MMA53" s="76"/>
      <c r="MMB53" s="76"/>
      <c r="MMC53" s="76"/>
      <c r="MMD53" s="76"/>
      <c r="MME53" s="76"/>
      <c r="MMF53" s="76"/>
      <c r="MMG53" s="76"/>
      <c r="MMH53" s="76"/>
      <c r="MMI53" s="76"/>
      <c r="MMJ53" s="76"/>
      <c r="MMK53" s="76"/>
      <c r="MML53" s="76"/>
      <c r="MMM53" s="76"/>
      <c r="MMN53" s="76"/>
      <c r="MMO53" s="76"/>
      <c r="MMP53" s="76"/>
      <c r="MMQ53" s="76"/>
      <c r="MMR53" s="76"/>
      <c r="MMS53" s="76"/>
      <c r="MMT53" s="76"/>
      <c r="MMU53" s="76"/>
      <c r="MMV53" s="76"/>
      <c r="MMW53" s="76"/>
      <c r="MMX53" s="76"/>
      <c r="MMY53" s="76"/>
      <c r="MMZ53" s="76"/>
      <c r="MNA53" s="76"/>
      <c r="MNB53" s="76"/>
      <c r="MNC53" s="76"/>
      <c r="MND53" s="76"/>
      <c r="MNE53" s="76"/>
      <c r="MNF53" s="76"/>
      <c r="MNG53" s="76"/>
      <c r="MNH53" s="76"/>
      <c r="MNI53" s="76"/>
      <c r="MNJ53" s="76"/>
      <c r="MNK53" s="76"/>
      <c r="MNL53" s="76"/>
      <c r="MNM53" s="76"/>
      <c r="MNN53" s="76"/>
      <c r="MNO53" s="76"/>
      <c r="MNP53" s="76"/>
      <c r="MNQ53" s="76"/>
      <c r="MNR53" s="76"/>
      <c r="MNS53" s="76"/>
      <c r="MNT53" s="76"/>
      <c r="MNU53" s="76"/>
      <c r="MNV53" s="76"/>
      <c r="MNW53" s="76"/>
      <c r="MNX53" s="76"/>
      <c r="MNY53" s="76"/>
      <c r="MNZ53" s="76"/>
      <c r="MOA53" s="76"/>
      <c r="MOB53" s="76"/>
      <c r="MOC53" s="76"/>
      <c r="MOD53" s="76"/>
      <c r="MOE53" s="76"/>
      <c r="MOF53" s="76"/>
      <c r="MOG53" s="76"/>
      <c r="MOH53" s="76"/>
      <c r="MOI53" s="76"/>
      <c r="MOJ53" s="76"/>
      <c r="MOK53" s="76"/>
      <c r="MOL53" s="76"/>
      <c r="MOM53" s="76"/>
      <c r="MON53" s="76"/>
      <c r="MOO53" s="76"/>
      <c r="MOP53" s="76"/>
      <c r="MOQ53" s="76"/>
      <c r="MOR53" s="76"/>
      <c r="MOS53" s="76"/>
      <c r="MOT53" s="76"/>
      <c r="MOU53" s="76"/>
      <c r="MOV53" s="76"/>
      <c r="MOW53" s="76"/>
      <c r="MOX53" s="76"/>
      <c r="MOY53" s="76"/>
      <c r="MOZ53" s="76"/>
      <c r="MPA53" s="76"/>
      <c r="MPB53" s="76"/>
      <c r="MPC53" s="76"/>
      <c r="MPD53" s="76"/>
      <c r="MPE53" s="76"/>
      <c r="MPF53" s="76"/>
      <c r="MPG53" s="76"/>
      <c r="MPH53" s="76"/>
      <c r="MPI53" s="76"/>
      <c r="MPJ53" s="76"/>
      <c r="MPK53" s="76"/>
      <c r="MPL53" s="76"/>
      <c r="MPM53" s="76"/>
      <c r="MPN53" s="76"/>
      <c r="MPO53" s="76"/>
      <c r="MPP53" s="76"/>
      <c r="MPQ53" s="76"/>
      <c r="MPR53" s="76"/>
      <c r="MPS53" s="76"/>
      <c r="MPT53" s="76"/>
      <c r="MPU53" s="76"/>
      <c r="MPV53" s="76"/>
      <c r="MPW53" s="76"/>
      <c r="MPX53" s="76"/>
      <c r="MPY53" s="76"/>
      <c r="MPZ53" s="76"/>
      <c r="MQA53" s="76"/>
      <c r="MQB53" s="76"/>
      <c r="MQC53" s="76"/>
      <c r="MQD53" s="76"/>
      <c r="MQE53" s="76"/>
      <c r="MQF53" s="76"/>
      <c r="MQG53" s="76"/>
      <c r="MQH53" s="76"/>
      <c r="MQI53" s="76"/>
      <c r="MQJ53" s="76"/>
      <c r="MQK53" s="76"/>
      <c r="MQL53" s="76"/>
      <c r="MQM53" s="76"/>
      <c r="MQN53" s="76"/>
      <c r="MQO53" s="76"/>
      <c r="MQP53" s="76"/>
      <c r="MQQ53" s="76"/>
      <c r="MQR53" s="76"/>
      <c r="MQS53" s="76"/>
      <c r="MQT53" s="76"/>
      <c r="MQU53" s="76"/>
      <c r="MQV53" s="76"/>
      <c r="MQW53" s="76"/>
      <c r="MQX53" s="76"/>
      <c r="MQY53" s="76"/>
      <c r="MQZ53" s="76"/>
      <c r="MRA53" s="76"/>
      <c r="MRB53" s="76"/>
      <c r="MRC53" s="76"/>
      <c r="MRD53" s="76"/>
      <c r="MRE53" s="76"/>
      <c r="MRF53" s="76"/>
      <c r="MRG53" s="76"/>
      <c r="MRH53" s="76"/>
      <c r="MRI53" s="76"/>
      <c r="MRJ53" s="76"/>
      <c r="MRK53" s="76"/>
      <c r="MRL53" s="76"/>
      <c r="MRM53" s="76"/>
      <c r="MRN53" s="76"/>
      <c r="MRO53" s="76"/>
      <c r="MRP53" s="76"/>
      <c r="MRQ53" s="76"/>
      <c r="MRR53" s="76"/>
      <c r="MRS53" s="76"/>
      <c r="MRT53" s="76"/>
      <c r="MRU53" s="76"/>
      <c r="MRV53" s="76"/>
      <c r="MRW53" s="76"/>
      <c r="MRX53" s="76"/>
      <c r="MRY53" s="76"/>
      <c r="MRZ53" s="76"/>
      <c r="MSA53" s="76"/>
      <c r="MSB53" s="76"/>
      <c r="MSC53" s="76"/>
      <c r="MSD53" s="76"/>
      <c r="MSE53" s="76"/>
      <c r="MSF53" s="76"/>
      <c r="MSG53" s="76"/>
      <c r="MSH53" s="76"/>
      <c r="MSI53" s="76"/>
      <c r="MSJ53" s="76"/>
      <c r="MSK53" s="76"/>
      <c r="MSL53" s="76"/>
      <c r="MSM53" s="76"/>
      <c r="MSN53" s="76"/>
      <c r="MSO53" s="76"/>
      <c r="MSP53" s="76"/>
      <c r="MSQ53" s="76"/>
      <c r="MSR53" s="76"/>
      <c r="MSS53" s="76"/>
      <c r="MST53" s="76"/>
      <c r="MSU53" s="76"/>
      <c r="MSV53" s="76"/>
      <c r="MSW53" s="76"/>
      <c r="MSX53" s="76"/>
      <c r="MSY53" s="76"/>
      <c r="MSZ53" s="76"/>
      <c r="MTA53" s="76"/>
      <c r="MTB53" s="76"/>
      <c r="MTC53" s="76"/>
      <c r="MTD53" s="76"/>
      <c r="MTE53" s="76"/>
      <c r="MTF53" s="76"/>
      <c r="MTG53" s="76"/>
      <c r="MTH53" s="76"/>
      <c r="MTI53" s="76"/>
      <c r="MTJ53" s="76"/>
      <c r="MTK53" s="76"/>
      <c r="MTL53" s="76"/>
      <c r="MTM53" s="76"/>
      <c r="MTN53" s="76"/>
      <c r="MTO53" s="76"/>
      <c r="MTP53" s="76"/>
      <c r="MTQ53" s="76"/>
      <c r="MTR53" s="76"/>
      <c r="MTS53" s="76"/>
      <c r="MTT53" s="76"/>
      <c r="MTU53" s="76"/>
      <c r="MTV53" s="76"/>
      <c r="MTW53" s="76"/>
      <c r="MTX53" s="76"/>
      <c r="MTY53" s="76"/>
      <c r="MTZ53" s="76"/>
      <c r="MUA53" s="76"/>
      <c r="MUB53" s="76"/>
      <c r="MUC53" s="76"/>
      <c r="MUD53" s="76"/>
      <c r="MUE53" s="76"/>
      <c r="MUF53" s="76"/>
      <c r="MUG53" s="76"/>
      <c r="MUH53" s="76"/>
      <c r="MUI53" s="76"/>
      <c r="MUJ53" s="76"/>
      <c r="MUK53" s="76"/>
      <c r="MUL53" s="76"/>
      <c r="MUM53" s="76"/>
      <c r="MUN53" s="76"/>
      <c r="MUO53" s="76"/>
      <c r="MUP53" s="76"/>
      <c r="MUQ53" s="76"/>
      <c r="MUR53" s="76"/>
      <c r="MUS53" s="76"/>
      <c r="MUT53" s="76"/>
      <c r="MUU53" s="76"/>
      <c r="MUV53" s="76"/>
      <c r="MUW53" s="76"/>
      <c r="MUX53" s="76"/>
      <c r="MUY53" s="76"/>
      <c r="MUZ53" s="76"/>
      <c r="MVA53" s="76"/>
      <c r="MVB53" s="76"/>
      <c r="MVC53" s="76"/>
      <c r="MVD53" s="76"/>
      <c r="MVE53" s="76"/>
      <c r="MVF53" s="76"/>
      <c r="MVG53" s="76"/>
      <c r="MVH53" s="76"/>
      <c r="MVI53" s="76"/>
      <c r="MVJ53" s="76"/>
      <c r="MVK53" s="76"/>
      <c r="MVL53" s="76"/>
      <c r="MVM53" s="76"/>
      <c r="MVN53" s="76"/>
      <c r="MVO53" s="76"/>
      <c r="MVP53" s="76"/>
      <c r="MVQ53" s="76"/>
      <c r="MVR53" s="76"/>
      <c r="MVS53" s="76"/>
      <c r="MVT53" s="76"/>
      <c r="MVU53" s="76"/>
      <c r="MVV53" s="76"/>
      <c r="MVW53" s="76"/>
      <c r="MVX53" s="76"/>
      <c r="MVY53" s="76"/>
      <c r="MVZ53" s="76"/>
      <c r="MWA53" s="76"/>
      <c r="MWB53" s="76"/>
      <c r="MWC53" s="76"/>
      <c r="MWD53" s="76"/>
      <c r="MWE53" s="76"/>
      <c r="MWF53" s="76"/>
      <c r="MWG53" s="76"/>
      <c r="MWH53" s="76"/>
      <c r="MWI53" s="76"/>
      <c r="MWJ53" s="76"/>
      <c r="MWK53" s="76"/>
      <c r="MWL53" s="76"/>
      <c r="MWM53" s="76"/>
      <c r="MWN53" s="76"/>
      <c r="MWO53" s="76"/>
      <c r="MWP53" s="76"/>
      <c r="MWQ53" s="76"/>
      <c r="MWR53" s="76"/>
      <c r="MWS53" s="76"/>
      <c r="MWT53" s="76"/>
      <c r="MWU53" s="76"/>
      <c r="MWV53" s="76"/>
      <c r="MWW53" s="76"/>
      <c r="MWX53" s="76"/>
      <c r="MWY53" s="76"/>
      <c r="MWZ53" s="76"/>
      <c r="MXA53" s="76"/>
      <c r="MXB53" s="76"/>
      <c r="MXC53" s="76"/>
      <c r="MXD53" s="76"/>
      <c r="MXE53" s="76"/>
      <c r="MXF53" s="76"/>
      <c r="MXG53" s="76"/>
      <c r="MXH53" s="76"/>
      <c r="MXI53" s="76"/>
      <c r="MXJ53" s="76"/>
      <c r="MXK53" s="76"/>
      <c r="MXL53" s="76"/>
      <c r="MXM53" s="76"/>
      <c r="MXN53" s="76"/>
      <c r="MXO53" s="76"/>
      <c r="MXP53" s="76"/>
      <c r="MXQ53" s="76"/>
      <c r="MXR53" s="76"/>
      <c r="MXS53" s="76"/>
      <c r="MXT53" s="76"/>
      <c r="MXU53" s="76"/>
      <c r="MXV53" s="76"/>
      <c r="MXW53" s="76"/>
      <c r="MXX53" s="76"/>
      <c r="MXY53" s="76"/>
      <c r="MXZ53" s="76"/>
      <c r="MYA53" s="76"/>
      <c r="MYB53" s="76"/>
      <c r="MYC53" s="76"/>
      <c r="MYD53" s="76"/>
      <c r="MYE53" s="76"/>
      <c r="MYF53" s="76"/>
      <c r="MYG53" s="76"/>
      <c r="MYH53" s="76"/>
      <c r="MYI53" s="76"/>
      <c r="MYJ53" s="76"/>
      <c r="MYK53" s="76"/>
      <c r="MYL53" s="76"/>
      <c r="MYM53" s="76"/>
      <c r="MYN53" s="76"/>
      <c r="MYO53" s="76"/>
      <c r="MYP53" s="76"/>
      <c r="MYQ53" s="76"/>
      <c r="MYR53" s="76"/>
      <c r="MYS53" s="76"/>
      <c r="MYT53" s="76"/>
      <c r="MYU53" s="76"/>
      <c r="MYV53" s="76"/>
      <c r="MYW53" s="76"/>
      <c r="MYX53" s="76"/>
      <c r="MYY53" s="76"/>
      <c r="MYZ53" s="76"/>
      <c r="MZA53" s="76"/>
      <c r="MZB53" s="76"/>
      <c r="MZC53" s="76"/>
      <c r="MZD53" s="76"/>
      <c r="MZE53" s="76"/>
      <c r="MZF53" s="76"/>
      <c r="MZG53" s="76"/>
      <c r="MZH53" s="76"/>
      <c r="MZI53" s="76"/>
      <c r="MZJ53" s="76"/>
      <c r="MZK53" s="76"/>
      <c r="MZL53" s="76"/>
      <c r="MZM53" s="76"/>
      <c r="MZN53" s="76"/>
      <c r="MZO53" s="76"/>
      <c r="MZP53" s="76"/>
      <c r="MZQ53" s="76"/>
      <c r="MZR53" s="76"/>
      <c r="MZS53" s="76"/>
      <c r="MZT53" s="76"/>
      <c r="MZU53" s="76"/>
      <c r="MZV53" s="76"/>
      <c r="MZW53" s="76"/>
      <c r="MZX53" s="76"/>
      <c r="MZY53" s="76"/>
      <c r="MZZ53" s="76"/>
      <c r="NAA53" s="76"/>
      <c r="NAB53" s="76"/>
      <c r="NAC53" s="76"/>
      <c r="NAD53" s="76"/>
      <c r="NAE53" s="76"/>
      <c r="NAF53" s="76"/>
      <c r="NAG53" s="76"/>
      <c r="NAH53" s="76"/>
      <c r="NAI53" s="76"/>
      <c r="NAJ53" s="76"/>
      <c r="NAK53" s="76"/>
      <c r="NAL53" s="76"/>
      <c r="NAM53" s="76"/>
      <c r="NAN53" s="76"/>
      <c r="NAO53" s="76"/>
      <c r="NAP53" s="76"/>
      <c r="NAQ53" s="76"/>
      <c r="NAR53" s="76"/>
      <c r="NAS53" s="76"/>
      <c r="NAT53" s="76"/>
      <c r="NAU53" s="76"/>
      <c r="NAV53" s="76"/>
      <c r="NAW53" s="76"/>
      <c r="NAX53" s="76"/>
      <c r="NAY53" s="76"/>
      <c r="NAZ53" s="76"/>
      <c r="NBA53" s="76"/>
      <c r="NBB53" s="76"/>
      <c r="NBC53" s="76"/>
      <c r="NBD53" s="76"/>
      <c r="NBE53" s="76"/>
      <c r="NBF53" s="76"/>
      <c r="NBG53" s="76"/>
      <c r="NBH53" s="76"/>
      <c r="NBI53" s="76"/>
      <c r="NBJ53" s="76"/>
      <c r="NBK53" s="76"/>
      <c r="NBL53" s="76"/>
      <c r="NBM53" s="76"/>
      <c r="NBN53" s="76"/>
      <c r="NBO53" s="76"/>
      <c r="NBP53" s="76"/>
      <c r="NBQ53" s="76"/>
      <c r="NBR53" s="76"/>
      <c r="NBS53" s="76"/>
      <c r="NBT53" s="76"/>
      <c r="NBU53" s="76"/>
      <c r="NBV53" s="76"/>
      <c r="NBW53" s="76"/>
      <c r="NBX53" s="76"/>
      <c r="NBY53" s="76"/>
      <c r="NBZ53" s="76"/>
      <c r="NCA53" s="76"/>
      <c r="NCB53" s="76"/>
      <c r="NCC53" s="76"/>
      <c r="NCD53" s="76"/>
      <c r="NCE53" s="76"/>
      <c r="NCF53" s="76"/>
      <c r="NCG53" s="76"/>
      <c r="NCH53" s="76"/>
      <c r="NCI53" s="76"/>
      <c r="NCJ53" s="76"/>
      <c r="NCK53" s="76"/>
      <c r="NCL53" s="76"/>
      <c r="NCM53" s="76"/>
      <c r="NCN53" s="76"/>
      <c r="NCO53" s="76"/>
      <c r="NCP53" s="76"/>
      <c r="NCQ53" s="76"/>
      <c r="NCR53" s="76"/>
      <c r="NCS53" s="76"/>
      <c r="NCT53" s="76"/>
      <c r="NCU53" s="76"/>
      <c r="NCV53" s="76"/>
      <c r="NCW53" s="76"/>
      <c r="NCX53" s="76"/>
      <c r="NCY53" s="76"/>
      <c r="NCZ53" s="76"/>
      <c r="NDA53" s="76"/>
      <c r="NDB53" s="76"/>
      <c r="NDC53" s="76"/>
      <c r="NDD53" s="76"/>
      <c r="NDE53" s="76"/>
      <c r="NDF53" s="76"/>
      <c r="NDG53" s="76"/>
      <c r="NDH53" s="76"/>
      <c r="NDI53" s="76"/>
      <c r="NDJ53" s="76"/>
      <c r="NDK53" s="76"/>
      <c r="NDL53" s="76"/>
      <c r="NDM53" s="76"/>
      <c r="NDN53" s="76"/>
      <c r="NDO53" s="76"/>
      <c r="NDP53" s="76"/>
      <c r="NDQ53" s="76"/>
      <c r="NDR53" s="76"/>
      <c r="NDS53" s="76"/>
      <c r="NDT53" s="76"/>
      <c r="NDU53" s="76"/>
      <c r="NDV53" s="76"/>
      <c r="NDW53" s="76"/>
      <c r="NDX53" s="76"/>
      <c r="NDY53" s="76"/>
      <c r="NDZ53" s="76"/>
      <c r="NEA53" s="76"/>
      <c r="NEB53" s="76"/>
      <c r="NEC53" s="76"/>
      <c r="NED53" s="76"/>
      <c r="NEE53" s="76"/>
      <c r="NEF53" s="76"/>
      <c r="NEG53" s="76"/>
      <c r="NEH53" s="76"/>
      <c r="NEI53" s="76"/>
      <c r="NEJ53" s="76"/>
      <c r="NEK53" s="76"/>
      <c r="NEL53" s="76"/>
      <c r="NEM53" s="76"/>
      <c r="NEN53" s="76"/>
      <c r="NEO53" s="76"/>
      <c r="NEP53" s="76"/>
      <c r="NEQ53" s="76"/>
      <c r="NER53" s="76"/>
      <c r="NES53" s="76"/>
      <c r="NET53" s="76"/>
      <c r="NEU53" s="76"/>
      <c r="NEV53" s="76"/>
      <c r="NEW53" s="76"/>
      <c r="NEX53" s="76"/>
      <c r="NEY53" s="76"/>
      <c r="NEZ53" s="76"/>
      <c r="NFA53" s="76"/>
      <c r="NFB53" s="76"/>
      <c r="NFC53" s="76"/>
      <c r="NFD53" s="76"/>
      <c r="NFE53" s="76"/>
      <c r="NFF53" s="76"/>
      <c r="NFG53" s="76"/>
      <c r="NFH53" s="76"/>
      <c r="NFI53" s="76"/>
      <c r="NFJ53" s="76"/>
      <c r="NFK53" s="76"/>
      <c r="NFL53" s="76"/>
      <c r="NFM53" s="76"/>
      <c r="NFN53" s="76"/>
      <c r="NFO53" s="76"/>
      <c r="NFP53" s="76"/>
      <c r="NFQ53" s="76"/>
      <c r="NFR53" s="76"/>
      <c r="NFS53" s="76"/>
      <c r="NFT53" s="76"/>
      <c r="NFU53" s="76"/>
      <c r="NFV53" s="76"/>
      <c r="NFW53" s="76"/>
      <c r="NFX53" s="76"/>
      <c r="NFY53" s="76"/>
      <c r="NFZ53" s="76"/>
      <c r="NGA53" s="76"/>
      <c r="NGB53" s="76"/>
      <c r="NGC53" s="76"/>
      <c r="NGD53" s="76"/>
      <c r="NGE53" s="76"/>
      <c r="NGF53" s="76"/>
      <c r="NGG53" s="76"/>
      <c r="NGH53" s="76"/>
      <c r="NGI53" s="76"/>
      <c r="NGJ53" s="76"/>
      <c r="NGK53" s="76"/>
      <c r="NGL53" s="76"/>
      <c r="NGM53" s="76"/>
      <c r="NGN53" s="76"/>
      <c r="NGO53" s="76"/>
      <c r="NGP53" s="76"/>
      <c r="NGQ53" s="76"/>
      <c r="NGR53" s="76"/>
      <c r="NGS53" s="76"/>
      <c r="NGT53" s="76"/>
      <c r="NGU53" s="76"/>
      <c r="NGV53" s="76"/>
      <c r="NGW53" s="76"/>
      <c r="NGX53" s="76"/>
      <c r="NGY53" s="76"/>
      <c r="NGZ53" s="76"/>
      <c r="NHA53" s="76"/>
      <c r="NHB53" s="76"/>
      <c r="NHC53" s="76"/>
      <c r="NHD53" s="76"/>
      <c r="NHE53" s="76"/>
      <c r="NHF53" s="76"/>
      <c r="NHG53" s="76"/>
      <c r="NHH53" s="76"/>
      <c r="NHI53" s="76"/>
      <c r="NHJ53" s="76"/>
      <c r="NHK53" s="76"/>
      <c r="NHL53" s="76"/>
      <c r="NHM53" s="76"/>
      <c r="NHN53" s="76"/>
      <c r="NHO53" s="76"/>
      <c r="NHP53" s="76"/>
      <c r="NHQ53" s="76"/>
      <c r="NHR53" s="76"/>
      <c r="NHS53" s="76"/>
      <c r="NHT53" s="76"/>
      <c r="NHU53" s="76"/>
      <c r="NHV53" s="76"/>
      <c r="NHW53" s="76"/>
      <c r="NHX53" s="76"/>
      <c r="NHY53" s="76"/>
      <c r="NHZ53" s="76"/>
      <c r="NIA53" s="76"/>
      <c r="NIB53" s="76"/>
      <c r="NIC53" s="76"/>
      <c r="NID53" s="76"/>
      <c r="NIE53" s="76"/>
      <c r="NIF53" s="76"/>
      <c r="NIG53" s="76"/>
      <c r="NIH53" s="76"/>
      <c r="NII53" s="76"/>
      <c r="NIJ53" s="76"/>
      <c r="NIK53" s="76"/>
      <c r="NIL53" s="76"/>
      <c r="NIM53" s="76"/>
      <c r="NIN53" s="76"/>
      <c r="NIO53" s="76"/>
      <c r="NIP53" s="76"/>
      <c r="NIQ53" s="76"/>
      <c r="NIR53" s="76"/>
      <c r="NIS53" s="76"/>
      <c r="NIT53" s="76"/>
      <c r="NIU53" s="76"/>
      <c r="NIV53" s="76"/>
      <c r="NIW53" s="76"/>
      <c r="NIX53" s="76"/>
      <c r="NIY53" s="76"/>
      <c r="NIZ53" s="76"/>
      <c r="NJA53" s="76"/>
      <c r="NJB53" s="76"/>
      <c r="NJC53" s="76"/>
      <c r="NJD53" s="76"/>
      <c r="NJE53" s="76"/>
      <c r="NJF53" s="76"/>
      <c r="NJG53" s="76"/>
      <c r="NJH53" s="76"/>
      <c r="NJI53" s="76"/>
      <c r="NJJ53" s="76"/>
      <c r="NJK53" s="76"/>
      <c r="NJL53" s="76"/>
      <c r="NJM53" s="76"/>
      <c r="NJN53" s="76"/>
      <c r="NJO53" s="76"/>
      <c r="NJP53" s="76"/>
      <c r="NJQ53" s="76"/>
      <c r="NJR53" s="76"/>
      <c r="NJS53" s="76"/>
      <c r="NJT53" s="76"/>
      <c r="NJU53" s="76"/>
      <c r="NJV53" s="76"/>
      <c r="NJW53" s="76"/>
      <c r="NJX53" s="76"/>
      <c r="NJY53" s="76"/>
      <c r="NJZ53" s="76"/>
      <c r="NKA53" s="76"/>
      <c r="NKB53" s="76"/>
      <c r="NKC53" s="76"/>
      <c r="NKD53" s="76"/>
      <c r="NKE53" s="76"/>
      <c r="NKF53" s="76"/>
      <c r="NKG53" s="76"/>
      <c r="NKH53" s="76"/>
      <c r="NKI53" s="76"/>
      <c r="NKJ53" s="76"/>
      <c r="NKK53" s="76"/>
      <c r="NKL53" s="76"/>
      <c r="NKM53" s="76"/>
      <c r="NKN53" s="76"/>
      <c r="NKO53" s="76"/>
      <c r="NKP53" s="76"/>
      <c r="NKQ53" s="76"/>
      <c r="NKR53" s="76"/>
      <c r="NKS53" s="76"/>
      <c r="NKT53" s="76"/>
      <c r="NKU53" s="76"/>
      <c r="NKV53" s="76"/>
      <c r="NKW53" s="76"/>
      <c r="NKX53" s="76"/>
      <c r="NKY53" s="76"/>
      <c r="NKZ53" s="76"/>
      <c r="NLA53" s="76"/>
      <c r="NLB53" s="76"/>
      <c r="NLC53" s="76"/>
      <c r="NLD53" s="76"/>
      <c r="NLE53" s="76"/>
      <c r="NLF53" s="76"/>
      <c r="NLG53" s="76"/>
      <c r="NLH53" s="76"/>
      <c r="NLI53" s="76"/>
      <c r="NLJ53" s="76"/>
      <c r="NLK53" s="76"/>
      <c r="NLL53" s="76"/>
      <c r="NLM53" s="76"/>
      <c r="NLN53" s="76"/>
      <c r="NLO53" s="76"/>
      <c r="NLP53" s="76"/>
      <c r="NLQ53" s="76"/>
      <c r="NLR53" s="76"/>
      <c r="NLS53" s="76"/>
      <c r="NLT53" s="76"/>
      <c r="NLU53" s="76"/>
      <c r="NLV53" s="76"/>
      <c r="NLW53" s="76"/>
      <c r="NLX53" s="76"/>
      <c r="NLY53" s="76"/>
      <c r="NLZ53" s="76"/>
      <c r="NMA53" s="76"/>
      <c r="NMB53" s="76"/>
      <c r="NMC53" s="76"/>
      <c r="NMD53" s="76"/>
      <c r="NME53" s="76"/>
      <c r="NMF53" s="76"/>
      <c r="NMG53" s="76"/>
      <c r="NMH53" s="76"/>
      <c r="NMI53" s="76"/>
      <c r="NMJ53" s="76"/>
      <c r="NMK53" s="76"/>
      <c r="NML53" s="76"/>
      <c r="NMM53" s="76"/>
      <c r="NMN53" s="76"/>
      <c r="NMO53" s="76"/>
      <c r="NMP53" s="76"/>
      <c r="NMQ53" s="76"/>
      <c r="NMR53" s="76"/>
      <c r="NMS53" s="76"/>
      <c r="NMT53" s="76"/>
      <c r="NMU53" s="76"/>
      <c r="NMV53" s="76"/>
      <c r="NMW53" s="76"/>
      <c r="NMX53" s="76"/>
      <c r="NMY53" s="76"/>
      <c r="NMZ53" s="76"/>
      <c r="NNA53" s="76"/>
      <c r="NNB53" s="76"/>
      <c r="NNC53" s="76"/>
      <c r="NND53" s="76"/>
      <c r="NNE53" s="76"/>
      <c r="NNF53" s="76"/>
      <c r="NNG53" s="76"/>
      <c r="NNH53" s="76"/>
      <c r="NNI53" s="76"/>
      <c r="NNJ53" s="76"/>
      <c r="NNK53" s="76"/>
      <c r="NNL53" s="76"/>
      <c r="NNM53" s="76"/>
      <c r="NNN53" s="76"/>
      <c r="NNO53" s="76"/>
      <c r="NNP53" s="76"/>
      <c r="NNQ53" s="76"/>
      <c r="NNR53" s="76"/>
      <c r="NNS53" s="76"/>
      <c r="NNT53" s="76"/>
      <c r="NNU53" s="76"/>
      <c r="NNV53" s="76"/>
      <c r="NNW53" s="76"/>
      <c r="NNX53" s="76"/>
      <c r="NNY53" s="76"/>
      <c r="NNZ53" s="76"/>
      <c r="NOA53" s="76"/>
      <c r="NOB53" s="76"/>
      <c r="NOC53" s="76"/>
      <c r="NOD53" s="76"/>
      <c r="NOE53" s="76"/>
      <c r="NOF53" s="76"/>
      <c r="NOG53" s="76"/>
      <c r="NOH53" s="76"/>
      <c r="NOI53" s="76"/>
      <c r="NOJ53" s="76"/>
      <c r="NOK53" s="76"/>
      <c r="NOL53" s="76"/>
      <c r="NOM53" s="76"/>
      <c r="NON53" s="76"/>
      <c r="NOO53" s="76"/>
      <c r="NOP53" s="76"/>
      <c r="NOQ53" s="76"/>
      <c r="NOR53" s="76"/>
      <c r="NOS53" s="76"/>
      <c r="NOT53" s="76"/>
      <c r="NOU53" s="76"/>
      <c r="NOV53" s="76"/>
      <c r="NOW53" s="76"/>
      <c r="NOX53" s="76"/>
      <c r="NOY53" s="76"/>
      <c r="NOZ53" s="76"/>
      <c r="NPA53" s="76"/>
      <c r="NPB53" s="76"/>
      <c r="NPC53" s="76"/>
      <c r="NPD53" s="76"/>
      <c r="NPE53" s="76"/>
      <c r="NPF53" s="76"/>
      <c r="NPG53" s="76"/>
      <c r="NPH53" s="76"/>
      <c r="NPI53" s="76"/>
      <c r="NPJ53" s="76"/>
      <c r="NPK53" s="76"/>
      <c r="NPL53" s="76"/>
      <c r="NPM53" s="76"/>
      <c r="NPN53" s="76"/>
      <c r="NPO53" s="76"/>
      <c r="NPP53" s="76"/>
      <c r="NPQ53" s="76"/>
      <c r="NPR53" s="76"/>
      <c r="NPS53" s="76"/>
      <c r="NPT53" s="76"/>
      <c r="NPU53" s="76"/>
      <c r="NPV53" s="76"/>
      <c r="NPW53" s="76"/>
      <c r="NPX53" s="76"/>
      <c r="NPY53" s="76"/>
      <c r="NPZ53" s="76"/>
      <c r="NQA53" s="76"/>
      <c r="NQB53" s="76"/>
      <c r="NQC53" s="76"/>
      <c r="NQD53" s="76"/>
      <c r="NQE53" s="76"/>
      <c r="NQF53" s="76"/>
      <c r="NQG53" s="76"/>
      <c r="NQH53" s="76"/>
      <c r="NQI53" s="76"/>
      <c r="NQJ53" s="76"/>
      <c r="NQK53" s="76"/>
      <c r="NQL53" s="76"/>
      <c r="NQM53" s="76"/>
      <c r="NQN53" s="76"/>
      <c r="NQO53" s="76"/>
      <c r="NQP53" s="76"/>
      <c r="NQQ53" s="76"/>
      <c r="NQR53" s="76"/>
      <c r="NQS53" s="76"/>
      <c r="NQT53" s="76"/>
      <c r="NQU53" s="76"/>
      <c r="NQV53" s="76"/>
      <c r="NQW53" s="76"/>
      <c r="NQX53" s="76"/>
      <c r="NQY53" s="76"/>
      <c r="NQZ53" s="76"/>
      <c r="NRA53" s="76"/>
      <c r="NRB53" s="76"/>
      <c r="NRC53" s="76"/>
      <c r="NRD53" s="76"/>
      <c r="NRE53" s="76"/>
      <c r="NRF53" s="76"/>
      <c r="NRG53" s="76"/>
      <c r="NRH53" s="76"/>
      <c r="NRI53" s="76"/>
      <c r="NRJ53" s="76"/>
      <c r="NRK53" s="76"/>
      <c r="NRL53" s="76"/>
      <c r="NRM53" s="76"/>
      <c r="NRN53" s="76"/>
      <c r="NRO53" s="76"/>
      <c r="NRP53" s="76"/>
      <c r="NRQ53" s="76"/>
      <c r="NRR53" s="76"/>
      <c r="NRS53" s="76"/>
      <c r="NRT53" s="76"/>
      <c r="NRU53" s="76"/>
      <c r="NRV53" s="76"/>
      <c r="NRW53" s="76"/>
      <c r="NRX53" s="76"/>
      <c r="NRY53" s="76"/>
      <c r="NRZ53" s="76"/>
      <c r="NSA53" s="76"/>
      <c r="NSB53" s="76"/>
      <c r="NSC53" s="76"/>
      <c r="NSD53" s="76"/>
      <c r="NSE53" s="76"/>
      <c r="NSF53" s="76"/>
      <c r="NSG53" s="76"/>
      <c r="NSH53" s="76"/>
      <c r="NSI53" s="76"/>
      <c r="NSJ53" s="76"/>
      <c r="NSK53" s="76"/>
      <c r="NSL53" s="76"/>
      <c r="NSM53" s="76"/>
      <c r="NSN53" s="76"/>
      <c r="NSO53" s="76"/>
      <c r="NSP53" s="76"/>
      <c r="NSQ53" s="76"/>
      <c r="NSR53" s="76"/>
      <c r="NSS53" s="76"/>
      <c r="NST53" s="76"/>
      <c r="NSU53" s="76"/>
      <c r="NSV53" s="76"/>
      <c r="NSW53" s="76"/>
      <c r="NSX53" s="76"/>
      <c r="NSY53" s="76"/>
      <c r="NSZ53" s="76"/>
      <c r="NTA53" s="76"/>
      <c r="NTB53" s="76"/>
      <c r="NTC53" s="76"/>
      <c r="NTD53" s="76"/>
      <c r="NTE53" s="76"/>
      <c r="NTF53" s="76"/>
      <c r="NTG53" s="76"/>
      <c r="NTH53" s="76"/>
      <c r="NTI53" s="76"/>
      <c r="NTJ53" s="76"/>
      <c r="NTK53" s="76"/>
      <c r="NTL53" s="76"/>
      <c r="NTM53" s="76"/>
      <c r="NTN53" s="76"/>
      <c r="NTO53" s="76"/>
      <c r="NTP53" s="76"/>
      <c r="NTQ53" s="76"/>
      <c r="NTR53" s="76"/>
      <c r="NTS53" s="76"/>
      <c r="NTT53" s="76"/>
      <c r="NTU53" s="76"/>
      <c r="NTV53" s="76"/>
      <c r="NTW53" s="76"/>
      <c r="NTX53" s="76"/>
      <c r="NTY53" s="76"/>
      <c r="NTZ53" s="76"/>
      <c r="NUA53" s="76"/>
      <c r="NUB53" s="76"/>
      <c r="NUC53" s="76"/>
      <c r="NUD53" s="76"/>
      <c r="NUE53" s="76"/>
      <c r="NUF53" s="76"/>
      <c r="NUG53" s="76"/>
      <c r="NUH53" s="76"/>
      <c r="NUI53" s="76"/>
      <c r="NUJ53" s="76"/>
      <c r="NUK53" s="76"/>
      <c r="NUL53" s="76"/>
      <c r="NUM53" s="76"/>
      <c r="NUN53" s="76"/>
      <c r="NUO53" s="76"/>
      <c r="NUP53" s="76"/>
      <c r="NUQ53" s="76"/>
      <c r="NUR53" s="76"/>
      <c r="NUS53" s="76"/>
      <c r="NUT53" s="76"/>
      <c r="NUU53" s="76"/>
      <c r="NUV53" s="76"/>
      <c r="NUW53" s="76"/>
      <c r="NUX53" s="76"/>
      <c r="NUY53" s="76"/>
      <c r="NUZ53" s="76"/>
      <c r="NVA53" s="76"/>
      <c r="NVB53" s="76"/>
      <c r="NVC53" s="76"/>
      <c r="NVD53" s="76"/>
      <c r="NVE53" s="76"/>
      <c r="NVF53" s="76"/>
      <c r="NVG53" s="76"/>
      <c r="NVH53" s="76"/>
      <c r="NVI53" s="76"/>
      <c r="NVJ53" s="76"/>
      <c r="NVK53" s="76"/>
      <c r="NVL53" s="76"/>
      <c r="NVM53" s="76"/>
      <c r="NVN53" s="76"/>
      <c r="NVO53" s="76"/>
      <c r="NVP53" s="76"/>
      <c r="NVQ53" s="76"/>
      <c r="NVR53" s="76"/>
      <c r="NVS53" s="76"/>
      <c r="NVT53" s="76"/>
      <c r="NVU53" s="76"/>
      <c r="NVV53" s="76"/>
      <c r="NVW53" s="76"/>
      <c r="NVX53" s="76"/>
      <c r="NVY53" s="76"/>
      <c r="NVZ53" s="76"/>
      <c r="NWA53" s="76"/>
      <c r="NWB53" s="76"/>
      <c r="NWC53" s="76"/>
      <c r="NWD53" s="76"/>
      <c r="NWE53" s="76"/>
      <c r="NWF53" s="76"/>
      <c r="NWG53" s="76"/>
      <c r="NWH53" s="76"/>
      <c r="NWI53" s="76"/>
      <c r="NWJ53" s="76"/>
      <c r="NWK53" s="76"/>
      <c r="NWL53" s="76"/>
      <c r="NWM53" s="76"/>
      <c r="NWN53" s="76"/>
      <c r="NWO53" s="76"/>
      <c r="NWP53" s="76"/>
      <c r="NWQ53" s="76"/>
      <c r="NWR53" s="76"/>
      <c r="NWS53" s="76"/>
      <c r="NWT53" s="76"/>
      <c r="NWU53" s="76"/>
      <c r="NWV53" s="76"/>
      <c r="NWW53" s="76"/>
      <c r="NWX53" s="76"/>
      <c r="NWY53" s="76"/>
      <c r="NWZ53" s="76"/>
      <c r="NXA53" s="76"/>
      <c r="NXB53" s="76"/>
      <c r="NXC53" s="76"/>
      <c r="NXD53" s="76"/>
      <c r="NXE53" s="76"/>
      <c r="NXF53" s="76"/>
      <c r="NXG53" s="76"/>
      <c r="NXH53" s="76"/>
      <c r="NXI53" s="76"/>
      <c r="NXJ53" s="76"/>
      <c r="NXK53" s="76"/>
      <c r="NXL53" s="76"/>
      <c r="NXM53" s="76"/>
      <c r="NXN53" s="76"/>
      <c r="NXO53" s="76"/>
      <c r="NXP53" s="76"/>
      <c r="NXQ53" s="76"/>
      <c r="NXR53" s="76"/>
      <c r="NXS53" s="76"/>
      <c r="NXT53" s="76"/>
      <c r="NXU53" s="76"/>
      <c r="NXV53" s="76"/>
      <c r="NXW53" s="76"/>
      <c r="NXX53" s="76"/>
      <c r="NXY53" s="76"/>
      <c r="NXZ53" s="76"/>
      <c r="NYA53" s="76"/>
      <c r="NYB53" s="76"/>
      <c r="NYC53" s="76"/>
      <c r="NYD53" s="76"/>
      <c r="NYE53" s="76"/>
      <c r="NYF53" s="76"/>
      <c r="NYG53" s="76"/>
      <c r="NYH53" s="76"/>
      <c r="NYI53" s="76"/>
      <c r="NYJ53" s="76"/>
      <c r="NYK53" s="76"/>
      <c r="NYL53" s="76"/>
      <c r="NYM53" s="76"/>
      <c r="NYN53" s="76"/>
      <c r="NYO53" s="76"/>
      <c r="NYP53" s="76"/>
      <c r="NYQ53" s="76"/>
      <c r="NYR53" s="76"/>
      <c r="NYS53" s="76"/>
      <c r="NYT53" s="76"/>
      <c r="NYU53" s="76"/>
      <c r="NYV53" s="76"/>
      <c r="NYW53" s="76"/>
      <c r="NYX53" s="76"/>
      <c r="NYY53" s="76"/>
      <c r="NYZ53" s="76"/>
      <c r="NZA53" s="76"/>
      <c r="NZB53" s="76"/>
      <c r="NZC53" s="76"/>
      <c r="NZD53" s="76"/>
      <c r="NZE53" s="76"/>
      <c r="NZF53" s="76"/>
      <c r="NZG53" s="76"/>
      <c r="NZH53" s="76"/>
      <c r="NZI53" s="76"/>
      <c r="NZJ53" s="76"/>
      <c r="NZK53" s="76"/>
      <c r="NZL53" s="76"/>
      <c r="NZM53" s="76"/>
      <c r="NZN53" s="76"/>
      <c r="NZO53" s="76"/>
      <c r="NZP53" s="76"/>
      <c r="NZQ53" s="76"/>
      <c r="NZR53" s="76"/>
      <c r="NZS53" s="76"/>
      <c r="NZT53" s="76"/>
      <c r="NZU53" s="76"/>
      <c r="NZV53" s="76"/>
      <c r="NZW53" s="76"/>
      <c r="NZX53" s="76"/>
      <c r="NZY53" s="76"/>
      <c r="NZZ53" s="76"/>
      <c r="OAA53" s="76"/>
      <c r="OAB53" s="76"/>
      <c r="OAC53" s="76"/>
      <c r="OAD53" s="76"/>
      <c r="OAE53" s="76"/>
      <c r="OAF53" s="76"/>
      <c r="OAG53" s="76"/>
      <c r="OAH53" s="76"/>
      <c r="OAI53" s="76"/>
      <c r="OAJ53" s="76"/>
      <c r="OAK53" s="76"/>
      <c r="OAL53" s="76"/>
      <c r="OAM53" s="76"/>
      <c r="OAN53" s="76"/>
      <c r="OAO53" s="76"/>
      <c r="OAP53" s="76"/>
      <c r="OAQ53" s="76"/>
      <c r="OAR53" s="76"/>
      <c r="OAS53" s="76"/>
      <c r="OAT53" s="76"/>
      <c r="OAU53" s="76"/>
      <c r="OAV53" s="76"/>
      <c r="OAW53" s="76"/>
      <c r="OAX53" s="76"/>
      <c r="OAY53" s="76"/>
      <c r="OAZ53" s="76"/>
      <c r="OBA53" s="76"/>
      <c r="OBB53" s="76"/>
      <c r="OBC53" s="76"/>
      <c r="OBD53" s="76"/>
      <c r="OBE53" s="76"/>
      <c r="OBF53" s="76"/>
      <c r="OBG53" s="76"/>
      <c r="OBH53" s="76"/>
      <c r="OBI53" s="76"/>
      <c r="OBJ53" s="76"/>
      <c r="OBK53" s="76"/>
      <c r="OBL53" s="76"/>
      <c r="OBM53" s="76"/>
      <c r="OBN53" s="76"/>
      <c r="OBO53" s="76"/>
      <c r="OBP53" s="76"/>
      <c r="OBQ53" s="76"/>
      <c r="OBR53" s="76"/>
      <c r="OBS53" s="76"/>
      <c r="OBT53" s="76"/>
      <c r="OBU53" s="76"/>
      <c r="OBV53" s="76"/>
      <c r="OBW53" s="76"/>
      <c r="OBX53" s="76"/>
      <c r="OBY53" s="76"/>
      <c r="OBZ53" s="76"/>
      <c r="OCA53" s="76"/>
      <c r="OCB53" s="76"/>
      <c r="OCC53" s="76"/>
      <c r="OCD53" s="76"/>
      <c r="OCE53" s="76"/>
      <c r="OCF53" s="76"/>
      <c r="OCG53" s="76"/>
      <c r="OCH53" s="76"/>
      <c r="OCI53" s="76"/>
      <c r="OCJ53" s="76"/>
      <c r="OCK53" s="76"/>
      <c r="OCL53" s="76"/>
      <c r="OCM53" s="76"/>
      <c r="OCN53" s="76"/>
      <c r="OCO53" s="76"/>
      <c r="OCP53" s="76"/>
      <c r="OCQ53" s="76"/>
      <c r="OCR53" s="76"/>
      <c r="OCS53" s="76"/>
      <c r="OCT53" s="76"/>
      <c r="OCU53" s="76"/>
      <c r="OCV53" s="76"/>
      <c r="OCW53" s="76"/>
      <c r="OCX53" s="76"/>
      <c r="OCY53" s="76"/>
      <c r="OCZ53" s="76"/>
      <c r="ODA53" s="76"/>
      <c r="ODB53" s="76"/>
      <c r="ODC53" s="76"/>
      <c r="ODD53" s="76"/>
      <c r="ODE53" s="76"/>
      <c r="ODF53" s="76"/>
      <c r="ODG53" s="76"/>
      <c r="ODH53" s="76"/>
      <c r="ODI53" s="76"/>
      <c r="ODJ53" s="76"/>
      <c r="ODK53" s="76"/>
      <c r="ODL53" s="76"/>
      <c r="ODM53" s="76"/>
      <c r="ODN53" s="76"/>
      <c r="ODO53" s="76"/>
      <c r="ODP53" s="76"/>
      <c r="ODQ53" s="76"/>
      <c r="ODR53" s="76"/>
      <c r="ODS53" s="76"/>
      <c r="ODT53" s="76"/>
      <c r="ODU53" s="76"/>
      <c r="ODV53" s="76"/>
      <c r="ODW53" s="76"/>
      <c r="ODX53" s="76"/>
      <c r="ODY53" s="76"/>
      <c r="ODZ53" s="76"/>
      <c r="OEA53" s="76"/>
      <c r="OEB53" s="76"/>
      <c r="OEC53" s="76"/>
      <c r="OED53" s="76"/>
      <c r="OEE53" s="76"/>
      <c r="OEF53" s="76"/>
      <c r="OEG53" s="76"/>
      <c r="OEH53" s="76"/>
      <c r="OEI53" s="76"/>
      <c r="OEJ53" s="76"/>
      <c r="OEK53" s="76"/>
      <c r="OEL53" s="76"/>
      <c r="OEM53" s="76"/>
      <c r="OEN53" s="76"/>
      <c r="OEO53" s="76"/>
      <c r="OEP53" s="76"/>
      <c r="OEQ53" s="76"/>
      <c r="OER53" s="76"/>
      <c r="OES53" s="76"/>
      <c r="OET53" s="76"/>
      <c r="OEU53" s="76"/>
      <c r="OEV53" s="76"/>
      <c r="OEW53" s="76"/>
      <c r="OEX53" s="76"/>
      <c r="OEY53" s="76"/>
      <c r="OEZ53" s="76"/>
      <c r="OFA53" s="76"/>
      <c r="OFB53" s="76"/>
      <c r="OFC53" s="76"/>
      <c r="OFD53" s="76"/>
      <c r="OFE53" s="76"/>
      <c r="OFF53" s="76"/>
      <c r="OFG53" s="76"/>
      <c r="OFH53" s="76"/>
      <c r="OFI53" s="76"/>
      <c r="OFJ53" s="76"/>
      <c r="OFK53" s="76"/>
      <c r="OFL53" s="76"/>
      <c r="OFM53" s="76"/>
      <c r="OFN53" s="76"/>
      <c r="OFO53" s="76"/>
      <c r="OFP53" s="76"/>
      <c r="OFQ53" s="76"/>
      <c r="OFR53" s="76"/>
      <c r="OFS53" s="76"/>
      <c r="OFT53" s="76"/>
      <c r="OFU53" s="76"/>
      <c r="OFV53" s="76"/>
      <c r="OFW53" s="76"/>
      <c r="OFX53" s="76"/>
      <c r="OFY53" s="76"/>
      <c r="OFZ53" s="76"/>
      <c r="OGA53" s="76"/>
      <c r="OGB53" s="76"/>
      <c r="OGC53" s="76"/>
      <c r="OGD53" s="76"/>
      <c r="OGE53" s="76"/>
      <c r="OGF53" s="76"/>
      <c r="OGG53" s="76"/>
      <c r="OGH53" s="76"/>
      <c r="OGI53" s="76"/>
      <c r="OGJ53" s="76"/>
      <c r="OGK53" s="76"/>
      <c r="OGL53" s="76"/>
      <c r="OGM53" s="76"/>
      <c r="OGN53" s="76"/>
      <c r="OGO53" s="76"/>
      <c r="OGP53" s="76"/>
      <c r="OGQ53" s="76"/>
      <c r="OGR53" s="76"/>
      <c r="OGS53" s="76"/>
      <c r="OGT53" s="76"/>
      <c r="OGU53" s="76"/>
      <c r="OGV53" s="76"/>
      <c r="OGW53" s="76"/>
      <c r="OGX53" s="76"/>
      <c r="OGY53" s="76"/>
      <c r="OGZ53" s="76"/>
      <c r="OHA53" s="76"/>
      <c r="OHB53" s="76"/>
      <c r="OHC53" s="76"/>
      <c r="OHD53" s="76"/>
      <c r="OHE53" s="76"/>
      <c r="OHF53" s="76"/>
      <c r="OHG53" s="76"/>
      <c r="OHH53" s="76"/>
      <c r="OHI53" s="76"/>
      <c r="OHJ53" s="76"/>
      <c r="OHK53" s="76"/>
      <c r="OHL53" s="76"/>
      <c r="OHM53" s="76"/>
      <c r="OHN53" s="76"/>
      <c r="OHO53" s="76"/>
      <c r="OHP53" s="76"/>
      <c r="OHQ53" s="76"/>
      <c r="OHR53" s="76"/>
      <c r="OHS53" s="76"/>
      <c r="OHT53" s="76"/>
      <c r="OHU53" s="76"/>
      <c r="OHV53" s="76"/>
      <c r="OHW53" s="76"/>
      <c r="OHX53" s="76"/>
      <c r="OHY53" s="76"/>
      <c r="OHZ53" s="76"/>
      <c r="OIA53" s="76"/>
      <c r="OIB53" s="76"/>
      <c r="OIC53" s="76"/>
      <c r="OID53" s="76"/>
      <c r="OIE53" s="76"/>
      <c r="OIF53" s="76"/>
      <c r="OIG53" s="76"/>
      <c r="OIH53" s="76"/>
      <c r="OII53" s="76"/>
      <c r="OIJ53" s="76"/>
      <c r="OIK53" s="76"/>
      <c r="OIL53" s="76"/>
      <c r="OIM53" s="76"/>
      <c r="OIN53" s="76"/>
      <c r="OIO53" s="76"/>
      <c r="OIP53" s="76"/>
      <c r="OIQ53" s="76"/>
      <c r="OIR53" s="76"/>
      <c r="OIS53" s="76"/>
      <c r="OIT53" s="76"/>
      <c r="OIU53" s="76"/>
      <c r="OIV53" s="76"/>
      <c r="OIW53" s="76"/>
      <c r="OIX53" s="76"/>
      <c r="OIY53" s="76"/>
      <c r="OIZ53" s="76"/>
      <c r="OJA53" s="76"/>
      <c r="OJB53" s="76"/>
      <c r="OJC53" s="76"/>
      <c r="OJD53" s="76"/>
      <c r="OJE53" s="76"/>
      <c r="OJF53" s="76"/>
      <c r="OJG53" s="76"/>
      <c r="OJH53" s="76"/>
      <c r="OJI53" s="76"/>
      <c r="OJJ53" s="76"/>
      <c r="OJK53" s="76"/>
      <c r="OJL53" s="76"/>
      <c r="OJM53" s="76"/>
      <c r="OJN53" s="76"/>
      <c r="OJO53" s="76"/>
      <c r="OJP53" s="76"/>
      <c r="OJQ53" s="76"/>
      <c r="OJR53" s="76"/>
      <c r="OJS53" s="76"/>
      <c r="OJT53" s="76"/>
      <c r="OJU53" s="76"/>
      <c r="OJV53" s="76"/>
      <c r="OJW53" s="76"/>
      <c r="OJX53" s="76"/>
      <c r="OJY53" s="76"/>
      <c r="OJZ53" s="76"/>
      <c r="OKA53" s="76"/>
      <c r="OKB53" s="76"/>
      <c r="OKC53" s="76"/>
      <c r="OKD53" s="76"/>
      <c r="OKE53" s="76"/>
      <c r="OKF53" s="76"/>
      <c r="OKG53" s="76"/>
      <c r="OKH53" s="76"/>
      <c r="OKI53" s="76"/>
      <c r="OKJ53" s="76"/>
      <c r="OKK53" s="76"/>
      <c r="OKL53" s="76"/>
      <c r="OKM53" s="76"/>
      <c r="OKN53" s="76"/>
      <c r="OKO53" s="76"/>
      <c r="OKP53" s="76"/>
      <c r="OKQ53" s="76"/>
      <c r="OKR53" s="76"/>
      <c r="OKS53" s="76"/>
      <c r="OKT53" s="76"/>
      <c r="OKU53" s="76"/>
      <c r="OKV53" s="76"/>
      <c r="OKW53" s="76"/>
      <c r="OKX53" s="76"/>
      <c r="OKY53" s="76"/>
      <c r="OKZ53" s="76"/>
      <c r="OLA53" s="76"/>
      <c r="OLB53" s="76"/>
      <c r="OLC53" s="76"/>
      <c r="OLD53" s="76"/>
      <c r="OLE53" s="76"/>
      <c r="OLF53" s="76"/>
      <c r="OLG53" s="76"/>
      <c r="OLH53" s="76"/>
      <c r="OLI53" s="76"/>
      <c r="OLJ53" s="76"/>
      <c r="OLK53" s="76"/>
      <c r="OLL53" s="76"/>
      <c r="OLM53" s="76"/>
      <c r="OLN53" s="76"/>
      <c r="OLO53" s="76"/>
      <c r="OLP53" s="76"/>
      <c r="OLQ53" s="76"/>
      <c r="OLR53" s="76"/>
      <c r="OLS53" s="76"/>
      <c r="OLT53" s="76"/>
      <c r="OLU53" s="76"/>
      <c r="OLV53" s="76"/>
      <c r="OLW53" s="76"/>
      <c r="OLX53" s="76"/>
      <c r="OLY53" s="76"/>
      <c r="OLZ53" s="76"/>
      <c r="OMA53" s="76"/>
      <c r="OMB53" s="76"/>
      <c r="OMC53" s="76"/>
      <c r="OMD53" s="76"/>
      <c r="OME53" s="76"/>
      <c r="OMF53" s="76"/>
      <c r="OMG53" s="76"/>
      <c r="OMH53" s="76"/>
      <c r="OMI53" s="76"/>
      <c r="OMJ53" s="76"/>
      <c r="OMK53" s="76"/>
      <c r="OML53" s="76"/>
      <c r="OMM53" s="76"/>
      <c r="OMN53" s="76"/>
      <c r="OMO53" s="76"/>
      <c r="OMP53" s="76"/>
      <c r="OMQ53" s="76"/>
      <c r="OMR53" s="76"/>
      <c r="OMS53" s="76"/>
      <c r="OMT53" s="76"/>
      <c r="OMU53" s="76"/>
      <c r="OMV53" s="76"/>
      <c r="OMW53" s="76"/>
      <c r="OMX53" s="76"/>
      <c r="OMY53" s="76"/>
      <c r="OMZ53" s="76"/>
      <c r="ONA53" s="76"/>
      <c r="ONB53" s="76"/>
      <c r="ONC53" s="76"/>
      <c r="OND53" s="76"/>
      <c r="ONE53" s="76"/>
      <c r="ONF53" s="76"/>
      <c r="ONG53" s="76"/>
      <c r="ONH53" s="76"/>
      <c r="ONI53" s="76"/>
      <c r="ONJ53" s="76"/>
      <c r="ONK53" s="76"/>
      <c r="ONL53" s="76"/>
      <c r="ONM53" s="76"/>
      <c r="ONN53" s="76"/>
      <c r="ONO53" s="76"/>
      <c r="ONP53" s="76"/>
      <c r="ONQ53" s="76"/>
      <c r="ONR53" s="76"/>
      <c r="ONS53" s="76"/>
      <c r="ONT53" s="76"/>
      <c r="ONU53" s="76"/>
      <c r="ONV53" s="76"/>
      <c r="ONW53" s="76"/>
      <c r="ONX53" s="76"/>
      <c r="ONY53" s="76"/>
      <c r="ONZ53" s="76"/>
      <c r="OOA53" s="76"/>
      <c r="OOB53" s="76"/>
      <c r="OOC53" s="76"/>
      <c r="OOD53" s="76"/>
      <c r="OOE53" s="76"/>
      <c r="OOF53" s="76"/>
      <c r="OOG53" s="76"/>
      <c r="OOH53" s="76"/>
      <c r="OOI53" s="76"/>
      <c r="OOJ53" s="76"/>
      <c r="OOK53" s="76"/>
      <c r="OOL53" s="76"/>
      <c r="OOM53" s="76"/>
      <c r="OON53" s="76"/>
      <c r="OOO53" s="76"/>
      <c r="OOP53" s="76"/>
      <c r="OOQ53" s="76"/>
      <c r="OOR53" s="76"/>
      <c r="OOS53" s="76"/>
      <c r="OOT53" s="76"/>
      <c r="OOU53" s="76"/>
      <c r="OOV53" s="76"/>
      <c r="OOW53" s="76"/>
      <c r="OOX53" s="76"/>
      <c r="OOY53" s="76"/>
      <c r="OOZ53" s="76"/>
      <c r="OPA53" s="76"/>
      <c r="OPB53" s="76"/>
      <c r="OPC53" s="76"/>
      <c r="OPD53" s="76"/>
      <c r="OPE53" s="76"/>
      <c r="OPF53" s="76"/>
      <c r="OPG53" s="76"/>
      <c r="OPH53" s="76"/>
      <c r="OPI53" s="76"/>
      <c r="OPJ53" s="76"/>
      <c r="OPK53" s="76"/>
      <c r="OPL53" s="76"/>
      <c r="OPM53" s="76"/>
      <c r="OPN53" s="76"/>
      <c r="OPO53" s="76"/>
      <c r="OPP53" s="76"/>
      <c r="OPQ53" s="76"/>
      <c r="OPR53" s="76"/>
      <c r="OPS53" s="76"/>
      <c r="OPT53" s="76"/>
      <c r="OPU53" s="76"/>
      <c r="OPV53" s="76"/>
      <c r="OPW53" s="76"/>
      <c r="OPX53" s="76"/>
      <c r="OPY53" s="76"/>
      <c r="OPZ53" s="76"/>
      <c r="OQA53" s="76"/>
      <c r="OQB53" s="76"/>
      <c r="OQC53" s="76"/>
      <c r="OQD53" s="76"/>
      <c r="OQE53" s="76"/>
      <c r="OQF53" s="76"/>
      <c r="OQG53" s="76"/>
      <c r="OQH53" s="76"/>
      <c r="OQI53" s="76"/>
      <c r="OQJ53" s="76"/>
      <c r="OQK53" s="76"/>
      <c r="OQL53" s="76"/>
      <c r="OQM53" s="76"/>
      <c r="OQN53" s="76"/>
      <c r="OQO53" s="76"/>
      <c r="OQP53" s="76"/>
      <c r="OQQ53" s="76"/>
      <c r="OQR53" s="76"/>
      <c r="OQS53" s="76"/>
      <c r="OQT53" s="76"/>
      <c r="OQU53" s="76"/>
      <c r="OQV53" s="76"/>
      <c r="OQW53" s="76"/>
      <c r="OQX53" s="76"/>
      <c r="OQY53" s="76"/>
      <c r="OQZ53" s="76"/>
      <c r="ORA53" s="76"/>
      <c r="ORB53" s="76"/>
      <c r="ORC53" s="76"/>
      <c r="ORD53" s="76"/>
      <c r="ORE53" s="76"/>
      <c r="ORF53" s="76"/>
      <c r="ORG53" s="76"/>
      <c r="ORH53" s="76"/>
      <c r="ORI53" s="76"/>
      <c r="ORJ53" s="76"/>
      <c r="ORK53" s="76"/>
      <c r="ORL53" s="76"/>
      <c r="ORM53" s="76"/>
      <c r="ORN53" s="76"/>
      <c r="ORO53" s="76"/>
      <c r="ORP53" s="76"/>
      <c r="ORQ53" s="76"/>
      <c r="ORR53" s="76"/>
      <c r="ORS53" s="76"/>
      <c r="ORT53" s="76"/>
      <c r="ORU53" s="76"/>
      <c r="ORV53" s="76"/>
      <c r="ORW53" s="76"/>
      <c r="ORX53" s="76"/>
      <c r="ORY53" s="76"/>
      <c r="ORZ53" s="76"/>
      <c r="OSA53" s="76"/>
      <c r="OSB53" s="76"/>
      <c r="OSC53" s="76"/>
      <c r="OSD53" s="76"/>
      <c r="OSE53" s="76"/>
      <c r="OSF53" s="76"/>
      <c r="OSG53" s="76"/>
      <c r="OSH53" s="76"/>
      <c r="OSI53" s="76"/>
      <c r="OSJ53" s="76"/>
      <c r="OSK53" s="76"/>
      <c r="OSL53" s="76"/>
      <c r="OSM53" s="76"/>
      <c r="OSN53" s="76"/>
      <c r="OSO53" s="76"/>
      <c r="OSP53" s="76"/>
      <c r="OSQ53" s="76"/>
      <c r="OSR53" s="76"/>
      <c r="OSS53" s="76"/>
      <c r="OST53" s="76"/>
      <c r="OSU53" s="76"/>
      <c r="OSV53" s="76"/>
      <c r="OSW53" s="76"/>
      <c r="OSX53" s="76"/>
      <c r="OSY53" s="76"/>
      <c r="OSZ53" s="76"/>
      <c r="OTA53" s="76"/>
      <c r="OTB53" s="76"/>
      <c r="OTC53" s="76"/>
      <c r="OTD53" s="76"/>
      <c r="OTE53" s="76"/>
      <c r="OTF53" s="76"/>
      <c r="OTG53" s="76"/>
      <c r="OTH53" s="76"/>
      <c r="OTI53" s="76"/>
      <c r="OTJ53" s="76"/>
      <c r="OTK53" s="76"/>
      <c r="OTL53" s="76"/>
      <c r="OTM53" s="76"/>
      <c r="OTN53" s="76"/>
      <c r="OTO53" s="76"/>
      <c r="OTP53" s="76"/>
      <c r="OTQ53" s="76"/>
      <c r="OTR53" s="76"/>
      <c r="OTS53" s="76"/>
      <c r="OTT53" s="76"/>
      <c r="OTU53" s="76"/>
      <c r="OTV53" s="76"/>
      <c r="OTW53" s="76"/>
      <c r="OTX53" s="76"/>
      <c r="OTY53" s="76"/>
      <c r="OTZ53" s="76"/>
      <c r="OUA53" s="76"/>
      <c r="OUB53" s="76"/>
      <c r="OUC53" s="76"/>
      <c r="OUD53" s="76"/>
      <c r="OUE53" s="76"/>
      <c r="OUF53" s="76"/>
      <c r="OUG53" s="76"/>
      <c r="OUH53" s="76"/>
      <c r="OUI53" s="76"/>
      <c r="OUJ53" s="76"/>
      <c r="OUK53" s="76"/>
      <c r="OUL53" s="76"/>
      <c r="OUM53" s="76"/>
      <c r="OUN53" s="76"/>
      <c r="OUO53" s="76"/>
      <c r="OUP53" s="76"/>
      <c r="OUQ53" s="76"/>
      <c r="OUR53" s="76"/>
      <c r="OUS53" s="76"/>
      <c r="OUT53" s="76"/>
      <c r="OUU53" s="76"/>
      <c r="OUV53" s="76"/>
      <c r="OUW53" s="76"/>
      <c r="OUX53" s="76"/>
      <c r="OUY53" s="76"/>
      <c r="OUZ53" s="76"/>
      <c r="OVA53" s="76"/>
      <c r="OVB53" s="76"/>
      <c r="OVC53" s="76"/>
      <c r="OVD53" s="76"/>
      <c r="OVE53" s="76"/>
      <c r="OVF53" s="76"/>
      <c r="OVG53" s="76"/>
      <c r="OVH53" s="76"/>
      <c r="OVI53" s="76"/>
      <c r="OVJ53" s="76"/>
      <c r="OVK53" s="76"/>
      <c r="OVL53" s="76"/>
      <c r="OVM53" s="76"/>
      <c r="OVN53" s="76"/>
      <c r="OVO53" s="76"/>
      <c r="OVP53" s="76"/>
      <c r="OVQ53" s="76"/>
      <c r="OVR53" s="76"/>
      <c r="OVS53" s="76"/>
      <c r="OVT53" s="76"/>
      <c r="OVU53" s="76"/>
      <c r="OVV53" s="76"/>
      <c r="OVW53" s="76"/>
      <c r="OVX53" s="76"/>
      <c r="OVY53" s="76"/>
      <c r="OVZ53" s="76"/>
      <c r="OWA53" s="76"/>
      <c r="OWB53" s="76"/>
      <c r="OWC53" s="76"/>
      <c r="OWD53" s="76"/>
      <c r="OWE53" s="76"/>
      <c r="OWF53" s="76"/>
      <c r="OWG53" s="76"/>
      <c r="OWH53" s="76"/>
      <c r="OWI53" s="76"/>
      <c r="OWJ53" s="76"/>
      <c r="OWK53" s="76"/>
      <c r="OWL53" s="76"/>
      <c r="OWM53" s="76"/>
      <c r="OWN53" s="76"/>
      <c r="OWO53" s="76"/>
      <c r="OWP53" s="76"/>
      <c r="OWQ53" s="76"/>
      <c r="OWR53" s="76"/>
      <c r="OWS53" s="76"/>
      <c r="OWT53" s="76"/>
      <c r="OWU53" s="76"/>
      <c r="OWV53" s="76"/>
      <c r="OWW53" s="76"/>
      <c r="OWX53" s="76"/>
      <c r="OWY53" s="76"/>
      <c r="OWZ53" s="76"/>
      <c r="OXA53" s="76"/>
      <c r="OXB53" s="76"/>
      <c r="OXC53" s="76"/>
      <c r="OXD53" s="76"/>
      <c r="OXE53" s="76"/>
      <c r="OXF53" s="76"/>
      <c r="OXG53" s="76"/>
      <c r="OXH53" s="76"/>
      <c r="OXI53" s="76"/>
      <c r="OXJ53" s="76"/>
      <c r="OXK53" s="76"/>
      <c r="OXL53" s="76"/>
      <c r="OXM53" s="76"/>
      <c r="OXN53" s="76"/>
      <c r="OXO53" s="76"/>
      <c r="OXP53" s="76"/>
      <c r="OXQ53" s="76"/>
      <c r="OXR53" s="76"/>
      <c r="OXS53" s="76"/>
      <c r="OXT53" s="76"/>
      <c r="OXU53" s="76"/>
      <c r="OXV53" s="76"/>
      <c r="OXW53" s="76"/>
      <c r="OXX53" s="76"/>
      <c r="OXY53" s="76"/>
      <c r="OXZ53" s="76"/>
      <c r="OYA53" s="76"/>
      <c r="OYB53" s="76"/>
      <c r="OYC53" s="76"/>
      <c r="OYD53" s="76"/>
      <c r="OYE53" s="76"/>
      <c r="OYF53" s="76"/>
      <c r="OYG53" s="76"/>
      <c r="OYH53" s="76"/>
      <c r="OYI53" s="76"/>
      <c r="OYJ53" s="76"/>
      <c r="OYK53" s="76"/>
      <c r="OYL53" s="76"/>
      <c r="OYM53" s="76"/>
      <c r="OYN53" s="76"/>
      <c r="OYO53" s="76"/>
      <c r="OYP53" s="76"/>
      <c r="OYQ53" s="76"/>
      <c r="OYR53" s="76"/>
      <c r="OYS53" s="76"/>
      <c r="OYT53" s="76"/>
      <c r="OYU53" s="76"/>
      <c r="OYV53" s="76"/>
      <c r="OYW53" s="76"/>
      <c r="OYX53" s="76"/>
      <c r="OYY53" s="76"/>
      <c r="OYZ53" s="76"/>
      <c r="OZA53" s="76"/>
      <c r="OZB53" s="76"/>
      <c r="OZC53" s="76"/>
      <c r="OZD53" s="76"/>
      <c r="OZE53" s="76"/>
      <c r="OZF53" s="76"/>
      <c r="OZG53" s="76"/>
      <c r="OZH53" s="76"/>
      <c r="OZI53" s="76"/>
      <c r="OZJ53" s="76"/>
      <c r="OZK53" s="76"/>
      <c r="OZL53" s="76"/>
      <c r="OZM53" s="76"/>
      <c r="OZN53" s="76"/>
      <c r="OZO53" s="76"/>
      <c r="OZP53" s="76"/>
      <c r="OZQ53" s="76"/>
      <c r="OZR53" s="76"/>
      <c r="OZS53" s="76"/>
      <c r="OZT53" s="76"/>
      <c r="OZU53" s="76"/>
      <c r="OZV53" s="76"/>
      <c r="OZW53" s="76"/>
      <c r="OZX53" s="76"/>
      <c r="OZY53" s="76"/>
      <c r="OZZ53" s="76"/>
      <c r="PAA53" s="76"/>
      <c r="PAB53" s="76"/>
      <c r="PAC53" s="76"/>
      <c r="PAD53" s="76"/>
      <c r="PAE53" s="76"/>
      <c r="PAF53" s="76"/>
      <c r="PAG53" s="76"/>
      <c r="PAH53" s="76"/>
      <c r="PAI53" s="76"/>
      <c r="PAJ53" s="76"/>
      <c r="PAK53" s="76"/>
      <c r="PAL53" s="76"/>
      <c r="PAM53" s="76"/>
      <c r="PAN53" s="76"/>
      <c r="PAO53" s="76"/>
      <c r="PAP53" s="76"/>
      <c r="PAQ53" s="76"/>
      <c r="PAR53" s="76"/>
      <c r="PAS53" s="76"/>
      <c r="PAT53" s="76"/>
      <c r="PAU53" s="76"/>
      <c r="PAV53" s="76"/>
      <c r="PAW53" s="76"/>
      <c r="PAX53" s="76"/>
      <c r="PAY53" s="76"/>
      <c r="PAZ53" s="76"/>
      <c r="PBA53" s="76"/>
      <c r="PBB53" s="76"/>
      <c r="PBC53" s="76"/>
      <c r="PBD53" s="76"/>
      <c r="PBE53" s="76"/>
      <c r="PBF53" s="76"/>
      <c r="PBG53" s="76"/>
      <c r="PBH53" s="76"/>
      <c r="PBI53" s="76"/>
      <c r="PBJ53" s="76"/>
      <c r="PBK53" s="76"/>
      <c r="PBL53" s="76"/>
      <c r="PBM53" s="76"/>
      <c r="PBN53" s="76"/>
      <c r="PBO53" s="76"/>
      <c r="PBP53" s="76"/>
      <c r="PBQ53" s="76"/>
      <c r="PBR53" s="76"/>
      <c r="PBS53" s="76"/>
      <c r="PBT53" s="76"/>
      <c r="PBU53" s="76"/>
      <c r="PBV53" s="76"/>
      <c r="PBW53" s="76"/>
      <c r="PBX53" s="76"/>
      <c r="PBY53" s="76"/>
      <c r="PBZ53" s="76"/>
      <c r="PCA53" s="76"/>
      <c r="PCB53" s="76"/>
      <c r="PCC53" s="76"/>
      <c r="PCD53" s="76"/>
      <c r="PCE53" s="76"/>
      <c r="PCF53" s="76"/>
      <c r="PCG53" s="76"/>
      <c r="PCH53" s="76"/>
      <c r="PCI53" s="76"/>
      <c r="PCJ53" s="76"/>
      <c r="PCK53" s="76"/>
      <c r="PCL53" s="76"/>
      <c r="PCM53" s="76"/>
      <c r="PCN53" s="76"/>
      <c r="PCO53" s="76"/>
      <c r="PCP53" s="76"/>
      <c r="PCQ53" s="76"/>
      <c r="PCR53" s="76"/>
      <c r="PCS53" s="76"/>
      <c r="PCT53" s="76"/>
      <c r="PCU53" s="76"/>
      <c r="PCV53" s="76"/>
      <c r="PCW53" s="76"/>
      <c r="PCX53" s="76"/>
      <c r="PCY53" s="76"/>
      <c r="PCZ53" s="76"/>
      <c r="PDA53" s="76"/>
      <c r="PDB53" s="76"/>
      <c r="PDC53" s="76"/>
      <c r="PDD53" s="76"/>
      <c r="PDE53" s="76"/>
      <c r="PDF53" s="76"/>
      <c r="PDG53" s="76"/>
      <c r="PDH53" s="76"/>
      <c r="PDI53" s="76"/>
      <c r="PDJ53" s="76"/>
      <c r="PDK53" s="76"/>
      <c r="PDL53" s="76"/>
      <c r="PDM53" s="76"/>
      <c r="PDN53" s="76"/>
      <c r="PDO53" s="76"/>
      <c r="PDP53" s="76"/>
      <c r="PDQ53" s="76"/>
      <c r="PDR53" s="76"/>
      <c r="PDS53" s="76"/>
      <c r="PDT53" s="76"/>
      <c r="PDU53" s="76"/>
      <c r="PDV53" s="76"/>
      <c r="PDW53" s="76"/>
      <c r="PDX53" s="76"/>
      <c r="PDY53" s="76"/>
      <c r="PDZ53" s="76"/>
      <c r="PEA53" s="76"/>
      <c r="PEB53" s="76"/>
      <c r="PEC53" s="76"/>
      <c r="PED53" s="76"/>
      <c r="PEE53" s="76"/>
      <c r="PEF53" s="76"/>
      <c r="PEG53" s="76"/>
      <c r="PEH53" s="76"/>
      <c r="PEI53" s="76"/>
      <c r="PEJ53" s="76"/>
      <c r="PEK53" s="76"/>
      <c r="PEL53" s="76"/>
      <c r="PEM53" s="76"/>
      <c r="PEN53" s="76"/>
      <c r="PEO53" s="76"/>
      <c r="PEP53" s="76"/>
      <c r="PEQ53" s="76"/>
      <c r="PER53" s="76"/>
      <c r="PES53" s="76"/>
      <c r="PET53" s="76"/>
      <c r="PEU53" s="76"/>
      <c r="PEV53" s="76"/>
      <c r="PEW53" s="76"/>
      <c r="PEX53" s="76"/>
      <c r="PEY53" s="76"/>
      <c r="PEZ53" s="76"/>
      <c r="PFA53" s="76"/>
      <c r="PFB53" s="76"/>
      <c r="PFC53" s="76"/>
      <c r="PFD53" s="76"/>
      <c r="PFE53" s="76"/>
      <c r="PFF53" s="76"/>
      <c r="PFG53" s="76"/>
      <c r="PFH53" s="76"/>
      <c r="PFI53" s="76"/>
      <c r="PFJ53" s="76"/>
      <c r="PFK53" s="76"/>
      <c r="PFL53" s="76"/>
      <c r="PFM53" s="76"/>
      <c r="PFN53" s="76"/>
      <c r="PFO53" s="76"/>
      <c r="PFP53" s="76"/>
      <c r="PFQ53" s="76"/>
      <c r="PFR53" s="76"/>
      <c r="PFS53" s="76"/>
      <c r="PFT53" s="76"/>
      <c r="PFU53" s="76"/>
      <c r="PFV53" s="76"/>
      <c r="PFW53" s="76"/>
      <c r="PFX53" s="76"/>
      <c r="PFY53" s="76"/>
      <c r="PFZ53" s="76"/>
      <c r="PGA53" s="76"/>
      <c r="PGB53" s="76"/>
      <c r="PGC53" s="76"/>
      <c r="PGD53" s="76"/>
      <c r="PGE53" s="76"/>
      <c r="PGF53" s="76"/>
      <c r="PGG53" s="76"/>
      <c r="PGH53" s="76"/>
      <c r="PGI53" s="76"/>
      <c r="PGJ53" s="76"/>
      <c r="PGK53" s="76"/>
      <c r="PGL53" s="76"/>
      <c r="PGM53" s="76"/>
      <c r="PGN53" s="76"/>
      <c r="PGO53" s="76"/>
      <c r="PGP53" s="76"/>
      <c r="PGQ53" s="76"/>
      <c r="PGR53" s="76"/>
      <c r="PGS53" s="76"/>
      <c r="PGT53" s="76"/>
      <c r="PGU53" s="76"/>
      <c r="PGV53" s="76"/>
      <c r="PGW53" s="76"/>
      <c r="PGX53" s="76"/>
      <c r="PGY53" s="76"/>
      <c r="PGZ53" s="76"/>
      <c r="PHA53" s="76"/>
      <c r="PHB53" s="76"/>
      <c r="PHC53" s="76"/>
      <c r="PHD53" s="76"/>
      <c r="PHE53" s="76"/>
      <c r="PHF53" s="76"/>
      <c r="PHG53" s="76"/>
      <c r="PHH53" s="76"/>
      <c r="PHI53" s="76"/>
      <c r="PHJ53" s="76"/>
      <c r="PHK53" s="76"/>
      <c r="PHL53" s="76"/>
      <c r="PHM53" s="76"/>
      <c r="PHN53" s="76"/>
      <c r="PHO53" s="76"/>
      <c r="PHP53" s="76"/>
      <c r="PHQ53" s="76"/>
      <c r="PHR53" s="76"/>
      <c r="PHS53" s="76"/>
      <c r="PHT53" s="76"/>
      <c r="PHU53" s="76"/>
      <c r="PHV53" s="76"/>
      <c r="PHW53" s="76"/>
      <c r="PHX53" s="76"/>
      <c r="PHY53" s="76"/>
      <c r="PHZ53" s="76"/>
      <c r="PIA53" s="76"/>
      <c r="PIB53" s="76"/>
      <c r="PIC53" s="76"/>
      <c r="PID53" s="76"/>
      <c r="PIE53" s="76"/>
      <c r="PIF53" s="76"/>
      <c r="PIG53" s="76"/>
      <c r="PIH53" s="76"/>
      <c r="PII53" s="76"/>
      <c r="PIJ53" s="76"/>
      <c r="PIK53" s="76"/>
      <c r="PIL53" s="76"/>
      <c r="PIM53" s="76"/>
      <c r="PIN53" s="76"/>
      <c r="PIO53" s="76"/>
      <c r="PIP53" s="76"/>
      <c r="PIQ53" s="76"/>
      <c r="PIR53" s="76"/>
      <c r="PIS53" s="76"/>
      <c r="PIT53" s="76"/>
      <c r="PIU53" s="76"/>
      <c r="PIV53" s="76"/>
      <c r="PIW53" s="76"/>
      <c r="PIX53" s="76"/>
      <c r="PIY53" s="76"/>
      <c r="PIZ53" s="76"/>
      <c r="PJA53" s="76"/>
      <c r="PJB53" s="76"/>
      <c r="PJC53" s="76"/>
      <c r="PJD53" s="76"/>
      <c r="PJE53" s="76"/>
      <c r="PJF53" s="76"/>
      <c r="PJG53" s="76"/>
      <c r="PJH53" s="76"/>
      <c r="PJI53" s="76"/>
      <c r="PJJ53" s="76"/>
      <c r="PJK53" s="76"/>
      <c r="PJL53" s="76"/>
      <c r="PJM53" s="76"/>
      <c r="PJN53" s="76"/>
      <c r="PJO53" s="76"/>
      <c r="PJP53" s="76"/>
      <c r="PJQ53" s="76"/>
      <c r="PJR53" s="76"/>
      <c r="PJS53" s="76"/>
      <c r="PJT53" s="76"/>
      <c r="PJU53" s="76"/>
      <c r="PJV53" s="76"/>
      <c r="PJW53" s="76"/>
      <c r="PJX53" s="76"/>
      <c r="PJY53" s="76"/>
      <c r="PJZ53" s="76"/>
      <c r="PKA53" s="76"/>
      <c r="PKB53" s="76"/>
      <c r="PKC53" s="76"/>
      <c r="PKD53" s="76"/>
      <c r="PKE53" s="76"/>
      <c r="PKF53" s="76"/>
      <c r="PKG53" s="76"/>
      <c r="PKH53" s="76"/>
      <c r="PKI53" s="76"/>
      <c r="PKJ53" s="76"/>
      <c r="PKK53" s="76"/>
      <c r="PKL53" s="76"/>
      <c r="PKM53" s="76"/>
      <c r="PKN53" s="76"/>
      <c r="PKO53" s="76"/>
      <c r="PKP53" s="76"/>
      <c r="PKQ53" s="76"/>
      <c r="PKR53" s="76"/>
      <c r="PKS53" s="76"/>
      <c r="PKT53" s="76"/>
      <c r="PKU53" s="76"/>
      <c r="PKV53" s="76"/>
      <c r="PKW53" s="76"/>
      <c r="PKX53" s="76"/>
      <c r="PKY53" s="76"/>
      <c r="PKZ53" s="76"/>
      <c r="PLA53" s="76"/>
      <c r="PLB53" s="76"/>
      <c r="PLC53" s="76"/>
      <c r="PLD53" s="76"/>
      <c r="PLE53" s="76"/>
      <c r="PLF53" s="76"/>
      <c r="PLG53" s="76"/>
      <c r="PLH53" s="76"/>
      <c r="PLI53" s="76"/>
      <c r="PLJ53" s="76"/>
      <c r="PLK53" s="76"/>
      <c r="PLL53" s="76"/>
      <c r="PLM53" s="76"/>
      <c r="PLN53" s="76"/>
      <c r="PLO53" s="76"/>
      <c r="PLP53" s="76"/>
      <c r="PLQ53" s="76"/>
      <c r="PLR53" s="76"/>
      <c r="PLS53" s="76"/>
      <c r="PLT53" s="76"/>
      <c r="PLU53" s="76"/>
      <c r="PLV53" s="76"/>
      <c r="PLW53" s="76"/>
      <c r="PLX53" s="76"/>
      <c r="PLY53" s="76"/>
      <c r="PLZ53" s="76"/>
      <c r="PMA53" s="76"/>
      <c r="PMB53" s="76"/>
      <c r="PMC53" s="76"/>
      <c r="PMD53" s="76"/>
      <c r="PME53" s="76"/>
      <c r="PMF53" s="76"/>
      <c r="PMG53" s="76"/>
      <c r="PMH53" s="76"/>
      <c r="PMI53" s="76"/>
      <c r="PMJ53" s="76"/>
      <c r="PMK53" s="76"/>
      <c r="PML53" s="76"/>
      <c r="PMM53" s="76"/>
      <c r="PMN53" s="76"/>
      <c r="PMO53" s="76"/>
      <c r="PMP53" s="76"/>
      <c r="PMQ53" s="76"/>
      <c r="PMR53" s="76"/>
      <c r="PMS53" s="76"/>
      <c r="PMT53" s="76"/>
      <c r="PMU53" s="76"/>
      <c r="PMV53" s="76"/>
      <c r="PMW53" s="76"/>
      <c r="PMX53" s="76"/>
      <c r="PMY53" s="76"/>
      <c r="PMZ53" s="76"/>
      <c r="PNA53" s="76"/>
      <c r="PNB53" s="76"/>
      <c r="PNC53" s="76"/>
      <c r="PND53" s="76"/>
      <c r="PNE53" s="76"/>
      <c r="PNF53" s="76"/>
      <c r="PNG53" s="76"/>
      <c r="PNH53" s="76"/>
      <c r="PNI53" s="76"/>
      <c r="PNJ53" s="76"/>
      <c r="PNK53" s="76"/>
      <c r="PNL53" s="76"/>
      <c r="PNM53" s="76"/>
      <c r="PNN53" s="76"/>
      <c r="PNO53" s="76"/>
      <c r="PNP53" s="76"/>
      <c r="PNQ53" s="76"/>
      <c r="PNR53" s="76"/>
      <c r="PNS53" s="76"/>
      <c r="PNT53" s="76"/>
      <c r="PNU53" s="76"/>
      <c r="PNV53" s="76"/>
      <c r="PNW53" s="76"/>
      <c r="PNX53" s="76"/>
      <c r="PNY53" s="76"/>
      <c r="PNZ53" s="76"/>
      <c r="POA53" s="76"/>
      <c r="POB53" s="76"/>
      <c r="POC53" s="76"/>
      <c r="POD53" s="76"/>
      <c r="POE53" s="76"/>
      <c r="POF53" s="76"/>
      <c r="POG53" s="76"/>
      <c r="POH53" s="76"/>
      <c r="POI53" s="76"/>
      <c r="POJ53" s="76"/>
      <c r="POK53" s="76"/>
      <c r="POL53" s="76"/>
      <c r="POM53" s="76"/>
      <c r="PON53" s="76"/>
      <c r="POO53" s="76"/>
      <c r="POP53" s="76"/>
      <c r="POQ53" s="76"/>
      <c r="POR53" s="76"/>
      <c r="POS53" s="76"/>
      <c r="POT53" s="76"/>
      <c r="POU53" s="76"/>
      <c r="POV53" s="76"/>
      <c r="POW53" s="76"/>
      <c r="POX53" s="76"/>
      <c r="POY53" s="76"/>
      <c r="POZ53" s="76"/>
      <c r="PPA53" s="76"/>
      <c r="PPB53" s="76"/>
      <c r="PPC53" s="76"/>
      <c r="PPD53" s="76"/>
      <c r="PPE53" s="76"/>
      <c r="PPF53" s="76"/>
      <c r="PPG53" s="76"/>
      <c r="PPH53" s="76"/>
      <c r="PPI53" s="76"/>
      <c r="PPJ53" s="76"/>
      <c r="PPK53" s="76"/>
      <c r="PPL53" s="76"/>
      <c r="PPM53" s="76"/>
      <c r="PPN53" s="76"/>
      <c r="PPO53" s="76"/>
      <c r="PPP53" s="76"/>
      <c r="PPQ53" s="76"/>
      <c r="PPR53" s="76"/>
      <c r="PPS53" s="76"/>
      <c r="PPT53" s="76"/>
      <c r="PPU53" s="76"/>
      <c r="PPV53" s="76"/>
      <c r="PPW53" s="76"/>
      <c r="PPX53" s="76"/>
      <c r="PPY53" s="76"/>
      <c r="PPZ53" s="76"/>
      <c r="PQA53" s="76"/>
      <c r="PQB53" s="76"/>
      <c r="PQC53" s="76"/>
      <c r="PQD53" s="76"/>
      <c r="PQE53" s="76"/>
      <c r="PQF53" s="76"/>
      <c r="PQG53" s="76"/>
      <c r="PQH53" s="76"/>
      <c r="PQI53" s="76"/>
      <c r="PQJ53" s="76"/>
      <c r="PQK53" s="76"/>
      <c r="PQL53" s="76"/>
      <c r="PQM53" s="76"/>
      <c r="PQN53" s="76"/>
      <c r="PQO53" s="76"/>
      <c r="PQP53" s="76"/>
      <c r="PQQ53" s="76"/>
      <c r="PQR53" s="76"/>
      <c r="PQS53" s="76"/>
      <c r="PQT53" s="76"/>
      <c r="PQU53" s="76"/>
      <c r="PQV53" s="76"/>
      <c r="PQW53" s="76"/>
      <c r="PQX53" s="76"/>
      <c r="PQY53" s="76"/>
      <c r="PQZ53" s="76"/>
      <c r="PRA53" s="76"/>
      <c r="PRB53" s="76"/>
      <c r="PRC53" s="76"/>
      <c r="PRD53" s="76"/>
      <c r="PRE53" s="76"/>
      <c r="PRF53" s="76"/>
      <c r="PRG53" s="76"/>
      <c r="PRH53" s="76"/>
      <c r="PRI53" s="76"/>
      <c r="PRJ53" s="76"/>
      <c r="PRK53" s="76"/>
      <c r="PRL53" s="76"/>
      <c r="PRM53" s="76"/>
      <c r="PRN53" s="76"/>
      <c r="PRO53" s="76"/>
      <c r="PRP53" s="76"/>
      <c r="PRQ53" s="76"/>
      <c r="PRR53" s="76"/>
      <c r="PRS53" s="76"/>
      <c r="PRT53" s="76"/>
      <c r="PRU53" s="76"/>
      <c r="PRV53" s="76"/>
      <c r="PRW53" s="76"/>
      <c r="PRX53" s="76"/>
      <c r="PRY53" s="76"/>
      <c r="PRZ53" s="76"/>
      <c r="PSA53" s="76"/>
      <c r="PSB53" s="76"/>
      <c r="PSC53" s="76"/>
      <c r="PSD53" s="76"/>
      <c r="PSE53" s="76"/>
      <c r="PSF53" s="76"/>
      <c r="PSG53" s="76"/>
      <c r="PSH53" s="76"/>
      <c r="PSI53" s="76"/>
      <c r="PSJ53" s="76"/>
      <c r="PSK53" s="76"/>
      <c r="PSL53" s="76"/>
      <c r="PSM53" s="76"/>
      <c r="PSN53" s="76"/>
      <c r="PSO53" s="76"/>
      <c r="PSP53" s="76"/>
      <c r="PSQ53" s="76"/>
      <c r="PSR53" s="76"/>
      <c r="PSS53" s="76"/>
      <c r="PST53" s="76"/>
      <c r="PSU53" s="76"/>
      <c r="PSV53" s="76"/>
      <c r="PSW53" s="76"/>
      <c r="PSX53" s="76"/>
      <c r="PSY53" s="76"/>
      <c r="PSZ53" s="76"/>
      <c r="PTA53" s="76"/>
      <c r="PTB53" s="76"/>
      <c r="PTC53" s="76"/>
      <c r="PTD53" s="76"/>
      <c r="PTE53" s="76"/>
      <c r="PTF53" s="76"/>
      <c r="PTG53" s="76"/>
      <c r="PTH53" s="76"/>
      <c r="PTI53" s="76"/>
      <c r="PTJ53" s="76"/>
      <c r="PTK53" s="76"/>
      <c r="PTL53" s="76"/>
      <c r="PTM53" s="76"/>
      <c r="PTN53" s="76"/>
      <c r="PTO53" s="76"/>
      <c r="PTP53" s="76"/>
      <c r="PTQ53" s="76"/>
      <c r="PTR53" s="76"/>
      <c r="PTS53" s="76"/>
      <c r="PTT53" s="76"/>
      <c r="PTU53" s="76"/>
      <c r="PTV53" s="76"/>
      <c r="PTW53" s="76"/>
      <c r="PTX53" s="76"/>
      <c r="PTY53" s="76"/>
      <c r="PTZ53" s="76"/>
      <c r="PUA53" s="76"/>
      <c r="PUB53" s="76"/>
      <c r="PUC53" s="76"/>
      <c r="PUD53" s="76"/>
      <c r="PUE53" s="76"/>
      <c r="PUF53" s="76"/>
      <c r="PUG53" s="76"/>
      <c r="PUH53" s="76"/>
      <c r="PUI53" s="76"/>
      <c r="PUJ53" s="76"/>
      <c r="PUK53" s="76"/>
      <c r="PUL53" s="76"/>
      <c r="PUM53" s="76"/>
      <c r="PUN53" s="76"/>
      <c r="PUO53" s="76"/>
      <c r="PUP53" s="76"/>
      <c r="PUQ53" s="76"/>
      <c r="PUR53" s="76"/>
      <c r="PUS53" s="76"/>
      <c r="PUT53" s="76"/>
      <c r="PUU53" s="76"/>
      <c r="PUV53" s="76"/>
      <c r="PUW53" s="76"/>
      <c r="PUX53" s="76"/>
      <c r="PUY53" s="76"/>
      <c r="PUZ53" s="76"/>
      <c r="PVA53" s="76"/>
      <c r="PVB53" s="76"/>
      <c r="PVC53" s="76"/>
      <c r="PVD53" s="76"/>
      <c r="PVE53" s="76"/>
      <c r="PVF53" s="76"/>
      <c r="PVG53" s="76"/>
      <c r="PVH53" s="76"/>
      <c r="PVI53" s="76"/>
      <c r="PVJ53" s="76"/>
      <c r="PVK53" s="76"/>
      <c r="PVL53" s="76"/>
      <c r="PVM53" s="76"/>
      <c r="PVN53" s="76"/>
      <c r="PVO53" s="76"/>
      <c r="PVP53" s="76"/>
      <c r="PVQ53" s="76"/>
      <c r="PVR53" s="76"/>
      <c r="PVS53" s="76"/>
      <c r="PVT53" s="76"/>
      <c r="PVU53" s="76"/>
      <c r="PVV53" s="76"/>
      <c r="PVW53" s="76"/>
      <c r="PVX53" s="76"/>
      <c r="PVY53" s="76"/>
      <c r="PVZ53" s="76"/>
      <c r="PWA53" s="76"/>
      <c r="PWB53" s="76"/>
      <c r="PWC53" s="76"/>
      <c r="PWD53" s="76"/>
      <c r="PWE53" s="76"/>
      <c r="PWF53" s="76"/>
      <c r="PWG53" s="76"/>
      <c r="PWH53" s="76"/>
      <c r="PWI53" s="76"/>
      <c r="PWJ53" s="76"/>
      <c r="PWK53" s="76"/>
      <c r="PWL53" s="76"/>
      <c r="PWM53" s="76"/>
      <c r="PWN53" s="76"/>
      <c r="PWO53" s="76"/>
      <c r="PWP53" s="76"/>
      <c r="PWQ53" s="76"/>
      <c r="PWR53" s="76"/>
      <c r="PWS53" s="76"/>
      <c r="PWT53" s="76"/>
      <c r="PWU53" s="76"/>
      <c r="PWV53" s="76"/>
      <c r="PWW53" s="76"/>
      <c r="PWX53" s="76"/>
      <c r="PWY53" s="76"/>
      <c r="PWZ53" s="76"/>
      <c r="PXA53" s="76"/>
      <c r="PXB53" s="76"/>
      <c r="PXC53" s="76"/>
      <c r="PXD53" s="76"/>
      <c r="PXE53" s="76"/>
      <c r="PXF53" s="76"/>
      <c r="PXG53" s="76"/>
      <c r="PXH53" s="76"/>
      <c r="PXI53" s="76"/>
      <c r="PXJ53" s="76"/>
      <c r="PXK53" s="76"/>
      <c r="PXL53" s="76"/>
      <c r="PXM53" s="76"/>
      <c r="PXN53" s="76"/>
      <c r="PXO53" s="76"/>
      <c r="PXP53" s="76"/>
      <c r="PXQ53" s="76"/>
      <c r="PXR53" s="76"/>
      <c r="PXS53" s="76"/>
      <c r="PXT53" s="76"/>
      <c r="PXU53" s="76"/>
      <c r="PXV53" s="76"/>
      <c r="PXW53" s="76"/>
      <c r="PXX53" s="76"/>
      <c r="PXY53" s="76"/>
      <c r="PXZ53" s="76"/>
      <c r="PYA53" s="76"/>
      <c r="PYB53" s="76"/>
      <c r="PYC53" s="76"/>
      <c r="PYD53" s="76"/>
      <c r="PYE53" s="76"/>
      <c r="PYF53" s="76"/>
      <c r="PYG53" s="76"/>
      <c r="PYH53" s="76"/>
      <c r="PYI53" s="76"/>
      <c r="PYJ53" s="76"/>
      <c r="PYK53" s="76"/>
      <c r="PYL53" s="76"/>
      <c r="PYM53" s="76"/>
      <c r="PYN53" s="76"/>
      <c r="PYO53" s="76"/>
      <c r="PYP53" s="76"/>
      <c r="PYQ53" s="76"/>
      <c r="PYR53" s="76"/>
      <c r="PYS53" s="76"/>
      <c r="PYT53" s="76"/>
      <c r="PYU53" s="76"/>
      <c r="PYV53" s="76"/>
      <c r="PYW53" s="76"/>
      <c r="PYX53" s="76"/>
      <c r="PYY53" s="76"/>
      <c r="PYZ53" s="76"/>
      <c r="PZA53" s="76"/>
      <c r="PZB53" s="76"/>
      <c r="PZC53" s="76"/>
      <c r="PZD53" s="76"/>
      <c r="PZE53" s="76"/>
      <c r="PZF53" s="76"/>
      <c r="PZG53" s="76"/>
      <c r="PZH53" s="76"/>
      <c r="PZI53" s="76"/>
      <c r="PZJ53" s="76"/>
      <c r="PZK53" s="76"/>
      <c r="PZL53" s="76"/>
      <c r="PZM53" s="76"/>
      <c r="PZN53" s="76"/>
      <c r="PZO53" s="76"/>
      <c r="PZP53" s="76"/>
      <c r="PZQ53" s="76"/>
      <c r="PZR53" s="76"/>
      <c r="PZS53" s="76"/>
      <c r="PZT53" s="76"/>
      <c r="PZU53" s="76"/>
      <c r="PZV53" s="76"/>
      <c r="PZW53" s="76"/>
      <c r="PZX53" s="76"/>
      <c r="PZY53" s="76"/>
      <c r="PZZ53" s="76"/>
      <c r="QAA53" s="76"/>
      <c r="QAB53" s="76"/>
      <c r="QAC53" s="76"/>
      <c r="QAD53" s="76"/>
      <c r="QAE53" s="76"/>
      <c r="QAF53" s="76"/>
      <c r="QAG53" s="76"/>
      <c r="QAH53" s="76"/>
      <c r="QAI53" s="76"/>
      <c r="QAJ53" s="76"/>
      <c r="QAK53" s="76"/>
      <c r="QAL53" s="76"/>
      <c r="QAM53" s="76"/>
      <c r="QAN53" s="76"/>
      <c r="QAO53" s="76"/>
      <c r="QAP53" s="76"/>
      <c r="QAQ53" s="76"/>
      <c r="QAR53" s="76"/>
      <c r="QAS53" s="76"/>
      <c r="QAT53" s="76"/>
      <c r="QAU53" s="76"/>
      <c r="QAV53" s="76"/>
      <c r="QAW53" s="76"/>
      <c r="QAX53" s="76"/>
      <c r="QAY53" s="76"/>
      <c r="QAZ53" s="76"/>
      <c r="QBA53" s="76"/>
      <c r="QBB53" s="76"/>
      <c r="QBC53" s="76"/>
      <c r="QBD53" s="76"/>
      <c r="QBE53" s="76"/>
      <c r="QBF53" s="76"/>
      <c r="QBG53" s="76"/>
      <c r="QBH53" s="76"/>
      <c r="QBI53" s="76"/>
      <c r="QBJ53" s="76"/>
      <c r="QBK53" s="76"/>
      <c r="QBL53" s="76"/>
      <c r="QBM53" s="76"/>
      <c r="QBN53" s="76"/>
      <c r="QBO53" s="76"/>
      <c r="QBP53" s="76"/>
      <c r="QBQ53" s="76"/>
      <c r="QBR53" s="76"/>
      <c r="QBS53" s="76"/>
      <c r="QBT53" s="76"/>
      <c r="QBU53" s="76"/>
      <c r="QBV53" s="76"/>
      <c r="QBW53" s="76"/>
      <c r="QBX53" s="76"/>
      <c r="QBY53" s="76"/>
      <c r="QBZ53" s="76"/>
      <c r="QCA53" s="76"/>
      <c r="QCB53" s="76"/>
      <c r="QCC53" s="76"/>
      <c r="QCD53" s="76"/>
      <c r="QCE53" s="76"/>
      <c r="QCF53" s="76"/>
      <c r="QCG53" s="76"/>
      <c r="QCH53" s="76"/>
      <c r="QCI53" s="76"/>
      <c r="QCJ53" s="76"/>
      <c r="QCK53" s="76"/>
      <c r="QCL53" s="76"/>
      <c r="QCM53" s="76"/>
      <c r="QCN53" s="76"/>
      <c r="QCO53" s="76"/>
      <c r="QCP53" s="76"/>
      <c r="QCQ53" s="76"/>
      <c r="QCR53" s="76"/>
      <c r="QCS53" s="76"/>
      <c r="QCT53" s="76"/>
      <c r="QCU53" s="76"/>
      <c r="QCV53" s="76"/>
      <c r="QCW53" s="76"/>
      <c r="QCX53" s="76"/>
      <c r="QCY53" s="76"/>
      <c r="QCZ53" s="76"/>
      <c r="QDA53" s="76"/>
      <c r="QDB53" s="76"/>
      <c r="QDC53" s="76"/>
      <c r="QDD53" s="76"/>
      <c r="QDE53" s="76"/>
      <c r="QDF53" s="76"/>
      <c r="QDG53" s="76"/>
      <c r="QDH53" s="76"/>
      <c r="QDI53" s="76"/>
      <c r="QDJ53" s="76"/>
      <c r="QDK53" s="76"/>
      <c r="QDL53" s="76"/>
      <c r="QDM53" s="76"/>
      <c r="QDN53" s="76"/>
      <c r="QDO53" s="76"/>
      <c r="QDP53" s="76"/>
      <c r="QDQ53" s="76"/>
      <c r="QDR53" s="76"/>
      <c r="QDS53" s="76"/>
      <c r="QDT53" s="76"/>
      <c r="QDU53" s="76"/>
      <c r="QDV53" s="76"/>
      <c r="QDW53" s="76"/>
      <c r="QDX53" s="76"/>
      <c r="QDY53" s="76"/>
      <c r="QDZ53" s="76"/>
      <c r="QEA53" s="76"/>
      <c r="QEB53" s="76"/>
      <c r="QEC53" s="76"/>
      <c r="QED53" s="76"/>
      <c r="QEE53" s="76"/>
      <c r="QEF53" s="76"/>
      <c r="QEG53" s="76"/>
      <c r="QEH53" s="76"/>
      <c r="QEI53" s="76"/>
      <c r="QEJ53" s="76"/>
      <c r="QEK53" s="76"/>
      <c r="QEL53" s="76"/>
      <c r="QEM53" s="76"/>
      <c r="QEN53" s="76"/>
      <c r="QEO53" s="76"/>
      <c r="QEP53" s="76"/>
      <c r="QEQ53" s="76"/>
      <c r="QER53" s="76"/>
      <c r="QES53" s="76"/>
      <c r="QET53" s="76"/>
      <c r="QEU53" s="76"/>
      <c r="QEV53" s="76"/>
      <c r="QEW53" s="76"/>
      <c r="QEX53" s="76"/>
      <c r="QEY53" s="76"/>
      <c r="QEZ53" s="76"/>
      <c r="QFA53" s="76"/>
      <c r="QFB53" s="76"/>
      <c r="QFC53" s="76"/>
      <c r="QFD53" s="76"/>
      <c r="QFE53" s="76"/>
      <c r="QFF53" s="76"/>
      <c r="QFG53" s="76"/>
      <c r="QFH53" s="76"/>
      <c r="QFI53" s="76"/>
      <c r="QFJ53" s="76"/>
      <c r="QFK53" s="76"/>
      <c r="QFL53" s="76"/>
      <c r="QFM53" s="76"/>
      <c r="QFN53" s="76"/>
      <c r="QFO53" s="76"/>
      <c r="QFP53" s="76"/>
      <c r="QFQ53" s="76"/>
      <c r="QFR53" s="76"/>
      <c r="QFS53" s="76"/>
      <c r="QFT53" s="76"/>
      <c r="QFU53" s="76"/>
      <c r="QFV53" s="76"/>
      <c r="QFW53" s="76"/>
      <c r="QFX53" s="76"/>
      <c r="QFY53" s="76"/>
      <c r="QFZ53" s="76"/>
      <c r="QGA53" s="76"/>
      <c r="QGB53" s="76"/>
      <c r="QGC53" s="76"/>
      <c r="QGD53" s="76"/>
      <c r="QGE53" s="76"/>
      <c r="QGF53" s="76"/>
      <c r="QGG53" s="76"/>
      <c r="QGH53" s="76"/>
      <c r="QGI53" s="76"/>
      <c r="QGJ53" s="76"/>
      <c r="QGK53" s="76"/>
      <c r="QGL53" s="76"/>
      <c r="QGM53" s="76"/>
      <c r="QGN53" s="76"/>
      <c r="QGO53" s="76"/>
      <c r="QGP53" s="76"/>
      <c r="QGQ53" s="76"/>
      <c r="QGR53" s="76"/>
      <c r="QGS53" s="76"/>
      <c r="QGT53" s="76"/>
      <c r="QGU53" s="76"/>
      <c r="QGV53" s="76"/>
      <c r="QGW53" s="76"/>
      <c r="QGX53" s="76"/>
      <c r="QGY53" s="76"/>
      <c r="QGZ53" s="76"/>
      <c r="QHA53" s="76"/>
      <c r="QHB53" s="76"/>
      <c r="QHC53" s="76"/>
      <c r="QHD53" s="76"/>
      <c r="QHE53" s="76"/>
      <c r="QHF53" s="76"/>
      <c r="QHG53" s="76"/>
      <c r="QHH53" s="76"/>
      <c r="QHI53" s="76"/>
      <c r="QHJ53" s="76"/>
      <c r="QHK53" s="76"/>
      <c r="QHL53" s="76"/>
      <c r="QHM53" s="76"/>
      <c r="QHN53" s="76"/>
      <c r="QHO53" s="76"/>
      <c r="QHP53" s="76"/>
      <c r="QHQ53" s="76"/>
      <c r="QHR53" s="76"/>
      <c r="QHS53" s="76"/>
      <c r="QHT53" s="76"/>
      <c r="QHU53" s="76"/>
      <c r="QHV53" s="76"/>
      <c r="QHW53" s="76"/>
      <c r="QHX53" s="76"/>
      <c r="QHY53" s="76"/>
      <c r="QHZ53" s="76"/>
      <c r="QIA53" s="76"/>
      <c r="QIB53" s="76"/>
      <c r="QIC53" s="76"/>
      <c r="QID53" s="76"/>
      <c r="QIE53" s="76"/>
      <c r="QIF53" s="76"/>
      <c r="QIG53" s="76"/>
      <c r="QIH53" s="76"/>
      <c r="QII53" s="76"/>
      <c r="QIJ53" s="76"/>
      <c r="QIK53" s="76"/>
      <c r="QIL53" s="76"/>
      <c r="QIM53" s="76"/>
      <c r="QIN53" s="76"/>
      <c r="QIO53" s="76"/>
      <c r="QIP53" s="76"/>
      <c r="QIQ53" s="76"/>
      <c r="QIR53" s="76"/>
      <c r="QIS53" s="76"/>
      <c r="QIT53" s="76"/>
      <c r="QIU53" s="76"/>
      <c r="QIV53" s="76"/>
      <c r="QIW53" s="76"/>
      <c r="QIX53" s="76"/>
      <c r="QIY53" s="76"/>
      <c r="QIZ53" s="76"/>
      <c r="QJA53" s="76"/>
      <c r="QJB53" s="76"/>
      <c r="QJC53" s="76"/>
      <c r="QJD53" s="76"/>
      <c r="QJE53" s="76"/>
      <c r="QJF53" s="76"/>
      <c r="QJG53" s="76"/>
      <c r="QJH53" s="76"/>
      <c r="QJI53" s="76"/>
      <c r="QJJ53" s="76"/>
      <c r="QJK53" s="76"/>
      <c r="QJL53" s="76"/>
      <c r="QJM53" s="76"/>
      <c r="QJN53" s="76"/>
      <c r="QJO53" s="76"/>
      <c r="QJP53" s="76"/>
      <c r="QJQ53" s="76"/>
      <c r="QJR53" s="76"/>
      <c r="QJS53" s="76"/>
      <c r="QJT53" s="76"/>
      <c r="QJU53" s="76"/>
      <c r="QJV53" s="76"/>
      <c r="QJW53" s="76"/>
      <c r="QJX53" s="76"/>
      <c r="QJY53" s="76"/>
      <c r="QJZ53" s="76"/>
      <c r="QKA53" s="76"/>
      <c r="QKB53" s="76"/>
      <c r="QKC53" s="76"/>
      <c r="QKD53" s="76"/>
      <c r="QKE53" s="76"/>
      <c r="QKF53" s="76"/>
      <c r="QKG53" s="76"/>
      <c r="QKH53" s="76"/>
      <c r="QKI53" s="76"/>
      <c r="QKJ53" s="76"/>
      <c r="QKK53" s="76"/>
      <c r="QKL53" s="76"/>
      <c r="QKM53" s="76"/>
      <c r="QKN53" s="76"/>
      <c r="QKO53" s="76"/>
      <c r="QKP53" s="76"/>
      <c r="QKQ53" s="76"/>
      <c r="QKR53" s="76"/>
      <c r="QKS53" s="76"/>
      <c r="QKT53" s="76"/>
      <c r="QKU53" s="76"/>
      <c r="QKV53" s="76"/>
      <c r="QKW53" s="76"/>
      <c r="QKX53" s="76"/>
      <c r="QKY53" s="76"/>
      <c r="QKZ53" s="76"/>
      <c r="QLA53" s="76"/>
      <c r="QLB53" s="76"/>
      <c r="QLC53" s="76"/>
      <c r="QLD53" s="76"/>
      <c r="QLE53" s="76"/>
      <c r="QLF53" s="76"/>
      <c r="QLG53" s="76"/>
      <c r="QLH53" s="76"/>
      <c r="QLI53" s="76"/>
      <c r="QLJ53" s="76"/>
      <c r="QLK53" s="76"/>
      <c r="QLL53" s="76"/>
      <c r="QLM53" s="76"/>
      <c r="QLN53" s="76"/>
      <c r="QLO53" s="76"/>
      <c r="QLP53" s="76"/>
      <c r="QLQ53" s="76"/>
      <c r="QLR53" s="76"/>
      <c r="QLS53" s="76"/>
      <c r="QLT53" s="76"/>
      <c r="QLU53" s="76"/>
      <c r="QLV53" s="76"/>
      <c r="QLW53" s="76"/>
      <c r="QLX53" s="76"/>
      <c r="QLY53" s="76"/>
      <c r="QLZ53" s="76"/>
      <c r="QMA53" s="76"/>
      <c r="QMB53" s="76"/>
      <c r="QMC53" s="76"/>
      <c r="QMD53" s="76"/>
      <c r="QME53" s="76"/>
      <c r="QMF53" s="76"/>
      <c r="QMG53" s="76"/>
      <c r="QMH53" s="76"/>
      <c r="QMI53" s="76"/>
      <c r="QMJ53" s="76"/>
      <c r="QMK53" s="76"/>
      <c r="QML53" s="76"/>
      <c r="QMM53" s="76"/>
      <c r="QMN53" s="76"/>
      <c r="QMO53" s="76"/>
      <c r="QMP53" s="76"/>
      <c r="QMQ53" s="76"/>
      <c r="QMR53" s="76"/>
      <c r="QMS53" s="76"/>
      <c r="QMT53" s="76"/>
      <c r="QMU53" s="76"/>
      <c r="QMV53" s="76"/>
      <c r="QMW53" s="76"/>
      <c r="QMX53" s="76"/>
      <c r="QMY53" s="76"/>
      <c r="QMZ53" s="76"/>
      <c r="QNA53" s="76"/>
      <c r="QNB53" s="76"/>
      <c r="QNC53" s="76"/>
      <c r="QND53" s="76"/>
      <c r="QNE53" s="76"/>
      <c r="QNF53" s="76"/>
      <c r="QNG53" s="76"/>
      <c r="QNH53" s="76"/>
      <c r="QNI53" s="76"/>
      <c r="QNJ53" s="76"/>
      <c r="QNK53" s="76"/>
      <c r="QNL53" s="76"/>
      <c r="QNM53" s="76"/>
      <c r="QNN53" s="76"/>
      <c r="QNO53" s="76"/>
      <c r="QNP53" s="76"/>
      <c r="QNQ53" s="76"/>
      <c r="QNR53" s="76"/>
      <c r="QNS53" s="76"/>
      <c r="QNT53" s="76"/>
      <c r="QNU53" s="76"/>
      <c r="QNV53" s="76"/>
      <c r="QNW53" s="76"/>
      <c r="QNX53" s="76"/>
      <c r="QNY53" s="76"/>
      <c r="QNZ53" s="76"/>
      <c r="QOA53" s="76"/>
      <c r="QOB53" s="76"/>
      <c r="QOC53" s="76"/>
      <c r="QOD53" s="76"/>
      <c r="QOE53" s="76"/>
      <c r="QOF53" s="76"/>
      <c r="QOG53" s="76"/>
      <c r="QOH53" s="76"/>
      <c r="QOI53" s="76"/>
      <c r="QOJ53" s="76"/>
      <c r="QOK53" s="76"/>
      <c r="QOL53" s="76"/>
      <c r="QOM53" s="76"/>
      <c r="QON53" s="76"/>
      <c r="QOO53" s="76"/>
      <c r="QOP53" s="76"/>
      <c r="QOQ53" s="76"/>
      <c r="QOR53" s="76"/>
      <c r="QOS53" s="76"/>
      <c r="QOT53" s="76"/>
      <c r="QOU53" s="76"/>
      <c r="QOV53" s="76"/>
      <c r="QOW53" s="76"/>
      <c r="QOX53" s="76"/>
      <c r="QOY53" s="76"/>
      <c r="QOZ53" s="76"/>
      <c r="QPA53" s="76"/>
      <c r="QPB53" s="76"/>
      <c r="QPC53" s="76"/>
      <c r="QPD53" s="76"/>
      <c r="QPE53" s="76"/>
      <c r="QPF53" s="76"/>
      <c r="QPG53" s="76"/>
      <c r="QPH53" s="76"/>
      <c r="QPI53" s="76"/>
      <c r="QPJ53" s="76"/>
      <c r="QPK53" s="76"/>
      <c r="QPL53" s="76"/>
      <c r="QPM53" s="76"/>
      <c r="QPN53" s="76"/>
      <c r="QPO53" s="76"/>
      <c r="QPP53" s="76"/>
      <c r="QPQ53" s="76"/>
      <c r="QPR53" s="76"/>
      <c r="QPS53" s="76"/>
      <c r="QPT53" s="76"/>
      <c r="QPU53" s="76"/>
      <c r="QPV53" s="76"/>
      <c r="QPW53" s="76"/>
      <c r="QPX53" s="76"/>
      <c r="QPY53" s="76"/>
      <c r="QPZ53" s="76"/>
      <c r="QQA53" s="76"/>
      <c r="QQB53" s="76"/>
      <c r="QQC53" s="76"/>
      <c r="QQD53" s="76"/>
      <c r="QQE53" s="76"/>
      <c r="QQF53" s="76"/>
      <c r="QQG53" s="76"/>
      <c r="QQH53" s="76"/>
      <c r="QQI53" s="76"/>
      <c r="QQJ53" s="76"/>
      <c r="QQK53" s="76"/>
      <c r="QQL53" s="76"/>
      <c r="QQM53" s="76"/>
      <c r="QQN53" s="76"/>
      <c r="QQO53" s="76"/>
      <c r="QQP53" s="76"/>
      <c r="QQQ53" s="76"/>
      <c r="QQR53" s="76"/>
      <c r="QQS53" s="76"/>
      <c r="QQT53" s="76"/>
      <c r="QQU53" s="76"/>
      <c r="QQV53" s="76"/>
      <c r="QQW53" s="76"/>
      <c r="QQX53" s="76"/>
      <c r="QQY53" s="76"/>
      <c r="QQZ53" s="76"/>
      <c r="QRA53" s="76"/>
      <c r="QRB53" s="76"/>
      <c r="QRC53" s="76"/>
      <c r="QRD53" s="76"/>
      <c r="QRE53" s="76"/>
      <c r="QRF53" s="76"/>
      <c r="QRG53" s="76"/>
      <c r="QRH53" s="76"/>
      <c r="QRI53" s="76"/>
      <c r="QRJ53" s="76"/>
      <c r="QRK53" s="76"/>
      <c r="QRL53" s="76"/>
      <c r="QRM53" s="76"/>
      <c r="QRN53" s="76"/>
      <c r="QRO53" s="76"/>
      <c r="QRP53" s="76"/>
      <c r="QRQ53" s="76"/>
      <c r="QRR53" s="76"/>
      <c r="QRS53" s="76"/>
      <c r="QRT53" s="76"/>
      <c r="QRU53" s="76"/>
      <c r="QRV53" s="76"/>
      <c r="QRW53" s="76"/>
      <c r="QRX53" s="76"/>
      <c r="QRY53" s="76"/>
      <c r="QRZ53" s="76"/>
      <c r="QSA53" s="76"/>
      <c r="QSB53" s="76"/>
      <c r="QSC53" s="76"/>
      <c r="QSD53" s="76"/>
      <c r="QSE53" s="76"/>
      <c r="QSF53" s="76"/>
      <c r="QSG53" s="76"/>
      <c r="QSH53" s="76"/>
      <c r="QSI53" s="76"/>
      <c r="QSJ53" s="76"/>
      <c r="QSK53" s="76"/>
      <c r="QSL53" s="76"/>
      <c r="QSM53" s="76"/>
      <c r="QSN53" s="76"/>
      <c r="QSO53" s="76"/>
      <c r="QSP53" s="76"/>
      <c r="QSQ53" s="76"/>
      <c r="QSR53" s="76"/>
      <c r="QSS53" s="76"/>
      <c r="QST53" s="76"/>
      <c r="QSU53" s="76"/>
      <c r="QSV53" s="76"/>
      <c r="QSW53" s="76"/>
      <c r="QSX53" s="76"/>
      <c r="QSY53" s="76"/>
      <c r="QSZ53" s="76"/>
      <c r="QTA53" s="76"/>
      <c r="QTB53" s="76"/>
      <c r="QTC53" s="76"/>
      <c r="QTD53" s="76"/>
      <c r="QTE53" s="76"/>
      <c r="QTF53" s="76"/>
      <c r="QTG53" s="76"/>
      <c r="QTH53" s="76"/>
      <c r="QTI53" s="76"/>
      <c r="QTJ53" s="76"/>
      <c r="QTK53" s="76"/>
      <c r="QTL53" s="76"/>
      <c r="QTM53" s="76"/>
      <c r="QTN53" s="76"/>
      <c r="QTO53" s="76"/>
      <c r="QTP53" s="76"/>
      <c r="QTQ53" s="76"/>
      <c r="QTR53" s="76"/>
      <c r="QTS53" s="76"/>
      <c r="QTT53" s="76"/>
      <c r="QTU53" s="76"/>
      <c r="QTV53" s="76"/>
      <c r="QTW53" s="76"/>
      <c r="QTX53" s="76"/>
      <c r="QTY53" s="76"/>
      <c r="QTZ53" s="76"/>
      <c r="QUA53" s="76"/>
      <c r="QUB53" s="76"/>
      <c r="QUC53" s="76"/>
      <c r="QUD53" s="76"/>
      <c r="QUE53" s="76"/>
      <c r="QUF53" s="76"/>
      <c r="QUG53" s="76"/>
      <c r="QUH53" s="76"/>
      <c r="QUI53" s="76"/>
      <c r="QUJ53" s="76"/>
      <c r="QUK53" s="76"/>
      <c r="QUL53" s="76"/>
      <c r="QUM53" s="76"/>
      <c r="QUN53" s="76"/>
      <c r="QUO53" s="76"/>
      <c r="QUP53" s="76"/>
      <c r="QUQ53" s="76"/>
      <c r="QUR53" s="76"/>
      <c r="QUS53" s="76"/>
      <c r="QUT53" s="76"/>
      <c r="QUU53" s="76"/>
      <c r="QUV53" s="76"/>
      <c r="QUW53" s="76"/>
      <c r="QUX53" s="76"/>
      <c r="QUY53" s="76"/>
      <c r="QUZ53" s="76"/>
      <c r="QVA53" s="76"/>
      <c r="QVB53" s="76"/>
      <c r="QVC53" s="76"/>
      <c r="QVD53" s="76"/>
      <c r="QVE53" s="76"/>
      <c r="QVF53" s="76"/>
      <c r="QVG53" s="76"/>
      <c r="QVH53" s="76"/>
      <c r="QVI53" s="76"/>
      <c r="QVJ53" s="76"/>
      <c r="QVK53" s="76"/>
      <c r="QVL53" s="76"/>
      <c r="QVM53" s="76"/>
      <c r="QVN53" s="76"/>
      <c r="QVO53" s="76"/>
      <c r="QVP53" s="76"/>
      <c r="QVQ53" s="76"/>
      <c r="QVR53" s="76"/>
      <c r="QVS53" s="76"/>
      <c r="QVT53" s="76"/>
      <c r="QVU53" s="76"/>
      <c r="QVV53" s="76"/>
      <c r="QVW53" s="76"/>
      <c r="QVX53" s="76"/>
      <c r="QVY53" s="76"/>
      <c r="QVZ53" s="76"/>
      <c r="QWA53" s="76"/>
      <c r="QWB53" s="76"/>
      <c r="QWC53" s="76"/>
      <c r="QWD53" s="76"/>
      <c r="QWE53" s="76"/>
      <c r="QWF53" s="76"/>
      <c r="QWG53" s="76"/>
      <c r="QWH53" s="76"/>
      <c r="QWI53" s="76"/>
      <c r="QWJ53" s="76"/>
      <c r="QWK53" s="76"/>
      <c r="QWL53" s="76"/>
      <c r="QWM53" s="76"/>
      <c r="QWN53" s="76"/>
      <c r="QWO53" s="76"/>
      <c r="QWP53" s="76"/>
      <c r="QWQ53" s="76"/>
      <c r="QWR53" s="76"/>
      <c r="QWS53" s="76"/>
      <c r="QWT53" s="76"/>
      <c r="QWU53" s="76"/>
      <c r="QWV53" s="76"/>
      <c r="QWW53" s="76"/>
      <c r="QWX53" s="76"/>
      <c r="QWY53" s="76"/>
      <c r="QWZ53" s="76"/>
      <c r="QXA53" s="76"/>
      <c r="QXB53" s="76"/>
      <c r="QXC53" s="76"/>
      <c r="QXD53" s="76"/>
      <c r="QXE53" s="76"/>
      <c r="QXF53" s="76"/>
      <c r="QXG53" s="76"/>
      <c r="QXH53" s="76"/>
      <c r="QXI53" s="76"/>
      <c r="QXJ53" s="76"/>
      <c r="QXK53" s="76"/>
      <c r="QXL53" s="76"/>
      <c r="QXM53" s="76"/>
      <c r="QXN53" s="76"/>
      <c r="QXO53" s="76"/>
      <c r="QXP53" s="76"/>
      <c r="QXQ53" s="76"/>
      <c r="QXR53" s="76"/>
      <c r="QXS53" s="76"/>
      <c r="QXT53" s="76"/>
      <c r="QXU53" s="76"/>
      <c r="QXV53" s="76"/>
      <c r="QXW53" s="76"/>
      <c r="QXX53" s="76"/>
      <c r="QXY53" s="76"/>
      <c r="QXZ53" s="76"/>
      <c r="QYA53" s="76"/>
      <c r="QYB53" s="76"/>
      <c r="QYC53" s="76"/>
      <c r="QYD53" s="76"/>
      <c r="QYE53" s="76"/>
      <c r="QYF53" s="76"/>
      <c r="QYG53" s="76"/>
      <c r="QYH53" s="76"/>
      <c r="QYI53" s="76"/>
      <c r="QYJ53" s="76"/>
      <c r="QYK53" s="76"/>
      <c r="QYL53" s="76"/>
      <c r="QYM53" s="76"/>
      <c r="QYN53" s="76"/>
      <c r="QYO53" s="76"/>
      <c r="QYP53" s="76"/>
      <c r="QYQ53" s="76"/>
      <c r="QYR53" s="76"/>
      <c r="QYS53" s="76"/>
      <c r="QYT53" s="76"/>
      <c r="QYU53" s="76"/>
      <c r="QYV53" s="76"/>
      <c r="QYW53" s="76"/>
      <c r="QYX53" s="76"/>
      <c r="QYY53" s="76"/>
      <c r="QYZ53" s="76"/>
      <c r="QZA53" s="76"/>
      <c r="QZB53" s="76"/>
      <c r="QZC53" s="76"/>
      <c r="QZD53" s="76"/>
      <c r="QZE53" s="76"/>
      <c r="QZF53" s="76"/>
      <c r="QZG53" s="76"/>
      <c r="QZH53" s="76"/>
      <c r="QZI53" s="76"/>
      <c r="QZJ53" s="76"/>
      <c r="QZK53" s="76"/>
      <c r="QZL53" s="76"/>
      <c r="QZM53" s="76"/>
      <c r="QZN53" s="76"/>
      <c r="QZO53" s="76"/>
      <c r="QZP53" s="76"/>
      <c r="QZQ53" s="76"/>
      <c r="QZR53" s="76"/>
      <c r="QZS53" s="76"/>
      <c r="QZT53" s="76"/>
      <c r="QZU53" s="76"/>
      <c r="QZV53" s="76"/>
      <c r="QZW53" s="76"/>
      <c r="QZX53" s="76"/>
      <c r="QZY53" s="76"/>
      <c r="QZZ53" s="76"/>
      <c r="RAA53" s="76"/>
      <c r="RAB53" s="76"/>
      <c r="RAC53" s="76"/>
      <c r="RAD53" s="76"/>
      <c r="RAE53" s="76"/>
      <c r="RAF53" s="76"/>
      <c r="RAG53" s="76"/>
      <c r="RAH53" s="76"/>
      <c r="RAI53" s="76"/>
      <c r="RAJ53" s="76"/>
      <c r="RAK53" s="76"/>
      <c r="RAL53" s="76"/>
      <c r="RAM53" s="76"/>
      <c r="RAN53" s="76"/>
      <c r="RAO53" s="76"/>
      <c r="RAP53" s="76"/>
      <c r="RAQ53" s="76"/>
      <c r="RAR53" s="76"/>
      <c r="RAS53" s="76"/>
      <c r="RAT53" s="76"/>
      <c r="RAU53" s="76"/>
      <c r="RAV53" s="76"/>
      <c r="RAW53" s="76"/>
      <c r="RAX53" s="76"/>
      <c r="RAY53" s="76"/>
      <c r="RAZ53" s="76"/>
      <c r="RBA53" s="76"/>
      <c r="RBB53" s="76"/>
      <c r="RBC53" s="76"/>
      <c r="RBD53" s="76"/>
      <c r="RBE53" s="76"/>
      <c r="RBF53" s="76"/>
      <c r="RBG53" s="76"/>
      <c r="RBH53" s="76"/>
      <c r="RBI53" s="76"/>
      <c r="RBJ53" s="76"/>
      <c r="RBK53" s="76"/>
      <c r="RBL53" s="76"/>
      <c r="RBM53" s="76"/>
      <c r="RBN53" s="76"/>
      <c r="RBO53" s="76"/>
      <c r="RBP53" s="76"/>
      <c r="RBQ53" s="76"/>
      <c r="RBR53" s="76"/>
      <c r="RBS53" s="76"/>
      <c r="RBT53" s="76"/>
      <c r="RBU53" s="76"/>
      <c r="RBV53" s="76"/>
      <c r="RBW53" s="76"/>
      <c r="RBX53" s="76"/>
      <c r="RBY53" s="76"/>
      <c r="RBZ53" s="76"/>
      <c r="RCA53" s="76"/>
      <c r="RCB53" s="76"/>
      <c r="RCC53" s="76"/>
      <c r="RCD53" s="76"/>
      <c r="RCE53" s="76"/>
      <c r="RCF53" s="76"/>
      <c r="RCG53" s="76"/>
      <c r="RCH53" s="76"/>
      <c r="RCI53" s="76"/>
      <c r="RCJ53" s="76"/>
      <c r="RCK53" s="76"/>
      <c r="RCL53" s="76"/>
      <c r="RCM53" s="76"/>
      <c r="RCN53" s="76"/>
      <c r="RCO53" s="76"/>
      <c r="RCP53" s="76"/>
      <c r="RCQ53" s="76"/>
      <c r="RCR53" s="76"/>
      <c r="RCS53" s="76"/>
      <c r="RCT53" s="76"/>
      <c r="RCU53" s="76"/>
      <c r="RCV53" s="76"/>
      <c r="RCW53" s="76"/>
      <c r="RCX53" s="76"/>
      <c r="RCY53" s="76"/>
      <c r="RCZ53" s="76"/>
      <c r="RDA53" s="76"/>
      <c r="RDB53" s="76"/>
      <c r="RDC53" s="76"/>
      <c r="RDD53" s="76"/>
      <c r="RDE53" s="76"/>
      <c r="RDF53" s="76"/>
      <c r="RDG53" s="76"/>
      <c r="RDH53" s="76"/>
      <c r="RDI53" s="76"/>
      <c r="RDJ53" s="76"/>
      <c r="RDK53" s="76"/>
      <c r="RDL53" s="76"/>
      <c r="RDM53" s="76"/>
      <c r="RDN53" s="76"/>
      <c r="RDO53" s="76"/>
      <c r="RDP53" s="76"/>
      <c r="RDQ53" s="76"/>
      <c r="RDR53" s="76"/>
      <c r="RDS53" s="76"/>
      <c r="RDT53" s="76"/>
      <c r="RDU53" s="76"/>
      <c r="RDV53" s="76"/>
      <c r="RDW53" s="76"/>
      <c r="RDX53" s="76"/>
      <c r="RDY53" s="76"/>
      <c r="RDZ53" s="76"/>
      <c r="REA53" s="76"/>
      <c r="REB53" s="76"/>
      <c r="REC53" s="76"/>
      <c r="RED53" s="76"/>
      <c r="REE53" s="76"/>
      <c r="REF53" s="76"/>
      <c r="REG53" s="76"/>
      <c r="REH53" s="76"/>
      <c r="REI53" s="76"/>
      <c r="REJ53" s="76"/>
      <c r="REK53" s="76"/>
      <c r="REL53" s="76"/>
      <c r="REM53" s="76"/>
      <c r="REN53" s="76"/>
      <c r="REO53" s="76"/>
      <c r="REP53" s="76"/>
      <c r="REQ53" s="76"/>
      <c r="RER53" s="76"/>
      <c r="RES53" s="76"/>
      <c r="RET53" s="76"/>
      <c r="REU53" s="76"/>
      <c r="REV53" s="76"/>
      <c r="REW53" s="76"/>
      <c r="REX53" s="76"/>
      <c r="REY53" s="76"/>
      <c r="REZ53" s="76"/>
      <c r="RFA53" s="76"/>
      <c r="RFB53" s="76"/>
      <c r="RFC53" s="76"/>
      <c r="RFD53" s="76"/>
      <c r="RFE53" s="76"/>
      <c r="RFF53" s="76"/>
      <c r="RFG53" s="76"/>
      <c r="RFH53" s="76"/>
      <c r="RFI53" s="76"/>
      <c r="RFJ53" s="76"/>
      <c r="RFK53" s="76"/>
      <c r="RFL53" s="76"/>
      <c r="RFM53" s="76"/>
      <c r="RFN53" s="76"/>
      <c r="RFO53" s="76"/>
      <c r="RFP53" s="76"/>
      <c r="RFQ53" s="76"/>
      <c r="RFR53" s="76"/>
      <c r="RFS53" s="76"/>
      <c r="RFT53" s="76"/>
      <c r="RFU53" s="76"/>
      <c r="RFV53" s="76"/>
      <c r="RFW53" s="76"/>
      <c r="RFX53" s="76"/>
      <c r="RFY53" s="76"/>
      <c r="RFZ53" s="76"/>
      <c r="RGA53" s="76"/>
      <c r="RGB53" s="76"/>
      <c r="RGC53" s="76"/>
      <c r="RGD53" s="76"/>
      <c r="RGE53" s="76"/>
      <c r="RGF53" s="76"/>
      <c r="RGG53" s="76"/>
      <c r="RGH53" s="76"/>
      <c r="RGI53" s="76"/>
      <c r="RGJ53" s="76"/>
      <c r="RGK53" s="76"/>
      <c r="RGL53" s="76"/>
      <c r="RGM53" s="76"/>
      <c r="RGN53" s="76"/>
      <c r="RGO53" s="76"/>
      <c r="RGP53" s="76"/>
      <c r="RGQ53" s="76"/>
      <c r="RGR53" s="76"/>
      <c r="RGS53" s="76"/>
      <c r="RGT53" s="76"/>
      <c r="RGU53" s="76"/>
      <c r="RGV53" s="76"/>
      <c r="RGW53" s="76"/>
      <c r="RGX53" s="76"/>
      <c r="RGY53" s="76"/>
      <c r="RGZ53" s="76"/>
      <c r="RHA53" s="76"/>
      <c r="RHB53" s="76"/>
      <c r="RHC53" s="76"/>
      <c r="RHD53" s="76"/>
      <c r="RHE53" s="76"/>
      <c r="RHF53" s="76"/>
      <c r="RHG53" s="76"/>
      <c r="RHH53" s="76"/>
      <c r="RHI53" s="76"/>
      <c r="RHJ53" s="76"/>
      <c r="RHK53" s="76"/>
      <c r="RHL53" s="76"/>
      <c r="RHM53" s="76"/>
      <c r="RHN53" s="76"/>
      <c r="RHO53" s="76"/>
      <c r="RHP53" s="76"/>
      <c r="RHQ53" s="76"/>
      <c r="RHR53" s="76"/>
      <c r="RHS53" s="76"/>
      <c r="RHT53" s="76"/>
      <c r="RHU53" s="76"/>
      <c r="RHV53" s="76"/>
      <c r="RHW53" s="76"/>
      <c r="RHX53" s="76"/>
      <c r="RHY53" s="76"/>
      <c r="RHZ53" s="76"/>
      <c r="RIA53" s="76"/>
      <c r="RIB53" s="76"/>
      <c r="RIC53" s="76"/>
      <c r="RID53" s="76"/>
      <c r="RIE53" s="76"/>
      <c r="RIF53" s="76"/>
      <c r="RIG53" s="76"/>
      <c r="RIH53" s="76"/>
      <c r="RII53" s="76"/>
      <c r="RIJ53" s="76"/>
      <c r="RIK53" s="76"/>
      <c r="RIL53" s="76"/>
      <c r="RIM53" s="76"/>
      <c r="RIN53" s="76"/>
      <c r="RIO53" s="76"/>
      <c r="RIP53" s="76"/>
      <c r="RIQ53" s="76"/>
      <c r="RIR53" s="76"/>
      <c r="RIS53" s="76"/>
      <c r="RIT53" s="76"/>
      <c r="RIU53" s="76"/>
      <c r="RIV53" s="76"/>
      <c r="RIW53" s="76"/>
      <c r="RIX53" s="76"/>
      <c r="RIY53" s="76"/>
      <c r="RIZ53" s="76"/>
      <c r="RJA53" s="76"/>
      <c r="RJB53" s="76"/>
      <c r="RJC53" s="76"/>
      <c r="RJD53" s="76"/>
      <c r="RJE53" s="76"/>
      <c r="RJF53" s="76"/>
      <c r="RJG53" s="76"/>
      <c r="RJH53" s="76"/>
      <c r="RJI53" s="76"/>
      <c r="RJJ53" s="76"/>
      <c r="RJK53" s="76"/>
      <c r="RJL53" s="76"/>
      <c r="RJM53" s="76"/>
      <c r="RJN53" s="76"/>
      <c r="RJO53" s="76"/>
      <c r="RJP53" s="76"/>
      <c r="RJQ53" s="76"/>
      <c r="RJR53" s="76"/>
      <c r="RJS53" s="76"/>
      <c r="RJT53" s="76"/>
      <c r="RJU53" s="76"/>
      <c r="RJV53" s="76"/>
      <c r="RJW53" s="76"/>
      <c r="RJX53" s="76"/>
      <c r="RJY53" s="76"/>
      <c r="RJZ53" s="76"/>
      <c r="RKA53" s="76"/>
      <c r="RKB53" s="76"/>
      <c r="RKC53" s="76"/>
      <c r="RKD53" s="76"/>
      <c r="RKE53" s="76"/>
      <c r="RKF53" s="76"/>
      <c r="RKG53" s="76"/>
      <c r="RKH53" s="76"/>
      <c r="RKI53" s="76"/>
      <c r="RKJ53" s="76"/>
      <c r="RKK53" s="76"/>
      <c r="RKL53" s="76"/>
      <c r="RKM53" s="76"/>
      <c r="RKN53" s="76"/>
      <c r="RKO53" s="76"/>
      <c r="RKP53" s="76"/>
      <c r="RKQ53" s="76"/>
      <c r="RKR53" s="76"/>
      <c r="RKS53" s="76"/>
      <c r="RKT53" s="76"/>
      <c r="RKU53" s="76"/>
      <c r="RKV53" s="76"/>
      <c r="RKW53" s="76"/>
      <c r="RKX53" s="76"/>
      <c r="RKY53" s="76"/>
      <c r="RKZ53" s="76"/>
      <c r="RLA53" s="76"/>
      <c r="RLB53" s="76"/>
      <c r="RLC53" s="76"/>
      <c r="RLD53" s="76"/>
      <c r="RLE53" s="76"/>
      <c r="RLF53" s="76"/>
      <c r="RLG53" s="76"/>
      <c r="RLH53" s="76"/>
      <c r="RLI53" s="76"/>
      <c r="RLJ53" s="76"/>
      <c r="RLK53" s="76"/>
      <c r="RLL53" s="76"/>
      <c r="RLM53" s="76"/>
      <c r="RLN53" s="76"/>
      <c r="RLO53" s="76"/>
      <c r="RLP53" s="76"/>
      <c r="RLQ53" s="76"/>
      <c r="RLR53" s="76"/>
      <c r="RLS53" s="76"/>
      <c r="RLT53" s="76"/>
      <c r="RLU53" s="76"/>
      <c r="RLV53" s="76"/>
      <c r="RLW53" s="76"/>
      <c r="RLX53" s="76"/>
      <c r="RLY53" s="76"/>
      <c r="RLZ53" s="76"/>
      <c r="RMA53" s="76"/>
      <c r="RMB53" s="76"/>
      <c r="RMC53" s="76"/>
      <c r="RMD53" s="76"/>
      <c r="RME53" s="76"/>
      <c r="RMF53" s="76"/>
      <c r="RMG53" s="76"/>
      <c r="RMH53" s="76"/>
      <c r="RMI53" s="76"/>
      <c r="RMJ53" s="76"/>
      <c r="RMK53" s="76"/>
      <c r="RML53" s="76"/>
      <c r="RMM53" s="76"/>
      <c r="RMN53" s="76"/>
      <c r="RMO53" s="76"/>
      <c r="RMP53" s="76"/>
      <c r="RMQ53" s="76"/>
      <c r="RMR53" s="76"/>
      <c r="RMS53" s="76"/>
      <c r="RMT53" s="76"/>
      <c r="RMU53" s="76"/>
      <c r="RMV53" s="76"/>
      <c r="RMW53" s="76"/>
      <c r="RMX53" s="76"/>
      <c r="RMY53" s="76"/>
      <c r="RMZ53" s="76"/>
      <c r="RNA53" s="76"/>
      <c r="RNB53" s="76"/>
      <c r="RNC53" s="76"/>
      <c r="RND53" s="76"/>
      <c r="RNE53" s="76"/>
      <c r="RNF53" s="76"/>
      <c r="RNG53" s="76"/>
      <c r="RNH53" s="76"/>
      <c r="RNI53" s="76"/>
      <c r="RNJ53" s="76"/>
      <c r="RNK53" s="76"/>
      <c r="RNL53" s="76"/>
      <c r="RNM53" s="76"/>
      <c r="RNN53" s="76"/>
      <c r="RNO53" s="76"/>
      <c r="RNP53" s="76"/>
      <c r="RNQ53" s="76"/>
      <c r="RNR53" s="76"/>
      <c r="RNS53" s="76"/>
      <c r="RNT53" s="76"/>
      <c r="RNU53" s="76"/>
      <c r="RNV53" s="76"/>
      <c r="RNW53" s="76"/>
      <c r="RNX53" s="76"/>
      <c r="RNY53" s="76"/>
      <c r="RNZ53" s="76"/>
      <c r="ROA53" s="76"/>
      <c r="ROB53" s="76"/>
      <c r="ROC53" s="76"/>
      <c r="ROD53" s="76"/>
      <c r="ROE53" s="76"/>
      <c r="ROF53" s="76"/>
      <c r="ROG53" s="76"/>
      <c r="ROH53" s="76"/>
      <c r="ROI53" s="76"/>
      <c r="ROJ53" s="76"/>
      <c r="ROK53" s="76"/>
      <c r="ROL53" s="76"/>
      <c r="ROM53" s="76"/>
      <c r="RON53" s="76"/>
      <c r="ROO53" s="76"/>
      <c r="ROP53" s="76"/>
      <c r="ROQ53" s="76"/>
      <c r="ROR53" s="76"/>
      <c r="ROS53" s="76"/>
      <c r="ROT53" s="76"/>
      <c r="ROU53" s="76"/>
      <c r="ROV53" s="76"/>
      <c r="ROW53" s="76"/>
      <c r="ROX53" s="76"/>
      <c r="ROY53" s="76"/>
      <c r="ROZ53" s="76"/>
      <c r="RPA53" s="76"/>
      <c r="RPB53" s="76"/>
      <c r="RPC53" s="76"/>
      <c r="RPD53" s="76"/>
      <c r="RPE53" s="76"/>
      <c r="RPF53" s="76"/>
      <c r="RPG53" s="76"/>
      <c r="RPH53" s="76"/>
      <c r="RPI53" s="76"/>
      <c r="RPJ53" s="76"/>
      <c r="RPK53" s="76"/>
      <c r="RPL53" s="76"/>
      <c r="RPM53" s="76"/>
      <c r="RPN53" s="76"/>
      <c r="RPO53" s="76"/>
      <c r="RPP53" s="76"/>
      <c r="RPQ53" s="76"/>
      <c r="RPR53" s="76"/>
      <c r="RPS53" s="76"/>
      <c r="RPT53" s="76"/>
      <c r="RPU53" s="76"/>
      <c r="RPV53" s="76"/>
      <c r="RPW53" s="76"/>
      <c r="RPX53" s="76"/>
      <c r="RPY53" s="76"/>
      <c r="RPZ53" s="76"/>
      <c r="RQA53" s="76"/>
      <c r="RQB53" s="76"/>
      <c r="RQC53" s="76"/>
      <c r="RQD53" s="76"/>
      <c r="RQE53" s="76"/>
      <c r="RQF53" s="76"/>
      <c r="RQG53" s="76"/>
      <c r="RQH53" s="76"/>
      <c r="RQI53" s="76"/>
      <c r="RQJ53" s="76"/>
      <c r="RQK53" s="76"/>
      <c r="RQL53" s="76"/>
      <c r="RQM53" s="76"/>
      <c r="RQN53" s="76"/>
      <c r="RQO53" s="76"/>
      <c r="RQP53" s="76"/>
      <c r="RQQ53" s="76"/>
      <c r="RQR53" s="76"/>
      <c r="RQS53" s="76"/>
      <c r="RQT53" s="76"/>
      <c r="RQU53" s="76"/>
      <c r="RQV53" s="76"/>
      <c r="RQW53" s="76"/>
      <c r="RQX53" s="76"/>
      <c r="RQY53" s="76"/>
      <c r="RQZ53" s="76"/>
      <c r="RRA53" s="76"/>
      <c r="RRB53" s="76"/>
      <c r="RRC53" s="76"/>
      <c r="RRD53" s="76"/>
      <c r="RRE53" s="76"/>
      <c r="RRF53" s="76"/>
      <c r="RRG53" s="76"/>
      <c r="RRH53" s="76"/>
      <c r="RRI53" s="76"/>
      <c r="RRJ53" s="76"/>
      <c r="RRK53" s="76"/>
      <c r="RRL53" s="76"/>
      <c r="RRM53" s="76"/>
      <c r="RRN53" s="76"/>
      <c r="RRO53" s="76"/>
      <c r="RRP53" s="76"/>
      <c r="RRQ53" s="76"/>
      <c r="RRR53" s="76"/>
      <c r="RRS53" s="76"/>
      <c r="RRT53" s="76"/>
      <c r="RRU53" s="76"/>
      <c r="RRV53" s="76"/>
      <c r="RRW53" s="76"/>
      <c r="RRX53" s="76"/>
      <c r="RRY53" s="76"/>
      <c r="RRZ53" s="76"/>
      <c r="RSA53" s="76"/>
      <c r="RSB53" s="76"/>
      <c r="RSC53" s="76"/>
      <c r="RSD53" s="76"/>
      <c r="RSE53" s="76"/>
      <c r="RSF53" s="76"/>
      <c r="RSG53" s="76"/>
      <c r="RSH53" s="76"/>
      <c r="RSI53" s="76"/>
      <c r="RSJ53" s="76"/>
      <c r="RSK53" s="76"/>
      <c r="RSL53" s="76"/>
      <c r="RSM53" s="76"/>
      <c r="RSN53" s="76"/>
      <c r="RSO53" s="76"/>
      <c r="RSP53" s="76"/>
      <c r="RSQ53" s="76"/>
      <c r="RSR53" s="76"/>
      <c r="RSS53" s="76"/>
      <c r="RST53" s="76"/>
      <c r="RSU53" s="76"/>
      <c r="RSV53" s="76"/>
      <c r="RSW53" s="76"/>
      <c r="RSX53" s="76"/>
      <c r="RSY53" s="76"/>
      <c r="RSZ53" s="76"/>
      <c r="RTA53" s="76"/>
      <c r="RTB53" s="76"/>
      <c r="RTC53" s="76"/>
      <c r="RTD53" s="76"/>
      <c r="RTE53" s="76"/>
      <c r="RTF53" s="76"/>
      <c r="RTG53" s="76"/>
      <c r="RTH53" s="76"/>
      <c r="RTI53" s="76"/>
      <c r="RTJ53" s="76"/>
      <c r="RTK53" s="76"/>
      <c r="RTL53" s="76"/>
      <c r="RTM53" s="76"/>
      <c r="RTN53" s="76"/>
      <c r="RTO53" s="76"/>
      <c r="RTP53" s="76"/>
      <c r="RTQ53" s="76"/>
      <c r="RTR53" s="76"/>
      <c r="RTS53" s="76"/>
      <c r="RTT53" s="76"/>
      <c r="RTU53" s="76"/>
      <c r="RTV53" s="76"/>
      <c r="RTW53" s="76"/>
      <c r="RTX53" s="76"/>
      <c r="RTY53" s="76"/>
      <c r="RTZ53" s="76"/>
      <c r="RUA53" s="76"/>
      <c r="RUB53" s="76"/>
      <c r="RUC53" s="76"/>
      <c r="RUD53" s="76"/>
      <c r="RUE53" s="76"/>
      <c r="RUF53" s="76"/>
      <c r="RUG53" s="76"/>
      <c r="RUH53" s="76"/>
      <c r="RUI53" s="76"/>
      <c r="RUJ53" s="76"/>
      <c r="RUK53" s="76"/>
      <c r="RUL53" s="76"/>
      <c r="RUM53" s="76"/>
      <c r="RUN53" s="76"/>
      <c r="RUO53" s="76"/>
      <c r="RUP53" s="76"/>
      <c r="RUQ53" s="76"/>
      <c r="RUR53" s="76"/>
      <c r="RUS53" s="76"/>
      <c r="RUT53" s="76"/>
      <c r="RUU53" s="76"/>
      <c r="RUV53" s="76"/>
      <c r="RUW53" s="76"/>
      <c r="RUX53" s="76"/>
      <c r="RUY53" s="76"/>
      <c r="RUZ53" s="76"/>
      <c r="RVA53" s="76"/>
      <c r="RVB53" s="76"/>
      <c r="RVC53" s="76"/>
      <c r="RVD53" s="76"/>
      <c r="RVE53" s="76"/>
      <c r="RVF53" s="76"/>
      <c r="RVG53" s="76"/>
      <c r="RVH53" s="76"/>
      <c r="RVI53" s="76"/>
      <c r="RVJ53" s="76"/>
      <c r="RVK53" s="76"/>
      <c r="RVL53" s="76"/>
      <c r="RVM53" s="76"/>
      <c r="RVN53" s="76"/>
      <c r="RVO53" s="76"/>
      <c r="RVP53" s="76"/>
      <c r="RVQ53" s="76"/>
      <c r="RVR53" s="76"/>
      <c r="RVS53" s="76"/>
      <c r="RVT53" s="76"/>
      <c r="RVU53" s="76"/>
      <c r="RVV53" s="76"/>
      <c r="RVW53" s="76"/>
      <c r="RVX53" s="76"/>
      <c r="RVY53" s="76"/>
      <c r="RVZ53" s="76"/>
      <c r="RWA53" s="76"/>
      <c r="RWB53" s="76"/>
      <c r="RWC53" s="76"/>
      <c r="RWD53" s="76"/>
      <c r="RWE53" s="76"/>
      <c r="RWF53" s="76"/>
      <c r="RWG53" s="76"/>
      <c r="RWH53" s="76"/>
      <c r="RWI53" s="76"/>
      <c r="RWJ53" s="76"/>
      <c r="RWK53" s="76"/>
      <c r="RWL53" s="76"/>
      <c r="RWM53" s="76"/>
      <c r="RWN53" s="76"/>
      <c r="RWO53" s="76"/>
      <c r="RWP53" s="76"/>
      <c r="RWQ53" s="76"/>
      <c r="RWR53" s="76"/>
      <c r="RWS53" s="76"/>
      <c r="RWT53" s="76"/>
      <c r="RWU53" s="76"/>
      <c r="RWV53" s="76"/>
      <c r="RWW53" s="76"/>
      <c r="RWX53" s="76"/>
      <c r="RWY53" s="76"/>
      <c r="RWZ53" s="76"/>
      <c r="RXA53" s="76"/>
      <c r="RXB53" s="76"/>
      <c r="RXC53" s="76"/>
      <c r="RXD53" s="76"/>
      <c r="RXE53" s="76"/>
      <c r="RXF53" s="76"/>
      <c r="RXG53" s="76"/>
      <c r="RXH53" s="76"/>
      <c r="RXI53" s="76"/>
      <c r="RXJ53" s="76"/>
      <c r="RXK53" s="76"/>
      <c r="RXL53" s="76"/>
      <c r="RXM53" s="76"/>
      <c r="RXN53" s="76"/>
      <c r="RXO53" s="76"/>
      <c r="RXP53" s="76"/>
      <c r="RXQ53" s="76"/>
      <c r="RXR53" s="76"/>
      <c r="RXS53" s="76"/>
      <c r="RXT53" s="76"/>
      <c r="RXU53" s="76"/>
      <c r="RXV53" s="76"/>
      <c r="RXW53" s="76"/>
      <c r="RXX53" s="76"/>
      <c r="RXY53" s="76"/>
      <c r="RXZ53" s="76"/>
      <c r="RYA53" s="76"/>
      <c r="RYB53" s="76"/>
      <c r="RYC53" s="76"/>
      <c r="RYD53" s="76"/>
      <c r="RYE53" s="76"/>
      <c r="RYF53" s="76"/>
      <c r="RYG53" s="76"/>
      <c r="RYH53" s="76"/>
      <c r="RYI53" s="76"/>
      <c r="RYJ53" s="76"/>
      <c r="RYK53" s="76"/>
      <c r="RYL53" s="76"/>
      <c r="RYM53" s="76"/>
      <c r="RYN53" s="76"/>
      <c r="RYO53" s="76"/>
      <c r="RYP53" s="76"/>
      <c r="RYQ53" s="76"/>
      <c r="RYR53" s="76"/>
      <c r="RYS53" s="76"/>
      <c r="RYT53" s="76"/>
      <c r="RYU53" s="76"/>
      <c r="RYV53" s="76"/>
      <c r="RYW53" s="76"/>
      <c r="RYX53" s="76"/>
      <c r="RYY53" s="76"/>
      <c r="RYZ53" s="76"/>
      <c r="RZA53" s="76"/>
      <c r="RZB53" s="76"/>
      <c r="RZC53" s="76"/>
      <c r="RZD53" s="76"/>
      <c r="RZE53" s="76"/>
      <c r="RZF53" s="76"/>
      <c r="RZG53" s="76"/>
      <c r="RZH53" s="76"/>
      <c r="RZI53" s="76"/>
      <c r="RZJ53" s="76"/>
      <c r="RZK53" s="76"/>
      <c r="RZL53" s="76"/>
      <c r="RZM53" s="76"/>
      <c r="RZN53" s="76"/>
      <c r="RZO53" s="76"/>
      <c r="RZP53" s="76"/>
      <c r="RZQ53" s="76"/>
      <c r="RZR53" s="76"/>
      <c r="RZS53" s="76"/>
      <c r="RZT53" s="76"/>
      <c r="RZU53" s="76"/>
      <c r="RZV53" s="76"/>
      <c r="RZW53" s="76"/>
      <c r="RZX53" s="76"/>
      <c r="RZY53" s="76"/>
      <c r="RZZ53" s="76"/>
      <c r="SAA53" s="76"/>
      <c r="SAB53" s="76"/>
      <c r="SAC53" s="76"/>
      <c r="SAD53" s="76"/>
      <c r="SAE53" s="76"/>
      <c r="SAF53" s="76"/>
      <c r="SAG53" s="76"/>
      <c r="SAH53" s="76"/>
      <c r="SAI53" s="76"/>
      <c r="SAJ53" s="76"/>
      <c r="SAK53" s="76"/>
      <c r="SAL53" s="76"/>
      <c r="SAM53" s="76"/>
      <c r="SAN53" s="76"/>
      <c r="SAO53" s="76"/>
      <c r="SAP53" s="76"/>
      <c r="SAQ53" s="76"/>
      <c r="SAR53" s="76"/>
      <c r="SAS53" s="76"/>
      <c r="SAT53" s="76"/>
      <c r="SAU53" s="76"/>
      <c r="SAV53" s="76"/>
      <c r="SAW53" s="76"/>
      <c r="SAX53" s="76"/>
      <c r="SAY53" s="76"/>
      <c r="SAZ53" s="76"/>
      <c r="SBA53" s="76"/>
      <c r="SBB53" s="76"/>
      <c r="SBC53" s="76"/>
      <c r="SBD53" s="76"/>
      <c r="SBE53" s="76"/>
      <c r="SBF53" s="76"/>
      <c r="SBG53" s="76"/>
      <c r="SBH53" s="76"/>
      <c r="SBI53" s="76"/>
      <c r="SBJ53" s="76"/>
      <c r="SBK53" s="76"/>
      <c r="SBL53" s="76"/>
      <c r="SBM53" s="76"/>
      <c r="SBN53" s="76"/>
      <c r="SBO53" s="76"/>
      <c r="SBP53" s="76"/>
      <c r="SBQ53" s="76"/>
      <c r="SBR53" s="76"/>
      <c r="SBS53" s="76"/>
      <c r="SBT53" s="76"/>
      <c r="SBU53" s="76"/>
      <c r="SBV53" s="76"/>
      <c r="SBW53" s="76"/>
      <c r="SBX53" s="76"/>
      <c r="SBY53" s="76"/>
      <c r="SBZ53" s="76"/>
      <c r="SCA53" s="76"/>
      <c r="SCB53" s="76"/>
      <c r="SCC53" s="76"/>
      <c r="SCD53" s="76"/>
      <c r="SCE53" s="76"/>
      <c r="SCF53" s="76"/>
      <c r="SCG53" s="76"/>
      <c r="SCH53" s="76"/>
      <c r="SCI53" s="76"/>
      <c r="SCJ53" s="76"/>
      <c r="SCK53" s="76"/>
      <c r="SCL53" s="76"/>
      <c r="SCM53" s="76"/>
      <c r="SCN53" s="76"/>
      <c r="SCO53" s="76"/>
      <c r="SCP53" s="76"/>
      <c r="SCQ53" s="76"/>
      <c r="SCR53" s="76"/>
      <c r="SCS53" s="76"/>
      <c r="SCT53" s="76"/>
      <c r="SCU53" s="76"/>
      <c r="SCV53" s="76"/>
      <c r="SCW53" s="76"/>
      <c r="SCX53" s="76"/>
      <c r="SCY53" s="76"/>
      <c r="SCZ53" s="76"/>
      <c r="SDA53" s="76"/>
      <c r="SDB53" s="76"/>
      <c r="SDC53" s="76"/>
      <c r="SDD53" s="76"/>
      <c r="SDE53" s="76"/>
      <c r="SDF53" s="76"/>
      <c r="SDG53" s="76"/>
      <c r="SDH53" s="76"/>
      <c r="SDI53" s="76"/>
      <c r="SDJ53" s="76"/>
      <c r="SDK53" s="76"/>
      <c r="SDL53" s="76"/>
      <c r="SDM53" s="76"/>
      <c r="SDN53" s="76"/>
      <c r="SDO53" s="76"/>
      <c r="SDP53" s="76"/>
      <c r="SDQ53" s="76"/>
      <c r="SDR53" s="76"/>
      <c r="SDS53" s="76"/>
      <c r="SDT53" s="76"/>
      <c r="SDU53" s="76"/>
      <c r="SDV53" s="76"/>
      <c r="SDW53" s="76"/>
      <c r="SDX53" s="76"/>
      <c r="SDY53" s="76"/>
      <c r="SDZ53" s="76"/>
      <c r="SEA53" s="76"/>
      <c r="SEB53" s="76"/>
      <c r="SEC53" s="76"/>
      <c r="SED53" s="76"/>
      <c r="SEE53" s="76"/>
      <c r="SEF53" s="76"/>
      <c r="SEG53" s="76"/>
      <c r="SEH53" s="76"/>
      <c r="SEI53" s="76"/>
      <c r="SEJ53" s="76"/>
      <c r="SEK53" s="76"/>
      <c r="SEL53" s="76"/>
      <c r="SEM53" s="76"/>
      <c r="SEN53" s="76"/>
      <c r="SEO53" s="76"/>
      <c r="SEP53" s="76"/>
      <c r="SEQ53" s="76"/>
      <c r="SER53" s="76"/>
      <c r="SES53" s="76"/>
      <c r="SET53" s="76"/>
      <c r="SEU53" s="76"/>
      <c r="SEV53" s="76"/>
      <c r="SEW53" s="76"/>
      <c r="SEX53" s="76"/>
      <c r="SEY53" s="76"/>
      <c r="SEZ53" s="76"/>
      <c r="SFA53" s="76"/>
      <c r="SFB53" s="76"/>
      <c r="SFC53" s="76"/>
      <c r="SFD53" s="76"/>
      <c r="SFE53" s="76"/>
      <c r="SFF53" s="76"/>
      <c r="SFG53" s="76"/>
      <c r="SFH53" s="76"/>
      <c r="SFI53" s="76"/>
      <c r="SFJ53" s="76"/>
      <c r="SFK53" s="76"/>
      <c r="SFL53" s="76"/>
      <c r="SFM53" s="76"/>
      <c r="SFN53" s="76"/>
      <c r="SFO53" s="76"/>
      <c r="SFP53" s="76"/>
      <c r="SFQ53" s="76"/>
      <c r="SFR53" s="76"/>
      <c r="SFS53" s="76"/>
      <c r="SFT53" s="76"/>
      <c r="SFU53" s="76"/>
      <c r="SFV53" s="76"/>
      <c r="SFW53" s="76"/>
      <c r="SFX53" s="76"/>
      <c r="SFY53" s="76"/>
      <c r="SFZ53" s="76"/>
      <c r="SGA53" s="76"/>
      <c r="SGB53" s="76"/>
      <c r="SGC53" s="76"/>
      <c r="SGD53" s="76"/>
      <c r="SGE53" s="76"/>
      <c r="SGF53" s="76"/>
      <c r="SGG53" s="76"/>
      <c r="SGH53" s="76"/>
      <c r="SGI53" s="76"/>
      <c r="SGJ53" s="76"/>
      <c r="SGK53" s="76"/>
      <c r="SGL53" s="76"/>
      <c r="SGM53" s="76"/>
      <c r="SGN53" s="76"/>
      <c r="SGO53" s="76"/>
      <c r="SGP53" s="76"/>
      <c r="SGQ53" s="76"/>
      <c r="SGR53" s="76"/>
      <c r="SGS53" s="76"/>
      <c r="SGT53" s="76"/>
      <c r="SGU53" s="76"/>
      <c r="SGV53" s="76"/>
      <c r="SGW53" s="76"/>
      <c r="SGX53" s="76"/>
      <c r="SGY53" s="76"/>
      <c r="SGZ53" s="76"/>
      <c r="SHA53" s="76"/>
      <c r="SHB53" s="76"/>
      <c r="SHC53" s="76"/>
      <c r="SHD53" s="76"/>
      <c r="SHE53" s="76"/>
      <c r="SHF53" s="76"/>
      <c r="SHG53" s="76"/>
      <c r="SHH53" s="76"/>
      <c r="SHI53" s="76"/>
      <c r="SHJ53" s="76"/>
      <c r="SHK53" s="76"/>
      <c r="SHL53" s="76"/>
      <c r="SHM53" s="76"/>
      <c r="SHN53" s="76"/>
      <c r="SHO53" s="76"/>
      <c r="SHP53" s="76"/>
      <c r="SHQ53" s="76"/>
      <c r="SHR53" s="76"/>
      <c r="SHS53" s="76"/>
      <c r="SHT53" s="76"/>
      <c r="SHU53" s="76"/>
      <c r="SHV53" s="76"/>
      <c r="SHW53" s="76"/>
      <c r="SHX53" s="76"/>
      <c r="SHY53" s="76"/>
      <c r="SHZ53" s="76"/>
      <c r="SIA53" s="76"/>
      <c r="SIB53" s="76"/>
      <c r="SIC53" s="76"/>
      <c r="SID53" s="76"/>
      <c r="SIE53" s="76"/>
      <c r="SIF53" s="76"/>
      <c r="SIG53" s="76"/>
      <c r="SIH53" s="76"/>
      <c r="SII53" s="76"/>
      <c r="SIJ53" s="76"/>
      <c r="SIK53" s="76"/>
      <c r="SIL53" s="76"/>
      <c r="SIM53" s="76"/>
      <c r="SIN53" s="76"/>
      <c r="SIO53" s="76"/>
      <c r="SIP53" s="76"/>
      <c r="SIQ53" s="76"/>
      <c r="SIR53" s="76"/>
      <c r="SIS53" s="76"/>
      <c r="SIT53" s="76"/>
      <c r="SIU53" s="76"/>
      <c r="SIV53" s="76"/>
      <c r="SIW53" s="76"/>
      <c r="SIX53" s="76"/>
      <c r="SIY53" s="76"/>
      <c r="SIZ53" s="76"/>
      <c r="SJA53" s="76"/>
      <c r="SJB53" s="76"/>
      <c r="SJC53" s="76"/>
      <c r="SJD53" s="76"/>
      <c r="SJE53" s="76"/>
      <c r="SJF53" s="76"/>
      <c r="SJG53" s="76"/>
      <c r="SJH53" s="76"/>
      <c r="SJI53" s="76"/>
      <c r="SJJ53" s="76"/>
      <c r="SJK53" s="76"/>
      <c r="SJL53" s="76"/>
      <c r="SJM53" s="76"/>
      <c r="SJN53" s="76"/>
      <c r="SJO53" s="76"/>
      <c r="SJP53" s="76"/>
      <c r="SJQ53" s="76"/>
      <c r="SJR53" s="76"/>
      <c r="SJS53" s="76"/>
      <c r="SJT53" s="76"/>
      <c r="SJU53" s="76"/>
      <c r="SJV53" s="76"/>
      <c r="SJW53" s="76"/>
      <c r="SJX53" s="76"/>
      <c r="SJY53" s="76"/>
      <c r="SJZ53" s="76"/>
      <c r="SKA53" s="76"/>
      <c r="SKB53" s="76"/>
      <c r="SKC53" s="76"/>
      <c r="SKD53" s="76"/>
      <c r="SKE53" s="76"/>
      <c r="SKF53" s="76"/>
      <c r="SKG53" s="76"/>
      <c r="SKH53" s="76"/>
      <c r="SKI53" s="76"/>
      <c r="SKJ53" s="76"/>
      <c r="SKK53" s="76"/>
      <c r="SKL53" s="76"/>
      <c r="SKM53" s="76"/>
      <c r="SKN53" s="76"/>
      <c r="SKO53" s="76"/>
      <c r="SKP53" s="76"/>
      <c r="SKQ53" s="76"/>
      <c r="SKR53" s="76"/>
      <c r="SKS53" s="76"/>
      <c r="SKT53" s="76"/>
      <c r="SKU53" s="76"/>
      <c r="SKV53" s="76"/>
      <c r="SKW53" s="76"/>
      <c r="SKX53" s="76"/>
      <c r="SKY53" s="76"/>
      <c r="SKZ53" s="76"/>
      <c r="SLA53" s="76"/>
      <c r="SLB53" s="76"/>
      <c r="SLC53" s="76"/>
      <c r="SLD53" s="76"/>
      <c r="SLE53" s="76"/>
      <c r="SLF53" s="76"/>
      <c r="SLG53" s="76"/>
      <c r="SLH53" s="76"/>
      <c r="SLI53" s="76"/>
      <c r="SLJ53" s="76"/>
      <c r="SLK53" s="76"/>
      <c r="SLL53" s="76"/>
      <c r="SLM53" s="76"/>
      <c r="SLN53" s="76"/>
      <c r="SLO53" s="76"/>
      <c r="SLP53" s="76"/>
      <c r="SLQ53" s="76"/>
      <c r="SLR53" s="76"/>
      <c r="SLS53" s="76"/>
      <c r="SLT53" s="76"/>
      <c r="SLU53" s="76"/>
      <c r="SLV53" s="76"/>
      <c r="SLW53" s="76"/>
      <c r="SLX53" s="76"/>
      <c r="SLY53" s="76"/>
      <c r="SLZ53" s="76"/>
      <c r="SMA53" s="76"/>
      <c r="SMB53" s="76"/>
      <c r="SMC53" s="76"/>
      <c r="SMD53" s="76"/>
      <c r="SME53" s="76"/>
      <c r="SMF53" s="76"/>
      <c r="SMG53" s="76"/>
      <c r="SMH53" s="76"/>
      <c r="SMI53" s="76"/>
      <c r="SMJ53" s="76"/>
      <c r="SMK53" s="76"/>
      <c r="SML53" s="76"/>
      <c r="SMM53" s="76"/>
      <c r="SMN53" s="76"/>
      <c r="SMO53" s="76"/>
      <c r="SMP53" s="76"/>
      <c r="SMQ53" s="76"/>
      <c r="SMR53" s="76"/>
      <c r="SMS53" s="76"/>
      <c r="SMT53" s="76"/>
      <c r="SMU53" s="76"/>
      <c r="SMV53" s="76"/>
      <c r="SMW53" s="76"/>
      <c r="SMX53" s="76"/>
      <c r="SMY53" s="76"/>
      <c r="SMZ53" s="76"/>
      <c r="SNA53" s="76"/>
      <c r="SNB53" s="76"/>
      <c r="SNC53" s="76"/>
      <c r="SND53" s="76"/>
      <c r="SNE53" s="76"/>
      <c r="SNF53" s="76"/>
      <c r="SNG53" s="76"/>
      <c r="SNH53" s="76"/>
      <c r="SNI53" s="76"/>
      <c r="SNJ53" s="76"/>
      <c r="SNK53" s="76"/>
      <c r="SNL53" s="76"/>
      <c r="SNM53" s="76"/>
      <c r="SNN53" s="76"/>
      <c r="SNO53" s="76"/>
      <c r="SNP53" s="76"/>
      <c r="SNQ53" s="76"/>
      <c r="SNR53" s="76"/>
      <c r="SNS53" s="76"/>
      <c r="SNT53" s="76"/>
      <c r="SNU53" s="76"/>
      <c r="SNV53" s="76"/>
      <c r="SNW53" s="76"/>
      <c r="SNX53" s="76"/>
      <c r="SNY53" s="76"/>
      <c r="SNZ53" s="76"/>
      <c r="SOA53" s="76"/>
      <c r="SOB53" s="76"/>
      <c r="SOC53" s="76"/>
      <c r="SOD53" s="76"/>
      <c r="SOE53" s="76"/>
      <c r="SOF53" s="76"/>
      <c r="SOG53" s="76"/>
      <c r="SOH53" s="76"/>
      <c r="SOI53" s="76"/>
      <c r="SOJ53" s="76"/>
      <c r="SOK53" s="76"/>
      <c r="SOL53" s="76"/>
      <c r="SOM53" s="76"/>
      <c r="SON53" s="76"/>
      <c r="SOO53" s="76"/>
      <c r="SOP53" s="76"/>
      <c r="SOQ53" s="76"/>
      <c r="SOR53" s="76"/>
      <c r="SOS53" s="76"/>
      <c r="SOT53" s="76"/>
      <c r="SOU53" s="76"/>
      <c r="SOV53" s="76"/>
      <c r="SOW53" s="76"/>
      <c r="SOX53" s="76"/>
      <c r="SOY53" s="76"/>
      <c r="SOZ53" s="76"/>
      <c r="SPA53" s="76"/>
      <c r="SPB53" s="76"/>
      <c r="SPC53" s="76"/>
      <c r="SPD53" s="76"/>
      <c r="SPE53" s="76"/>
      <c r="SPF53" s="76"/>
      <c r="SPG53" s="76"/>
      <c r="SPH53" s="76"/>
      <c r="SPI53" s="76"/>
      <c r="SPJ53" s="76"/>
      <c r="SPK53" s="76"/>
      <c r="SPL53" s="76"/>
      <c r="SPM53" s="76"/>
      <c r="SPN53" s="76"/>
      <c r="SPO53" s="76"/>
      <c r="SPP53" s="76"/>
      <c r="SPQ53" s="76"/>
      <c r="SPR53" s="76"/>
      <c r="SPS53" s="76"/>
      <c r="SPT53" s="76"/>
      <c r="SPU53" s="76"/>
      <c r="SPV53" s="76"/>
      <c r="SPW53" s="76"/>
      <c r="SPX53" s="76"/>
      <c r="SPY53" s="76"/>
      <c r="SPZ53" s="76"/>
      <c r="SQA53" s="76"/>
      <c r="SQB53" s="76"/>
      <c r="SQC53" s="76"/>
      <c r="SQD53" s="76"/>
      <c r="SQE53" s="76"/>
      <c r="SQF53" s="76"/>
      <c r="SQG53" s="76"/>
      <c r="SQH53" s="76"/>
      <c r="SQI53" s="76"/>
      <c r="SQJ53" s="76"/>
      <c r="SQK53" s="76"/>
      <c r="SQL53" s="76"/>
      <c r="SQM53" s="76"/>
      <c r="SQN53" s="76"/>
      <c r="SQO53" s="76"/>
      <c r="SQP53" s="76"/>
      <c r="SQQ53" s="76"/>
      <c r="SQR53" s="76"/>
      <c r="SQS53" s="76"/>
      <c r="SQT53" s="76"/>
      <c r="SQU53" s="76"/>
      <c r="SQV53" s="76"/>
      <c r="SQW53" s="76"/>
      <c r="SQX53" s="76"/>
      <c r="SQY53" s="76"/>
      <c r="SQZ53" s="76"/>
      <c r="SRA53" s="76"/>
      <c r="SRB53" s="76"/>
      <c r="SRC53" s="76"/>
      <c r="SRD53" s="76"/>
      <c r="SRE53" s="76"/>
      <c r="SRF53" s="76"/>
      <c r="SRG53" s="76"/>
      <c r="SRH53" s="76"/>
      <c r="SRI53" s="76"/>
      <c r="SRJ53" s="76"/>
      <c r="SRK53" s="76"/>
      <c r="SRL53" s="76"/>
      <c r="SRM53" s="76"/>
      <c r="SRN53" s="76"/>
      <c r="SRO53" s="76"/>
      <c r="SRP53" s="76"/>
      <c r="SRQ53" s="76"/>
      <c r="SRR53" s="76"/>
      <c r="SRS53" s="76"/>
      <c r="SRT53" s="76"/>
      <c r="SRU53" s="76"/>
      <c r="SRV53" s="76"/>
      <c r="SRW53" s="76"/>
      <c r="SRX53" s="76"/>
      <c r="SRY53" s="76"/>
      <c r="SRZ53" s="76"/>
      <c r="SSA53" s="76"/>
      <c r="SSB53" s="76"/>
      <c r="SSC53" s="76"/>
      <c r="SSD53" s="76"/>
      <c r="SSE53" s="76"/>
      <c r="SSF53" s="76"/>
      <c r="SSG53" s="76"/>
      <c r="SSH53" s="76"/>
      <c r="SSI53" s="76"/>
      <c r="SSJ53" s="76"/>
      <c r="SSK53" s="76"/>
      <c r="SSL53" s="76"/>
      <c r="SSM53" s="76"/>
      <c r="SSN53" s="76"/>
      <c r="SSO53" s="76"/>
      <c r="SSP53" s="76"/>
      <c r="SSQ53" s="76"/>
      <c r="SSR53" s="76"/>
      <c r="SSS53" s="76"/>
      <c r="SST53" s="76"/>
      <c r="SSU53" s="76"/>
      <c r="SSV53" s="76"/>
      <c r="SSW53" s="76"/>
      <c r="SSX53" s="76"/>
      <c r="SSY53" s="76"/>
      <c r="SSZ53" s="76"/>
      <c r="STA53" s="76"/>
      <c r="STB53" s="76"/>
      <c r="STC53" s="76"/>
      <c r="STD53" s="76"/>
      <c r="STE53" s="76"/>
      <c r="STF53" s="76"/>
      <c r="STG53" s="76"/>
      <c r="STH53" s="76"/>
      <c r="STI53" s="76"/>
      <c r="STJ53" s="76"/>
      <c r="STK53" s="76"/>
      <c r="STL53" s="76"/>
      <c r="STM53" s="76"/>
      <c r="STN53" s="76"/>
      <c r="STO53" s="76"/>
      <c r="STP53" s="76"/>
      <c r="STQ53" s="76"/>
      <c r="STR53" s="76"/>
      <c r="STS53" s="76"/>
      <c r="STT53" s="76"/>
      <c r="STU53" s="76"/>
      <c r="STV53" s="76"/>
      <c r="STW53" s="76"/>
      <c r="STX53" s="76"/>
      <c r="STY53" s="76"/>
      <c r="STZ53" s="76"/>
      <c r="SUA53" s="76"/>
      <c r="SUB53" s="76"/>
      <c r="SUC53" s="76"/>
      <c r="SUD53" s="76"/>
      <c r="SUE53" s="76"/>
      <c r="SUF53" s="76"/>
      <c r="SUG53" s="76"/>
      <c r="SUH53" s="76"/>
      <c r="SUI53" s="76"/>
      <c r="SUJ53" s="76"/>
      <c r="SUK53" s="76"/>
      <c r="SUL53" s="76"/>
      <c r="SUM53" s="76"/>
      <c r="SUN53" s="76"/>
      <c r="SUO53" s="76"/>
      <c r="SUP53" s="76"/>
      <c r="SUQ53" s="76"/>
      <c r="SUR53" s="76"/>
      <c r="SUS53" s="76"/>
      <c r="SUT53" s="76"/>
      <c r="SUU53" s="76"/>
      <c r="SUV53" s="76"/>
      <c r="SUW53" s="76"/>
      <c r="SUX53" s="76"/>
      <c r="SUY53" s="76"/>
      <c r="SUZ53" s="76"/>
      <c r="SVA53" s="76"/>
      <c r="SVB53" s="76"/>
      <c r="SVC53" s="76"/>
      <c r="SVD53" s="76"/>
      <c r="SVE53" s="76"/>
      <c r="SVF53" s="76"/>
      <c r="SVG53" s="76"/>
      <c r="SVH53" s="76"/>
      <c r="SVI53" s="76"/>
      <c r="SVJ53" s="76"/>
      <c r="SVK53" s="76"/>
      <c r="SVL53" s="76"/>
      <c r="SVM53" s="76"/>
      <c r="SVN53" s="76"/>
      <c r="SVO53" s="76"/>
      <c r="SVP53" s="76"/>
      <c r="SVQ53" s="76"/>
      <c r="SVR53" s="76"/>
      <c r="SVS53" s="76"/>
      <c r="SVT53" s="76"/>
      <c r="SVU53" s="76"/>
      <c r="SVV53" s="76"/>
      <c r="SVW53" s="76"/>
      <c r="SVX53" s="76"/>
      <c r="SVY53" s="76"/>
      <c r="SVZ53" s="76"/>
      <c r="SWA53" s="76"/>
      <c r="SWB53" s="76"/>
      <c r="SWC53" s="76"/>
      <c r="SWD53" s="76"/>
      <c r="SWE53" s="76"/>
      <c r="SWF53" s="76"/>
      <c r="SWG53" s="76"/>
      <c r="SWH53" s="76"/>
      <c r="SWI53" s="76"/>
      <c r="SWJ53" s="76"/>
      <c r="SWK53" s="76"/>
      <c r="SWL53" s="76"/>
      <c r="SWM53" s="76"/>
      <c r="SWN53" s="76"/>
      <c r="SWO53" s="76"/>
      <c r="SWP53" s="76"/>
      <c r="SWQ53" s="76"/>
      <c r="SWR53" s="76"/>
      <c r="SWS53" s="76"/>
      <c r="SWT53" s="76"/>
      <c r="SWU53" s="76"/>
      <c r="SWV53" s="76"/>
      <c r="SWW53" s="76"/>
      <c r="SWX53" s="76"/>
      <c r="SWY53" s="76"/>
      <c r="SWZ53" s="76"/>
      <c r="SXA53" s="76"/>
      <c r="SXB53" s="76"/>
      <c r="SXC53" s="76"/>
      <c r="SXD53" s="76"/>
      <c r="SXE53" s="76"/>
      <c r="SXF53" s="76"/>
      <c r="SXG53" s="76"/>
      <c r="SXH53" s="76"/>
      <c r="SXI53" s="76"/>
      <c r="SXJ53" s="76"/>
      <c r="SXK53" s="76"/>
      <c r="SXL53" s="76"/>
      <c r="SXM53" s="76"/>
      <c r="SXN53" s="76"/>
      <c r="SXO53" s="76"/>
      <c r="SXP53" s="76"/>
      <c r="SXQ53" s="76"/>
      <c r="SXR53" s="76"/>
      <c r="SXS53" s="76"/>
      <c r="SXT53" s="76"/>
      <c r="SXU53" s="76"/>
      <c r="SXV53" s="76"/>
      <c r="SXW53" s="76"/>
      <c r="SXX53" s="76"/>
      <c r="SXY53" s="76"/>
      <c r="SXZ53" s="76"/>
      <c r="SYA53" s="76"/>
      <c r="SYB53" s="76"/>
      <c r="SYC53" s="76"/>
      <c r="SYD53" s="76"/>
      <c r="SYE53" s="76"/>
      <c r="SYF53" s="76"/>
      <c r="SYG53" s="76"/>
      <c r="SYH53" s="76"/>
      <c r="SYI53" s="76"/>
      <c r="SYJ53" s="76"/>
      <c r="SYK53" s="76"/>
      <c r="SYL53" s="76"/>
      <c r="SYM53" s="76"/>
      <c r="SYN53" s="76"/>
      <c r="SYO53" s="76"/>
      <c r="SYP53" s="76"/>
      <c r="SYQ53" s="76"/>
      <c r="SYR53" s="76"/>
      <c r="SYS53" s="76"/>
      <c r="SYT53" s="76"/>
      <c r="SYU53" s="76"/>
      <c r="SYV53" s="76"/>
      <c r="SYW53" s="76"/>
      <c r="SYX53" s="76"/>
      <c r="SYY53" s="76"/>
      <c r="SYZ53" s="76"/>
      <c r="SZA53" s="76"/>
      <c r="SZB53" s="76"/>
      <c r="SZC53" s="76"/>
      <c r="SZD53" s="76"/>
      <c r="SZE53" s="76"/>
      <c r="SZF53" s="76"/>
      <c r="SZG53" s="76"/>
      <c r="SZH53" s="76"/>
      <c r="SZI53" s="76"/>
      <c r="SZJ53" s="76"/>
      <c r="SZK53" s="76"/>
      <c r="SZL53" s="76"/>
      <c r="SZM53" s="76"/>
      <c r="SZN53" s="76"/>
      <c r="SZO53" s="76"/>
      <c r="SZP53" s="76"/>
      <c r="SZQ53" s="76"/>
      <c r="SZR53" s="76"/>
      <c r="SZS53" s="76"/>
      <c r="SZT53" s="76"/>
      <c r="SZU53" s="76"/>
      <c r="SZV53" s="76"/>
      <c r="SZW53" s="76"/>
      <c r="SZX53" s="76"/>
      <c r="SZY53" s="76"/>
      <c r="SZZ53" s="76"/>
      <c r="TAA53" s="76"/>
      <c r="TAB53" s="76"/>
      <c r="TAC53" s="76"/>
      <c r="TAD53" s="76"/>
      <c r="TAE53" s="76"/>
      <c r="TAF53" s="76"/>
      <c r="TAG53" s="76"/>
      <c r="TAH53" s="76"/>
      <c r="TAI53" s="76"/>
      <c r="TAJ53" s="76"/>
      <c r="TAK53" s="76"/>
      <c r="TAL53" s="76"/>
      <c r="TAM53" s="76"/>
      <c r="TAN53" s="76"/>
      <c r="TAO53" s="76"/>
      <c r="TAP53" s="76"/>
      <c r="TAQ53" s="76"/>
      <c r="TAR53" s="76"/>
      <c r="TAS53" s="76"/>
      <c r="TAT53" s="76"/>
      <c r="TAU53" s="76"/>
      <c r="TAV53" s="76"/>
      <c r="TAW53" s="76"/>
      <c r="TAX53" s="76"/>
      <c r="TAY53" s="76"/>
      <c r="TAZ53" s="76"/>
      <c r="TBA53" s="76"/>
      <c r="TBB53" s="76"/>
      <c r="TBC53" s="76"/>
      <c r="TBD53" s="76"/>
      <c r="TBE53" s="76"/>
      <c r="TBF53" s="76"/>
      <c r="TBG53" s="76"/>
      <c r="TBH53" s="76"/>
      <c r="TBI53" s="76"/>
      <c r="TBJ53" s="76"/>
      <c r="TBK53" s="76"/>
      <c r="TBL53" s="76"/>
      <c r="TBM53" s="76"/>
      <c r="TBN53" s="76"/>
      <c r="TBO53" s="76"/>
      <c r="TBP53" s="76"/>
      <c r="TBQ53" s="76"/>
      <c r="TBR53" s="76"/>
      <c r="TBS53" s="76"/>
      <c r="TBT53" s="76"/>
      <c r="TBU53" s="76"/>
      <c r="TBV53" s="76"/>
      <c r="TBW53" s="76"/>
      <c r="TBX53" s="76"/>
      <c r="TBY53" s="76"/>
      <c r="TBZ53" s="76"/>
      <c r="TCA53" s="76"/>
      <c r="TCB53" s="76"/>
      <c r="TCC53" s="76"/>
      <c r="TCD53" s="76"/>
      <c r="TCE53" s="76"/>
      <c r="TCF53" s="76"/>
      <c r="TCG53" s="76"/>
      <c r="TCH53" s="76"/>
      <c r="TCI53" s="76"/>
      <c r="TCJ53" s="76"/>
      <c r="TCK53" s="76"/>
      <c r="TCL53" s="76"/>
      <c r="TCM53" s="76"/>
      <c r="TCN53" s="76"/>
      <c r="TCO53" s="76"/>
      <c r="TCP53" s="76"/>
      <c r="TCQ53" s="76"/>
      <c r="TCR53" s="76"/>
      <c r="TCS53" s="76"/>
      <c r="TCT53" s="76"/>
      <c r="TCU53" s="76"/>
      <c r="TCV53" s="76"/>
      <c r="TCW53" s="76"/>
      <c r="TCX53" s="76"/>
      <c r="TCY53" s="76"/>
      <c r="TCZ53" s="76"/>
      <c r="TDA53" s="76"/>
      <c r="TDB53" s="76"/>
      <c r="TDC53" s="76"/>
      <c r="TDD53" s="76"/>
      <c r="TDE53" s="76"/>
      <c r="TDF53" s="76"/>
      <c r="TDG53" s="76"/>
      <c r="TDH53" s="76"/>
      <c r="TDI53" s="76"/>
      <c r="TDJ53" s="76"/>
      <c r="TDK53" s="76"/>
      <c r="TDL53" s="76"/>
      <c r="TDM53" s="76"/>
      <c r="TDN53" s="76"/>
      <c r="TDO53" s="76"/>
      <c r="TDP53" s="76"/>
      <c r="TDQ53" s="76"/>
      <c r="TDR53" s="76"/>
      <c r="TDS53" s="76"/>
      <c r="TDT53" s="76"/>
      <c r="TDU53" s="76"/>
      <c r="TDV53" s="76"/>
      <c r="TDW53" s="76"/>
      <c r="TDX53" s="76"/>
      <c r="TDY53" s="76"/>
      <c r="TDZ53" s="76"/>
      <c r="TEA53" s="76"/>
      <c r="TEB53" s="76"/>
      <c r="TEC53" s="76"/>
      <c r="TED53" s="76"/>
      <c r="TEE53" s="76"/>
      <c r="TEF53" s="76"/>
      <c r="TEG53" s="76"/>
      <c r="TEH53" s="76"/>
      <c r="TEI53" s="76"/>
      <c r="TEJ53" s="76"/>
      <c r="TEK53" s="76"/>
      <c r="TEL53" s="76"/>
      <c r="TEM53" s="76"/>
      <c r="TEN53" s="76"/>
      <c r="TEO53" s="76"/>
      <c r="TEP53" s="76"/>
      <c r="TEQ53" s="76"/>
      <c r="TER53" s="76"/>
      <c r="TES53" s="76"/>
      <c r="TET53" s="76"/>
      <c r="TEU53" s="76"/>
      <c r="TEV53" s="76"/>
      <c r="TEW53" s="76"/>
      <c r="TEX53" s="76"/>
      <c r="TEY53" s="76"/>
      <c r="TEZ53" s="76"/>
      <c r="TFA53" s="76"/>
      <c r="TFB53" s="76"/>
      <c r="TFC53" s="76"/>
      <c r="TFD53" s="76"/>
      <c r="TFE53" s="76"/>
      <c r="TFF53" s="76"/>
      <c r="TFG53" s="76"/>
      <c r="TFH53" s="76"/>
      <c r="TFI53" s="76"/>
      <c r="TFJ53" s="76"/>
      <c r="TFK53" s="76"/>
      <c r="TFL53" s="76"/>
      <c r="TFM53" s="76"/>
      <c r="TFN53" s="76"/>
      <c r="TFO53" s="76"/>
      <c r="TFP53" s="76"/>
      <c r="TFQ53" s="76"/>
      <c r="TFR53" s="76"/>
      <c r="TFS53" s="76"/>
      <c r="TFT53" s="76"/>
      <c r="TFU53" s="76"/>
      <c r="TFV53" s="76"/>
      <c r="TFW53" s="76"/>
      <c r="TFX53" s="76"/>
      <c r="TFY53" s="76"/>
      <c r="TFZ53" s="76"/>
      <c r="TGA53" s="76"/>
      <c r="TGB53" s="76"/>
      <c r="TGC53" s="76"/>
      <c r="TGD53" s="76"/>
      <c r="TGE53" s="76"/>
      <c r="TGF53" s="76"/>
      <c r="TGG53" s="76"/>
      <c r="TGH53" s="76"/>
      <c r="TGI53" s="76"/>
      <c r="TGJ53" s="76"/>
      <c r="TGK53" s="76"/>
      <c r="TGL53" s="76"/>
      <c r="TGM53" s="76"/>
      <c r="TGN53" s="76"/>
      <c r="TGO53" s="76"/>
      <c r="TGP53" s="76"/>
      <c r="TGQ53" s="76"/>
      <c r="TGR53" s="76"/>
      <c r="TGS53" s="76"/>
      <c r="TGT53" s="76"/>
      <c r="TGU53" s="76"/>
      <c r="TGV53" s="76"/>
      <c r="TGW53" s="76"/>
      <c r="TGX53" s="76"/>
      <c r="TGY53" s="76"/>
      <c r="TGZ53" s="76"/>
      <c r="THA53" s="76"/>
      <c r="THB53" s="76"/>
      <c r="THC53" s="76"/>
      <c r="THD53" s="76"/>
      <c r="THE53" s="76"/>
      <c r="THF53" s="76"/>
      <c r="THG53" s="76"/>
      <c r="THH53" s="76"/>
      <c r="THI53" s="76"/>
      <c r="THJ53" s="76"/>
      <c r="THK53" s="76"/>
      <c r="THL53" s="76"/>
      <c r="THM53" s="76"/>
      <c r="THN53" s="76"/>
      <c r="THO53" s="76"/>
      <c r="THP53" s="76"/>
      <c r="THQ53" s="76"/>
      <c r="THR53" s="76"/>
      <c r="THS53" s="76"/>
      <c r="THT53" s="76"/>
      <c r="THU53" s="76"/>
      <c r="THV53" s="76"/>
      <c r="THW53" s="76"/>
      <c r="THX53" s="76"/>
      <c r="THY53" s="76"/>
      <c r="THZ53" s="76"/>
      <c r="TIA53" s="76"/>
      <c r="TIB53" s="76"/>
      <c r="TIC53" s="76"/>
      <c r="TID53" s="76"/>
      <c r="TIE53" s="76"/>
      <c r="TIF53" s="76"/>
      <c r="TIG53" s="76"/>
      <c r="TIH53" s="76"/>
      <c r="TII53" s="76"/>
      <c r="TIJ53" s="76"/>
      <c r="TIK53" s="76"/>
      <c r="TIL53" s="76"/>
      <c r="TIM53" s="76"/>
      <c r="TIN53" s="76"/>
      <c r="TIO53" s="76"/>
      <c r="TIP53" s="76"/>
      <c r="TIQ53" s="76"/>
      <c r="TIR53" s="76"/>
      <c r="TIS53" s="76"/>
      <c r="TIT53" s="76"/>
      <c r="TIU53" s="76"/>
      <c r="TIV53" s="76"/>
      <c r="TIW53" s="76"/>
      <c r="TIX53" s="76"/>
      <c r="TIY53" s="76"/>
      <c r="TIZ53" s="76"/>
      <c r="TJA53" s="76"/>
      <c r="TJB53" s="76"/>
      <c r="TJC53" s="76"/>
      <c r="TJD53" s="76"/>
      <c r="TJE53" s="76"/>
      <c r="TJF53" s="76"/>
      <c r="TJG53" s="76"/>
      <c r="TJH53" s="76"/>
      <c r="TJI53" s="76"/>
      <c r="TJJ53" s="76"/>
      <c r="TJK53" s="76"/>
      <c r="TJL53" s="76"/>
      <c r="TJM53" s="76"/>
      <c r="TJN53" s="76"/>
      <c r="TJO53" s="76"/>
      <c r="TJP53" s="76"/>
      <c r="TJQ53" s="76"/>
      <c r="TJR53" s="76"/>
      <c r="TJS53" s="76"/>
      <c r="TJT53" s="76"/>
      <c r="TJU53" s="76"/>
      <c r="TJV53" s="76"/>
      <c r="TJW53" s="76"/>
      <c r="TJX53" s="76"/>
      <c r="TJY53" s="76"/>
      <c r="TJZ53" s="76"/>
      <c r="TKA53" s="76"/>
      <c r="TKB53" s="76"/>
      <c r="TKC53" s="76"/>
      <c r="TKD53" s="76"/>
      <c r="TKE53" s="76"/>
      <c r="TKF53" s="76"/>
      <c r="TKG53" s="76"/>
      <c r="TKH53" s="76"/>
      <c r="TKI53" s="76"/>
      <c r="TKJ53" s="76"/>
      <c r="TKK53" s="76"/>
      <c r="TKL53" s="76"/>
      <c r="TKM53" s="76"/>
      <c r="TKN53" s="76"/>
      <c r="TKO53" s="76"/>
      <c r="TKP53" s="76"/>
      <c r="TKQ53" s="76"/>
      <c r="TKR53" s="76"/>
      <c r="TKS53" s="76"/>
      <c r="TKT53" s="76"/>
      <c r="TKU53" s="76"/>
      <c r="TKV53" s="76"/>
      <c r="TKW53" s="76"/>
      <c r="TKX53" s="76"/>
      <c r="TKY53" s="76"/>
      <c r="TKZ53" s="76"/>
      <c r="TLA53" s="76"/>
      <c r="TLB53" s="76"/>
      <c r="TLC53" s="76"/>
      <c r="TLD53" s="76"/>
      <c r="TLE53" s="76"/>
      <c r="TLF53" s="76"/>
      <c r="TLG53" s="76"/>
      <c r="TLH53" s="76"/>
      <c r="TLI53" s="76"/>
      <c r="TLJ53" s="76"/>
      <c r="TLK53" s="76"/>
      <c r="TLL53" s="76"/>
      <c r="TLM53" s="76"/>
      <c r="TLN53" s="76"/>
      <c r="TLO53" s="76"/>
      <c r="TLP53" s="76"/>
      <c r="TLQ53" s="76"/>
      <c r="TLR53" s="76"/>
      <c r="TLS53" s="76"/>
      <c r="TLT53" s="76"/>
      <c r="TLU53" s="76"/>
      <c r="TLV53" s="76"/>
      <c r="TLW53" s="76"/>
      <c r="TLX53" s="76"/>
      <c r="TLY53" s="76"/>
      <c r="TLZ53" s="76"/>
      <c r="TMA53" s="76"/>
      <c r="TMB53" s="76"/>
      <c r="TMC53" s="76"/>
      <c r="TMD53" s="76"/>
      <c r="TME53" s="76"/>
      <c r="TMF53" s="76"/>
      <c r="TMG53" s="76"/>
      <c r="TMH53" s="76"/>
      <c r="TMI53" s="76"/>
      <c r="TMJ53" s="76"/>
      <c r="TMK53" s="76"/>
      <c r="TML53" s="76"/>
      <c r="TMM53" s="76"/>
      <c r="TMN53" s="76"/>
      <c r="TMO53" s="76"/>
      <c r="TMP53" s="76"/>
      <c r="TMQ53" s="76"/>
      <c r="TMR53" s="76"/>
      <c r="TMS53" s="76"/>
      <c r="TMT53" s="76"/>
      <c r="TMU53" s="76"/>
      <c r="TMV53" s="76"/>
      <c r="TMW53" s="76"/>
      <c r="TMX53" s="76"/>
      <c r="TMY53" s="76"/>
      <c r="TMZ53" s="76"/>
      <c r="TNA53" s="76"/>
      <c r="TNB53" s="76"/>
      <c r="TNC53" s="76"/>
      <c r="TND53" s="76"/>
      <c r="TNE53" s="76"/>
      <c r="TNF53" s="76"/>
      <c r="TNG53" s="76"/>
      <c r="TNH53" s="76"/>
      <c r="TNI53" s="76"/>
      <c r="TNJ53" s="76"/>
      <c r="TNK53" s="76"/>
      <c r="TNL53" s="76"/>
      <c r="TNM53" s="76"/>
      <c r="TNN53" s="76"/>
      <c r="TNO53" s="76"/>
      <c r="TNP53" s="76"/>
      <c r="TNQ53" s="76"/>
      <c r="TNR53" s="76"/>
      <c r="TNS53" s="76"/>
      <c r="TNT53" s="76"/>
      <c r="TNU53" s="76"/>
      <c r="TNV53" s="76"/>
      <c r="TNW53" s="76"/>
      <c r="TNX53" s="76"/>
      <c r="TNY53" s="76"/>
      <c r="TNZ53" s="76"/>
      <c r="TOA53" s="76"/>
      <c r="TOB53" s="76"/>
      <c r="TOC53" s="76"/>
      <c r="TOD53" s="76"/>
      <c r="TOE53" s="76"/>
      <c r="TOF53" s="76"/>
      <c r="TOG53" s="76"/>
      <c r="TOH53" s="76"/>
      <c r="TOI53" s="76"/>
      <c r="TOJ53" s="76"/>
      <c r="TOK53" s="76"/>
      <c r="TOL53" s="76"/>
      <c r="TOM53" s="76"/>
      <c r="TON53" s="76"/>
      <c r="TOO53" s="76"/>
      <c r="TOP53" s="76"/>
      <c r="TOQ53" s="76"/>
      <c r="TOR53" s="76"/>
      <c r="TOS53" s="76"/>
      <c r="TOT53" s="76"/>
      <c r="TOU53" s="76"/>
      <c r="TOV53" s="76"/>
      <c r="TOW53" s="76"/>
      <c r="TOX53" s="76"/>
      <c r="TOY53" s="76"/>
      <c r="TOZ53" s="76"/>
      <c r="TPA53" s="76"/>
      <c r="TPB53" s="76"/>
      <c r="TPC53" s="76"/>
      <c r="TPD53" s="76"/>
      <c r="TPE53" s="76"/>
      <c r="TPF53" s="76"/>
      <c r="TPG53" s="76"/>
      <c r="TPH53" s="76"/>
      <c r="TPI53" s="76"/>
      <c r="TPJ53" s="76"/>
      <c r="TPK53" s="76"/>
      <c r="TPL53" s="76"/>
      <c r="TPM53" s="76"/>
      <c r="TPN53" s="76"/>
      <c r="TPO53" s="76"/>
      <c r="TPP53" s="76"/>
      <c r="TPQ53" s="76"/>
      <c r="TPR53" s="76"/>
      <c r="TPS53" s="76"/>
      <c r="TPT53" s="76"/>
      <c r="TPU53" s="76"/>
      <c r="TPV53" s="76"/>
      <c r="TPW53" s="76"/>
      <c r="TPX53" s="76"/>
      <c r="TPY53" s="76"/>
      <c r="TPZ53" s="76"/>
      <c r="TQA53" s="76"/>
      <c r="TQB53" s="76"/>
      <c r="TQC53" s="76"/>
      <c r="TQD53" s="76"/>
      <c r="TQE53" s="76"/>
      <c r="TQF53" s="76"/>
      <c r="TQG53" s="76"/>
      <c r="TQH53" s="76"/>
      <c r="TQI53" s="76"/>
      <c r="TQJ53" s="76"/>
      <c r="TQK53" s="76"/>
      <c r="TQL53" s="76"/>
      <c r="TQM53" s="76"/>
      <c r="TQN53" s="76"/>
      <c r="TQO53" s="76"/>
      <c r="TQP53" s="76"/>
      <c r="TQQ53" s="76"/>
      <c r="TQR53" s="76"/>
      <c r="TQS53" s="76"/>
      <c r="TQT53" s="76"/>
      <c r="TQU53" s="76"/>
      <c r="TQV53" s="76"/>
      <c r="TQW53" s="76"/>
      <c r="TQX53" s="76"/>
      <c r="TQY53" s="76"/>
      <c r="TQZ53" s="76"/>
      <c r="TRA53" s="76"/>
      <c r="TRB53" s="76"/>
      <c r="TRC53" s="76"/>
      <c r="TRD53" s="76"/>
      <c r="TRE53" s="76"/>
      <c r="TRF53" s="76"/>
      <c r="TRG53" s="76"/>
      <c r="TRH53" s="76"/>
      <c r="TRI53" s="76"/>
      <c r="TRJ53" s="76"/>
      <c r="TRK53" s="76"/>
      <c r="TRL53" s="76"/>
      <c r="TRM53" s="76"/>
      <c r="TRN53" s="76"/>
      <c r="TRO53" s="76"/>
      <c r="TRP53" s="76"/>
      <c r="TRQ53" s="76"/>
      <c r="TRR53" s="76"/>
      <c r="TRS53" s="76"/>
      <c r="TRT53" s="76"/>
      <c r="TRU53" s="76"/>
      <c r="TRV53" s="76"/>
      <c r="TRW53" s="76"/>
      <c r="TRX53" s="76"/>
      <c r="TRY53" s="76"/>
      <c r="TRZ53" s="76"/>
      <c r="TSA53" s="76"/>
      <c r="TSB53" s="76"/>
      <c r="TSC53" s="76"/>
      <c r="TSD53" s="76"/>
      <c r="TSE53" s="76"/>
      <c r="TSF53" s="76"/>
      <c r="TSG53" s="76"/>
      <c r="TSH53" s="76"/>
      <c r="TSI53" s="76"/>
      <c r="TSJ53" s="76"/>
      <c r="TSK53" s="76"/>
      <c r="TSL53" s="76"/>
      <c r="TSM53" s="76"/>
      <c r="TSN53" s="76"/>
      <c r="TSO53" s="76"/>
      <c r="TSP53" s="76"/>
      <c r="TSQ53" s="76"/>
      <c r="TSR53" s="76"/>
      <c r="TSS53" s="76"/>
      <c r="TST53" s="76"/>
      <c r="TSU53" s="76"/>
      <c r="TSV53" s="76"/>
      <c r="TSW53" s="76"/>
      <c r="TSX53" s="76"/>
      <c r="TSY53" s="76"/>
      <c r="TSZ53" s="76"/>
      <c r="TTA53" s="76"/>
      <c r="TTB53" s="76"/>
      <c r="TTC53" s="76"/>
      <c r="TTD53" s="76"/>
      <c r="TTE53" s="76"/>
      <c r="TTF53" s="76"/>
      <c r="TTG53" s="76"/>
      <c r="TTH53" s="76"/>
      <c r="TTI53" s="76"/>
      <c r="TTJ53" s="76"/>
      <c r="TTK53" s="76"/>
      <c r="TTL53" s="76"/>
      <c r="TTM53" s="76"/>
      <c r="TTN53" s="76"/>
      <c r="TTO53" s="76"/>
      <c r="TTP53" s="76"/>
      <c r="TTQ53" s="76"/>
      <c r="TTR53" s="76"/>
      <c r="TTS53" s="76"/>
      <c r="TTT53" s="76"/>
      <c r="TTU53" s="76"/>
      <c r="TTV53" s="76"/>
      <c r="TTW53" s="76"/>
      <c r="TTX53" s="76"/>
      <c r="TTY53" s="76"/>
      <c r="TTZ53" s="76"/>
      <c r="TUA53" s="76"/>
      <c r="TUB53" s="76"/>
      <c r="TUC53" s="76"/>
      <c r="TUD53" s="76"/>
      <c r="TUE53" s="76"/>
      <c r="TUF53" s="76"/>
      <c r="TUG53" s="76"/>
      <c r="TUH53" s="76"/>
      <c r="TUI53" s="76"/>
      <c r="TUJ53" s="76"/>
      <c r="TUK53" s="76"/>
      <c r="TUL53" s="76"/>
      <c r="TUM53" s="76"/>
      <c r="TUN53" s="76"/>
      <c r="TUO53" s="76"/>
      <c r="TUP53" s="76"/>
      <c r="TUQ53" s="76"/>
      <c r="TUR53" s="76"/>
      <c r="TUS53" s="76"/>
      <c r="TUT53" s="76"/>
      <c r="TUU53" s="76"/>
      <c r="TUV53" s="76"/>
      <c r="TUW53" s="76"/>
      <c r="TUX53" s="76"/>
      <c r="TUY53" s="76"/>
      <c r="TUZ53" s="76"/>
      <c r="TVA53" s="76"/>
      <c r="TVB53" s="76"/>
      <c r="TVC53" s="76"/>
      <c r="TVD53" s="76"/>
      <c r="TVE53" s="76"/>
      <c r="TVF53" s="76"/>
      <c r="TVG53" s="76"/>
      <c r="TVH53" s="76"/>
      <c r="TVI53" s="76"/>
      <c r="TVJ53" s="76"/>
      <c r="TVK53" s="76"/>
      <c r="TVL53" s="76"/>
      <c r="TVM53" s="76"/>
      <c r="TVN53" s="76"/>
      <c r="TVO53" s="76"/>
      <c r="TVP53" s="76"/>
      <c r="TVQ53" s="76"/>
      <c r="TVR53" s="76"/>
      <c r="TVS53" s="76"/>
      <c r="TVT53" s="76"/>
      <c r="TVU53" s="76"/>
      <c r="TVV53" s="76"/>
      <c r="TVW53" s="76"/>
      <c r="TVX53" s="76"/>
      <c r="TVY53" s="76"/>
      <c r="TVZ53" s="76"/>
      <c r="TWA53" s="76"/>
      <c r="TWB53" s="76"/>
      <c r="TWC53" s="76"/>
      <c r="TWD53" s="76"/>
      <c r="TWE53" s="76"/>
      <c r="TWF53" s="76"/>
      <c r="TWG53" s="76"/>
      <c r="TWH53" s="76"/>
      <c r="TWI53" s="76"/>
      <c r="TWJ53" s="76"/>
      <c r="TWK53" s="76"/>
      <c r="TWL53" s="76"/>
      <c r="TWM53" s="76"/>
      <c r="TWN53" s="76"/>
      <c r="TWO53" s="76"/>
      <c r="TWP53" s="76"/>
      <c r="TWQ53" s="76"/>
      <c r="TWR53" s="76"/>
      <c r="TWS53" s="76"/>
      <c r="TWT53" s="76"/>
      <c r="TWU53" s="76"/>
      <c r="TWV53" s="76"/>
      <c r="TWW53" s="76"/>
      <c r="TWX53" s="76"/>
      <c r="TWY53" s="76"/>
      <c r="TWZ53" s="76"/>
      <c r="TXA53" s="76"/>
      <c r="TXB53" s="76"/>
      <c r="TXC53" s="76"/>
      <c r="TXD53" s="76"/>
      <c r="TXE53" s="76"/>
      <c r="TXF53" s="76"/>
      <c r="TXG53" s="76"/>
      <c r="TXH53" s="76"/>
      <c r="TXI53" s="76"/>
      <c r="TXJ53" s="76"/>
      <c r="TXK53" s="76"/>
      <c r="TXL53" s="76"/>
      <c r="TXM53" s="76"/>
      <c r="TXN53" s="76"/>
      <c r="TXO53" s="76"/>
      <c r="TXP53" s="76"/>
      <c r="TXQ53" s="76"/>
      <c r="TXR53" s="76"/>
      <c r="TXS53" s="76"/>
      <c r="TXT53" s="76"/>
      <c r="TXU53" s="76"/>
      <c r="TXV53" s="76"/>
      <c r="TXW53" s="76"/>
      <c r="TXX53" s="76"/>
      <c r="TXY53" s="76"/>
      <c r="TXZ53" s="76"/>
      <c r="TYA53" s="76"/>
      <c r="TYB53" s="76"/>
      <c r="TYC53" s="76"/>
      <c r="TYD53" s="76"/>
      <c r="TYE53" s="76"/>
      <c r="TYF53" s="76"/>
      <c r="TYG53" s="76"/>
      <c r="TYH53" s="76"/>
      <c r="TYI53" s="76"/>
      <c r="TYJ53" s="76"/>
      <c r="TYK53" s="76"/>
      <c r="TYL53" s="76"/>
      <c r="TYM53" s="76"/>
      <c r="TYN53" s="76"/>
      <c r="TYO53" s="76"/>
      <c r="TYP53" s="76"/>
      <c r="TYQ53" s="76"/>
      <c r="TYR53" s="76"/>
      <c r="TYS53" s="76"/>
      <c r="TYT53" s="76"/>
      <c r="TYU53" s="76"/>
      <c r="TYV53" s="76"/>
      <c r="TYW53" s="76"/>
      <c r="TYX53" s="76"/>
      <c r="TYY53" s="76"/>
      <c r="TYZ53" s="76"/>
      <c r="TZA53" s="76"/>
      <c r="TZB53" s="76"/>
      <c r="TZC53" s="76"/>
      <c r="TZD53" s="76"/>
      <c r="TZE53" s="76"/>
      <c r="TZF53" s="76"/>
      <c r="TZG53" s="76"/>
      <c r="TZH53" s="76"/>
      <c r="TZI53" s="76"/>
      <c r="TZJ53" s="76"/>
      <c r="TZK53" s="76"/>
      <c r="TZL53" s="76"/>
      <c r="TZM53" s="76"/>
      <c r="TZN53" s="76"/>
      <c r="TZO53" s="76"/>
      <c r="TZP53" s="76"/>
      <c r="TZQ53" s="76"/>
      <c r="TZR53" s="76"/>
      <c r="TZS53" s="76"/>
      <c r="TZT53" s="76"/>
      <c r="TZU53" s="76"/>
      <c r="TZV53" s="76"/>
      <c r="TZW53" s="76"/>
      <c r="TZX53" s="76"/>
      <c r="TZY53" s="76"/>
      <c r="TZZ53" s="76"/>
      <c r="UAA53" s="76"/>
      <c r="UAB53" s="76"/>
      <c r="UAC53" s="76"/>
      <c r="UAD53" s="76"/>
      <c r="UAE53" s="76"/>
      <c r="UAF53" s="76"/>
      <c r="UAG53" s="76"/>
      <c r="UAH53" s="76"/>
      <c r="UAI53" s="76"/>
      <c r="UAJ53" s="76"/>
      <c r="UAK53" s="76"/>
      <c r="UAL53" s="76"/>
      <c r="UAM53" s="76"/>
      <c r="UAN53" s="76"/>
      <c r="UAO53" s="76"/>
      <c r="UAP53" s="76"/>
      <c r="UAQ53" s="76"/>
      <c r="UAR53" s="76"/>
      <c r="UAS53" s="76"/>
      <c r="UAT53" s="76"/>
      <c r="UAU53" s="76"/>
      <c r="UAV53" s="76"/>
      <c r="UAW53" s="76"/>
      <c r="UAX53" s="76"/>
      <c r="UAY53" s="76"/>
      <c r="UAZ53" s="76"/>
      <c r="UBA53" s="76"/>
      <c r="UBB53" s="76"/>
      <c r="UBC53" s="76"/>
      <c r="UBD53" s="76"/>
      <c r="UBE53" s="76"/>
      <c r="UBF53" s="76"/>
      <c r="UBG53" s="76"/>
      <c r="UBH53" s="76"/>
      <c r="UBI53" s="76"/>
      <c r="UBJ53" s="76"/>
      <c r="UBK53" s="76"/>
      <c r="UBL53" s="76"/>
      <c r="UBM53" s="76"/>
      <c r="UBN53" s="76"/>
      <c r="UBO53" s="76"/>
      <c r="UBP53" s="76"/>
      <c r="UBQ53" s="76"/>
      <c r="UBR53" s="76"/>
      <c r="UBS53" s="76"/>
      <c r="UBT53" s="76"/>
      <c r="UBU53" s="76"/>
      <c r="UBV53" s="76"/>
      <c r="UBW53" s="76"/>
      <c r="UBX53" s="76"/>
      <c r="UBY53" s="76"/>
      <c r="UBZ53" s="76"/>
      <c r="UCA53" s="76"/>
      <c r="UCB53" s="76"/>
      <c r="UCC53" s="76"/>
      <c r="UCD53" s="76"/>
      <c r="UCE53" s="76"/>
      <c r="UCF53" s="76"/>
      <c r="UCG53" s="76"/>
      <c r="UCH53" s="76"/>
      <c r="UCI53" s="76"/>
      <c r="UCJ53" s="76"/>
      <c r="UCK53" s="76"/>
      <c r="UCL53" s="76"/>
      <c r="UCM53" s="76"/>
      <c r="UCN53" s="76"/>
      <c r="UCO53" s="76"/>
      <c r="UCP53" s="76"/>
      <c r="UCQ53" s="76"/>
      <c r="UCR53" s="76"/>
      <c r="UCS53" s="76"/>
      <c r="UCT53" s="76"/>
      <c r="UCU53" s="76"/>
      <c r="UCV53" s="76"/>
      <c r="UCW53" s="76"/>
      <c r="UCX53" s="76"/>
      <c r="UCY53" s="76"/>
      <c r="UCZ53" s="76"/>
      <c r="UDA53" s="76"/>
      <c r="UDB53" s="76"/>
      <c r="UDC53" s="76"/>
      <c r="UDD53" s="76"/>
      <c r="UDE53" s="76"/>
      <c r="UDF53" s="76"/>
      <c r="UDG53" s="76"/>
      <c r="UDH53" s="76"/>
      <c r="UDI53" s="76"/>
      <c r="UDJ53" s="76"/>
      <c r="UDK53" s="76"/>
      <c r="UDL53" s="76"/>
      <c r="UDM53" s="76"/>
      <c r="UDN53" s="76"/>
      <c r="UDO53" s="76"/>
      <c r="UDP53" s="76"/>
      <c r="UDQ53" s="76"/>
      <c r="UDR53" s="76"/>
      <c r="UDS53" s="76"/>
      <c r="UDT53" s="76"/>
      <c r="UDU53" s="76"/>
      <c r="UDV53" s="76"/>
      <c r="UDW53" s="76"/>
      <c r="UDX53" s="76"/>
      <c r="UDY53" s="76"/>
      <c r="UDZ53" s="76"/>
      <c r="UEA53" s="76"/>
      <c r="UEB53" s="76"/>
      <c r="UEC53" s="76"/>
      <c r="UED53" s="76"/>
      <c r="UEE53" s="76"/>
      <c r="UEF53" s="76"/>
      <c r="UEG53" s="76"/>
      <c r="UEH53" s="76"/>
      <c r="UEI53" s="76"/>
      <c r="UEJ53" s="76"/>
      <c r="UEK53" s="76"/>
      <c r="UEL53" s="76"/>
      <c r="UEM53" s="76"/>
      <c r="UEN53" s="76"/>
      <c r="UEO53" s="76"/>
      <c r="UEP53" s="76"/>
      <c r="UEQ53" s="76"/>
      <c r="UER53" s="76"/>
      <c r="UES53" s="76"/>
      <c r="UET53" s="76"/>
      <c r="UEU53" s="76"/>
      <c r="UEV53" s="76"/>
      <c r="UEW53" s="76"/>
      <c r="UEX53" s="76"/>
      <c r="UEY53" s="76"/>
      <c r="UEZ53" s="76"/>
      <c r="UFA53" s="76"/>
      <c r="UFB53" s="76"/>
      <c r="UFC53" s="76"/>
      <c r="UFD53" s="76"/>
      <c r="UFE53" s="76"/>
      <c r="UFF53" s="76"/>
      <c r="UFG53" s="76"/>
      <c r="UFH53" s="76"/>
      <c r="UFI53" s="76"/>
      <c r="UFJ53" s="76"/>
      <c r="UFK53" s="76"/>
      <c r="UFL53" s="76"/>
      <c r="UFM53" s="76"/>
      <c r="UFN53" s="76"/>
      <c r="UFO53" s="76"/>
      <c r="UFP53" s="76"/>
      <c r="UFQ53" s="76"/>
      <c r="UFR53" s="76"/>
      <c r="UFS53" s="76"/>
      <c r="UFT53" s="76"/>
      <c r="UFU53" s="76"/>
      <c r="UFV53" s="76"/>
      <c r="UFW53" s="76"/>
      <c r="UFX53" s="76"/>
      <c r="UFY53" s="76"/>
      <c r="UFZ53" s="76"/>
      <c r="UGA53" s="76"/>
      <c r="UGB53" s="76"/>
      <c r="UGC53" s="76"/>
      <c r="UGD53" s="76"/>
      <c r="UGE53" s="76"/>
      <c r="UGF53" s="76"/>
      <c r="UGG53" s="76"/>
      <c r="UGH53" s="76"/>
      <c r="UGI53" s="76"/>
      <c r="UGJ53" s="76"/>
      <c r="UGK53" s="76"/>
      <c r="UGL53" s="76"/>
      <c r="UGM53" s="76"/>
      <c r="UGN53" s="76"/>
      <c r="UGO53" s="76"/>
      <c r="UGP53" s="76"/>
      <c r="UGQ53" s="76"/>
      <c r="UGR53" s="76"/>
      <c r="UGS53" s="76"/>
      <c r="UGT53" s="76"/>
      <c r="UGU53" s="76"/>
      <c r="UGV53" s="76"/>
      <c r="UGW53" s="76"/>
      <c r="UGX53" s="76"/>
      <c r="UGY53" s="76"/>
      <c r="UGZ53" s="76"/>
      <c r="UHA53" s="76"/>
      <c r="UHB53" s="76"/>
      <c r="UHC53" s="76"/>
      <c r="UHD53" s="76"/>
      <c r="UHE53" s="76"/>
      <c r="UHF53" s="76"/>
      <c r="UHG53" s="76"/>
      <c r="UHH53" s="76"/>
      <c r="UHI53" s="76"/>
      <c r="UHJ53" s="76"/>
      <c r="UHK53" s="76"/>
      <c r="UHL53" s="76"/>
      <c r="UHM53" s="76"/>
      <c r="UHN53" s="76"/>
      <c r="UHO53" s="76"/>
      <c r="UHP53" s="76"/>
      <c r="UHQ53" s="76"/>
      <c r="UHR53" s="76"/>
      <c r="UHS53" s="76"/>
      <c r="UHT53" s="76"/>
      <c r="UHU53" s="76"/>
      <c r="UHV53" s="76"/>
      <c r="UHW53" s="76"/>
      <c r="UHX53" s="76"/>
      <c r="UHY53" s="76"/>
      <c r="UHZ53" s="76"/>
      <c r="UIA53" s="76"/>
      <c r="UIB53" s="76"/>
      <c r="UIC53" s="76"/>
      <c r="UID53" s="76"/>
      <c r="UIE53" s="76"/>
      <c r="UIF53" s="76"/>
      <c r="UIG53" s="76"/>
      <c r="UIH53" s="76"/>
      <c r="UII53" s="76"/>
      <c r="UIJ53" s="76"/>
      <c r="UIK53" s="76"/>
      <c r="UIL53" s="76"/>
      <c r="UIM53" s="76"/>
      <c r="UIN53" s="76"/>
      <c r="UIO53" s="76"/>
      <c r="UIP53" s="76"/>
      <c r="UIQ53" s="76"/>
      <c r="UIR53" s="76"/>
      <c r="UIS53" s="76"/>
      <c r="UIT53" s="76"/>
      <c r="UIU53" s="76"/>
      <c r="UIV53" s="76"/>
      <c r="UIW53" s="76"/>
      <c r="UIX53" s="76"/>
      <c r="UIY53" s="76"/>
      <c r="UIZ53" s="76"/>
      <c r="UJA53" s="76"/>
      <c r="UJB53" s="76"/>
      <c r="UJC53" s="76"/>
      <c r="UJD53" s="76"/>
      <c r="UJE53" s="76"/>
      <c r="UJF53" s="76"/>
      <c r="UJG53" s="76"/>
      <c r="UJH53" s="76"/>
      <c r="UJI53" s="76"/>
      <c r="UJJ53" s="76"/>
      <c r="UJK53" s="76"/>
      <c r="UJL53" s="76"/>
      <c r="UJM53" s="76"/>
      <c r="UJN53" s="76"/>
      <c r="UJO53" s="76"/>
      <c r="UJP53" s="76"/>
      <c r="UJQ53" s="76"/>
      <c r="UJR53" s="76"/>
      <c r="UJS53" s="76"/>
      <c r="UJT53" s="76"/>
      <c r="UJU53" s="76"/>
      <c r="UJV53" s="76"/>
      <c r="UJW53" s="76"/>
      <c r="UJX53" s="76"/>
      <c r="UJY53" s="76"/>
      <c r="UJZ53" s="76"/>
      <c r="UKA53" s="76"/>
      <c r="UKB53" s="76"/>
      <c r="UKC53" s="76"/>
      <c r="UKD53" s="76"/>
      <c r="UKE53" s="76"/>
      <c r="UKF53" s="76"/>
      <c r="UKG53" s="76"/>
      <c r="UKH53" s="76"/>
      <c r="UKI53" s="76"/>
      <c r="UKJ53" s="76"/>
      <c r="UKK53" s="76"/>
      <c r="UKL53" s="76"/>
      <c r="UKM53" s="76"/>
      <c r="UKN53" s="76"/>
      <c r="UKO53" s="76"/>
      <c r="UKP53" s="76"/>
      <c r="UKQ53" s="76"/>
      <c r="UKR53" s="76"/>
      <c r="UKS53" s="76"/>
      <c r="UKT53" s="76"/>
      <c r="UKU53" s="76"/>
      <c r="UKV53" s="76"/>
      <c r="UKW53" s="76"/>
      <c r="UKX53" s="76"/>
      <c r="UKY53" s="76"/>
      <c r="UKZ53" s="76"/>
      <c r="ULA53" s="76"/>
      <c r="ULB53" s="76"/>
      <c r="ULC53" s="76"/>
      <c r="ULD53" s="76"/>
      <c r="ULE53" s="76"/>
      <c r="ULF53" s="76"/>
      <c r="ULG53" s="76"/>
      <c r="ULH53" s="76"/>
      <c r="ULI53" s="76"/>
      <c r="ULJ53" s="76"/>
      <c r="ULK53" s="76"/>
      <c r="ULL53" s="76"/>
      <c r="ULM53" s="76"/>
      <c r="ULN53" s="76"/>
      <c r="ULO53" s="76"/>
      <c r="ULP53" s="76"/>
      <c r="ULQ53" s="76"/>
      <c r="ULR53" s="76"/>
      <c r="ULS53" s="76"/>
      <c r="ULT53" s="76"/>
      <c r="ULU53" s="76"/>
      <c r="ULV53" s="76"/>
      <c r="ULW53" s="76"/>
      <c r="ULX53" s="76"/>
      <c r="ULY53" s="76"/>
      <c r="ULZ53" s="76"/>
      <c r="UMA53" s="76"/>
      <c r="UMB53" s="76"/>
      <c r="UMC53" s="76"/>
      <c r="UMD53" s="76"/>
      <c r="UME53" s="76"/>
      <c r="UMF53" s="76"/>
      <c r="UMG53" s="76"/>
      <c r="UMH53" s="76"/>
      <c r="UMI53" s="76"/>
      <c r="UMJ53" s="76"/>
      <c r="UMK53" s="76"/>
      <c r="UML53" s="76"/>
      <c r="UMM53" s="76"/>
      <c r="UMN53" s="76"/>
      <c r="UMO53" s="76"/>
      <c r="UMP53" s="76"/>
      <c r="UMQ53" s="76"/>
      <c r="UMR53" s="76"/>
      <c r="UMS53" s="76"/>
      <c r="UMT53" s="76"/>
      <c r="UMU53" s="76"/>
      <c r="UMV53" s="76"/>
      <c r="UMW53" s="76"/>
      <c r="UMX53" s="76"/>
      <c r="UMY53" s="76"/>
      <c r="UMZ53" s="76"/>
      <c r="UNA53" s="76"/>
      <c r="UNB53" s="76"/>
      <c r="UNC53" s="76"/>
      <c r="UND53" s="76"/>
      <c r="UNE53" s="76"/>
      <c r="UNF53" s="76"/>
      <c r="UNG53" s="76"/>
      <c r="UNH53" s="76"/>
      <c r="UNI53" s="76"/>
      <c r="UNJ53" s="76"/>
      <c r="UNK53" s="76"/>
      <c r="UNL53" s="76"/>
      <c r="UNM53" s="76"/>
      <c r="UNN53" s="76"/>
      <c r="UNO53" s="76"/>
      <c r="UNP53" s="76"/>
      <c r="UNQ53" s="76"/>
      <c r="UNR53" s="76"/>
      <c r="UNS53" s="76"/>
      <c r="UNT53" s="76"/>
      <c r="UNU53" s="76"/>
      <c r="UNV53" s="76"/>
      <c r="UNW53" s="76"/>
      <c r="UNX53" s="76"/>
      <c r="UNY53" s="76"/>
      <c r="UNZ53" s="76"/>
      <c r="UOA53" s="76"/>
      <c r="UOB53" s="76"/>
      <c r="UOC53" s="76"/>
      <c r="UOD53" s="76"/>
      <c r="UOE53" s="76"/>
      <c r="UOF53" s="76"/>
      <c r="UOG53" s="76"/>
      <c r="UOH53" s="76"/>
      <c r="UOI53" s="76"/>
      <c r="UOJ53" s="76"/>
      <c r="UOK53" s="76"/>
      <c r="UOL53" s="76"/>
      <c r="UOM53" s="76"/>
      <c r="UON53" s="76"/>
      <c r="UOO53" s="76"/>
      <c r="UOP53" s="76"/>
      <c r="UOQ53" s="76"/>
      <c r="UOR53" s="76"/>
      <c r="UOS53" s="76"/>
      <c r="UOT53" s="76"/>
      <c r="UOU53" s="76"/>
      <c r="UOV53" s="76"/>
      <c r="UOW53" s="76"/>
      <c r="UOX53" s="76"/>
      <c r="UOY53" s="76"/>
      <c r="UOZ53" s="76"/>
      <c r="UPA53" s="76"/>
      <c r="UPB53" s="76"/>
      <c r="UPC53" s="76"/>
      <c r="UPD53" s="76"/>
      <c r="UPE53" s="76"/>
      <c r="UPF53" s="76"/>
      <c r="UPG53" s="76"/>
      <c r="UPH53" s="76"/>
      <c r="UPI53" s="76"/>
      <c r="UPJ53" s="76"/>
      <c r="UPK53" s="76"/>
      <c r="UPL53" s="76"/>
      <c r="UPM53" s="76"/>
      <c r="UPN53" s="76"/>
      <c r="UPO53" s="76"/>
      <c r="UPP53" s="76"/>
      <c r="UPQ53" s="76"/>
      <c r="UPR53" s="76"/>
      <c r="UPS53" s="76"/>
      <c r="UPT53" s="76"/>
      <c r="UPU53" s="76"/>
      <c r="UPV53" s="76"/>
      <c r="UPW53" s="76"/>
      <c r="UPX53" s="76"/>
      <c r="UPY53" s="76"/>
      <c r="UPZ53" s="76"/>
      <c r="UQA53" s="76"/>
      <c r="UQB53" s="76"/>
      <c r="UQC53" s="76"/>
      <c r="UQD53" s="76"/>
      <c r="UQE53" s="76"/>
      <c r="UQF53" s="76"/>
      <c r="UQG53" s="76"/>
      <c r="UQH53" s="76"/>
      <c r="UQI53" s="76"/>
      <c r="UQJ53" s="76"/>
      <c r="UQK53" s="76"/>
      <c r="UQL53" s="76"/>
      <c r="UQM53" s="76"/>
      <c r="UQN53" s="76"/>
      <c r="UQO53" s="76"/>
      <c r="UQP53" s="76"/>
      <c r="UQQ53" s="76"/>
      <c r="UQR53" s="76"/>
      <c r="UQS53" s="76"/>
      <c r="UQT53" s="76"/>
      <c r="UQU53" s="76"/>
      <c r="UQV53" s="76"/>
      <c r="UQW53" s="76"/>
      <c r="UQX53" s="76"/>
      <c r="UQY53" s="76"/>
      <c r="UQZ53" s="76"/>
      <c r="URA53" s="76"/>
      <c r="URB53" s="76"/>
      <c r="URC53" s="76"/>
      <c r="URD53" s="76"/>
      <c r="URE53" s="76"/>
      <c r="URF53" s="76"/>
      <c r="URG53" s="76"/>
      <c r="URH53" s="76"/>
      <c r="URI53" s="76"/>
      <c r="URJ53" s="76"/>
      <c r="URK53" s="76"/>
      <c r="URL53" s="76"/>
      <c r="URM53" s="76"/>
      <c r="URN53" s="76"/>
      <c r="URO53" s="76"/>
      <c r="URP53" s="76"/>
      <c r="URQ53" s="76"/>
      <c r="URR53" s="76"/>
      <c r="URS53" s="76"/>
      <c r="URT53" s="76"/>
      <c r="URU53" s="76"/>
      <c r="URV53" s="76"/>
      <c r="URW53" s="76"/>
      <c r="URX53" s="76"/>
      <c r="URY53" s="76"/>
      <c r="URZ53" s="76"/>
      <c r="USA53" s="76"/>
      <c r="USB53" s="76"/>
      <c r="USC53" s="76"/>
      <c r="USD53" s="76"/>
      <c r="USE53" s="76"/>
      <c r="USF53" s="76"/>
      <c r="USG53" s="76"/>
      <c r="USH53" s="76"/>
      <c r="USI53" s="76"/>
      <c r="USJ53" s="76"/>
      <c r="USK53" s="76"/>
      <c r="USL53" s="76"/>
      <c r="USM53" s="76"/>
      <c r="USN53" s="76"/>
      <c r="USO53" s="76"/>
      <c r="USP53" s="76"/>
      <c r="USQ53" s="76"/>
      <c r="USR53" s="76"/>
      <c r="USS53" s="76"/>
      <c r="UST53" s="76"/>
      <c r="USU53" s="76"/>
      <c r="USV53" s="76"/>
      <c r="USW53" s="76"/>
      <c r="USX53" s="76"/>
      <c r="USY53" s="76"/>
      <c r="USZ53" s="76"/>
      <c r="UTA53" s="76"/>
      <c r="UTB53" s="76"/>
      <c r="UTC53" s="76"/>
      <c r="UTD53" s="76"/>
      <c r="UTE53" s="76"/>
      <c r="UTF53" s="76"/>
      <c r="UTG53" s="76"/>
      <c r="UTH53" s="76"/>
      <c r="UTI53" s="76"/>
      <c r="UTJ53" s="76"/>
      <c r="UTK53" s="76"/>
      <c r="UTL53" s="76"/>
      <c r="UTM53" s="76"/>
      <c r="UTN53" s="76"/>
      <c r="UTO53" s="76"/>
      <c r="UTP53" s="76"/>
      <c r="UTQ53" s="76"/>
      <c r="UTR53" s="76"/>
      <c r="UTS53" s="76"/>
      <c r="UTT53" s="76"/>
      <c r="UTU53" s="76"/>
      <c r="UTV53" s="76"/>
      <c r="UTW53" s="76"/>
      <c r="UTX53" s="76"/>
      <c r="UTY53" s="76"/>
      <c r="UTZ53" s="76"/>
      <c r="UUA53" s="76"/>
      <c r="UUB53" s="76"/>
      <c r="UUC53" s="76"/>
      <c r="UUD53" s="76"/>
      <c r="UUE53" s="76"/>
      <c r="UUF53" s="76"/>
      <c r="UUG53" s="76"/>
      <c r="UUH53" s="76"/>
      <c r="UUI53" s="76"/>
      <c r="UUJ53" s="76"/>
      <c r="UUK53" s="76"/>
      <c r="UUL53" s="76"/>
      <c r="UUM53" s="76"/>
      <c r="UUN53" s="76"/>
      <c r="UUO53" s="76"/>
      <c r="UUP53" s="76"/>
      <c r="UUQ53" s="76"/>
      <c r="UUR53" s="76"/>
      <c r="UUS53" s="76"/>
      <c r="UUT53" s="76"/>
      <c r="UUU53" s="76"/>
      <c r="UUV53" s="76"/>
      <c r="UUW53" s="76"/>
      <c r="UUX53" s="76"/>
      <c r="UUY53" s="76"/>
      <c r="UUZ53" s="76"/>
      <c r="UVA53" s="76"/>
      <c r="UVB53" s="76"/>
      <c r="UVC53" s="76"/>
      <c r="UVD53" s="76"/>
      <c r="UVE53" s="76"/>
      <c r="UVF53" s="76"/>
      <c r="UVG53" s="76"/>
      <c r="UVH53" s="76"/>
      <c r="UVI53" s="76"/>
      <c r="UVJ53" s="76"/>
      <c r="UVK53" s="76"/>
      <c r="UVL53" s="76"/>
      <c r="UVM53" s="76"/>
      <c r="UVN53" s="76"/>
      <c r="UVO53" s="76"/>
      <c r="UVP53" s="76"/>
      <c r="UVQ53" s="76"/>
      <c r="UVR53" s="76"/>
      <c r="UVS53" s="76"/>
      <c r="UVT53" s="76"/>
      <c r="UVU53" s="76"/>
      <c r="UVV53" s="76"/>
      <c r="UVW53" s="76"/>
      <c r="UVX53" s="76"/>
      <c r="UVY53" s="76"/>
      <c r="UVZ53" s="76"/>
      <c r="UWA53" s="76"/>
      <c r="UWB53" s="76"/>
      <c r="UWC53" s="76"/>
      <c r="UWD53" s="76"/>
      <c r="UWE53" s="76"/>
      <c r="UWF53" s="76"/>
      <c r="UWG53" s="76"/>
      <c r="UWH53" s="76"/>
      <c r="UWI53" s="76"/>
      <c r="UWJ53" s="76"/>
      <c r="UWK53" s="76"/>
      <c r="UWL53" s="76"/>
      <c r="UWM53" s="76"/>
      <c r="UWN53" s="76"/>
      <c r="UWO53" s="76"/>
      <c r="UWP53" s="76"/>
      <c r="UWQ53" s="76"/>
      <c r="UWR53" s="76"/>
      <c r="UWS53" s="76"/>
      <c r="UWT53" s="76"/>
      <c r="UWU53" s="76"/>
      <c r="UWV53" s="76"/>
      <c r="UWW53" s="76"/>
      <c r="UWX53" s="76"/>
      <c r="UWY53" s="76"/>
      <c r="UWZ53" s="76"/>
      <c r="UXA53" s="76"/>
      <c r="UXB53" s="76"/>
      <c r="UXC53" s="76"/>
      <c r="UXD53" s="76"/>
      <c r="UXE53" s="76"/>
      <c r="UXF53" s="76"/>
      <c r="UXG53" s="76"/>
      <c r="UXH53" s="76"/>
      <c r="UXI53" s="76"/>
      <c r="UXJ53" s="76"/>
      <c r="UXK53" s="76"/>
      <c r="UXL53" s="76"/>
      <c r="UXM53" s="76"/>
      <c r="UXN53" s="76"/>
      <c r="UXO53" s="76"/>
      <c r="UXP53" s="76"/>
      <c r="UXQ53" s="76"/>
      <c r="UXR53" s="76"/>
      <c r="UXS53" s="76"/>
      <c r="UXT53" s="76"/>
      <c r="UXU53" s="76"/>
      <c r="UXV53" s="76"/>
      <c r="UXW53" s="76"/>
      <c r="UXX53" s="76"/>
      <c r="UXY53" s="76"/>
      <c r="UXZ53" s="76"/>
      <c r="UYA53" s="76"/>
      <c r="UYB53" s="76"/>
      <c r="UYC53" s="76"/>
      <c r="UYD53" s="76"/>
      <c r="UYE53" s="76"/>
      <c r="UYF53" s="76"/>
      <c r="UYG53" s="76"/>
      <c r="UYH53" s="76"/>
      <c r="UYI53" s="76"/>
      <c r="UYJ53" s="76"/>
      <c r="UYK53" s="76"/>
      <c r="UYL53" s="76"/>
      <c r="UYM53" s="76"/>
      <c r="UYN53" s="76"/>
      <c r="UYO53" s="76"/>
      <c r="UYP53" s="76"/>
      <c r="UYQ53" s="76"/>
      <c r="UYR53" s="76"/>
      <c r="UYS53" s="76"/>
      <c r="UYT53" s="76"/>
      <c r="UYU53" s="76"/>
      <c r="UYV53" s="76"/>
      <c r="UYW53" s="76"/>
      <c r="UYX53" s="76"/>
      <c r="UYY53" s="76"/>
      <c r="UYZ53" s="76"/>
      <c r="UZA53" s="76"/>
      <c r="UZB53" s="76"/>
      <c r="UZC53" s="76"/>
      <c r="UZD53" s="76"/>
      <c r="UZE53" s="76"/>
      <c r="UZF53" s="76"/>
      <c r="UZG53" s="76"/>
      <c r="UZH53" s="76"/>
      <c r="UZI53" s="76"/>
      <c r="UZJ53" s="76"/>
      <c r="UZK53" s="76"/>
      <c r="UZL53" s="76"/>
      <c r="UZM53" s="76"/>
      <c r="UZN53" s="76"/>
      <c r="UZO53" s="76"/>
      <c r="UZP53" s="76"/>
      <c r="UZQ53" s="76"/>
      <c r="UZR53" s="76"/>
      <c r="UZS53" s="76"/>
      <c r="UZT53" s="76"/>
      <c r="UZU53" s="76"/>
      <c r="UZV53" s="76"/>
      <c r="UZW53" s="76"/>
      <c r="UZX53" s="76"/>
      <c r="UZY53" s="76"/>
      <c r="UZZ53" s="76"/>
      <c r="VAA53" s="76"/>
      <c r="VAB53" s="76"/>
      <c r="VAC53" s="76"/>
      <c r="VAD53" s="76"/>
      <c r="VAE53" s="76"/>
      <c r="VAF53" s="76"/>
      <c r="VAG53" s="76"/>
      <c r="VAH53" s="76"/>
      <c r="VAI53" s="76"/>
      <c r="VAJ53" s="76"/>
      <c r="VAK53" s="76"/>
      <c r="VAL53" s="76"/>
      <c r="VAM53" s="76"/>
      <c r="VAN53" s="76"/>
      <c r="VAO53" s="76"/>
      <c r="VAP53" s="76"/>
      <c r="VAQ53" s="76"/>
      <c r="VAR53" s="76"/>
      <c r="VAS53" s="76"/>
      <c r="VAT53" s="76"/>
      <c r="VAU53" s="76"/>
      <c r="VAV53" s="76"/>
      <c r="VAW53" s="76"/>
      <c r="VAX53" s="76"/>
      <c r="VAY53" s="76"/>
      <c r="VAZ53" s="76"/>
      <c r="VBA53" s="76"/>
      <c r="VBB53" s="76"/>
      <c r="VBC53" s="76"/>
      <c r="VBD53" s="76"/>
      <c r="VBE53" s="76"/>
      <c r="VBF53" s="76"/>
      <c r="VBG53" s="76"/>
      <c r="VBH53" s="76"/>
      <c r="VBI53" s="76"/>
      <c r="VBJ53" s="76"/>
      <c r="VBK53" s="76"/>
      <c r="VBL53" s="76"/>
      <c r="VBM53" s="76"/>
      <c r="VBN53" s="76"/>
      <c r="VBO53" s="76"/>
      <c r="VBP53" s="76"/>
      <c r="VBQ53" s="76"/>
      <c r="VBR53" s="76"/>
      <c r="VBS53" s="76"/>
      <c r="VBT53" s="76"/>
      <c r="VBU53" s="76"/>
      <c r="VBV53" s="76"/>
      <c r="VBW53" s="76"/>
      <c r="VBX53" s="76"/>
      <c r="VBY53" s="76"/>
      <c r="VBZ53" s="76"/>
      <c r="VCA53" s="76"/>
      <c r="VCB53" s="76"/>
      <c r="VCC53" s="76"/>
      <c r="VCD53" s="76"/>
      <c r="VCE53" s="76"/>
      <c r="VCF53" s="76"/>
      <c r="VCG53" s="76"/>
      <c r="VCH53" s="76"/>
      <c r="VCI53" s="76"/>
      <c r="VCJ53" s="76"/>
      <c r="VCK53" s="76"/>
      <c r="VCL53" s="76"/>
      <c r="VCM53" s="76"/>
      <c r="VCN53" s="76"/>
      <c r="VCO53" s="76"/>
      <c r="VCP53" s="76"/>
      <c r="VCQ53" s="76"/>
      <c r="VCR53" s="76"/>
      <c r="VCS53" s="76"/>
      <c r="VCT53" s="76"/>
      <c r="VCU53" s="76"/>
      <c r="VCV53" s="76"/>
      <c r="VCW53" s="76"/>
      <c r="VCX53" s="76"/>
      <c r="VCY53" s="76"/>
      <c r="VCZ53" s="76"/>
      <c r="VDA53" s="76"/>
      <c r="VDB53" s="76"/>
      <c r="VDC53" s="76"/>
      <c r="VDD53" s="76"/>
      <c r="VDE53" s="76"/>
      <c r="VDF53" s="76"/>
      <c r="VDG53" s="76"/>
      <c r="VDH53" s="76"/>
      <c r="VDI53" s="76"/>
      <c r="VDJ53" s="76"/>
      <c r="VDK53" s="76"/>
      <c r="VDL53" s="76"/>
      <c r="VDM53" s="76"/>
      <c r="VDN53" s="76"/>
      <c r="VDO53" s="76"/>
      <c r="VDP53" s="76"/>
      <c r="VDQ53" s="76"/>
      <c r="VDR53" s="76"/>
      <c r="VDS53" s="76"/>
      <c r="VDT53" s="76"/>
      <c r="VDU53" s="76"/>
      <c r="VDV53" s="76"/>
      <c r="VDW53" s="76"/>
      <c r="VDX53" s="76"/>
      <c r="VDY53" s="76"/>
      <c r="VDZ53" s="76"/>
      <c r="VEA53" s="76"/>
      <c r="VEB53" s="76"/>
      <c r="VEC53" s="76"/>
      <c r="VED53" s="76"/>
      <c r="VEE53" s="76"/>
      <c r="VEF53" s="76"/>
      <c r="VEG53" s="76"/>
      <c r="VEH53" s="76"/>
      <c r="VEI53" s="76"/>
      <c r="VEJ53" s="76"/>
      <c r="VEK53" s="76"/>
      <c r="VEL53" s="76"/>
      <c r="VEM53" s="76"/>
      <c r="VEN53" s="76"/>
      <c r="VEO53" s="76"/>
      <c r="VEP53" s="76"/>
      <c r="VEQ53" s="76"/>
      <c r="VER53" s="76"/>
      <c r="VES53" s="76"/>
      <c r="VET53" s="76"/>
      <c r="VEU53" s="76"/>
      <c r="VEV53" s="76"/>
      <c r="VEW53" s="76"/>
      <c r="VEX53" s="76"/>
      <c r="VEY53" s="76"/>
      <c r="VEZ53" s="76"/>
      <c r="VFA53" s="76"/>
      <c r="VFB53" s="76"/>
      <c r="VFC53" s="76"/>
      <c r="VFD53" s="76"/>
      <c r="VFE53" s="76"/>
      <c r="VFF53" s="76"/>
      <c r="VFG53" s="76"/>
      <c r="VFH53" s="76"/>
      <c r="VFI53" s="76"/>
      <c r="VFJ53" s="76"/>
      <c r="VFK53" s="76"/>
      <c r="VFL53" s="76"/>
      <c r="VFM53" s="76"/>
      <c r="VFN53" s="76"/>
      <c r="VFO53" s="76"/>
      <c r="VFP53" s="76"/>
      <c r="VFQ53" s="76"/>
      <c r="VFR53" s="76"/>
      <c r="VFS53" s="76"/>
      <c r="VFT53" s="76"/>
      <c r="VFU53" s="76"/>
      <c r="VFV53" s="76"/>
      <c r="VFW53" s="76"/>
      <c r="VFX53" s="76"/>
      <c r="VFY53" s="76"/>
      <c r="VFZ53" s="76"/>
      <c r="VGA53" s="76"/>
      <c r="VGB53" s="76"/>
      <c r="VGC53" s="76"/>
      <c r="VGD53" s="76"/>
      <c r="VGE53" s="76"/>
      <c r="VGF53" s="76"/>
      <c r="VGG53" s="76"/>
      <c r="VGH53" s="76"/>
      <c r="VGI53" s="76"/>
      <c r="VGJ53" s="76"/>
      <c r="VGK53" s="76"/>
      <c r="VGL53" s="76"/>
      <c r="VGM53" s="76"/>
      <c r="VGN53" s="76"/>
      <c r="VGO53" s="76"/>
      <c r="VGP53" s="76"/>
      <c r="VGQ53" s="76"/>
      <c r="VGR53" s="76"/>
      <c r="VGS53" s="76"/>
      <c r="VGT53" s="76"/>
      <c r="VGU53" s="76"/>
      <c r="VGV53" s="76"/>
      <c r="VGW53" s="76"/>
      <c r="VGX53" s="76"/>
      <c r="VGY53" s="76"/>
      <c r="VGZ53" s="76"/>
      <c r="VHA53" s="76"/>
      <c r="VHB53" s="76"/>
      <c r="VHC53" s="76"/>
      <c r="VHD53" s="76"/>
      <c r="VHE53" s="76"/>
      <c r="VHF53" s="76"/>
      <c r="VHG53" s="76"/>
      <c r="VHH53" s="76"/>
      <c r="VHI53" s="76"/>
      <c r="VHJ53" s="76"/>
      <c r="VHK53" s="76"/>
      <c r="VHL53" s="76"/>
      <c r="VHM53" s="76"/>
      <c r="VHN53" s="76"/>
      <c r="VHO53" s="76"/>
      <c r="VHP53" s="76"/>
      <c r="VHQ53" s="76"/>
      <c r="VHR53" s="76"/>
      <c r="VHS53" s="76"/>
      <c r="VHT53" s="76"/>
      <c r="VHU53" s="76"/>
      <c r="VHV53" s="76"/>
      <c r="VHW53" s="76"/>
      <c r="VHX53" s="76"/>
      <c r="VHY53" s="76"/>
      <c r="VHZ53" s="76"/>
      <c r="VIA53" s="76"/>
      <c r="VIB53" s="76"/>
      <c r="VIC53" s="76"/>
      <c r="VID53" s="76"/>
      <c r="VIE53" s="76"/>
      <c r="VIF53" s="76"/>
      <c r="VIG53" s="76"/>
      <c r="VIH53" s="76"/>
      <c r="VII53" s="76"/>
      <c r="VIJ53" s="76"/>
      <c r="VIK53" s="76"/>
      <c r="VIL53" s="76"/>
      <c r="VIM53" s="76"/>
      <c r="VIN53" s="76"/>
      <c r="VIO53" s="76"/>
      <c r="VIP53" s="76"/>
      <c r="VIQ53" s="76"/>
      <c r="VIR53" s="76"/>
      <c r="VIS53" s="76"/>
      <c r="VIT53" s="76"/>
      <c r="VIU53" s="76"/>
      <c r="VIV53" s="76"/>
      <c r="VIW53" s="76"/>
      <c r="VIX53" s="76"/>
      <c r="VIY53" s="76"/>
      <c r="VIZ53" s="76"/>
      <c r="VJA53" s="76"/>
      <c r="VJB53" s="76"/>
      <c r="VJC53" s="76"/>
      <c r="VJD53" s="76"/>
      <c r="VJE53" s="76"/>
      <c r="VJF53" s="76"/>
      <c r="VJG53" s="76"/>
      <c r="VJH53" s="76"/>
      <c r="VJI53" s="76"/>
      <c r="VJJ53" s="76"/>
      <c r="VJK53" s="76"/>
      <c r="VJL53" s="76"/>
      <c r="VJM53" s="76"/>
      <c r="VJN53" s="76"/>
      <c r="VJO53" s="76"/>
      <c r="VJP53" s="76"/>
      <c r="VJQ53" s="76"/>
      <c r="VJR53" s="76"/>
      <c r="VJS53" s="76"/>
      <c r="VJT53" s="76"/>
      <c r="VJU53" s="76"/>
      <c r="VJV53" s="76"/>
      <c r="VJW53" s="76"/>
      <c r="VJX53" s="76"/>
      <c r="VJY53" s="76"/>
      <c r="VJZ53" s="76"/>
      <c r="VKA53" s="76"/>
      <c r="VKB53" s="76"/>
      <c r="VKC53" s="76"/>
      <c r="VKD53" s="76"/>
      <c r="VKE53" s="76"/>
      <c r="VKF53" s="76"/>
      <c r="VKG53" s="76"/>
      <c r="VKH53" s="76"/>
      <c r="VKI53" s="76"/>
      <c r="VKJ53" s="76"/>
      <c r="VKK53" s="76"/>
      <c r="VKL53" s="76"/>
      <c r="VKM53" s="76"/>
      <c r="VKN53" s="76"/>
      <c r="VKO53" s="76"/>
      <c r="VKP53" s="76"/>
      <c r="VKQ53" s="76"/>
      <c r="VKR53" s="76"/>
      <c r="VKS53" s="76"/>
      <c r="VKT53" s="76"/>
      <c r="VKU53" s="76"/>
      <c r="VKV53" s="76"/>
      <c r="VKW53" s="76"/>
      <c r="VKX53" s="76"/>
      <c r="VKY53" s="76"/>
      <c r="VKZ53" s="76"/>
      <c r="VLA53" s="76"/>
      <c r="VLB53" s="76"/>
      <c r="VLC53" s="76"/>
      <c r="VLD53" s="76"/>
      <c r="VLE53" s="76"/>
      <c r="VLF53" s="76"/>
      <c r="VLG53" s="76"/>
      <c r="VLH53" s="76"/>
      <c r="VLI53" s="76"/>
      <c r="VLJ53" s="76"/>
      <c r="VLK53" s="76"/>
      <c r="VLL53" s="76"/>
      <c r="VLM53" s="76"/>
      <c r="VLN53" s="76"/>
      <c r="VLO53" s="76"/>
      <c r="VLP53" s="76"/>
      <c r="VLQ53" s="76"/>
      <c r="VLR53" s="76"/>
      <c r="VLS53" s="76"/>
      <c r="VLT53" s="76"/>
      <c r="VLU53" s="76"/>
      <c r="VLV53" s="76"/>
      <c r="VLW53" s="76"/>
      <c r="VLX53" s="76"/>
      <c r="VLY53" s="76"/>
      <c r="VLZ53" s="76"/>
      <c r="VMA53" s="76"/>
      <c r="VMB53" s="76"/>
      <c r="VMC53" s="76"/>
      <c r="VMD53" s="76"/>
      <c r="VME53" s="76"/>
      <c r="VMF53" s="76"/>
      <c r="VMG53" s="76"/>
      <c r="VMH53" s="76"/>
      <c r="VMI53" s="76"/>
      <c r="VMJ53" s="76"/>
      <c r="VMK53" s="76"/>
      <c r="VML53" s="76"/>
      <c r="VMM53" s="76"/>
      <c r="VMN53" s="76"/>
      <c r="VMO53" s="76"/>
      <c r="VMP53" s="76"/>
      <c r="VMQ53" s="76"/>
      <c r="VMR53" s="76"/>
      <c r="VMS53" s="76"/>
      <c r="VMT53" s="76"/>
      <c r="VMU53" s="76"/>
      <c r="VMV53" s="76"/>
      <c r="VMW53" s="76"/>
      <c r="VMX53" s="76"/>
      <c r="VMY53" s="76"/>
      <c r="VMZ53" s="76"/>
      <c r="VNA53" s="76"/>
      <c r="VNB53" s="76"/>
      <c r="VNC53" s="76"/>
      <c r="VND53" s="76"/>
      <c r="VNE53" s="76"/>
      <c r="VNF53" s="76"/>
      <c r="VNG53" s="76"/>
      <c r="VNH53" s="76"/>
      <c r="VNI53" s="76"/>
      <c r="VNJ53" s="76"/>
      <c r="VNK53" s="76"/>
      <c r="VNL53" s="76"/>
      <c r="VNM53" s="76"/>
      <c r="VNN53" s="76"/>
      <c r="VNO53" s="76"/>
      <c r="VNP53" s="76"/>
      <c r="VNQ53" s="76"/>
      <c r="VNR53" s="76"/>
      <c r="VNS53" s="76"/>
      <c r="VNT53" s="76"/>
      <c r="VNU53" s="76"/>
      <c r="VNV53" s="76"/>
      <c r="VNW53" s="76"/>
      <c r="VNX53" s="76"/>
      <c r="VNY53" s="76"/>
      <c r="VNZ53" s="76"/>
      <c r="VOA53" s="76"/>
      <c r="VOB53" s="76"/>
      <c r="VOC53" s="76"/>
      <c r="VOD53" s="76"/>
      <c r="VOE53" s="76"/>
      <c r="VOF53" s="76"/>
      <c r="VOG53" s="76"/>
      <c r="VOH53" s="76"/>
      <c r="VOI53" s="76"/>
      <c r="VOJ53" s="76"/>
      <c r="VOK53" s="76"/>
      <c r="VOL53" s="76"/>
      <c r="VOM53" s="76"/>
      <c r="VON53" s="76"/>
      <c r="VOO53" s="76"/>
      <c r="VOP53" s="76"/>
      <c r="VOQ53" s="76"/>
      <c r="VOR53" s="76"/>
      <c r="VOS53" s="76"/>
      <c r="VOT53" s="76"/>
      <c r="VOU53" s="76"/>
      <c r="VOV53" s="76"/>
      <c r="VOW53" s="76"/>
      <c r="VOX53" s="76"/>
      <c r="VOY53" s="76"/>
      <c r="VOZ53" s="76"/>
      <c r="VPA53" s="76"/>
      <c r="VPB53" s="76"/>
      <c r="VPC53" s="76"/>
      <c r="VPD53" s="76"/>
      <c r="VPE53" s="76"/>
      <c r="VPF53" s="76"/>
      <c r="VPG53" s="76"/>
      <c r="VPH53" s="76"/>
      <c r="VPI53" s="76"/>
      <c r="VPJ53" s="76"/>
      <c r="VPK53" s="76"/>
      <c r="VPL53" s="76"/>
      <c r="VPM53" s="76"/>
      <c r="VPN53" s="76"/>
      <c r="VPO53" s="76"/>
      <c r="VPP53" s="76"/>
      <c r="VPQ53" s="76"/>
      <c r="VPR53" s="76"/>
      <c r="VPS53" s="76"/>
      <c r="VPT53" s="76"/>
      <c r="VPU53" s="76"/>
      <c r="VPV53" s="76"/>
      <c r="VPW53" s="76"/>
      <c r="VPX53" s="76"/>
      <c r="VPY53" s="76"/>
      <c r="VPZ53" s="76"/>
      <c r="VQA53" s="76"/>
      <c r="VQB53" s="76"/>
      <c r="VQC53" s="76"/>
      <c r="VQD53" s="76"/>
      <c r="VQE53" s="76"/>
      <c r="VQF53" s="76"/>
      <c r="VQG53" s="76"/>
      <c r="VQH53" s="76"/>
      <c r="VQI53" s="76"/>
      <c r="VQJ53" s="76"/>
      <c r="VQK53" s="76"/>
      <c r="VQL53" s="76"/>
      <c r="VQM53" s="76"/>
      <c r="VQN53" s="76"/>
      <c r="VQO53" s="76"/>
      <c r="VQP53" s="76"/>
      <c r="VQQ53" s="76"/>
      <c r="VQR53" s="76"/>
      <c r="VQS53" s="76"/>
      <c r="VQT53" s="76"/>
      <c r="VQU53" s="76"/>
      <c r="VQV53" s="76"/>
      <c r="VQW53" s="76"/>
      <c r="VQX53" s="76"/>
      <c r="VQY53" s="76"/>
      <c r="VQZ53" s="76"/>
      <c r="VRA53" s="76"/>
      <c r="VRB53" s="76"/>
      <c r="VRC53" s="76"/>
      <c r="VRD53" s="76"/>
      <c r="VRE53" s="76"/>
      <c r="VRF53" s="76"/>
      <c r="VRG53" s="76"/>
      <c r="VRH53" s="76"/>
      <c r="VRI53" s="76"/>
      <c r="VRJ53" s="76"/>
      <c r="VRK53" s="76"/>
      <c r="VRL53" s="76"/>
      <c r="VRM53" s="76"/>
      <c r="VRN53" s="76"/>
      <c r="VRO53" s="76"/>
      <c r="VRP53" s="76"/>
      <c r="VRQ53" s="76"/>
      <c r="VRR53" s="76"/>
      <c r="VRS53" s="76"/>
      <c r="VRT53" s="76"/>
      <c r="VRU53" s="76"/>
      <c r="VRV53" s="76"/>
      <c r="VRW53" s="76"/>
      <c r="VRX53" s="76"/>
      <c r="VRY53" s="76"/>
      <c r="VRZ53" s="76"/>
      <c r="VSA53" s="76"/>
      <c r="VSB53" s="76"/>
      <c r="VSC53" s="76"/>
      <c r="VSD53" s="76"/>
      <c r="VSE53" s="76"/>
      <c r="VSF53" s="76"/>
      <c r="VSG53" s="76"/>
      <c r="VSH53" s="76"/>
      <c r="VSI53" s="76"/>
      <c r="VSJ53" s="76"/>
      <c r="VSK53" s="76"/>
      <c r="VSL53" s="76"/>
      <c r="VSM53" s="76"/>
      <c r="VSN53" s="76"/>
      <c r="VSO53" s="76"/>
      <c r="VSP53" s="76"/>
      <c r="VSQ53" s="76"/>
      <c r="VSR53" s="76"/>
      <c r="VSS53" s="76"/>
      <c r="VST53" s="76"/>
      <c r="VSU53" s="76"/>
      <c r="VSV53" s="76"/>
      <c r="VSW53" s="76"/>
      <c r="VSX53" s="76"/>
      <c r="VSY53" s="76"/>
      <c r="VSZ53" s="76"/>
      <c r="VTA53" s="76"/>
      <c r="VTB53" s="76"/>
      <c r="VTC53" s="76"/>
      <c r="VTD53" s="76"/>
      <c r="VTE53" s="76"/>
      <c r="VTF53" s="76"/>
      <c r="VTG53" s="76"/>
      <c r="VTH53" s="76"/>
      <c r="VTI53" s="76"/>
      <c r="VTJ53" s="76"/>
      <c r="VTK53" s="76"/>
      <c r="VTL53" s="76"/>
      <c r="VTM53" s="76"/>
      <c r="VTN53" s="76"/>
      <c r="VTO53" s="76"/>
      <c r="VTP53" s="76"/>
      <c r="VTQ53" s="76"/>
      <c r="VTR53" s="76"/>
      <c r="VTS53" s="76"/>
      <c r="VTT53" s="76"/>
      <c r="VTU53" s="76"/>
      <c r="VTV53" s="76"/>
      <c r="VTW53" s="76"/>
      <c r="VTX53" s="76"/>
      <c r="VTY53" s="76"/>
      <c r="VTZ53" s="76"/>
      <c r="VUA53" s="76"/>
      <c r="VUB53" s="76"/>
      <c r="VUC53" s="76"/>
      <c r="VUD53" s="76"/>
      <c r="VUE53" s="76"/>
      <c r="VUF53" s="76"/>
      <c r="VUG53" s="76"/>
      <c r="VUH53" s="76"/>
      <c r="VUI53" s="76"/>
      <c r="VUJ53" s="76"/>
      <c r="VUK53" s="76"/>
      <c r="VUL53" s="76"/>
      <c r="VUM53" s="76"/>
      <c r="VUN53" s="76"/>
      <c r="VUO53" s="76"/>
      <c r="VUP53" s="76"/>
      <c r="VUQ53" s="76"/>
      <c r="VUR53" s="76"/>
      <c r="VUS53" s="76"/>
      <c r="VUT53" s="76"/>
      <c r="VUU53" s="76"/>
      <c r="VUV53" s="76"/>
      <c r="VUW53" s="76"/>
      <c r="VUX53" s="76"/>
      <c r="VUY53" s="76"/>
      <c r="VUZ53" s="76"/>
      <c r="VVA53" s="76"/>
      <c r="VVB53" s="76"/>
      <c r="VVC53" s="76"/>
      <c r="VVD53" s="76"/>
      <c r="VVE53" s="76"/>
      <c r="VVF53" s="76"/>
      <c r="VVG53" s="76"/>
      <c r="VVH53" s="76"/>
      <c r="VVI53" s="76"/>
      <c r="VVJ53" s="76"/>
      <c r="VVK53" s="76"/>
      <c r="VVL53" s="76"/>
      <c r="VVM53" s="76"/>
      <c r="VVN53" s="76"/>
      <c r="VVO53" s="76"/>
      <c r="VVP53" s="76"/>
      <c r="VVQ53" s="76"/>
      <c r="VVR53" s="76"/>
      <c r="VVS53" s="76"/>
      <c r="VVT53" s="76"/>
      <c r="VVU53" s="76"/>
      <c r="VVV53" s="76"/>
      <c r="VVW53" s="76"/>
      <c r="VVX53" s="76"/>
      <c r="VVY53" s="76"/>
      <c r="VVZ53" s="76"/>
      <c r="VWA53" s="76"/>
      <c r="VWB53" s="76"/>
      <c r="VWC53" s="76"/>
      <c r="VWD53" s="76"/>
      <c r="VWE53" s="76"/>
      <c r="VWF53" s="76"/>
      <c r="VWG53" s="76"/>
      <c r="VWH53" s="76"/>
      <c r="VWI53" s="76"/>
      <c r="VWJ53" s="76"/>
      <c r="VWK53" s="76"/>
      <c r="VWL53" s="76"/>
      <c r="VWM53" s="76"/>
      <c r="VWN53" s="76"/>
      <c r="VWO53" s="76"/>
      <c r="VWP53" s="76"/>
      <c r="VWQ53" s="76"/>
      <c r="VWR53" s="76"/>
      <c r="VWS53" s="76"/>
      <c r="VWT53" s="76"/>
      <c r="VWU53" s="76"/>
      <c r="VWV53" s="76"/>
      <c r="VWW53" s="76"/>
      <c r="VWX53" s="76"/>
      <c r="VWY53" s="76"/>
      <c r="VWZ53" s="76"/>
      <c r="VXA53" s="76"/>
      <c r="VXB53" s="76"/>
      <c r="VXC53" s="76"/>
      <c r="VXD53" s="76"/>
      <c r="VXE53" s="76"/>
      <c r="VXF53" s="76"/>
      <c r="VXG53" s="76"/>
      <c r="VXH53" s="76"/>
      <c r="VXI53" s="76"/>
      <c r="VXJ53" s="76"/>
      <c r="VXK53" s="76"/>
      <c r="VXL53" s="76"/>
      <c r="VXM53" s="76"/>
      <c r="VXN53" s="76"/>
      <c r="VXO53" s="76"/>
      <c r="VXP53" s="76"/>
      <c r="VXQ53" s="76"/>
      <c r="VXR53" s="76"/>
      <c r="VXS53" s="76"/>
      <c r="VXT53" s="76"/>
      <c r="VXU53" s="76"/>
      <c r="VXV53" s="76"/>
      <c r="VXW53" s="76"/>
      <c r="VXX53" s="76"/>
      <c r="VXY53" s="76"/>
      <c r="VXZ53" s="76"/>
      <c r="VYA53" s="76"/>
      <c r="VYB53" s="76"/>
      <c r="VYC53" s="76"/>
      <c r="VYD53" s="76"/>
      <c r="VYE53" s="76"/>
      <c r="VYF53" s="76"/>
      <c r="VYG53" s="76"/>
      <c r="VYH53" s="76"/>
      <c r="VYI53" s="76"/>
      <c r="VYJ53" s="76"/>
      <c r="VYK53" s="76"/>
      <c r="VYL53" s="76"/>
      <c r="VYM53" s="76"/>
      <c r="VYN53" s="76"/>
      <c r="VYO53" s="76"/>
      <c r="VYP53" s="76"/>
      <c r="VYQ53" s="76"/>
      <c r="VYR53" s="76"/>
      <c r="VYS53" s="76"/>
      <c r="VYT53" s="76"/>
      <c r="VYU53" s="76"/>
      <c r="VYV53" s="76"/>
      <c r="VYW53" s="76"/>
      <c r="VYX53" s="76"/>
      <c r="VYY53" s="76"/>
      <c r="VYZ53" s="76"/>
      <c r="VZA53" s="76"/>
      <c r="VZB53" s="76"/>
      <c r="VZC53" s="76"/>
      <c r="VZD53" s="76"/>
      <c r="VZE53" s="76"/>
      <c r="VZF53" s="76"/>
      <c r="VZG53" s="76"/>
      <c r="VZH53" s="76"/>
      <c r="VZI53" s="76"/>
      <c r="VZJ53" s="76"/>
      <c r="VZK53" s="76"/>
      <c r="VZL53" s="76"/>
      <c r="VZM53" s="76"/>
      <c r="VZN53" s="76"/>
      <c r="VZO53" s="76"/>
      <c r="VZP53" s="76"/>
      <c r="VZQ53" s="76"/>
      <c r="VZR53" s="76"/>
      <c r="VZS53" s="76"/>
      <c r="VZT53" s="76"/>
      <c r="VZU53" s="76"/>
      <c r="VZV53" s="76"/>
      <c r="VZW53" s="76"/>
      <c r="VZX53" s="76"/>
      <c r="VZY53" s="76"/>
      <c r="VZZ53" s="76"/>
      <c r="WAA53" s="76"/>
      <c r="WAB53" s="76"/>
      <c r="WAC53" s="76"/>
      <c r="WAD53" s="76"/>
      <c r="WAE53" s="76"/>
      <c r="WAF53" s="76"/>
      <c r="WAG53" s="76"/>
      <c r="WAH53" s="76"/>
      <c r="WAI53" s="76"/>
      <c r="WAJ53" s="76"/>
      <c r="WAK53" s="76"/>
      <c r="WAL53" s="76"/>
      <c r="WAM53" s="76"/>
      <c r="WAN53" s="76"/>
      <c r="WAO53" s="76"/>
      <c r="WAP53" s="76"/>
      <c r="WAQ53" s="76"/>
      <c r="WAR53" s="76"/>
      <c r="WAS53" s="76"/>
      <c r="WAT53" s="76"/>
      <c r="WAU53" s="76"/>
      <c r="WAV53" s="76"/>
      <c r="WAW53" s="76"/>
      <c r="WAX53" s="76"/>
      <c r="WAY53" s="76"/>
      <c r="WAZ53" s="76"/>
      <c r="WBA53" s="76"/>
      <c r="WBB53" s="76"/>
      <c r="WBC53" s="76"/>
      <c r="WBD53" s="76"/>
      <c r="WBE53" s="76"/>
      <c r="WBF53" s="76"/>
      <c r="WBG53" s="76"/>
      <c r="WBH53" s="76"/>
      <c r="WBI53" s="76"/>
      <c r="WBJ53" s="76"/>
      <c r="WBK53" s="76"/>
      <c r="WBL53" s="76"/>
      <c r="WBM53" s="76"/>
      <c r="WBN53" s="76"/>
      <c r="WBO53" s="76"/>
      <c r="WBP53" s="76"/>
      <c r="WBQ53" s="76"/>
      <c r="WBR53" s="76"/>
      <c r="WBS53" s="76"/>
      <c r="WBT53" s="76"/>
      <c r="WBU53" s="76"/>
      <c r="WBV53" s="76"/>
      <c r="WBW53" s="76"/>
      <c r="WBX53" s="76"/>
      <c r="WBY53" s="76"/>
      <c r="WBZ53" s="76"/>
      <c r="WCA53" s="76"/>
      <c r="WCB53" s="76"/>
      <c r="WCC53" s="76"/>
      <c r="WCD53" s="76"/>
      <c r="WCE53" s="76"/>
      <c r="WCF53" s="76"/>
      <c r="WCG53" s="76"/>
      <c r="WCH53" s="76"/>
      <c r="WCI53" s="76"/>
      <c r="WCJ53" s="76"/>
      <c r="WCK53" s="76"/>
      <c r="WCL53" s="76"/>
      <c r="WCM53" s="76"/>
      <c r="WCN53" s="76"/>
      <c r="WCO53" s="76"/>
      <c r="WCP53" s="76"/>
      <c r="WCQ53" s="76"/>
      <c r="WCR53" s="76"/>
      <c r="WCS53" s="76"/>
      <c r="WCT53" s="76"/>
      <c r="WCU53" s="76"/>
      <c r="WCV53" s="76"/>
      <c r="WCW53" s="76"/>
      <c r="WCX53" s="76"/>
      <c r="WCY53" s="76"/>
      <c r="WCZ53" s="76"/>
      <c r="WDA53" s="76"/>
      <c r="WDB53" s="76"/>
      <c r="WDC53" s="76"/>
      <c r="WDD53" s="76"/>
      <c r="WDE53" s="76"/>
      <c r="WDF53" s="76"/>
      <c r="WDG53" s="76"/>
      <c r="WDH53" s="76"/>
      <c r="WDI53" s="76"/>
      <c r="WDJ53" s="76"/>
      <c r="WDK53" s="76"/>
      <c r="WDL53" s="76"/>
      <c r="WDM53" s="76"/>
      <c r="WDN53" s="76"/>
      <c r="WDO53" s="76"/>
      <c r="WDP53" s="76"/>
      <c r="WDQ53" s="76"/>
      <c r="WDR53" s="76"/>
      <c r="WDS53" s="76"/>
      <c r="WDT53" s="76"/>
      <c r="WDU53" s="76"/>
      <c r="WDV53" s="76"/>
      <c r="WDW53" s="76"/>
      <c r="WDX53" s="76"/>
      <c r="WDY53" s="76"/>
      <c r="WDZ53" s="76"/>
      <c r="WEA53" s="76"/>
      <c r="WEB53" s="76"/>
      <c r="WEC53" s="76"/>
      <c r="WED53" s="76"/>
      <c r="WEE53" s="76"/>
      <c r="WEF53" s="76"/>
      <c r="WEG53" s="76"/>
      <c r="WEH53" s="76"/>
      <c r="WEI53" s="76"/>
      <c r="WEJ53" s="76"/>
      <c r="WEK53" s="76"/>
      <c r="WEL53" s="76"/>
      <c r="WEM53" s="76"/>
      <c r="WEN53" s="76"/>
      <c r="WEO53" s="76"/>
      <c r="WEP53" s="76"/>
      <c r="WEQ53" s="76"/>
      <c r="WER53" s="76"/>
      <c r="WES53" s="76"/>
      <c r="WET53" s="76"/>
      <c r="WEU53" s="76"/>
      <c r="WEV53" s="76"/>
      <c r="WEW53" s="76"/>
      <c r="WEX53" s="76"/>
      <c r="WEY53" s="76"/>
      <c r="WEZ53" s="76"/>
      <c r="WFA53" s="76"/>
      <c r="WFB53" s="76"/>
      <c r="WFC53" s="76"/>
      <c r="WFD53" s="76"/>
      <c r="WFE53" s="76"/>
      <c r="WFF53" s="76"/>
      <c r="WFG53" s="76"/>
      <c r="WFH53" s="76"/>
      <c r="WFI53" s="76"/>
      <c r="WFJ53" s="76"/>
      <c r="WFK53" s="76"/>
      <c r="WFL53" s="76"/>
      <c r="WFM53" s="76"/>
      <c r="WFN53" s="76"/>
      <c r="WFO53" s="76"/>
      <c r="WFP53" s="76"/>
      <c r="WFQ53" s="76"/>
      <c r="WFR53" s="76"/>
      <c r="WFS53" s="76"/>
      <c r="WFT53" s="76"/>
      <c r="WFU53" s="76"/>
      <c r="WFV53" s="76"/>
      <c r="WFW53" s="76"/>
      <c r="WFX53" s="76"/>
      <c r="WFY53" s="76"/>
      <c r="WFZ53" s="76"/>
      <c r="WGA53" s="76"/>
      <c r="WGB53" s="76"/>
      <c r="WGC53" s="76"/>
      <c r="WGD53" s="76"/>
      <c r="WGE53" s="76"/>
      <c r="WGF53" s="76"/>
      <c r="WGG53" s="76"/>
      <c r="WGH53" s="76"/>
      <c r="WGI53" s="76"/>
      <c r="WGJ53" s="76"/>
      <c r="WGK53" s="76"/>
      <c r="WGL53" s="76"/>
      <c r="WGM53" s="76"/>
      <c r="WGN53" s="76"/>
      <c r="WGO53" s="76"/>
      <c r="WGP53" s="76"/>
      <c r="WGQ53" s="76"/>
      <c r="WGR53" s="76"/>
      <c r="WGS53" s="76"/>
      <c r="WGT53" s="76"/>
      <c r="WGU53" s="76"/>
      <c r="WGV53" s="76"/>
      <c r="WGW53" s="76"/>
      <c r="WGX53" s="76"/>
      <c r="WGY53" s="76"/>
      <c r="WGZ53" s="76"/>
      <c r="WHA53" s="76"/>
      <c r="WHB53" s="76"/>
      <c r="WHC53" s="76"/>
      <c r="WHD53" s="76"/>
      <c r="WHE53" s="76"/>
      <c r="WHF53" s="76"/>
      <c r="WHG53" s="76"/>
      <c r="WHH53" s="76"/>
      <c r="WHI53" s="76"/>
      <c r="WHJ53" s="76"/>
      <c r="WHK53" s="76"/>
      <c r="WHL53" s="76"/>
      <c r="WHM53" s="76"/>
      <c r="WHN53" s="76"/>
      <c r="WHO53" s="76"/>
      <c r="WHP53" s="76"/>
      <c r="WHQ53" s="76"/>
      <c r="WHR53" s="76"/>
      <c r="WHS53" s="76"/>
      <c r="WHT53" s="76"/>
      <c r="WHU53" s="76"/>
      <c r="WHV53" s="76"/>
      <c r="WHW53" s="76"/>
      <c r="WHX53" s="76"/>
      <c r="WHY53" s="76"/>
      <c r="WHZ53" s="76"/>
      <c r="WIA53" s="76"/>
      <c r="WIB53" s="76"/>
      <c r="WIC53" s="76"/>
      <c r="WID53" s="76"/>
      <c r="WIE53" s="76"/>
      <c r="WIF53" s="76"/>
      <c r="WIG53" s="76"/>
      <c r="WIH53" s="76"/>
      <c r="WII53" s="76"/>
      <c r="WIJ53" s="76"/>
      <c r="WIK53" s="76"/>
      <c r="WIL53" s="76"/>
      <c r="WIM53" s="76"/>
      <c r="WIN53" s="76"/>
      <c r="WIO53" s="76"/>
      <c r="WIP53" s="76"/>
      <c r="WIQ53" s="76"/>
      <c r="WIR53" s="76"/>
      <c r="WIS53" s="76"/>
      <c r="WIT53" s="76"/>
      <c r="WIU53" s="76"/>
      <c r="WIV53" s="76"/>
      <c r="WIW53" s="76"/>
      <c r="WIX53" s="76"/>
      <c r="WIY53" s="76"/>
      <c r="WIZ53" s="76"/>
      <c r="WJA53" s="76"/>
      <c r="WJB53" s="76"/>
      <c r="WJC53" s="76"/>
      <c r="WJD53" s="76"/>
      <c r="WJE53" s="76"/>
      <c r="WJF53" s="76"/>
      <c r="WJG53" s="76"/>
      <c r="WJH53" s="76"/>
      <c r="WJI53" s="76"/>
      <c r="WJJ53" s="76"/>
      <c r="WJK53" s="76"/>
      <c r="WJL53" s="76"/>
      <c r="WJM53" s="76"/>
      <c r="WJN53" s="76"/>
      <c r="WJO53" s="76"/>
      <c r="WJP53" s="76"/>
      <c r="WJQ53" s="76"/>
      <c r="WJR53" s="76"/>
      <c r="WJS53" s="76"/>
      <c r="WJT53" s="76"/>
      <c r="WJU53" s="76"/>
      <c r="WJV53" s="76"/>
      <c r="WJW53" s="76"/>
      <c r="WJX53" s="76"/>
      <c r="WJY53" s="76"/>
      <c r="WJZ53" s="76"/>
      <c r="WKA53" s="76"/>
      <c r="WKB53" s="76"/>
      <c r="WKC53" s="76"/>
      <c r="WKD53" s="76"/>
      <c r="WKE53" s="76"/>
      <c r="WKF53" s="76"/>
      <c r="WKG53" s="76"/>
      <c r="WKH53" s="76"/>
      <c r="WKI53" s="76"/>
      <c r="WKJ53" s="76"/>
      <c r="WKK53" s="76"/>
      <c r="WKL53" s="76"/>
      <c r="WKM53" s="76"/>
      <c r="WKN53" s="76"/>
      <c r="WKO53" s="76"/>
      <c r="WKP53" s="76"/>
      <c r="WKQ53" s="76"/>
      <c r="WKR53" s="76"/>
      <c r="WKS53" s="76"/>
      <c r="WKT53" s="76"/>
      <c r="WKU53" s="76"/>
      <c r="WKV53" s="76"/>
      <c r="WKW53" s="76"/>
      <c r="WKX53" s="76"/>
      <c r="WKY53" s="76"/>
      <c r="WKZ53" s="76"/>
      <c r="WLA53" s="76"/>
      <c r="WLB53" s="76"/>
      <c r="WLC53" s="76"/>
      <c r="WLD53" s="76"/>
      <c r="WLE53" s="76"/>
      <c r="WLF53" s="76"/>
      <c r="WLG53" s="76"/>
      <c r="WLH53" s="76"/>
      <c r="WLI53" s="76"/>
      <c r="WLJ53" s="76"/>
      <c r="WLK53" s="76"/>
      <c r="WLL53" s="76"/>
      <c r="WLM53" s="76"/>
      <c r="WLN53" s="76"/>
      <c r="WLO53" s="76"/>
      <c r="WLP53" s="76"/>
      <c r="WLQ53" s="76"/>
      <c r="WLR53" s="76"/>
      <c r="WLS53" s="76"/>
      <c r="WLT53" s="76"/>
      <c r="WLU53" s="76"/>
      <c r="WLV53" s="76"/>
      <c r="WLW53" s="76"/>
      <c r="WLX53" s="76"/>
      <c r="WLY53" s="76"/>
      <c r="WLZ53" s="76"/>
      <c r="WMA53" s="76"/>
      <c r="WMB53" s="76"/>
      <c r="WMC53" s="76"/>
      <c r="WMD53" s="76"/>
      <c r="WME53" s="76"/>
      <c r="WMF53" s="76"/>
      <c r="WMG53" s="76"/>
      <c r="WMH53" s="76"/>
      <c r="WMI53" s="76"/>
      <c r="WMJ53" s="76"/>
      <c r="WMK53" s="76"/>
      <c r="WML53" s="76"/>
      <c r="WMM53" s="76"/>
      <c r="WMN53" s="76"/>
      <c r="WMO53" s="76"/>
      <c r="WMP53" s="76"/>
      <c r="WMQ53" s="76"/>
      <c r="WMR53" s="76"/>
      <c r="WMS53" s="76"/>
      <c r="WMT53" s="76"/>
      <c r="WMU53" s="76"/>
      <c r="WMV53" s="76"/>
      <c r="WMW53" s="76"/>
      <c r="WMX53" s="76"/>
      <c r="WMY53" s="76"/>
      <c r="WMZ53" s="76"/>
      <c r="WNA53" s="76"/>
      <c r="WNB53" s="76"/>
      <c r="WNC53" s="76"/>
      <c r="WND53" s="76"/>
      <c r="WNE53" s="76"/>
      <c r="WNF53" s="76"/>
      <c r="WNG53" s="76"/>
      <c r="WNH53" s="76"/>
      <c r="WNI53" s="76"/>
      <c r="WNJ53" s="76"/>
      <c r="WNK53" s="76"/>
      <c r="WNL53" s="76"/>
      <c r="WNM53" s="76"/>
      <c r="WNN53" s="76"/>
      <c r="WNO53" s="76"/>
      <c r="WNP53" s="76"/>
      <c r="WNQ53" s="76"/>
      <c r="WNR53" s="76"/>
      <c r="WNS53" s="76"/>
      <c r="WNT53" s="76"/>
      <c r="WNU53" s="76"/>
      <c r="WNV53" s="76"/>
      <c r="WNW53" s="76"/>
      <c r="WNX53" s="76"/>
      <c r="WNY53" s="76"/>
      <c r="WNZ53" s="76"/>
      <c r="WOA53" s="76"/>
      <c r="WOB53" s="76"/>
      <c r="WOC53" s="76"/>
      <c r="WOD53" s="76"/>
      <c r="WOE53" s="76"/>
      <c r="WOF53" s="76"/>
      <c r="WOG53" s="76"/>
      <c r="WOH53" s="76"/>
      <c r="WOI53" s="76"/>
      <c r="WOJ53" s="76"/>
      <c r="WOK53" s="76"/>
      <c r="WOL53" s="76"/>
      <c r="WOM53" s="76"/>
      <c r="WON53" s="76"/>
      <c r="WOO53" s="76"/>
      <c r="WOP53" s="76"/>
      <c r="WOQ53" s="76"/>
      <c r="WOR53" s="76"/>
      <c r="WOS53" s="76"/>
      <c r="WOT53" s="76"/>
      <c r="WOU53" s="76"/>
      <c r="WOV53" s="76"/>
      <c r="WOW53" s="76"/>
      <c r="WOX53" s="76"/>
      <c r="WOY53" s="76"/>
      <c r="WOZ53" s="76"/>
      <c r="WPA53" s="76"/>
      <c r="WPB53" s="76"/>
      <c r="WPC53" s="76"/>
      <c r="WPD53" s="76"/>
      <c r="WPE53" s="76"/>
      <c r="WPF53" s="76"/>
      <c r="WPG53" s="76"/>
      <c r="WPH53" s="76"/>
      <c r="WPI53" s="76"/>
      <c r="WPJ53" s="76"/>
      <c r="WPK53" s="76"/>
      <c r="WPL53" s="76"/>
      <c r="WPM53" s="76"/>
      <c r="WPN53" s="76"/>
      <c r="WPO53" s="76"/>
      <c r="WPP53" s="76"/>
      <c r="WPQ53" s="76"/>
      <c r="WPR53" s="76"/>
      <c r="WPS53" s="76"/>
      <c r="WPT53" s="76"/>
      <c r="WPU53" s="76"/>
      <c r="WPV53" s="76"/>
      <c r="WPW53" s="76"/>
      <c r="WPX53" s="76"/>
      <c r="WPY53" s="76"/>
      <c r="WPZ53" s="76"/>
      <c r="WQA53" s="76"/>
      <c r="WQB53" s="76"/>
      <c r="WQC53" s="76"/>
      <c r="WQD53" s="76"/>
      <c r="WQE53" s="76"/>
      <c r="WQF53" s="76"/>
      <c r="WQG53" s="76"/>
      <c r="WQH53" s="76"/>
      <c r="WQI53" s="76"/>
      <c r="WQJ53" s="76"/>
      <c r="WQK53" s="76"/>
      <c r="WQL53" s="76"/>
      <c r="WQM53" s="76"/>
      <c r="WQN53" s="76"/>
      <c r="WQO53" s="76"/>
      <c r="WQP53" s="76"/>
      <c r="WQQ53" s="76"/>
      <c r="WQR53" s="76"/>
      <c r="WQS53" s="76"/>
      <c r="WQT53" s="76"/>
      <c r="WQU53" s="76"/>
      <c r="WQV53" s="76"/>
      <c r="WQW53" s="76"/>
      <c r="WQX53" s="76"/>
      <c r="WQY53" s="76"/>
      <c r="WQZ53" s="76"/>
      <c r="WRA53" s="76"/>
      <c r="WRB53" s="76"/>
      <c r="WRC53" s="76"/>
      <c r="WRD53" s="76"/>
      <c r="WRE53" s="76"/>
      <c r="WRF53" s="76"/>
      <c r="WRG53" s="76"/>
      <c r="WRH53" s="76"/>
      <c r="WRI53" s="76"/>
      <c r="WRJ53" s="76"/>
      <c r="WRK53" s="76"/>
      <c r="WRL53" s="76"/>
      <c r="WRM53" s="76"/>
      <c r="WRN53" s="76"/>
      <c r="WRO53" s="76"/>
      <c r="WRP53" s="76"/>
      <c r="WRQ53" s="76"/>
      <c r="WRR53" s="76"/>
      <c r="WRS53" s="76"/>
      <c r="WRT53" s="76"/>
      <c r="WRU53" s="76"/>
      <c r="WRV53" s="76"/>
      <c r="WRW53" s="76"/>
      <c r="WRX53" s="76"/>
      <c r="WRY53" s="76"/>
      <c r="WRZ53" s="76"/>
      <c r="WSA53" s="76"/>
      <c r="WSB53" s="76"/>
      <c r="WSC53" s="76"/>
      <c r="WSD53" s="76"/>
      <c r="WSE53" s="76"/>
      <c r="WSF53" s="76"/>
      <c r="WSG53" s="76"/>
      <c r="WSH53" s="76"/>
      <c r="WSI53" s="76"/>
      <c r="WSJ53" s="76"/>
      <c r="WSK53" s="76"/>
      <c r="WSL53" s="76"/>
      <c r="WSM53" s="76"/>
      <c r="WSN53" s="76"/>
      <c r="WSO53" s="76"/>
      <c r="WSP53" s="76"/>
      <c r="WSQ53" s="76"/>
      <c r="WSR53" s="76"/>
      <c r="WSS53" s="76"/>
      <c r="WST53" s="76"/>
      <c r="WSU53" s="76"/>
      <c r="WSV53" s="76"/>
      <c r="WSW53" s="76"/>
      <c r="WSX53" s="76"/>
      <c r="WSY53" s="76"/>
      <c r="WSZ53" s="76"/>
      <c r="WTA53" s="76"/>
      <c r="WTB53" s="76"/>
      <c r="WTC53" s="76"/>
      <c r="WTD53" s="76"/>
      <c r="WTE53" s="76"/>
      <c r="WTF53" s="76"/>
      <c r="WTG53" s="76"/>
      <c r="WTH53" s="76"/>
      <c r="WTI53" s="76"/>
      <c r="WTJ53" s="76"/>
      <c r="WTK53" s="76"/>
      <c r="WTL53" s="76"/>
      <c r="WTM53" s="76"/>
      <c r="WTN53" s="76"/>
      <c r="WTO53" s="76"/>
      <c r="WTP53" s="76"/>
      <c r="WTQ53" s="76"/>
      <c r="WTR53" s="76"/>
      <c r="WTS53" s="76"/>
      <c r="WTT53" s="76"/>
      <c r="WTU53" s="76"/>
      <c r="WTV53" s="76"/>
      <c r="WTW53" s="76"/>
      <c r="WTX53" s="76"/>
      <c r="WTY53" s="76"/>
      <c r="WTZ53" s="76"/>
      <c r="WUA53" s="76"/>
      <c r="WUB53" s="76"/>
      <c r="WUC53" s="76"/>
      <c r="WUD53" s="76"/>
      <c r="WUE53" s="76"/>
      <c r="WUF53" s="76"/>
      <c r="WUG53" s="76"/>
      <c r="WUH53" s="76"/>
      <c r="WUI53" s="76"/>
      <c r="WUJ53" s="76"/>
      <c r="WUK53" s="76"/>
      <c r="WUL53" s="76"/>
      <c r="WUM53" s="76"/>
      <c r="WUN53" s="76"/>
      <c r="WUO53" s="76"/>
      <c r="WUP53" s="76"/>
      <c r="WUQ53" s="76"/>
      <c r="WUR53" s="76"/>
      <c r="WUS53" s="76"/>
      <c r="WUT53" s="76"/>
      <c r="WUU53" s="76"/>
      <c r="WUV53" s="76"/>
      <c r="WUW53" s="76"/>
      <c r="WUX53" s="76"/>
      <c r="WUY53" s="76"/>
      <c r="WUZ53" s="76"/>
      <c r="WVA53" s="76"/>
      <c r="WVB53" s="76"/>
      <c r="WVC53" s="76"/>
      <c r="WVD53" s="76"/>
      <c r="WVE53" s="76"/>
      <c r="WVF53" s="76"/>
      <c r="WVG53" s="76"/>
      <c r="WVH53" s="76"/>
      <c r="WVI53" s="76"/>
      <c r="WVJ53" s="76"/>
      <c r="WVK53" s="76"/>
      <c r="WVL53" s="76"/>
      <c r="WVM53" s="76"/>
      <c r="WVN53" s="76"/>
      <c r="WVO53" s="76"/>
      <c r="WVP53" s="76"/>
      <c r="WVQ53" s="76"/>
      <c r="WVR53" s="76"/>
      <c r="WVS53" s="76"/>
      <c r="WVT53" s="76"/>
      <c r="WVU53" s="76"/>
      <c r="WVV53" s="76"/>
      <c r="WVW53" s="76"/>
      <c r="WVX53" s="76"/>
      <c r="WVY53" s="76"/>
      <c r="WVZ53" s="76"/>
      <c r="WWA53" s="76"/>
      <c r="WWB53" s="76"/>
      <c r="WWC53" s="76"/>
      <c r="WWD53" s="76"/>
      <c r="WWE53" s="76"/>
      <c r="WWF53" s="76"/>
      <c r="WWG53" s="76"/>
      <c r="WWH53" s="76"/>
      <c r="WWI53" s="76"/>
      <c r="WWJ53" s="76"/>
      <c r="WWK53" s="76"/>
      <c r="WWL53" s="76"/>
      <c r="WWM53" s="76"/>
      <c r="WWN53" s="76"/>
      <c r="WWO53" s="76"/>
      <c r="WWP53" s="76"/>
      <c r="WWQ53" s="76"/>
      <c r="WWR53" s="76"/>
      <c r="WWS53" s="76"/>
      <c r="WWT53" s="76"/>
      <c r="WWU53" s="76"/>
      <c r="WWV53" s="76"/>
      <c r="WWW53" s="76"/>
      <c r="WWX53" s="76"/>
      <c r="WWY53" s="76"/>
      <c r="WWZ53" s="76"/>
      <c r="WXA53" s="76"/>
    </row>
    <row r="54" spans="1:16173" s="77" customFormat="1" ht="34" customHeight="1" x14ac:dyDescent="0.55000000000000004">
      <c r="A54" s="76"/>
      <c r="B54" s="76"/>
      <c r="C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  <c r="CC54" s="76"/>
      <c r="CD54" s="76"/>
      <c r="CE54" s="76"/>
      <c r="CF54" s="76"/>
      <c r="CG54" s="76"/>
      <c r="CH54" s="76"/>
      <c r="CI54" s="76"/>
      <c r="CJ54" s="76"/>
      <c r="CK54" s="76"/>
      <c r="CL54" s="76"/>
      <c r="CM54" s="76"/>
      <c r="CN54" s="76"/>
      <c r="CO54" s="76"/>
      <c r="CP54" s="76"/>
      <c r="CQ54" s="76"/>
      <c r="CR54" s="76"/>
      <c r="CS54" s="76"/>
      <c r="CT54" s="76"/>
      <c r="CU54" s="76"/>
      <c r="CV54" s="76"/>
      <c r="CW54" s="76"/>
      <c r="CX54" s="76"/>
      <c r="CY54" s="76"/>
      <c r="CZ54" s="76"/>
      <c r="DA54" s="76"/>
      <c r="DB54" s="76"/>
      <c r="DC54" s="76"/>
      <c r="DD54" s="76"/>
      <c r="DE54" s="76"/>
      <c r="DF54" s="76"/>
      <c r="DG54" s="76"/>
      <c r="DH54" s="76"/>
      <c r="DI54" s="76"/>
      <c r="DJ54" s="76"/>
      <c r="DK54" s="76"/>
      <c r="DL54" s="76"/>
      <c r="DM54" s="76"/>
      <c r="DN54" s="76"/>
      <c r="DO54" s="76"/>
      <c r="DP54" s="76"/>
      <c r="DQ54" s="76"/>
      <c r="DR54" s="76"/>
      <c r="DS54" s="76"/>
      <c r="DT54" s="76"/>
      <c r="DU54" s="76"/>
      <c r="DV54" s="76"/>
      <c r="DW54" s="76"/>
      <c r="DX54" s="76"/>
      <c r="DY54" s="76"/>
      <c r="DZ54" s="76"/>
      <c r="EA54" s="76"/>
      <c r="EB54" s="76"/>
      <c r="EC54" s="76"/>
      <c r="ED54" s="76"/>
      <c r="EE54" s="76"/>
      <c r="EF54" s="76"/>
      <c r="EG54" s="76"/>
      <c r="EH54" s="76"/>
      <c r="EI54" s="76"/>
      <c r="EJ54" s="76"/>
      <c r="EK54" s="76"/>
      <c r="EL54" s="76"/>
      <c r="EM54" s="76"/>
      <c r="EN54" s="76"/>
      <c r="EO54" s="76"/>
      <c r="EP54" s="76"/>
      <c r="EQ54" s="76"/>
      <c r="ER54" s="76"/>
      <c r="ES54" s="76"/>
      <c r="ET54" s="76"/>
      <c r="EU54" s="76"/>
      <c r="EV54" s="76"/>
      <c r="EW54" s="76"/>
      <c r="EX54" s="76"/>
      <c r="EY54" s="76"/>
      <c r="EZ54" s="76"/>
      <c r="FA54" s="76"/>
      <c r="FB54" s="76"/>
      <c r="FC54" s="76"/>
      <c r="FD54" s="76"/>
      <c r="FE54" s="76"/>
      <c r="FF54" s="76"/>
      <c r="FG54" s="76"/>
      <c r="FH54" s="76"/>
      <c r="FI54" s="76"/>
      <c r="FJ54" s="76"/>
      <c r="FK54" s="76"/>
      <c r="FL54" s="76"/>
      <c r="FM54" s="76"/>
      <c r="FN54" s="76"/>
      <c r="FO54" s="76"/>
      <c r="FP54" s="76"/>
      <c r="FQ54" s="76"/>
      <c r="FR54" s="76"/>
      <c r="FS54" s="76"/>
      <c r="FT54" s="76"/>
      <c r="FU54" s="76"/>
      <c r="FV54" s="76"/>
      <c r="FW54" s="76"/>
      <c r="FX54" s="76"/>
      <c r="FY54" s="76"/>
      <c r="FZ54" s="76"/>
      <c r="GA54" s="76"/>
      <c r="GB54" s="76"/>
      <c r="GC54" s="76"/>
      <c r="GD54" s="76"/>
      <c r="GE54" s="76"/>
      <c r="GF54" s="76"/>
      <c r="GG54" s="76"/>
      <c r="GH54" s="76"/>
      <c r="GI54" s="76"/>
      <c r="GJ54" s="76"/>
      <c r="GK54" s="76"/>
      <c r="GL54" s="76"/>
      <c r="GM54" s="76"/>
      <c r="GN54" s="76"/>
      <c r="GO54" s="76"/>
      <c r="GP54" s="76"/>
      <c r="GQ54" s="76"/>
      <c r="GR54" s="76"/>
      <c r="GS54" s="76"/>
      <c r="GT54" s="76"/>
      <c r="GU54" s="76"/>
      <c r="GV54" s="76"/>
      <c r="GW54" s="76"/>
      <c r="GX54" s="76"/>
      <c r="GY54" s="76"/>
      <c r="GZ54" s="76"/>
      <c r="HA54" s="76"/>
      <c r="HB54" s="76"/>
      <c r="HC54" s="76"/>
      <c r="HD54" s="76"/>
      <c r="HE54" s="76"/>
      <c r="HF54" s="76"/>
      <c r="HG54" s="76"/>
      <c r="HH54" s="76"/>
      <c r="HI54" s="76"/>
      <c r="HJ54" s="76"/>
      <c r="HK54" s="76"/>
      <c r="HL54" s="76"/>
      <c r="HM54" s="76"/>
      <c r="HN54" s="76"/>
      <c r="HO54" s="76"/>
      <c r="HP54" s="76"/>
      <c r="HQ54" s="76"/>
      <c r="HR54" s="76"/>
      <c r="HS54" s="76"/>
      <c r="HT54" s="76"/>
      <c r="HU54" s="76"/>
      <c r="HV54" s="76"/>
      <c r="HW54" s="76"/>
      <c r="HX54" s="76"/>
      <c r="HY54" s="76"/>
      <c r="HZ54" s="76"/>
      <c r="IA54" s="76"/>
      <c r="IB54" s="76"/>
      <c r="IC54" s="76"/>
      <c r="ID54" s="76"/>
      <c r="IE54" s="76"/>
      <c r="IF54" s="76"/>
      <c r="IG54" s="76"/>
      <c r="IH54" s="76"/>
      <c r="II54" s="76"/>
      <c r="IJ54" s="76"/>
      <c r="IK54" s="76"/>
      <c r="IL54" s="76"/>
      <c r="IM54" s="76"/>
      <c r="IN54" s="76"/>
      <c r="IO54" s="76"/>
      <c r="IP54" s="76"/>
      <c r="IQ54" s="76"/>
      <c r="IR54" s="76"/>
      <c r="IS54" s="76"/>
      <c r="IT54" s="76"/>
      <c r="IU54" s="76"/>
      <c r="IV54" s="76"/>
      <c r="IW54" s="76"/>
      <c r="IX54" s="76"/>
      <c r="IY54" s="76"/>
      <c r="IZ54" s="76"/>
      <c r="JA54" s="76"/>
      <c r="JB54" s="76"/>
      <c r="JC54" s="76"/>
      <c r="JD54" s="76"/>
      <c r="JE54" s="76"/>
      <c r="JF54" s="76"/>
      <c r="JG54" s="76"/>
      <c r="JH54" s="76"/>
      <c r="JI54" s="76"/>
      <c r="JJ54" s="76"/>
      <c r="JK54" s="76"/>
      <c r="JL54" s="76"/>
      <c r="JM54" s="76"/>
      <c r="JN54" s="76"/>
      <c r="JO54" s="76"/>
      <c r="JP54" s="76"/>
      <c r="JQ54" s="76"/>
      <c r="JR54" s="76"/>
      <c r="JS54" s="76"/>
      <c r="JT54" s="76"/>
      <c r="JU54" s="76"/>
      <c r="JV54" s="76"/>
      <c r="JW54" s="76"/>
      <c r="JX54" s="76"/>
      <c r="JY54" s="76"/>
      <c r="JZ54" s="76"/>
      <c r="KA54" s="76"/>
      <c r="KB54" s="76"/>
      <c r="KC54" s="76"/>
      <c r="KD54" s="76"/>
      <c r="KE54" s="76"/>
      <c r="KF54" s="76"/>
      <c r="KG54" s="76"/>
      <c r="KH54" s="76"/>
      <c r="KI54" s="76"/>
      <c r="KJ54" s="76"/>
      <c r="KK54" s="76"/>
      <c r="KL54" s="76"/>
      <c r="KM54" s="76"/>
      <c r="KN54" s="76"/>
      <c r="KO54" s="76"/>
      <c r="KP54" s="76"/>
      <c r="KQ54" s="76"/>
      <c r="KR54" s="76"/>
      <c r="KS54" s="76"/>
      <c r="KT54" s="76"/>
      <c r="KU54" s="76"/>
      <c r="KV54" s="76"/>
      <c r="KW54" s="76"/>
      <c r="KX54" s="76"/>
      <c r="KY54" s="76"/>
      <c r="KZ54" s="76"/>
      <c r="LA54" s="76"/>
      <c r="LB54" s="76"/>
      <c r="LC54" s="76"/>
      <c r="LD54" s="76"/>
      <c r="LE54" s="76"/>
      <c r="LF54" s="76"/>
      <c r="LG54" s="76"/>
      <c r="LH54" s="76"/>
      <c r="LI54" s="76"/>
      <c r="LJ54" s="76"/>
      <c r="LK54" s="76"/>
      <c r="LL54" s="76"/>
      <c r="LM54" s="76"/>
      <c r="LN54" s="76"/>
      <c r="LO54" s="76"/>
      <c r="LP54" s="76"/>
      <c r="LQ54" s="76"/>
      <c r="LR54" s="76"/>
      <c r="LS54" s="76"/>
      <c r="LT54" s="76"/>
      <c r="LU54" s="76"/>
      <c r="LV54" s="76"/>
      <c r="LW54" s="76"/>
      <c r="LX54" s="76"/>
      <c r="LY54" s="76"/>
      <c r="LZ54" s="76"/>
      <c r="MA54" s="76"/>
      <c r="MB54" s="76"/>
      <c r="MC54" s="76"/>
      <c r="MD54" s="76"/>
      <c r="ME54" s="76"/>
      <c r="MF54" s="76"/>
      <c r="MG54" s="76"/>
      <c r="MH54" s="76"/>
      <c r="MI54" s="76"/>
      <c r="MJ54" s="76"/>
      <c r="MK54" s="76"/>
      <c r="ML54" s="76"/>
      <c r="MM54" s="76"/>
      <c r="MN54" s="76"/>
      <c r="MO54" s="76"/>
      <c r="MP54" s="76"/>
      <c r="MQ54" s="76"/>
      <c r="MR54" s="76"/>
      <c r="MS54" s="76"/>
      <c r="MT54" s="76"/>
      <c r="MU54" s="76"/>
      <c r="MV54" s="76"/>
      <c r="MW54" s="76"/>
      <c r="MX54" s="76"/>
      <c r="MY54" s="76"/>
      <c r="MZ54" s="76"/>
      <c r="NA54" s="76"/>
      <c r="NB54" s="76"/>
      <c r="NC54" s="76"/>
      <c r="ND54" s="76"/>
      <c r="NE54" s="76"/>
      <c r="NF54" s="76"/>
      <c r="NG54" s="76"/>
      <c r="NH54" s="76"/>
      <c r="NI54" s="76"/>
      <c r="NJ54" s="76"/>
      <c r="NK54" s="76"/>
      <c r="NL54" s="76"/>
      <c r="NM54" s="76"/>
      <c r="NN54" s="76"/>
      <c r="NO54" s="76"/>
      <c r="NP54" s="76"/>
      <c r="NQ54" s="76"/>
      <c r="NR54" s="76"/>
      <c r="NS54" s="76"/>
      <c r="NT54" s="76"/>
      <c r="NU54" s="76"/>
      <c r="NV54" s="76"/>
      <c r="NW54" s="76"/>
      <c r="NX54" s="76"/>
      <c r="NY54" s="76"/>
      <c r="NZ54" s="76"/>
      <c r="OA54" s="76"/>
      <c r="OB54" s="76"/>
      <c r="OC54" s="76"/>
      <c r="OD54" s="76"/>
      <c r="OE54" s="76"/>
      <c r="OF54" s="76"/>
      <c r="OG54" s="76"/>
      <c r="OH54" s="76"/>
      <c r="OI54" s="76"/>
      <c r="OJ54" s="76"/>
      <c r="OK54" s="76"/>
      <c r="OL54" s="76"/>
      <c r="OM54" s="76"/>
      <c r="ON54" s="76"/>
      <c r="OO54" s="76"/>
      <c r="OP54" s="76"/>
      <c r="OQ54" s="76"/>
      <c r="OR54" s="76"/>
      <c r="OS54" s="76"/>
      <c r="OT54" s="76"/>
      <c r="OU54" s="76"/>
      <c r="OV54" s="76"/>
      <c r="OW54" s="76"/>
      <c r="OX54" s="76"/>
      <c r="OY54" s="76"/>
      <c r="OZ54" s="76"/>
      <c r="PA54" s="76"/>
      <c r="PB54" s="76"/>
      <c r="PC54" s="76"/>
      <c r="PD54" s="76"/>
      <c r="PE54" s="76"/>
      <c r="PF54" s="76"/>
      <c r="PG54" s="76"/>
      <c r="PH54" s="76"/>
      <c r="PI54" s="76"/>
      <c r="PJ54" s="76"/>
      <c r="PK54" s="76"/>
      <c r="PL54" s="76"/>
      <c r="PM54" s="76"/>
      <c r="PN54" s="76"/>
      <c r="PO54" s="76"/>
      <c r="PP54" s="76"/>
      <c r="PQ54" s="76"/>
      <c r="PR54" s="76"/>
      <c r="PS54" s="76"/>
      <c r="PT54" s="76"/>
      <c r="PU54" s="76"/>
      <c r="PV54" s="76"/>
      <c r="PW54" s="76"/>
      <c r="PX54" s="76"/>
      <c r="PY54" s="76"/>
      <c r="PZ54" s="76"/>
      <c r="QA54" s="76"/>
      <c r="QB54" s="76"/>
      <c r="QC54" s="76"/>
      <c r="QD54" s="76"/>
      <c r="QE54" s="76"/>
      <c r="QF54" s="76"/>
      <c r="QG54" s="76"/>
      <c r="QH54" s="76"/>
      <c r="QI54" s="76"/>
      <c r="QJ54" s="76"/>
      <c r="QK54" s="76"/>
      <c r="QL54" s="76"/>
      <c r="QM54" s="76"/>
      <c r="QN54" s="76"/>
      <c r="QO54" s="76"/>
      <c r="QP54" s="76"/>
      <c r="QQ54" s="76"/>
      <c r="QR54" s="76"/>
      <c r="QS54" s="76"/>
      <c r="QT54" s="76"/>
      <c r="QU54" s="76"/>
      <c r="QV54" s="76"/>
      <c r="QW54" s="76"/>
      <c r="QX54" s="76"/>
      <c r="QY54" s="76"/>
      <c r="QZ54" s="76"/>
      <c r="RA54" s="76"/>
      <c r="RB54" s="76"/>
      <c r="RC54" s="76"/>
      <c r="RD54" s="76"/>
      <c r="RE54" s="76"/>
      <c r="RF54" s="76"/>
      <c r="RG54" s="76"/>
      <c r="RH54" s="76"/>
      <c r="RI54" s="76"/>
      <c r="RJ54" s="76"/>
      <c r="RK54" s="76"/>
      <c r="RL54" s="76"/>
      <c r="RM54" s="76"/>
      <c r="RN54" s="76"/>
      <c r="RO54" s="76"/>
      <c r="RP54" s="76"/>
      <c r="RQ54" s="76"/>
      <c r="RR54" s="76"/>
      <c r="RS54" s="76"/>
      <c r="RT54" s="76"/>
      <c r="RU54" s="76"/>
      <c r="RV54" s="76"/>
      <c r="RW54" s="76"/>
      <c r="RX54" s="76"/>
      <c r="RY54" s="76"/>
      <c r="RZ54" s="76"/>
      <c r="SA54" s="76"/>
      <c r="SB54" s="76"/>
      <c r="SC54" s="76"/>
      <c r="SD54" s="76"/>
      <c r="SE54" s="76"/>
      <c r="SF54" s="76"/>
      <c r="SG54" s="76"/>
      <c r="SH54" s="76"/>
      <c r="SI54" s="76"/>
      <c r="SJ54" s="76"/>
      <c r="SK54" s="76"/>
      <c r="SL54" s="76"/>
      <c r="SM54" s="76"/>
      <c r="SN54" s="76"/>
      <c r="SO54" s="76"/>
      <c r="SP54" s="76"/>
      <c r="SQ54" s="76"/>
      <c r="SR54" s="76"/>
      <c r="SS54" s="76"/>
      <c r="ST54" s="76"/>
      <c r="SU54" s="76"/>
      <c r="SV54" s="76"/>
      <c r="SW54" s="76"/>
      <c r="SX54" s="76"/>
      <c r="SY54" s="76"/>
      <c r="SZ54" s="76"/>
      <c r="TA54" s="76"/>
      <c r="TB54" s="76"/>
      <c r="TC54" s="76"/>
      <c r="TD54" s="76"/>
      <c r="TE54" s="76"/>
      <c r="TF54" s="76"/>
      <c r="TG54" s="76"/>
      <c r="TH54" s="76"/>
      <c r="TI54" s="76"/>
      <c r="TJ54" s="76"/>
      <c r="TK54" s="76"/>
      <c r="TL54" s="76"/>
      <c r="TM54" s="76"/>
      <c r="TN54" s="76"/>
      <c r="TO54" s="76"/>
      <c r="TP54" s="76"/>
      <c r="TQ54" s="76"/>
      <c r="TR54" s="76"/>
      <c r="TS54" s="76"/>
      <c r="TT54" s="76"/>
      <c r="TU54" s="76"/>
      <c r="TV54" s="76"/>
      <c r="TW54" s="76"/>
      <c r="TX54" s="76"/>
      <c r="TY54" s="76"/>
      <c r="TZ54" s="76"/>
      <c r="UA54" s="76"/>
      <c r="UB54" s="76"/>
      <c r="UC54" s="76"/>
      <c r="UD54" s="76"/>
      <c r="UE54" s="76"/>
      <c r="UF54" s="76"/>
      <c r="UG54" s="76"/>
      <c r="UH54" s="76"/>
      <c r="UI54" s="76"/>
      <c r="UJ54" s="76"/>
      <c r="UK54" s="76"/>
      <c r="UL54" s="76"/>
      <c r="UM54" s="76"/>
      <c r="UN54" s="76"/>
      <c r="UO54" s="76"/>
      <c r="UP54" s="76"/>
      <c r="UQ54" s="76"/>
      <c r="UR54" s="76"/>
      <c r="US54" s="76"/>
      <c r="UT54" s="76"/>
      <c r="UU54" s="76"/>
      <c r="UV54" s="76"/>
      <c r="UW54" s="76"/>
      <c r="UX54" s="76"/>
      <c r="UY54" s="76"/>
      <c r="UZ54" s="76"/>
      <c r="VA54" s="76"/>
      <c r="VB54" s="76"/>
      <c r="VC54" s="76"/>
      <c r="VD54" s="76"/>
      <c r="VE54" s="76"/>
      <c r="VF54" s="76"/>
      <c r="VG54" s="76"/>
      <c r="VH54" s="76"/>
      <c r="VI54" s="76"/>
      <c r="VJ54" s="76"/>
      <c r="VK54" s="76"/>
      <c r="VL54" s="76"/>
      <c r="VM54" s="76"/>
      <c r="VN54" s="76"/>
      <c r="VO54" s="76"/>
      <c r="VP54" s="76"/>
      <c r="VQ54" s="76"/>
      <c r="VR54" s="76"/>
      <c r="VS54" s="76"/>
      <c r="VT54" s="76"/>
      <c r="VU54" s="76"/>
      <c r="VV54" s="76"/>
      <c r="VW54" s="76"/>
      <c r="VX54" s="76"/>
      <c r="VY54" s="76"/>
      <c r="VZ54" s="76"/>
      <c r="WA54" s="76"/>
      <c r="WB54" s="76"/>
      <c r="WC54" s="76"/>
      <c r="WD54" s="76"/>
      <c r="WE54" s="76"/>
      <c r="WF54" s="76"/>
      <c r="WG54" s="76"/>
      <c r="WH54" s="76"/>
      <c r="WI54" s="76"/>
      <c r="WJ54" s="76"/>
      <c r="WK54" s="76"/>
      <c r="WL54" s="76"/>
      <c r="WM54" s="76"/>
      <c r="WN54" s="76"/>
      <c r="WO54" s="76"/>
      <c r="WP54" s="76"/>
      <c r="WQ54" s="76"/>
      <c r="WR54" s="76"/>
      <c r="WS54" s="76"/>
      <c r="WT54" s="76"/>
      <c r="WU54" s="76"/>
      <c r="WV54" s="76"/>
      <c r="WW54" s="76"/>
      <c r="WX54" s="76"/>
      <c r="WY54" s="76"/>
      <c r="WZ54" s="76"/>
      <c r="XA54" s="76"/>
      <c r="XB54" s="76"/>
      <c r="XC54" s="76"/>
      <c r="XD54" s="76"/>
      <c r="XE54" s="76"/>
      <c r="XF54" s="76"/>
      <c r="XG54" s="76"/>
      <c r="XH54" s="76"/>
      <c r="XI54" s="76"/>
      <c r="XJ54" s="76"/>
      <c r="XK54" s="76"/>
      <c r="XL54" s="76"/>
      <c r="XM54" s="76"/>
      <c r="XN54" s="76"/>
      <c r="XO54" s="76"/>
      <c r="XP54" s="76"/>
      <c r="XQ54" s="76"/>
      <c r="XR54" s="76"/>
      <c r="XS54" s="76"/>
      <c r="XT54" s="76"/>
      <c r="XU54" s="76"/>
      <c r="XV54" s="76"/>
      <c r="XW54" s="76"/>
      <c r="XX54" s="76"/>
      <c r="XY54" s="76"/>
      <c r="XZ54" s="76"/>
      <c r="YA54" s="76"/>
      <c r="YB54" s="76"/>
      <c r="YC54" s="76"/>
      <c r="YD54" s="76"/>
      <c r="YE54" s="76"/>
      <c r="YF54" s="76"/>
      <c r="YG54" s="76"/>
      <c r="YH54" s="76"/>
      <c r="YI54" s="76"/>
      <c r="YJ54" s="76"/>
      <c r="YK54" s="76"/>
      <c r="YL54" s="76"/>
      <c r="YM54" s="76"/>
      <c r="YN54" s="76"/>
      <c r="YO54" s="76"/>
      <c r="YP54" s="76"/>
      <c r="YQ54" s="76"/>
      <c r="YR54" s="76"/>
      <c r="YS54" s="76"/>
      <c r="YT54" s="76"/>
      <c r="YU54" s="76"/>
      <c r="YV54" s="76"/>
      <c r="YW54" s="76"/>
      <c r="YX54" s="76"/>
      <c r="YY54" s="76"/>
      <c r="YZ54" s="76"/>
      <c r="ZA54" s="76"/>
      <c r="ZB54" s="76"/>
      <c r="ZC54" s="76"/>
      <c r="ZD54" s="76"/>
      <c r="ZE54" s="76"/>
      <c r="ZF54" s="76"/>
      <c r="ZG54" s="76"/>
      <c r="ZH54" s="76"/>
      <c r="ZI54" s="76"/>
      <c r="ZJ54" s="76"/>
      <c r="ZK54" s="76"/>
      <c r="ZL54" s="76"/>
      <c r="ZM54" s="76"/>
      <c r="ZN54" s="76"/>
      <c r="ZO54" s="76"/>
      <c r="ZP54" s="76"/>
      <c r="ZQ54" s="76"/>
      <c r="ZR54" s="76"/>
      <c r="ZS54" s="76"/>
      <c r="ZT54" s="76"/>
      <c r="ZU54" s="76"/>
      <c r="ZV54" s="76"/>
      <c r="ZW54" s="76"/>
      <c r="ZX54" s="76"/>
      <c r="ZY54" s="76"/>
      <c r="ZZ54" s="76"/>
      <c r="AAA54" s="76"/>
      <c r="AAB54" s="76"/>
      <c r="AAC54" s="76"/>
      <c r="AAD54" s="76"/>
      <c r="AAE54" s="76"/>
      <c r="AAF54" s="76"/>
      <c r="AAG54" s="76"/>
      <c r="AAH54" s="76"/>
      <c r="AAI54" s="76"/>
      <c r="AAJ54" s="76"/>
      <c r="AAK54" s="76"/>
      <c r="AAL54" s="76"/>
      <c r="AAM54" s="76"/>
      <c r="AAN54" s="76"/>
      <c r="AAO54" s="76"/>
      <c r="AAP54" s="76"/>
      <c r="AAQ54" s="76"/>
      <c r="AAR54" s="76"/>
      <c r="AAS54" s="76"/>
      <c r="AAT54" s="76"/>
      <c r="AAU54" s="76"/>
      <c r="AAV54" s="76"/>
      <c r="AAW54" s="76"/>
      <c r="AAX54" s="76"/>
      <c r="AAY54" s="76"/>
      <c r="AAZ54" s="76"/>
      <c r="ABA54" s="76"/>
      <c r="ABB54" s="76"/>
      <c r="ABC54" s="76"/>
      <c r="ABD54" s="76"/>
      <c r="ABE54" s="76"/>
      <c r="ABF54" s="76"/>
      <c r="ABG54" s="76"/>
      <c r="ABH54" s="76"/>
      <c r="ABI54" s="76"/>
      <c r="ABJ54" s="76"/>
      <c r="ABK54" s="76"/>
      <c r="ABL54" s="76"/>
      <c r="ABM54" s="76"/>
      <c r="ABN54" s="76"/>
      <c r="ABO54" s="76"/>
      <c r="ABP54" s="76"/>
      <c r="ABQ54" s="76"/>
      <c r="ABR54" s="76"/>
      <c r="ABS54" s="76"/>
      <c r="ABT54" s="76"/>
      <c r="ABU54" s="76"/>
      <c r="ABV54" s="76"/>
      <c r="ABW54" s="76"/>
      <c r="ABX54" s="76"/>
      <c r="ABY54" s="76"/>
      <c r="ABZ54" s="76"/>
      <c r="ACA54" s="76"/>
      <c r="ACB54" s="76"/>
      <c r="ACC54" s="76"/>
      <c r="ACD54" s="76"/>
      <c r="ACE54" s="76"/>
      <c r="ACF54" s="76"/>
      <c r="ACG54" s="76"/>
      <c r="ACH54" s="76"/>
      <c r="ACI54" s="76"/>
      <c r="ACJ54" s="76"/>
      <c r="ACK54" s="76"/>
      <c r="ACL54" s="76"/>
      <c r="ACM54" s="76"/>
      <c r="ACN54" s="76"/>
      <c r="ACO54" s="76"/>
      <c r="ACP54" s="76"/>
      <c r="ACQ54" s="76"/>
      <c r="ACR54" s="76"/>
      <c r="ACS54" s="76"/>
      <c r="ACT54" s="76"/>
      <c r="ACU54" s="76"/>
      <c r="ACV54" s="76"/>
      <c r="ACW54" s="76"/>
      <c r="ACX54" s="76"/>
      <c r="ACY54" s="76"/>
      <c r="ACZ54" s="76"/>
      <c r="ADA54" s="76"/>
      <c r="ADB54" s="76"/>
      <c r="ADC54" s="76"/>
      <c r="ADD54" s="76"/>
      <c r="ADE54" s="76"/>
      <c r="ADF54" s="76"/>
      <c r="ADG54" s="76"/>
      <c r="ADH54" s="76"/>
      <c r="ADI54" s="76"/>
      <c r="ADJ54" s="76"/>
      <c r="ADK54" s="76"/>
      <c r="ADL54" s="76"/>
      <c r="ADM54" s="76"/>
      <c r="ADN54" s="76"/>
      <c r="ADO54" s="76"/>
      <c r="ADP54" s="76"/>
      <c r="ADQ54" s="76"/>
      <c r="ADR54" s="76"/>
      <c r="ADS54" s="76"/>
      <c r="ADT54" s="76"/>
      <c r="ADU54" s="76"/>
      <c r="ADV54" s="76"/>
      <c r="ADW54" s="76"/>
      <c r="ADX54" s="76"/>
      <c r="ADY54" s="76"/>
      <c r="ADZ54" s="76"/>
      <c r="AEA54" s="76"/>
      <c r="AEB54" s="76"/>
      <c r="AEC54" s="76"/>
      <c r="AED54" s="76"/>
      <c r="AEE54" s="76"/>
      <c r="AEF54" s="76"/>
      <c r="AEG54" s="76"/>
      <c r="AEH54" s="76"/>
      <c r="AEI54" s="76"/>
      <c r="AEJ54" s="76"/>
      <c r="AEK54" s="76"/>
      <c r="AEL54" s="76"/>
      <c r="AEM54" s="76"/>
      <c r="AEN54" s="76"/>
      <c r="AEO54" s="76"/>
      <c r="AEP54" s="76"/>
      <c r="AEQ54" s="76"/>
      <c r="AER54" s="76"/>
      <c r="AES54" s="76"/>
      <c r="AET54" s="76"/>
      <c r="AEU54" s="76"/>
      <c r="AEV54" s="76"/>
      <c r="AEW54" s="76"/>
      <c r="AEX54" s="76"/>
      <c r="AEY54" s="76"/>
      <c r="AEZ54" s="76"/>
      <c r="AFA54" s="76"/>
      <c r="AFB54" s="76"/>
      <c r="AFC54" s="76"/>
      <c r="AFD54" s="76"/>
      <c r="AFE54" s="76"/>
      <c r="AFF54" s="76"/>
      <c r="AFG54" s="76"/>
      <c r="AFH54" s="76"/>
      <c r="AFI54" s="76"/>
      <c r="AFJ54" s="76"/>
      <c r="AFK54" s="76"/>
      <c r="AFL54" s="76"/>
      <c r="AFM54" s="76"/>
      <c r="AFN54" s="76"/>
      <c r="AFO54" s="76"/>
      <c r="AFP54" s="76"/>
      <c r="AFQ54" s="76"/>
      <c r="AFR54" s="76"/>
      <c r="AFS54" s="76"/>
      <c r="AFT54" s="76"/>
      <c r="AFU54" s="76"/>
      <c r="AFV54" s="76"/>
      <c r="AFW54" s="76"/>
      <c r="AFX54" s="76"/>
      <c r="AFY54" s="76"/>
      <c r="AFZ54" s="76"/>
      <c r="AGA54" s="76"/>
      <c r="AGB54" s="76"/>
      <c r="AGC54" s="76"/>
      <c r="AGD54" s="76"/>
      <c r="AGE54" s="76"/>
      <c r="AGF54" s="76"/>
      <c r="AGG54" s="76"/>
      <c r="AGH54" s="76"/>
      <c r="AGI54" s="76"/>
      <c r="AGJ54" s="76"/>
      <c r="AGK54" s="76"/>
      <c r="AGL54" s="76"/>
      <c r="AGM54" s="76"/>
      <c r="AGN54" s="76"/>
      <c r="AGO54" s="76"/>
      <c r="AGP54" s="76"/>
      <c r="AGQ54" s="76"/>
      <c r="AGR54" s="76"/>
      <c r="AGS54" s="76"/>
      <c r="AGT54" s="76"/>
      <c r="AGU54" s="76"/>
      <c r="AGV54" s="76"/>
      <c r="AGW54" s="76"/>
      <c r="AGX54" s="76"/>
      <c r="AGY54" s="76"/>
      <c r="AGZ54" s="76"/>
      <c r="AHA54" s="76"/>
      <c r="AHB54" s="76"/>
      <c r="AHC54" s="76"/>
      <c r="AHD54" s="76"/>
      <c r="AHE54" s="76"/>
      <c r="AHF54" s="76"/>
      <c r="AHG54" s="76"/>
      <c r="AHH54" s="76"/>
      <c r="AHI54" s="76"/>
      <c r="AHJ54" s="76"/>
      <c r="AHK54" s="76"/>
      <c r="AHL54" s="76"/>
      <c r="AHM54" s="76"/>
      <c r="AHN54" s="76"/>
      <c r="AHO54" s="76"/>
      <c r="AHP54" s="76"/>
      <c r="AHQ54" s="76"/>
      <c r="AHR54" s="76"/>
      <c r="AHS54" s="76"/>
      <c r="AHT54" s="76"/>
      <c r="AHU54" s="76"/>
      <c r="AHV54" s="76"/>
      <c r="AHW54" s="76"/>
      <c r="AHX54" s="76"/>
      <c r="AHY54" s="76"/>
      <c r="AHZ54" s="76"/>
      <c r="AIA54" s="76"/>
      <c r="AIB54" s="76"/>
      <c r="AIC54" s="76"/>
      <c r="AID54" s="76"/>
      <c r="AIE54" s="76"/>
      <c r="AIF54" s="76"/>
      <c r="AIG54" s="76"/>
      <c r="AIH54" s="76"/>
      <c r="AII54" s="76"/>
      <c r="AIJ54" s="76"/>
      <c r="AIK54" s="76"/>
      <c r="AIL54" s="76"/>
      <c r="AIM54" s="76"/>
      <c r="AIN54" s="76"/>
      <c r="AIO54" s="76"/>
      <c r="AIP54" s="76"/>
      <c r="AIQ54" s="76"/>
      <c r="AIR54" s="76"/>
      <c r="AIS54" s="76"/>
      <c r="AIT54" s="76"/>
      <c r="AIU54" s="76"/>
      <c r="AIV54" s="76"/>
      <c r="AIW54" s="76"/>
      <c r="AIX54" s="76"/>
      <c r="AIY54" s="76"/>
      <c r="AIZ54" s="76"/>
      <c r="AJA54" s="76"/>
      <c r="AJB54" s="76"/>
      <c r="AJC54" s="76"/>
      <c r="AJD54" s="76"/>
      <c r="AJE54" s="76"/>
      <c r="AJF54" s="76"/>
      <c r="AJG54" s="76"/>
      <c r="AJH54" s="76"/>
      <c r="AJI54" s="76"/>
      <c r="AJJ54" s="76"/>
      <c r="AJK54" s="76"/>
      <c r="AJL54" s="76"/>
      <c r="AJM54" s="76"/>
      <c r="AJN54" s="76"/>
      <c r="AJO54" s="76"/>
      <c r="AJP54" s="76"/>
      <c r="AJQ54" s="76"/>
      <c r="AJR54" s="76"/>
      <c r="AJS54" s="76"/>
      <c r="AJT54" s="76"/>
      <c r="AJU54" s="76"/>
      <c r="AJV54" s="76"/>
      <c r="AJW54" s="76"/>
      <c r="AJX54" s="76"/>
      <c r="AJY54" s="76"/>
      <c r="AJZ54" s="76"/>
      <c r="AKA54" s="76"/>
      <c r="AKB54" s="76"/>
      <c r="AKC54" s="76"/>
      <c r="AKD54" s="76"/>
      <c r="AKE54" s="76"/>
      <c r="AKF54" s="76"/>
      <c r="AKG54" s="76"/>
      <c r="AKH54" s="76"/>
      <c r="AKI54" s="76"/>
      <c r="AKJ54" s="76"/>
      <c r="AKK54" s="76"/>
      <c r="AKL54" s="76"/>
      <c r="AKM54" s="76"/>
      <c r="AKN54" s="76"/>
      <c r="AKO54" s="76"/>
      <c r="AKP54" s="76"/>
      <c r="AKQ54" s="76"/>
      <c r="AKR54" s="76"/>
      <c r="AKS54" s="76"/>
      <c r="AKT54" s="76"/>
      <c r="AKU54" s="76"/>
      <c r="AKV54" s="76"/>
      <c r="AKW54" s="76"/>
      <c r="AKX54" s="76"/>
      <c r="AKY54" s="76"/>
      <c r="AKZ54" s="76"/>
      <c r="ALA54" s="76"/>
      <c r="ALB54" s="76"/>
      <c r="ALC54" s="76"/>
      <c r="ALD54" s="76"/>
      <c r="ALE54" s="76"/>
      <c r="ALF54" s="76"/>
      <c r="ALG54" s="76"/>
      <c r="ALH54" s="76"/>
      <c r="ALI54" s="76"/>
      <c r="ALJ54" s="76"/>
      <c r="ALK54" s="76"/>
      <c r="ALL54" s="76"/>
      <c r="ALM54" s="76"/>
      <c r="ALN54" s="76"/>
      <c r="ALO54" s="76"/>
      <c r="ALP54" s="76"/>
      <c r="ALQ54" s="76"/>
      <c r="ALR54" s="76"/>
      <c r="ALS54" s="76"/>
      <c r="ALT54" s="76"/>
      <c r="ALU54" s="76"/>
      <c r="ALV54" s="76"/>
      <c r="ALW54" s="76"/>
      <c r="ALX54" s="76"/>
      <c r="ALY54" s="76"/>
      <c r="ALZ54" s="76"/>
      <c r="AMA54" s="76"/>
      <c r="AMB54" s="76"/>
      <c r="AMC54" s="76"/>
      <c r="AMD54" s="76"/>
      <c r="AME54" s="76"/>
      <c r="AMF54" s="76"/>
      <c r="AMG54" s="76"/>
      <c r="AMH54" s="76"/>
      <c r="AMI54" s="76"/>
      <c r="AMJ54" s="76"/>
      <c r="AMK54" s="76"/>
      <c r="AML54" s="76"/>
      <c r="AMM54" s="76"/>
      <c r="AMN54" s="76"/>
      <c r="AMO54" s="76"/>
      <c r="AMP54" s="76"/>
      <c r="AMQ54" s="76"/>
      <c r="AMR54" s="76"/>
      <c r="AMS54" s="76"/>
      <c r="AMT54" s="76"/>
      <c r="AMU54" s="76"/>
      <c r="AMV54" s="76"/>
      <c r="AMW54" s="76"/>
      <c r="AMX54" s="76"/>
      <c r="AMY54" s="76"/>
      <c r="AMZ54" s="76"/>
      <c r="ANA54" s="76"/>
      <c r="ANB54" s="76"/>
      <c r="ANC54" s="76"/>
      <c r="AND54" s="76"/>
      <c r="ANE54" s="76"/>
      <c r="ANF54" s="76"/>
      <c r="ANG54" s="76"/>
      <c r="ANH54" s="76"/>
      <c r="ANI54" s="76"/>
      <c r="ANJ54" s="76"/>
      <c r="ANK54" s="76"/>
      <c r="ANL54" s="76"/>
      <c r="ANM54" s="76"/>
      <c r="ANN54" s="76"/>
      <c r="ANO54" s="76"/>
      <c r="ANP54" s="76"/>
      <c r="ANQ54" s="76"/>
      <c r="ANR54" s="76"/>
      <c r="ANS54" s="76"/>
      <c r="ANT54" s="76"/>
      <c r="ANU54" s="76"/>
      <c r="ANV54" s="76"/>
      <c r="ANW54" s="76"/>
      <c r="ANX54" s="76"/>
      <c r="ANY54" s="76"/>
      <c r="ANZ54" s="76"/>
      <c r="AOA54" s="76"/>
      <c r="AOB54" s="76"/>
      <c r="AOC54" s="76"/>
      <c r="AOD54" s="76"/>
      <c r="AOE54" s="76"/>
      <c r="AOF54" s="76"/>
      <c r="AOG54" s="76"/>
      <c r="AOH54" s="76"/>
      <c r="AOI54" s="76"/>
      <c r="AOJ54" s="76"/>
      <c r="AOK54" s="76"/>
      <c r="AOL54" s="76"/>
      <c r="AOM54" s="76"/>
      <c r="AON54" s="76"/>
      <c r="AOO54" s="76"/>
      <c r="AOP54" s="76"/>
      <c r="AOQ54" s="76"/>
      <c r="AOR54" s="76"/>
      <c r="AOS54" s="76"/>
      <c r="AOT54" s="76"/>
      <c r="AOU54" s="76"/>
      <c r="AOV54" s="76"/>
      <c r="AOW54" s="76"/>
      <c r="AOX54" s="76"/>
      <c r="AOY54" s="76"/>
      <c r="AOZ54" s="76"/>
      <c r="APA54" s="76"/>
      <c r="APB54" s="76"/>
      <c r="APC54" s="76"/>
      <c r="APD54" s="76"/>
      <c r="APE54" s="76"/>
      <c r="APF54" s="76"/>
      <c r="APG54" s="76"/>
      <c r="APH54" s="76"/>
      <c r="API54" s="76"/>
      <c r="APJ54" s="76"/>
      <c r="APK54" s="76"/>
      <c r="APL54" s="76"/>
      <c r="APM54" s="76"/>
      <c r="APN54" s="76"/>
      <c r="APO54" s="76"/>
      <c r="APP54" s="76"/>
      <c r="APQ54" s="76"/>
      <c r="APR54" s="76"/>
      <c r="APS54" s="76"/>
      <c r="APT54" s="76"/>
      <c r="APU54" s="76"/>
      <c r="APV54" s="76"/>
      <c r="APW54" s="76"/>
      <c r="APX54" s="76"/>
      <c r="APY54" s="76"/>
      <c r="APZ54" s="76"/>
      <c r="AQA54" s="76"/>
      <c r="AQB54" s="76"/>
      <c r="AQC54" s="76"/>
      <c r="AQD54" s="76"/>
      <c r="AQE54" s="76"/>
      <c r="AQF54" s="76"/>
      <c r="AQG54" s="76"/>
      <c r="AQH54" s="76"/>
      <c r="AQI54" s="76"/>
      <c r="AQJ54" s="76"/>
      <c r="AQK54" s="76"/>
      <c r="AQL54" s="76"/>
      <c r="AQM54" s="76"/>
      <c r="AQN54" s="76"/>
      <c r="AQO54" s="76"/>
      <c r="AQP54" s="76"/>
      <c r="AQQ54" s="76"/>
      <c r="AQR54" s="76"/>
      <c r="AQS54" s="76"/>
      <c r="AQT54" s="76"/>
      <c r="AQU54" s="76"/>
      <c r="AQV54" s="76"/>
      <c r="AQW54" s="76"/>
      <c r="AQX54" s="76"/>
      <c r="AQY54" s="76"/>
      <c r="AQZ54" s="76"/>
      <c r="ARA54" s="76"/>
      <c r="ARB54" s="76"/>
      <c r="ARC54" s="76"/>
      <c r="ARD54" s="76"/>
      <c r="ARE54" s="76"/>
      <c r="ARF54" s="76"/>
      <c r="ARG54" s="76"/>
      <c r="ARH54" s="76"/>
      <c r="ARI54" s="76"/>
      <c r="ARJ54" s="76"/>
      <c r="ARK54" s="76"/>
      <c r="ARL54" s="76"/>
      <c r="ARM54" s="76"/>
      <c r="ARN54" s="76"/>
      <c r="ARO54" s="76"/>
      <c r="ARP54" s="76"/>
      <c r="ARQ54" s="76"/>
      <c r="ARR54" s="76"/>
      <c r="ARS54" s="76"/>
      <c r="ART54" s="76"/>
      <c r="ARU54" s="76"/>
      <c r="ARV54" s="76"/>
      <c r="ARW54" s="76"/>
      <c r="ARX54" s="76"/>
      <c r="ARY54" s="76"/>
      <c r="ARZ54" s="76"/>
      <c r="ASA54" s="76"/>
      <c r="ASB54" s="76"/>
      <c r="ASC54" s="76"/>
      <c r="ASD54" s="76"/>
      <c r="ASE54" s="76"/>
      <c r="ASF54" s="76"/>
      <c r="ASG54" s="76"/>
      <c r="ASH54" s="76"/>
      <c r="ASI54" s="76"/>
      <c r="ASJ54" s="76"/>
      <c r="ASK54" s="76"/>
      <c r="ASL54" s="76"/>
      <c r="ASM54" s="76"/>
      <c r="ASN54" s="76"/>
      <c r="ASO54" s="76"/>
      <c r="ASP54" s="76"/>
      <c r="ASQ54" s="76"/>
      <c r="ASR54" s="76"/>
      <c r="ASS54" s="76"/>
      <c r="AST54" s="76"/>
      <c r="ASU54" s="76"/>
      <c r="ASV54" s="76"/>
      <c r="ASW54" s="76"/>
      <c r="ASX54" s="76"/>
      <c r="ASY54" s="76"/>
      <c r="ASZ54" s="76"/>
      <c r="ATA54" s="76"/>
      <c r="ATB54" s="76"/>
      <c r="ATC54" s="76"/>
      <c r="ATD54" s="76"/>
      <c r="ATE54" s="76"/>
      <c r="ATF54" s="76"/>
      <c r="ATG54" s="76"/>
      <c r="ATH54" s="76"/>
      <c r="ATI54" s="76"/>
      <c r="ATJ54" s="76"/>
      <c r="ATK54" s="76"/>
      <c r="ATL54" s="76"/>
      <c r="ATM54" s="76"/>
      <c r="ATN54" s="76"/>
      <c r="ATO54" s="76"/>
      <c r="ATP54" s="76"/>
      <c r="ATQ54" s="76"/>
      <c r="ATR54" s="76"/>
      <c r="ATS54" s="76"/>
      <c r="ATT54" s="76"/>
      <c r="ATU54" s="76"/>
      <c r="ATV54" s="76"/>
      <c r="ATW54" s="76"/>
      <c r="ATX54" s="76"/>
      <c r="ATY54" s="76"/>
      <c r="ATZ54" s="76"/>
      <c r="AUA54" s="76"/>
      <c r="AUB54" s="76"/>
      <c r="AUC54" s="76"/>
      <c r="AUD54" s="76"/>
      <c r="AUE54" s="76"/>
      <c r="AUF54" s="76"/>
      <c r="AUG54" s="76"/>
      <c r="AUH54" s="76"/>
      <c r="AUI54" s="76"/>
      <c r="AUJ54" s="76"/>
      <c r="AUK54" s="76"/>
      <c r="AUL54" s="76"/>
      <c r="AUM54" s="76"/>
      <c r="AUN54" s="76"/>
      <c r="AUO54" s="76"/>
      <c r="AUP54" s="76"/>
      <c r="AUQ54" s="76"/>
      <c r="AUR54" s="76"/>
      <c r="AUS54" s="76"/>
      <c r="AUT54" s="76"/>
      <c r="AUU54" s="76"/>
      <c r="AUV54" s="76"/>
      <c r="AUW54" s="76"/>
      <c r="AUX54" s="76"/>
      <c r="AUY54" s="76"/>
      <c r="AUZ54" s="76"/>
      <c r="AVA54" s="76"/>
      <c r="AVB54" s="76"/>
      <c r="AVC54" s="76"/>
      <c r="AVD54" s="76"/>
      <c r="AVE54" s="76"/>
      <c r="AVF54" s="76"/>
      <c r="AVG54" s="76"/>
      <c r="AVH54" s="76"/>
      <c r="AVI54" s="76"/>
      <c r="AVJ54" s="76"/>
      <c r="AVK54" s="76"/>
      <c r="AVL54" s="76"/>
      <c r="AVM54" s="76"/>
      <c r="AVN54" s="76"/>
      <c r="AVO54" s="76"/>
      <c r="AVP54" s="76"/>
      <c r="AVQ54" s="76"/>
      <c r="AVR54" s="76"/>
      <c r="AVS54" s="76"/>
      <c r="AVT54" s="76"/>
      <c r="AVU54" s="76"/>
      <c r="AVV54" s="76"/>
      <c r="AVW54" s="76"/>
      <c r="AVX54" s="76"/>
      <c r="AVY54" s="76"/>
      <c r="AVZ54" s="76"/>
      <c r="AWA54" s="76"/>
      <c r="AWB54" s="76"/>
      <c r="AWC54" s="76"/>
      <c r="AWD54" s="76"/>
      <c r="AWE54" s="76"/>
      <c r="AWF54" s="76"/>
      <c r="AWG54" s="76"/>
      <c r="AWH54" s="76"/>
      <c r="AWI54" s="76"/>
      <c r="AWJ54" s="76"/>
      <c r="AWK54" s="76"/>
      <c r="AWL54" s="76"/>
      <c r="AWM54" s="76"/>
      <c r="AWN54" s="76"/>
      <c r="AWO54" s="76"/>
      <c r="AWP54" s="76"/>
      <c r="AWQ54" s="76"/>
      <c r="AWR54" s="76"/>
      <c r="AWS54" s="76"/>
      <c r="AWT54" s="76"/>
      <c r="AWU54" s="76"/>
      <c r="AWV54" s="76"/>
      <c r="AWW54" s="76"/>
      <c r="AWX54" s="76"/>
      <c r="AWY54" s="76"/>
      <c r="AWZ54" s="76"/>
      <c r="AXA54" s="76"/>
      <c r="AXB54" s="76"/>
      <c r="AXC54" s="76"/>
      <c r="AXD54" s="76"/>
      <c r="AXE54" s="76"/>
      <c r="AXF54" s="76"/>
      <c r="AXG54" s="76"/>
      <c r="AXH54" s="76"/>
      <c r="AXI54" s="76"/>
      <c r="AXJ54" s="76"/>
      <c r="AXK54" s="76"/>
      <c r="AXL54" s="76"/>
      <c r="AXM54" s="76"/>
      <c r="AXN54" s="76"/>
      <c r="AXO54" s="76"/>
      <c r="AXP54" s="76"/>
      <c r="AXQ54" s="76"/>
      <c r="AXR54" s="76"/>
      <c r="AXS54" s="76"/>
      <c r="AXT54" s="76"/>
      <c r="AXU54" s="76"/>
      <c r="AXV54" s="76"/>
      <c r="AXW54" s="76"/>
      <c r="AXX54" s="76"/>
      <c r="AXY54" s="76"/>
      <c r="AXZ54" s="76"/>
      <c r="AYA54" s="76"/>
      <c r="AYB54" s="76"/>
      <c r="AYC54" s="76"/>
      <c r="AYD54" s="76"/>
      <c r="AYE54" s="76"/>
      <c r="AYF54" s="76"/>
      <c r="AYG54" s="76"/>
      <c r="AYH54" s="76"/>
      <c r="AYI54" s="76"/>
      <c r="AYJ54" s="76"/>
      <c r="AYK54" s="76"/>
      <c r="AYL54" s="76"/>
      <c r="AYM54" s="76"/>
      <c r="AYN54" s="76"/>
      <c r="AYO54" s="76"/>
      <c r="AYP54" s="76"/>
      <c r="AYQ54" s="76"/>
      <c r="AYR54" s="76"/>
      <c r="AYS54" s="76"/>
      <c r="AYT54" s="76"/>
      <c r="AYU54" s="76"/>
      <c r="AYV54" s="76"/>
      <c r="AYW54" s="76"/>
      <c r="AYX54" s="76"/>
      <c r="AYY54" s="76"/>
      <c r="AYZ54" s="76"/>
      <c r="AZA54" s="76"/>
      <c r="AZB54" s="76"/>
      <c r="AZC54" s="76"/>
      <c r="AZD54" s="76"/>
      <c r="AZE54" s="76"/>
      <c r="AZF54" s="76"/>
      <c r="AZG54" s="76"/>
      <c r="AZH54" s="76"/>
      <c r="AZI54" s="76"/>
      <c r="AZJ54" s="76"/>
      <c r="AZK54" s="76"/>
      <c r="AZL54" s="76"/>
      <c r="AZM54" s="76"/>
      <c r="AZN54" s="76"/>
      <c r="AZO54" s="76"/>
      <c r="AZP54" s="76"/>
      <c r="AZQ54" s="76"/>
      <c r="AZR54" s="76"/>
      <c r="AZS54" s="76"/>
      <c r="AZT54" s="76"/>
      <c r="AZU54" s="76"/>
      <c r="AZV54" s="76"/>
      <c r="AZW54" s="76"/>
      <c r="AZX54" s="76"/>
      <c r="AZY54" s="76"/>
      <c r="AZZ54" s="76"/>
      <c r="BAA54" s="76"/>
      <c r="BAB54" s="76"/>
      <c r="BAC54" s="76"/>
      <c r="BAD54" s="76"/>
      <c r="BAE54" s="76"/>
      <c r="BAF54" s="76"/>
      <c r="BAG54" s="76"/>
      <c r="BAH54" s="76"/>
      <c r="BAI54" s="76"/>
      <c r="BAJ54" s="76"/>
      <c r="BAK54" s="76"/>
      <c r="BAL54" s="76"/>
      <c r="BAM54" s="76"/>
      <c r="BAN54" s="76"/>
      <c r="BAO54" s="76"/>
      <c r="BAP54" s="76"/>
      <c r="BAQ54" s="76"/>
      <c r="BAR54" s="76"/>
      <c r="BAS54" s="76"/>
      <c r="BAT54" s="76"/>
      <c r="BAU54" s="76"/>
      <c r="BAV54" s="76"/>
      <c r="BAW54" s="76"/>
      <c r="BAX54" s="76"/>
      <c r="BAY54" s="76"/>
      <c r="BAZ54" s="76"/>
      <c r="BBA54" s="76"/>
      <c r="BBB54" s="76"/>
      <c r="BBC54" s="76"/>
      <c r="BBD54" s="76"/>
      <c r="BBE54" s="76"/>
      <c r="BBF54" s="76"/>
      <c r="BBG54" s="76"/>
      <c r="BBH54" s="76"/>
      <c r="BBI54" s="76"/>
      <c r="BBJ54" s="76"/>
      <c r="BBK54" s="76"/>
      <c r="BBL54" s="76"/>
      <c r="BBM54" s="76"/>
      <c r="BBN54" s="76"/>
      <c r="BBO54" s="76"/>
      <c r="BBP54" s="76"/>
      <c r="BBQ54" s="76"/>
      <c r="BBR54" s="76"/>
      <c r="BBS54" s="76"/>
      <c r="BBT54" s="76"/>
      <c r="BBU54" s="76"/>
      <c r="BBV54" s="76"/>
      <c r="BBW54" s="76"/>
      <c r="BBX54" s="76"/>
      <c r="BBY54" s="76"/>
      <c r="BBZ54" s="76"/>
      <c r="BCA54" s="76"/>
      <c r="BCB54" s="76"/>
      <c r="BCC54" s="76"/>
      <c r="BCD54" s="76"/>
      <c r="BCE54" s="76"/>
      <c r="BCF54" s="76"/>
      <c r="BCG54" s="76"/>
      <c r="BCH54" s="76"/>
      <c r="BCI54" s="76"/>
      <c r="BCJ54" s="76"/>
      <c r="BCK54" s="76"/>
      <c r="BCL54" s="76"/>
      <c r="BCM54" s="76"/>
      <c r="BCN54" s="76"/>
      <c r="BCO54" s="76"/>
      <c r="BCP54" s="76"/>
      <c r="BCQ54" s="76"/>
      <c r="BCR54" s="76"/>
      <c r="BCS54" s="76"/>
      <c r="BCT54" s="76"/>
      <c r="BCU54" s="76"/>
      <c r="BCV54" s="76"/>
      <c r="BCW54" s="76"/>
      <c r="BCX54" s="76"/>
      <c r="BCY54" s="76"/>
      <c r="BCZ54" s="76"/>
      <c r="BDA54" s="76"/>
      <c r="BDB54" s="76"/>
      <c r="BDC54" s="76"/>
      <c r="BDD54" s="76"/>
      <c r="BDE54" s="76"/>
      <c r="BDF54" s="76"/>
      <c r="BDG54" s="76"/>
      <c r="BDH54" s="76"/>
      <c r="BDI54" s="76"/>
      <c r="BDJ54" s="76"/>
      <c r="BDK54" s="76"/>
      <c r="BDL54" s="76"/>
      <c r="BDM54" s="76"/>
      <c r="BDN54" s="76"/>
      <c r="BDO54" s="76"/>
      <c r="BDP54" s="76"/>
      <c r="BDQ54" s="76"/>
      <c r="BDR54" s="76"/>
      <c r="BDS54" s="76"/>
      <c r="BDT54" s="76"/>
      <c r="BDU54" s="76"/>
      <c r="BDV54" s="76"/>
      <c r="BDW54" s="76"/>
      <c r="BDX54" s="76"/>
      <c r="BDY54" s="76"/>
      <c r="BDZ54" s="76"/>
      <c r="BEA54" s="76"/>
      <c r="BEB54" s="76"/>
      <c r="BEC54" s="76"/>
      <c r="BED54" s="76"/>
      <c r="BEE54" s="76"/>
      <c r="BEF54" s="76"/>
      <c r="BEG54" s="76"/>
      <c r="BEH54" s="76"/>
      <c r="BEI54" s="76"/>
      <c r="BEJ54" s="76"/>
      <c r="BEK54" s="76"/>
      <c r="BEL54" s="76"/>
      <c r="BEM54" s="76"/>
      <c r="BEN54" s="76"/>
      <c r="BEO54" s="76"/>
      <c r="BEP54" s="76"/>
      <c r="BEQ54" s="76"/>
      <c r="BER54" s="76"/>
      <c r="BES54" s="76"/>
      <c r="BET54" s="76"/>
      <c r="BEU54" s="76"/>
      <c r="BEV54" s="76"/>
      <c r="BEW54" s="76"/>
      <c r="BEX54" s="76"/>
      <c r="BEY54" s="76"/>
      <c r="BEZ54" s="76"/>
      <c r="BFA54" s="76"/>
      <c r="BFB54" s="76"/>
      <c r="BFC54" s="76"/>
      <c r="BFD54" s="76"/>
      <c r="BFE54" s="76"/>
      <c r="BFF54" s="76"/>
      <c r="BFG54" s="76"/>
      <c r="BFH54" s="76"/>
      <c r="BFI54" s="76"/>
      <c r="BFJ54" s="76"/>
      <c r="BFK54" s="76"/>
      <c r="BFL54" s="76"/>
      <c r="BFM54" s="76"/>
      <c r="BFN54" s="76"/>
      <c r="BFO54" s="76"/>
      <c r="BFP54" s="76"/>
      <c r="BFQ54" s="76"/>
      <c r="BFR54" s="76"/>
      <c r="BFS54" s="76"/>
      <c r="BFT54" s="76"/>
      <c r="BFU54" s="76"/>
      <c r="BFV54" s="76"/>
      <c r="BFW54" s="76"/>
      <c r="BFX54" s="76"/>
      <c r="BFY54" s="76"/>
      <c r="BFZ54" s="76"/>
      <c r="BGA54" s="76"/>
      <c r="BGB54" s="76"/>
      <c r="BGC54" s="76"/>
      <c r="BGD54" s="76"/>
      <c r="BGE54" s="76"/>
      <c r="BGF54" s="76"/>
      <c r="BGG54" s="76"/>
      <c r="BGH54" s="76"/>
      <c r="BGI54" s="76"/>
      <c r="BGJ54" s="76"/>
      <c r="BGK54" s="76"/>
      <c r="BGL54" s="76"/>
      <c r="BGM54" s="76"/>
      <c r="BGN54" s="76"/>
      <c r="BGO54" s="76"/>
      <c r="BGP54" s="76"/>
      <c r="BGQ54" s="76"/>
      <c r="BGR54" s="76"/>
      <c r="BGS54" s="76"/>
      <c r="BGT54" s="76"/>
      <c r="BGU54" s="76"/>
      <c r="BGV54" s="76"/>
      <c r="BGW54" s="76"/>
      <c r="BGX54" s="76"/>
      <c r="BGY54" s="76"/>
      <c r="BGZ54" s="76"/>
      <c r="BHA54" s="76"/>
      <c r="BHB54" s="76"/>
      <c r="BHC54" s="76"/>
      <c r="BHD54" s="76"/>
      <c r="BHE54" s="76"/>
      <c r="BHF54" s="76"/>
      <c r="BHG54" s="76"/>
      <c r="BHH54" s="76"/>
      <c r="BHI54" s="76"/>
      <c r="BHJ54" s="76"/>
      <c r="BHK54" s="76"/>
      <c r="BHL54" s="76"/>
      <c r="BHM54" s="76"/>
      <c r="BHN54" s="76"/>
      <c r="BHO54" s="76"/>
      <c r="BHP54" s="76"/>
      <c r="BHQ54" s="76"/>
      <c r="BHR54" s="76"/>
      <c r="BHS54" s="76"/>
      <c r="BHT54" s="76"/>
      <c r="BHU54" s="76"/>
      <c r="BHV54" s="76"/>
      <c r="BHW54" s="76"/>
      <c r="BHX54" s="76"/>
      <c r="BHY54" s="76"/>
      <c r="BHZ54" s="76"/>
      <c r="BIA54" s="76"/>
      <c r="BIB54" s="76"/>
      <c r="BIC54" s="76"/>
      <c r="BID54" s="76"/>
      <c r="BIE54" s="76"/>
      <c r="BIF54" s="76"/>
      <c r="BIG54" s="76"/>
      <c r="BIH54" s="76"/>
      <c r="BII54" s="76"/>
      <c r="BIJ54" s="76"/>
      <c r="BIK54" s="76"/>
      <c r="BIL54" s="76"/>
      <c r="BIM54" s="76"/>
      <c r="BIN54" s="76"/>
      <c r="BIO54" s="76"/>
      <c r="BIP54" s="76"/>
      <c r="BIQ54" s="76"/>
      <c r="BIR54" s="76"/>
      <c r="BIS54" s="76"/>
      <c r="BIT54" s="76"/>
      <c r="BIU54" s="76"/>
      <c r="BIV54" s="76"/>
      <c r="BIW54" s="76"/>
      <c r="BIX54" s="76"/>
      <c r="BIY54" s="76"/>
      <c r="BIZ54" s="76"/>
      <c r="BJA54" s="76"/>
      <c r="BJB54" s="76"/>
      <c r="BJC54" s="76"/>
      <c r="BJD54" s="76"/>
      <c r="BJE54" s="76"/>
      <c r="BJF54" s="76"/>
      <c r="BJG54" s="76"/>
      <c r="BJH54" s="76"/>
      <c r="BJI54" s="76"/>
      <c r="BJJ54" s="76"/>
      <c r="BJK54" s="76"/>
      <c r="BJL54" s="76"/>
      <c r="BJM54" s="76"/>
      <c r="BJN54" s="76"/>
      <c r="BJO54" s="76"/>
      <c r="BJP54" s="76"/>
      <c r="BJQ54" s="76"/>
      <c r="BJR54" s="76"/>
      <c r="BJS54" s="76"/>
      <c r="BJT54" s="76"/>
      <c r="BJU54" s="76"/>
      <c r="BJV54" s="76"/>
      <c r="BJW54" s="76"/>
      <c r="BJX54" s="76"/>
      <c r="BJY54" s="76"/>
      <c r="BJZ54" s="76"/>
      <c r="BKA54" s="76"/>
      <c r="BKB54" s="76"/>
      <c r="BKC54" s="76"/>
      <c r="BKD54" s="76"/>
      <c r="BKE54" s="76"/>
      <c r="BKF54" s="76"/>
      <c r="BKG54" s="76"/>
      <c r="BKH54" s="76"/>
      <c r="BKI54" s="76"/>
      <c r="BKJ54" s="76"/>
      <c r="BKK54" s="76"/>
      <c r="BKL54" s="76"/>
      <c r="BKM54" s="76"/>
      <c r="BKN54" s="76"/>
      <c r="BKO54" s="76"/>
      <c r="BKP54" s="76"/>
      <c r="BKQ54" s="76"/>
      <c r="BKR54" s="76"/>
      <c r="BKS54" s="76"/>
      <c r="BKT54" s="76"/>
      <c r="BKU54" s="76"/>
      <c r="BKV54" s="76"/>
      <c r="BKW54" s="76"/>
      <c r="BKX54" s="76"/>
      <c r="BKY54" s="76"/>
      <c r="BKZ54" s="76"/>
      <c r="BLA54" s="76"/>
      <c r="BLB54" s="76"/>
      <c r="BLC54" s="76"/>
      <c r="BLD54" s="76"/>
      <c r="BLE54" s="76"/>
      <c r="BLF54" s="76"/>
      <c r="BLG54" s="76"/>
      <c r="BLH54" s="76"/>
      <c r="BLI54" s="76"/>
      <c r="BLJ54" s="76"/>
      <c r="BLK54" s="76"/>
      <c r="BLL54" s="76"/>
      <c r="BLM54" s="76"/>
      <c r="BLN54" s="76"/>
      <c r="BLO54" s="76"/>
      <c r="BLP54" s="76"/>
      <c r="BLQ54" s="76"/>
      <c r="BLR54" s="76"/>
      <c r="BLS54" s="76"/>
      <c r="BLT54" s="76"/>
      <c r="BLU54" s="76"/>
      <c r="BLV54" s="76"/>
      <c r="BLW54" s="76"/>
      <c r="BLX54" s="76"/>
      <c r="BLY54" s="76"/>
      <c r="BLZ54" s="76"/>
      <c r="BMA54" s="76"/>
      <c r="BMB54" s="76"/>
      <c r="BMC54" s="76"/>
      <c r="BMD54" s="76"/>
      <c r="BME54" s="76"/>
      <c r="BMF54" s="76"/>
      <c r="BMG54" s="76"/>
      <c r="BMH54" s="76"/>
      <c r="BMI54" s="76"/>
      <c r="BMJ54" s="76"/>
      <c r="BMK54" s="76"/>
      <c r="BML54" s="76"/>
      <c r="BMM54" s="76"/>
      <c r="BMN54" s="76"/>
      <c r="BMO54" s="76"/>
      <c r="BMP54" s="76"/>
      <c r="BMQ54" s="76"/>
      <c r="BMR54" s="76"/>
      <c r="BMS54" s="76"/>
      <c r="BMT54" s="76"/>
      <c r="BMU54" s="76"/>
      <c r="BMV54" s="76"/>
      <c r="BMW54" s="76"/>
      <c r="BMX54" s="76"/>
      <c r="BMY54" s="76"/>
      <c r="BMZ54" s="76"/>
      <c r="BNA54" s="76"/>
      <c r="BNB54" s="76"/>
      <c r="BNC54" s="76"/>
      <c r="BND54" s="76"/>
      <c r="BNE54" s="76"/>
      <c r="BNF54" s="76"/>
      <c r="BNG54" s="76"/>
      <c r="BNH54" s="76"/>
      <c r="BNI54" s="76"/>
      <c r="BNJ54" s="76"/>
      <c r="BNK54" s="76"/>
      <c r="BNL54" s="76"/>
      <c r="BNM54" s="76"/>
      <c r="BNN54" s="76"/>
      <c r="BNO54" s="76"/>
      <c r="BNP54" s="76"/>
      <c r="BNQ54" s="76"/>
      <c r="BNR54" s="76"/>
      <c r="BNS54" s="76"/>
      <c r="BNT54" s="76"/>
      <c r="BNU54" s="76"/>
      <c r="BNV54" s="76"/>
      <c r="BNW54" s="76"/>
      <c r="BNX54" s="76"/>
      <c r="BNY54" s="76"/>
      <c r="BNZ54" s="76"/>
      <c r="BOA54" s="76"/>
      <c r="BOB54" s="76"/>
      <c r="BOC54" s="76"/>
      <c r="BOD54" s="76"/>
      <c r="BOE54" s="76"/>
      <c r="BOF54" s="76"/>
      <c r="BOG54" s="76"/>
      <c r="BOH54" s="76"/>
      <c r="BOI54" s="76"/>
      <c r="BOJ54" s="76"/>
      <c r="BOK54" s="76"/>
      <c r="BOL54" s="76"/>
      <c r="BOM54" s="76"/>
      <c r="BON54" s="76"/>
      <c r="BOO54" s="76"/>
      <c r="BOP54" s="76"/>
      <c r="BOQ54" s="76"/>
      <c r="BOR54" s="76"/>
      <c r="BOS54" s="76"/>
      <c r="BOT54" s="76"/>
      <c r="BOU54" s="76"/>
      <c r="BOV54" s="76"/>
      <c r="BOW54" s="76"/>
      <c r="BOX54" s="76"/>
      <c r="BOY54" s="76"/>
      <c r="BOZ54" s="76"/>
      <c r="BPA54" s="76"/>
      <c r="BPB54" s="76"/>
      <c r="BPC54" s="76"/>
      <c r="BPD54" s="76"/>
      <c r="BPE54" s="76"/>
      <c r="BPF54" s="76"/>
      <c r="BPG54" s="76"/>
      <c r="BPH54" s="76"/>
      <c r="BPI54" s="76"/>
      <c r="BPJ54" s="76"/>
      <c r="BPK54" s="76"/>
      <c r="BPL54" s="76"/>
      <c r="BPM54" s="76"/>
      <c r="BPN54" s="76"/>
      <c r="BPO54" s="76"/>
      <c r="BPP54" s="76"/>
      <c r="BPQ54" s="76"/>
      <c r="BPR54" s="76"/>
      <c r="BPS54" s="76"/>
      <c r="BPT54" s="76"/>
      <c r="BPU54" s="76"/>
      <c r="BPV54" s="76"/>
      <c r="BPW54" s="76"/>
      <c r="BPX54" s="76"/>
      <c r="BPY54" s="76"/>
      <c r="BPZ54" s="76"/>
      <c r="BQA54" s="76"/>
      <c r="BQB54" s="76"/>
      <c r="BQC54" s="76"/>
      <c r="BQD54" s="76"/>
      <c r="BQE54" s="76"/>
      <c r="BQF54" s="76"/>
      <c r="BQG54" s="76"/>
      <c r="BQH54" s="76"/>
      <c r="BQI54" s="76"/>
      <c r="BQJ54" s="76"/>
      <c r="BQK54" s="76"/>
      <c r="BQL54" s="76"/>
      <c r="BQM54" s="76"/>
      <c r="BQN54" s="76"/>
      <c r="BQO54" s="76"/>
      <c r="BQP54" s="76"/>
      <c r="BQQ54" s="76"/>
      <c r="BQR54" s="76"/>
      <c r="BQS54" s="76"/>
      <c r="BQT54" s="76"/>
      <c r="BQU54" s="76"/>
      <c r="BQV54" s="76"/>
      <c r="BQW54" s="76"/>
      <c r="BQX54" s="76"/>
      <c r="BQY54" s="76"/>
      <c r="BQZ54" s="76"/>
      <c r="BRA54" s="76"/>
      <c r="BRB54" s="76"/>
      <c r="BRC54" s="76"/>
      <c r="BRD54" s="76"/>
      <c r="BRE54" s="76"/>
      <c r="BRF54" s="76"/>
      <c r="BRG54" s="76"/>
      <c r="BRH54" s="76"/>
      <c r="BRI54" s="76"/>
      <c r="BRJ54" s="76"/>
      <c r="BRK54" s="76"/>
      <c r="BRL54" s="76"/>
      <c r="BRM54" s="76"/>
      <c r="BRN54" s="76"/>
      <c r="BRO54" s="76"/>
      <c r="BRP54" s="76"/>
      <c r="BRQ54" s="76"/>
      <c r="BRR54" s="76"/>
      <c r="BRS54" s="76"/>
      <c r="BRT54" s="76"/>
      <c r="BRU54" s="76"/>
      <c r="BRV54" s="76"/>
      <c r="BRW54" s="76"/>
      <c r="BRX54" s="76"/>
      <c r="BRY54" s="76"/>
      <c r="BRZ54" s="76"/>
      <c r="BSA54" s="76"/>
      <c r="BSB54" s="76"/>
      <c r="BSC54" s="76"/>
      <c r="BSD54" s="76"/>
      <c r="BSE54" s="76"/>
      <c r="BSF54" s="76"/>
      <c r="BSG54" s="76"/>
      <c r="BSH54" s="76"/>
      <c r="BSI54" s="76"/>
      <c r="BSJ54" s="76"/>
      <c r="BSK54" s="76"/>
      <c r="BSL54" s="76"/>
      <c r="BSM54" s="76"/>
      <c r="BSN54" s="76"/>
      <c r="BSO54" s="76"/>
      <c r="BSP54" s="76"/>
      <c r="BSQ54" s="76"/>
      <c r="BSR54" s="76"/>
      <c r="BSS54" s="76"/>
      <c r="BST54" s="76"/>
      <c r="BSU54" s="76"/>
      <c r="BSV54" s="76"/>
      <c r="BSW54" s="76"/>
      <c r="BSX54" s="76"/>
      <c r="BSY54" s="76"/>
      <c r="BSZ54" s="76"/>
      <c r="BTA54" s="76"/>
      <c r="BTB54" s="76"/>
      <c r="BTC54" s="76"/>
      <c r="BTD54" s="76"/>
      <c r="BTE54" s="76"/>
      <c r="BTF54" s="76"/>
      <c r="BTG54" s="76"/>
      <c r="BTH54" s="76"/>
      <c r="BTI54" s="76"/>
      <c r="BTJ54" s="76"/>
      <c r="BTK54" s="76"/>
      <c r="BTL54" s="76"/>
      <c r="BTM54" s="76"/>
      <c r="BTN54" s="76"/>
      <c r="BTO54" s="76"/>
      <c r="BTP54" s="76"/>
      <c r="BTQ54" s="76"/>
      <c r="BTR54" s="76"/>
      <c r="BTS54" s="76"/>
      <c r="BTT54" s="76"/>
      <c r="BTU54" s="76"/>
      <c r="BTV54" s="76"/>
      <c r="BTW54" s="76"/>
      <c r="BTX54" s="76"/>
      <c r="BTY54" s="76"/>
      <c r="BTZ54" s="76"/>
      <c r="BUA54" s="76"/>
      <c r="BUB54" s="76"/>
      <c r="BUC54" s="76"/>
      <c r="BUD54" s="76"/>
      <c r="BUE54" s="76"/>
      <c r="BUF54" s="76"/>
      <c r="BUG54" s="76"/>
      <c r="BUH54" s="76"/>
      <c r="BUI54" s="76"/>
      <c r="BUJ54" s="76"/>
      <c r="BUK54" s="76"/>
      <c r="BUL54" s="76"/>
      <c r="BUM54" s="76"/>
      <c r="BUN54" s="76"/>
      <c r="BUO54" s="76"/>
      <c r="BUP54" s="76"/>
      <c r="BUQ54" s="76"/>
      <c r="BUR54" s="76"/>
      <c r="BUS54" s="76"/>
      <c r="BUT54" s="76"/>
      <c r="BUU54" s="76"/>
      <c r="BUV54" s="76"/>
      <c r="BUW54" s="76"/>
      <c r="BUX54" s="76"/>
      <c r="BUY54" s="76"/>
      <c r="BUZ54" s="76"/>
      <c r="BVA54" s="76"/>
      <c r="BVB54" s="76"/>
      <c r="BVC54" s="76"/>
      <c r="BVD54" s="76"/>
      <c r="BVE54" s="76"/>
      <c r="BVF54" s="76"/>
      <c r="BVG54" s="76"/>
      <c r="BVH54" s="76"/>
      <c r="BVI54" s="76"/>
      <c r="BVJ54" s="76"/>
      <c r="BVK54" s="76"/>
      <c r="BVL54" s="76"/>
      <c r="BVM54" s="76"/>
      <c r="BVN54" s="76"/>
      <c r="BVO54" s="76"/>
      <c r="BVP54" s="76"/>
      <c r="BVQ54" s="76"/>
      <c r="BVR54" s="76"/>
      <c r="BVS54" s="76"/>
      <c r="BVT54" s="76"/>
      <c r="BVU54" s="76"/>
      <c r="BVV54" s="76"/>
      <c r="BVW54" s="76"/>
      <c r="BVX54" s="76"/>
      <c r="BVY54" s="76"/>
      <c r="BVZ54" s="76"/>
      <c r="BWA54" s="76"/>
      <c r="BWB54" s="76"/>
      <c r="BWC54" s="76"/>
      <c r="BWD54" s="76"/>
      <c r="BWE54" s="76"/>
      <c r="BWF54" s="76"/>
      <c r="BWG54" s="76"/>
      <c r="BWH54" s="76"/>
      <c r="BWI54" s="76"/>
      <c r="BWJ54" s="76"/>
      <c r="BWK54" s="76"/>
      <c r="BWL54" s="76"/>
      <c r="BWM54" s="76"/>
      <c r="BWN54" s="76"/>
      <c r="BWO54" s="76"/>
      <c r="BWP54" s="76"/>
      <c r="BWQ54" s="76"/>
      <c r="BWR54" s="76"/>
      <c r="BWS54" s="76"/>
      <c r="BWT54" s="76"/>
      <c r="BWU54" s="76"/>
      <c r="BWV54" s="76"/>
      <c r="BWW54" s="76"/>
      <c r="BWX54" s="76"/>
      <c r="BWY54" s="76"/>
      <c r="BWZ54" s="76"/>
      <c r="BXA54" s="76"/>
      <c r="BXB54" s="76"/>
      <c r="BXC54" s="76"/>
      <c r="BXD54" s="76"/>
      <c r="BXE54" s="76"/>
      <c r="BXF54" s="76"/>
      <c r="BXG54" s="76"/>
      <c r="BXH54" s="76"/>
      <c r="BXI54" s="76"/>
      <c r="BXJ54" s="76"/>
      <c r="BXK54" s="76"/>
      <c r="BXL54" s="76"/>
      <c r="BXM54" s="76"/>
      <c r="BXN54" s="76"/>
      <c r="BXO54" s="76"/>
      <c r="BXP54" s="76"/>
      <c r="BXQ54" s="76"/>
      <c r="BXR54" s="76"/>
      <c r="BXS54" s="76"/>
      <c r="BXT54" s="76"/>
      <c r="BXU54" s="76"/>
      <c r="BXV54" s="76"/>
      <c r="BXW54" s="76"/>
      <c r="BXX54" s="76"/>
      <c r="BXY54" s="76"/>
      <c r="BXZ54" s="76"/>
      <c r="BYA54" s="76"/>
      <c r="BYB54" s="76"/>
      <c r="BYC54" s="76"/>
      <c r="BYD54" s="76"/>
      <c r="BYE54" s="76"/>
      <c r="BYF54" s="76"/>
      <c r="BYG54" s="76"/>
      <c r="BYH54" s="76"/>
      <c r="BYI54" s="76"/>
      <c r="BYJ54" s="76"/>
      <c r="BYK54" s="76"/>
      <c r="BYL54" s="76"/>
      <c r="BYM54" s="76"/>
      <c r="BYN54" s="76"/>
      <c r="BYO54" s="76"/>
      <c r="BYP54" s="76"/>
      <c r="BYQ54" s="76"/>
      <c r="BYR54" s="76"/>
      <c r="BYS54" s="76"/>
      <c r="BYT54" s="76"/>
      <c r="BYU54" s="76"/>
      <c r="BYV54" s="76"/>
      <c r="BYW54" s="76"/>
      <c r="BYX54" s="76"/>
      <c r="BYY54" s="76"/>
      <c r="BYZ54" s="76"/>
      <c r="BZA54" s="76"/>
      <c r="BZB54" s="76"/>
      <c r="BZC54" s="76"/>
      <c r="BZD54" s="76"/>
      <c r="BZE54" s="76"/>
      <c r="BZF54" s="76"/>
      <c r="BZG54" s="76"/>
      <c r="BZH54" s="76"/>
      <c r="BZI54" s="76"/>
      <c r="BZJ54" s="76"/>
      <c r="BZK54" s="76"/>
      <c r="BZL54" s="76"/>
      <c r="BZM54" s="76"/>
      <c r="BZN54" s="76"/>
      <c r="BZO54" s="76"/>
      <c r="BZP54" s="76"/>
      <c r="BZQ54" s="76"/>
      <c r="BZR54" s="76"/>
      <c r="BZS54" s="76"/>
      <c r="BZT54" s="76"/>
      <c r="BZU54" s="76"/>
      <c r="BZV54" s="76"/>
      <c r="BZW54" s="76"/>
      <c r="BZX54" s="76"/>
      <c r="BZY54" s="76"/>
      <c r="BZZ54" s="76"/>
      <c r="CAA54" s="76"/>
      <c r="CAB54" s="76"/>
      <c r="CAC54" s="76"/>
      <c r="CAD54" s="76"/>
      <c r="CAE54" s="76"/>
      <c r="CAF54" s="76"/>
      <c r="CAG54" s="76"/>
      <c r="CAH54" s="76"/>
      <c r="CAI54" s="76"/>
      <c r="CAJ54" s="76"/>
      <c r="CAK54" s="76"/>
      <c r="CAL54" s="76"/>
      <c r="CAM54" s="76"/>
      <c r="CAN54" s="76"/>
      <c r="CAO54" s="76"/>
      <c r="CAP54" s="76"/>
      <c r="CAQ54" s="76"/>
      <c r="CAR54" s="76"/>
      <c r="CAS54" s="76"/>
      <c r="CAT54" s="76"/>
      <c r="CAU54" s="76"/>
      <c r="CAV54" s="76"/>
      <c r="CAW54" s="76"/>
      <c r="CAX54" s="76"/>
      <c r="CAY54" s="76"/>
      <c r="CAZ54" s="76"/>
      <c r="CBA54" s="76"/>
      <c r="CBB54" s="76"/>
      <c r="CBC54" s="76"/>
      <c r="CBD54" s="76"/>
      <c r="CBE54" s="76"/>
      <c r="CBF54" s="76"/>
      <c r="CBG54" s="76"/>
      <c r="CBH54" s="76"/>
      <c r="CBI54" s="76"/>
      <c r="CBJ54" s="76"/>
      <c r="CBK54" s="76"/>
      <c r="CBL54" s="76"/>
      <c r="CBM54" s="76"/>
      <c r="CBN54" s="76"/>
      <c r="CBO54" s="76"/>
      <c r="CBP54" s="76"/>
      <c r="CBQ54" s="76"/>
      <c r="CBR54" s="76"/>
      <c r="CBS54" s="76"/>
      <c r="CBT54" s="76"/>
      <c r="CBU54" s="76"/>
      <c r="CBV54" s="76"/>
      <c r="CBW54" s="76"/>
      <c r="CBX54" s="76"/>
      <c r="CBY54" s="76"/>
      <c r="CBZ54" s="76"/>
      <c r="CCA54" s="76"/>
      <c r="CCB54" s="76"/>
      <c r="CCC54" s="76"/>
      <c r="CCD54" s="76"/>
      <c r="CCE54" s="76"/>
      <c r="CCF54" s="76"/>
      <c r="CCG54" s="76"/>
      <c r="CCH54" s="76"/>
      <c r="CCI54" s="76"/>
      <c r="CCJ54" s="76"/>
      <c r="CCK54" s="76"/>
      <c r="CCL54" s="76"/>
      <c r="CCM54" s="76"/>
      <c r="CCN54" s="76"/>
      <c r="CCO54" s="76"/>
      <c r="CCP54" s="76"/>
      <c r="CCQ54" s="76"/>
      <c r="CCR54" s="76"/>
      <c r="CCS54" s="76"/>
      <c r="CCT54" s="76"/>
      <c r="CCU54" s="76"/>
      <c r="CCV54" s="76"/>
      <c r="CCW54" s="76"/>
      <c r="CCX54" s="76"/>
      <c r="CCY54" s="76"/>
      <c r="CCZ54" s="76"/>
      <c r="CDA54" s="76"/>
      <c r="CDB54" s="76"/>
      <c r="CDC54" s="76"/>
      <c r="CDD54" s="76"/>
      <c r="CDE54" s="76"/>
      <c r="CDF54" s="76"/>
      <c r="CDG54" s="76"/>
      <c r="CDH54" s="76"/>
      <c r="CDI54" s="76"/>
      <c r="CDJ54" s="76"/>
      <c r="CDK54" s="76"/>
      <c r="CDL54" s="76"/>
      <c r="CDM54" s="76"/>
      <c r="CDN54" s="76"/>
      <c r="CDO54" s="76"/>
      <c r="CDP54" s="76"/>
      <c r="CDQ54" s="76"/>
      <c r="CDR54" s="76"/>
      <c r="CDS54" s="76"/>
      <c r="CDT54" s="76"/>
      <c r="CDU54" s="76"/>
      <c r="CDV54" s="76"/>
      <c r="CDW54" s="76"/>
      <c r="CDX54" s="76"/>
      <c r="CDY54" s="76"/>
      <c r="CDZ54" s="76"/>
      <c r="CEA54" s="76"/>
      <c r="CEB54" s="76"/>
      <c r="CEC54" s="76"/>
      <c r="CED54" s="76"/>
      <c r="CEE54" s="76"/>
      <c r="CEF54" s="76"/>
      <c r="CEG54" s="76"/>
      <c r="CEH54" s="76"/>
      <c r="CEI54" s="76"/>
      <c r="CEJ54" s="76"/>
      <c r="CEK54" s="76"/>
      <c r="CEL54" s="76"/>
      <c r="CEM54" s="76"/>
      <c r="CEN54" s="76"/>
      <c r="CEO54" s="76"/>
      <c r="CEP54" s="76"/>
      <c r="CEQ54" s="76"/>
      <c r="CER54" s="76"/>
      <c r="CES54" s="76"/>
      <c r="CET54" s="76"/>
      <c r="CEU54" s="76"/>
      <c r="CEV54" s="76"/>
      <c r="CEW54" s="76"/>
      <c r="CEX54" s="76"/>
      <c r="CEY54" s="76"/>
      <c r="CEZ54" s="76"/>
      <c r="CFA54" s="76"/>
      <c r="CFB54" s="76"/>
      <c r="CFC54" s="76"/>
      <c r="CFD54" s="76"/>
      <c r="CFE54" s="76"/>
      <c r="CFF54" s="76"/>
      <c r="CFG54" s="76"/>
      <c r="CFH54" s="76"/>
      <c r="CFI54" s="76"/>
      <c r="CFJ54" s="76"/>
      <c r="CFK54" s="76"/>
      <c r="CFL54" s="76"/>
      <c r="CFM54" s="76"/>
      <c r="CFN54" s="76"/>
      <c r="CFO54" s="76"/>
      <c r="CFP54" s="76"/>
      <c r="CFQ54" s="76"/>
      <c r="CFR54" s="76"/>
      <c r="CFS54" s="76"/>
      <c r="CFT54" s="76"/>
      <c r="CFU54" s="76"/>
      <c r="CFV54" s="76"/>
      <c r="CFW54" s="76"/>
      <c r="CFX54" s="76"/>
      <c r="CFY54" s="76"/>
      <c r="CFZ54" s="76"/>
      <c r="CGA54" s="76"/>
      <c r="CGB54" s="76"/>
      <c r="CGC54" s="76"/>
      <c r="CGD54" s="76"/>
      <c r="CGE54" s="76"/>
      <c r="CGF54" s="76"/>
      <c r="CGG54" s="76"/>
      <c r="CGH54" s="76"/>
      <c r="CGI54" s="76"/>
      <c r="CGJ54" s="76"/>
      <c r="CGK54" s="76"/>
      <c r="CGL54" s="76"/>
      <c r="CGM54" s="76"/>
      <c r="CGN54" s="76"/>
      <c r="CGO54" s="76"/>
      <c r="CGP54" s="76"/>
      <c r="CGQ54" s="76"/>
      <c r="CGR54" s="76"/>
      <c r="CGS54" s="76"/>
      <c r="CGT54" s="76"/>
      <c r="CGU54" s="76"/>
      <c r="CGV54" s="76"/>
      <c r="CGW54" s="76"/>
      <c r="CGX54" s="76"/>
      <c r="CGY54" s="76"/>
      <c r="CGZ54" s="76"/>
      <c r="CHA54" s="76"/>
      <c r="CHB54" s="76"/>
      <c r="CHC54" s="76"/>
      <c r="CHD54" s="76"/>
      <c r="CHE54" s="76"/>
      <c r="CHF54" s="76"/>
      <c r="CHG54" s="76"/>
      <c r="CHH54" s="76"/>
      <c r="CHI54" s="76"/>
      <c r="CHJ54" s="76"/>
      <c r="CHK54" s="76"/>
      <c r="CHL54" s="76"/>
      <c r="CHM54" s="76"/>
      <c r="CHN54" s="76"/>
      <c r="CHO54" s="76"/>
      <c r="CHP54" s="76"/>
      <c r="CHQ54" s="76"/>
      <c r="CHR54" s="76"/>
      <c r="CHS54" s="76"/>
      <c r="CHT54" s="76"/>
      <c r="CHU54" s="76"/>
      <c r="CHV54" s="76"/>
      <c r="CHW54" s="76"/>
      <c r="CHX54" s="76"/>
      <c r="CHY54" s="76"/>
      <c r="CHZ54" s="76"/>
      <c r="CIA54" s="76"/>
      <c r="CIB54" s="76"/>
      <c r="CIC54" s="76"/>
      <c r="CID54" s="76"/>
      <c r="CIE54" s="76"/>
      <c r="CIF54" s="76"/>
      <c r="CIG54" s="76"/>
      <c r="CIH54" s="76"/>
      <c r="CII54" s="76"/>
      <c r="CIJ54" s="76"/>
      <c r="CIK54" s="76"/>
      <c r="CIL54" s="76"/>
      <c r="CIM54" s="76"/>
      <c r="CIN54" s="76"/>
      <c r="CIO54" s="76"/>
      <c r="CIP54" s="76"/>
      <c r="CIQ54" s="76"/>
      <c r="CIR54" s="76"/>
      <c r="CIS54" s="76"/>
      <c r="CIT54" s="76"/>
      <c r="CIU54" s="76"/>
      <c r="CIV54" s="76"/>
      <c r="CIW54" s="76"/>
      <c r="CIX54" s="76"/>
      <c r="CIY54" s="76"/>
      <c r="CIZ54" s="76"/>
      <c r="CJA54" s="76"/>
      <c r="CJB54" s="76"/>
      <c r="CJC54" s="76"/>
      <c r="CJD54" s="76"/>
      <c r="CJE54" s="76"/>
      <c r="CJF54" s="76"/>
      <c r="CJG54" s="76"/>
      <c r="CJH54" s="76"/>
      <c r="CJI54" s="76"/>
      <c r="CJJ54" s="76"/>
      <c r="CJK54" s="76"/>
      <c r="CJL54" s="76"/>
      <c r="CJM54" s="76"/>
      <c r="CJN54" s="76"/>
      <c r="CJO54" s="76"/>
      <c r="CJP54" s="76"/>
      <c r="CJQ54" s="76"/>
      <c r="CJR54" s="76"/>
      <c r="CJS54" s="76"/>
      <c r="CJT54" s="76"/>
      <c r="CJU54" s="76"/>
      <c r="CJV54" s="76"/>
      <c r="CJW54" s="76"/>
      <c r="CJX54" s="76"/>
      <c r="CJY54" s="76"/>
      <c r="CJZ54" s="76"/>
      <c r="CKA54" s="76"/>
      <c r="CKB54" s="76"/>
      <c r="CKC54" s="76"/>
      <c r="CKD54" s="76"/>
      <c r="CKE54" s="76"/>
      <c r="CKF54" s="76"/>
      <c r="CKG54" s="76"/>
      <c r="CKH54" s="76"/>
      <c r="CKI54" s="76"/>
      <c r="CKJ54" s="76"/>
      <c r="CKK54" s="76"/>
      <c r="CKL54" s="76"/>
      <c r="CKM54" s="76"/>
      <c r="CKN54" s="76"/>
      <c r="CKO54" s="76"/>
      <c r="CKP54" s="76"/>
      <c r="CKQ54" s="76"/>
      <c r="CKR54" s="76"/>
      <c r="CKS54" s="76"/>
      <c r="CKT54" s="76"/>
      <c r="CKU54" s="76"/>
      <c r="CKV54" s="76"/>
      <c r="CKW54" s="76"/>
      <c r="CKX54" s="76"/>
      <c r="CKY54" s="76"/>
      <c r="CKZ54" s="76"/>
      <c r="CLA54" s="76"/>
      <c r="CLB54" s="76"/>
      <c r="CLC54" s="76"/>
      <c r="CLD54" s="76"/>
      <c r="CLE54" s="76"/>
      <c r="CLF54" s="76"/>
      <c r="CLG54" s="76"/>
      <c r="CLH54" s="76"/>
      <c r="CLI54" s="76"/>
      <c r="CLJ54" s="76"/>
      <c r="CLK54" s="76"/>
      <c r="CLL54" s="76"/>
      <c r="CLM54" s="76"/>
      <c r="CLN54" s="76"/>
      <c r="CLO54" s="76"/>
      <c r="CLP54" s="76"/>
      <c r="CLQ54" s="76"/>
      <c r="CLR54" s="76"/>
      <c r="CLS54" s="76"/>
      <c r="CLT54" s="76"/>
      <c r="CLU54" s="76"/>
      <c r="CLV54" s="76"/>
      <c r="CLW54" s="76"/>
      <c r="CLX54" s="76"/>
      <c r="CLY54" s="76"/>
      <c r="CLZ54" s="76"/>
      <c r="CMA54" s="76"/>
      <c r="CMB54" s="76"/>
      <c r="CMC54" s="76"/>
      <c r="CMD54" s="76"/>
      <c r="CME54" s="76"/>
      <c r="CMF54" s="76"/>
      <c r="CMG54" s="76"/>
      <c r="CMH54" s="76"/>
      <c r="CMI54" s="76"/>
      <c r="CMJ54" s="76"/>
      <c r="CMK54" s="76"/>
      <c r="CML54" s="76"/>
      <c r="CMM54" s="76"/>
      <c r="CMN54" s="76"/>
      <c r="CMO54" s="76"/>
      <c r="CMP54" s="76"/>
      <c r="CMQ54" s="76"/>
      <c r="CMR54" s="76"/>
      <c r="CMS54" s="76"/>
      <c r="CMT54" s="76"/>
      <c r="CMU54" s="76"/>
      <c r="CMV54" s="76"/>
      <c r="CMW54" s="76"/>
      <c r="CMX54" s="76"/>
      <c r="CMY54" s="76"/>
      <c r="CMZ54" s="76"/>
      <c r="CNA54" s="76"/>
      <c r="CNB54" s="76"/>
      <c r="CNC54" s="76"/>
      <c r="CND54" s="76"/>
      <c r="CNE54" s="76"/>
      <c r="CNF54" s="76"/>
      <c r="CNG54" s="76"/>
      <c r="CNH54" s="76"/>
      <c r="CNI54" s="76"/>
      <c r="CNJ54" s="76"/>
      <c r="CNK54" s="76"/>
      <c r="CNL54" s="76"/>
      <c r="CNM54" s="76"/>
      <c r="CNN54" s="76"/>
      <c r="CNO54" s="76"/>
      <c r="CNP54" s="76"/>
      <c r="CNQ54" s="76"/>
      <c r="CNR54" s="76"/>
      <c r="CNS54" s="76"/>
      <c r="CNT54" s="76"/>
      <c r="CNU54" s="76"/>
      <c r="CNV54" s="76"/>
      <c r="CNW54" s="76"/>
      <c r="CNX54" s="76"/>
      <c r="CNY54" s="76"/>
      <c r="CNZ54" s="76"/>
      <c r="COA54" s="76"/>
      <c r="COB54" s="76"/>
      <c r="COC54" s="76"/>
      <c r="COD54" s="76"/>
      <c r="COE54" s="76"/>
      <c r="COF54" s="76"/>
      <c r="COG54" s="76"/>
      <c r="COH54" s="76"/>
      <c r="COI54" s="76"/>
      <c r="COJ54" s="76"/>
      <c r="COK54" s="76"/>
      <c r="COL54" s="76"/>
      <c r="COM54" s="76"/>
      <c r="CON54" s="76"/>
      <c r="COO54" s="76"/>
      <c r="COP54" s="76"/>
      <c r="COQ54" s="76"/>
      <c r="COR54" s="76"/>
      <c r="COS54" s="76"/>
      <c r="COT54" s="76"/>
      <c r="COU54" s="76"/>
      <c r="COV54" s="76"/>
      <c r="COW54" s="76"/>
      <c r="COX54" s="76"/>
      <c r="COY54" s="76"/>
      <c r="COZ54" s="76"/>
      <c r="CPA54" s="76"/>
      <c r="CPB54" s="76"/>
      <c r="CPC54" s="76"/>
      <c r="CPD54" s="76"/>
      <c r="CPE54" s="76"/>
      <c r="CPF54" s="76"/>
      <c r="CPG54" s="76"/>
      <c r="CPH54" s="76"/>
      <c r="CPI54" s="76"/>
      <c r="CPJ54" s="76"/>
      <c r="CPK54" s="76"/>
      <c r="CPL54" s="76"/>
      <c r="CPM54" s="76"/>
      <c r="CPN54" s="76"/>
      <c r="CPO54" s="76"/>
      <c r="CPP54" s="76"/>
      <c r="CPQ54" s="76"/>
      <c r="CPR54" s="76"/>
      <c r="CPS54" s="76"/>
      <c r="CPT54" s="76"/>
      <c r="CPU54" s="76"/>
      <c r="CPV54" s="76"/>
      <c r="CPW54" s="76"/>
      <c r="CPX54" s="76"/>
      <c r="CPY54" s="76"/>
      <c r="CPZ54" s="76"/>
      <c r="CQA54" s="76"/>
      <c r="CQB54" s="76"/>
      <c r="CQC54" s="76"/>
      <c r="CQD54" s="76"/>
      <c r="CQE54" s="76"/>
      <c r="CQF54" s="76"/>
      <c r="CQG54" s="76"/>
      <c r="CQH54" s="76"/>
      <c r="CQI54" s="76"/>
      <c r="CQJ54" s="76"/>
      <c r="CQK54" s="76"/>
      <c r="CQL54" s="76"/>
      <c r="CQM54" s="76"/>
      <c r="CQN54" s="76"/>
      <c r="CQO54" s="76"/>
      <c r="CQP54" s="76"/>
      <c r="CQQ54" s="76"/>
      <c r="CQR54" s="76"/>
      <c r="CQS54" s="76"/>
      <c r="CQT54" s="76"/>
      <c r="CQU54" s="76"/>
      <c r="CQV54" s="76"/>
      <c r="CQW54" s="76"/>
      <c r="CQX54" s="76"/>
      <c r="CQY54" s="76"/>
      <c r="CQZ54" s="76"/>
      <c r="CRA54" s="76"/>
      <c r="CRB54" s="76"/>
      <c r="CRC54" s="76"/>
      <c r="CRD54" s="76"/>
      <c r="CRE54" s="76"/>
      <c r="CRF54" s="76"/>
      <c r="CRG54" s="76"/>
      <c r="CRH54" s="76"/>
      <c r="CRI54" s="76"/>
      <c r="CRJ54" s="76"/>
      <c r="CRK54" s="76"/>
      <c r="CRL54" s="76"/>
      <c r="CRM54" s="76"/>
      <c r="CRN54" s="76"/>
      <c r="CRO54" s="76"/>
      <c r="CRP54" s="76"/>
      <c r="CRQ54" s="76"/>
      <c r="CRR54" s="76"/>
      <c r="CRS54" s="76"/>
      <c r="CRT54" s="76"/>
      <c r="CRU54" s="76"/>
      <c r="CRV54" s="76"/>
      <c r="CRW54" s="76"/>
      <c r="CRX54" s="76"/>
      <c r="CRY54" s="76"/>
      <c r="CRZ54" s="76"/>
      <c r="CSA54" s="76"/>
      <c r="CSB54" s="76"/>
      <c r="CSC54" s="76"/>
      <c r="CSD54" s="76"/>
      <c r="CSE54" s="76"/>
      <c r="CSF54" s="76"/>
      <c r="CSG54" s="76"/>
      <c r="CSH54" s="76"/>
      <c r="CSI54" s="76"/>
      <c r="CSJ54" s="76"/>
      <c r="CSK54" s="76"/>
      <c r="CSL54" s="76"/>
      <c r="CSM54" s="76"/>
      <c r="CSN54" s="76"/>
      <c r="CSO54" s="76"/>
      <c r="CSP54" s="76"/>
      <c r="CSQ54" s="76"/>
      <c r="CSR54" s="76"/>
      <c r="CSS54" s="76"/>
      <c r="CST54" s="76"/>
      <c r="CSU54" s="76"/>
      <c r="CSV54" s="76"/>
      <c r="CSW54" s="76"/>
      <c r="CSX54" s="76"/>
      <c r="CSY54" s="76"/>
      <c r="CSZ54" s="76"/>
      <c r="CTA54" s="76"/>
      <c r="CTB54" s="76"/>
      <c r="CTC54" s="76"/>
      <c r="CTD54" s="76"/>
      <c r="CTE54" s="76"/>
      <c r="CTF54" s="76"/>
      <c r="CTG54" s="76"/>
      <c r="CTH54" s="76"/>
      <c r="CTI54" s="76"/>
      <c r="CTJ54" s="76"/>
      <c r="CTK54" s="76"/>
      <c r="CTL54" s="76"/>
      <c r="CTM54" s="76"/>
      <c r="CTN54" s="76"/>
      <c r="CTO54" s="76"/>
      <c r="CTP54" s="76"/>
      <c r="CTQ54" s="76"/>
      <c r="CTR54" s="76"/>
      <c r="CTS54" s="76"/>
      <c r="CTT54" s="76"/>
      <c r="CTU54" s="76"/>
      <c r="CTV54" s="76"/>
      <c r="CTW54" s="76"/>
      <c r="CTX54" s="76"/>
      <c r="CTY54" s="76"/>
      <c r="CTZ54" s="76"/>
      <c r="CUA54" s="76"/>
      <c r="CUB54" s="76"/>
      <c r="CUC54" s="76"/>
      <c r="CUD54" s="76"/>
      <c r="CUE54" s="76"/>
      <c r="CUF54" s="76"/>
      <c r="CUG54" s="76"/>
      <c r="CUH54" s="76"/>
      <c r="CUI54" s="76"/>
      <c r="CUJ54" s="76"/>
      <c r="CUK54" s="76"/>
      <c r="CUL54" s="76"/>
      <c r="CUM54" s="76"/>
      <c r="CUN54" s="76"/>
      <c r="CUO54" s="76"/>
      <c r="CUP54" s="76"/>
      <c r="CUQ54" s="76"/>
      <c r="CUR54" s="76"/>
      <c r="CUS54" s="76"/>
      <c r="CUT54" s="76"/>
      <c r="CUU54" s="76"/>
      <c r="CUV54" s="76"/>
      <c r="CUW54" s="76"/>
      <c r="CUX54" s="76"/>
      <c r="CUY54" s="76"/>
      <c r="CUZ54" s="76"/>
      <c r="CVA54" s="76"/>
      <c r="CVB54" s="76"/>
      <c r="CVC54" s="76"/>
      <c r="CVD54" s="76"/>
      <c r="CVE54" s="76"/>
      <c r="CVF54" s="76"/>
      <c r="CVG54" s="76"/>
      <c r="CVH54" s="76"/>
      <c r="CVI54" s="76"/>
      <c r="CVJ54" s="76"/>
      <c r="CVK54" s="76"/>
      <c r="CVL54" s="76"/>
      <c r="CVM54" s="76"/>
      <c r="CVN54" s="76"/>
      <c r="CVO54" s="76"/>
      <c r="CVP54" s="76"/>
      <c r="CVQ54" s="76"/>
      <c r="CVR54" s="76"/>
      <c r="CVS54" s="76"/>
      <c r="CVT54" s="76"/>
      <c r="CVU54" s="76"/>
      <c r="CVV54" s="76"/>
      <c r="CVW54" s="76"/>
      <c r="CVX54" s="76"/>
      <c r="CVY54" s="76"/>
      <c r="CVZ54" s="76"/>
      <c r="CWA54" s="76"/>
      <c r="CWB54" s="76"/>
      <c r="CWC54" s="76"/>
      <c r="CWD54" s="76"/>
      <c r="CWE54" s="76"/>
      <c r="CWF54" s="76"/>
      <c r="CWG54" s="76"/>
      <c r="CWH54" s="76"/>
      <c r="CWI54" s="76"/>
      <c r="CWJ54" s="76"/>
      <c r="CWK54" s="76"/>
      <c r="CWL54" s="76"/>
      <c r="CWM54" s="76"/>
      <c r="CWN54" s="76"/>
      <c r="CWO54" s="76"/>
      <c r="CWP54" s="76"/>
      <c r="CWQ54" s="76"/>
      <c r="CWR54" s="76"/>
      <c r="CWS54" s="76"/>
      <c r="CWT54" s="76"/>
      <c r="CWU54" s="76"/>
      <c r="CWV54" s="76"/>
      <c r="CWW54" s="76"/>
      <c r="CWX54" s="76"/>
      <c r="CWY54" s="76"/>
      <c r="CWZ54" s="76"/>
      <c r="CXA54" s="76"/>
      <c r="CXB54" s="76"/>
      <c r="CXC54" s="76"/>
      <c r="CXD54" s="76"/>
      <c r="CXE54" s="76"/>
      <c r="CXF54" s="76"/>
      <c r="CXG54" s="76"/>
      <c r="CXH54" s="76"/>
      <c r="CXI54" s="76"/>
      <c r="CXJ54" s="76"/>
      <c r="CXK54" s="76"/>
      <c r="CXL54" s="76"/>
      <c r="CXM54" s="76"/>
      <c r="CXN54" s="76"/>
      <c r="CXO54" s="76"/>
      <c r="CXP54" s="76"/>
      <c r="CXQ54" s="76"/>
      <c r="CXR54" s="76"/>
      <c r="CXS54" s="76"/>
      <c r="CXT54" s="76"/>
      <c r="CXU54" s="76"/>
      <c r="CXV54" s="76"/>
      <c r="CXW54" s="76"/>
      <c r="CXX54" s="76"/>
      <c r="CXY54" s="76"/>
      <c r="CXZ54" s="76"/>
      <c r="CYA54" s="76"/>
      <c r="CYB54" s="76"/>
      <c r="CYC54" s="76"/>
      <c r="CYD54" s="76"/>
      <c r="CYE54" s="76"/>
      <c r="CYF54" s="76"/>
      <c r="CYG54" s="76"/>
      <c r="CYH54" s="76"/>
      <c r="CYI54" s="76"/>
      <c r="CYJ54" s="76"/>
      <c r="CYK54" s="76"/>
      <c r="CYL54" s="76"/>
      <c r="CYM54" s="76"/>
      <c r="CYN54" s="76"/>
      <c r="CYO54" s="76"/>
      <c r="CYP54" s="76"/>
      <c r="CYQ54" s="76"/>
      <c r="CYR54" s="76"/>
      <c r="CYS54" s="76"/>
      <c r="CYT54" s="76"/>
      <c r="CYU54" s="76"/>
      <c r="CYV54" s="76"/>
      <c r="CYW54" s="76"/>
      <c r="CYX54" s="76"/>
      <c r="CYY54" s="76"/>
      <c r="CYZ54" s="76"/>
      <c r="CZA54" s="76"/>
      <c r="CZB54" s="76"/>
      <c r="CZC54" s="76"/>
      <c r="CZD54" s="76"/>
      <c r="CZE54" s="76"/>
      <c r="CZF54" s="76"/>
      <c r="CZG54" s="76"/>
      <c r="CZH54" s="76"/>
      <c r="CZI54" s="76"/>
      <c r="CZJ54" s="76"/>
      <c r="CZK54" s="76"/>
      <c r="CZL54" s="76"/>
      <c r="CZM54" s="76"/>
      <c r="CZN54" s="76"/>
      <c r="CZO54" s="76"/>
      <c r="CZP54" s="76"/>
      <c r="CZQ54" s="76"/>
      <c r="CZR54" s="76"/>
      <c r="CZS54" s="76"/>
      <c r="CZT54" s="76"/>
      <c r="CZU54" s="76"/>
      <c r="CZV54" s="76"/>
      <c r="CZW54" s="76"/>
      <c r="CZX54" s="76"/>
      <c r="CZY54" s="76"/>
      <c r="CZZ54" s="76"/>
      <c r="DAA54" s="76"/>
      <c r="DAB54" s="76"/>
      <c r="DAC54" s="76"/>
      <c r="DAD54" s="76"/>
      <c r="DAE54" s="76"/>
      <c r="DAF54" s="76"/>
      <c r="DAG54" s="76"/>
      <c r="DAH54" s="76"/>
      <c r="DAI54" s="76"/>
      <c r="DAJ54" s="76"/>
      <c r="DAK54" s="76"/>
      <c r="DAL54" s="76"/>
      <c r="DAM54" s="76"/>
      <c r="DAN54" s="76"/>
      <c r="DAO54" s="76"/>
      <c r="DAP54" s="76"/>
      <c r="DAQ54" s="76"/>
      <c r="DAR54" s="76"/>
      <c r="DAS54" s="76"/>
      <c r="DAT54" s="76"/>
      <c r="DAU54" s="76"/>
      <c r="DAV54" s="76"/>
      <c r="DAW54" s="76"/>
      <c r="DAX54" s="76"/>
      <c r="DAY54" s="76"/>
      <c r="DAZ54" s="76"/>
      <c r="DBA54" s="76"/>
      <c r="DBB54" s="76"/>
      <c r="DBC54" s="76"/>
      <c r="DBD54" s="76"/>
      <c r="DBE54" s="76"/>
      <c r="DBF54" s="76"/>
      <c r="DBG54" s="76"/>
      <c r="DBH54" s="76"/>
      <c r="DBI54" s="76"/>
      <c r="DBJ54" s="76"/>
      <c r="DBK54" s="76"/>
      <c r="DBL54" s="76"/>
      <c r="DBM54" s="76"/>
      <c r="DBN54" s="76"/>
      <c r="DBO54" s="76"/>
      <c r="DBP54" s="76"/>
      <c r="DBQ54" s="76"/>
      <c r="DBR54" s="76"/>
      <c r="DBS54" s="76"/>
      <c r="DBT54" s="76"/>
      <c r="DBU54" s="76"/>
      <c r="DBV54" s="76"/>
      <c r="DBW54" s="76"/>
      <c r="DBX54" s="76"/>
      <c r="DBY54" s="76"/>
      <c r="DBZ54" s="76"/>
      <c r="DCA54" s="76"/>
      <c r="DCB54" s="76"/>
      <c r="DCC54" s="76"/>
      <c r="DCD54" s="76"/>
      <c r="DCE54" s="76"/>
      <c r="DCF54" s="76"/>
      <c r="DCG54" s="76"/>
      <c r="DCH54" s="76"/>
      <c r="DCI54" s="76"/>
      <c r="DCJ54" s="76"/>
      <c r="DCK54" s="76"/>
      <c r="DCL54" s="76"/>
      <c r="DCM54" s="76"/>
      <c r="DCN54" s="76"/>
      <c r="DCO54" s="76"/>
      <c r="DCP54" s="76"/>
      <c r="DCQ54" s="76"/>
      <c r="DCR54" s="76"/>
      <c r="DCS54" s="76"/>
      <c r="DCT54" s="76"/>
      <c r="DCU54" s="76"/>
      <c r="DCV54" s="76"/>
      <c r="DCW54" s="76"/>
      <c r="DCX54" s="76"/>
      <c r="DCY54" s="76"/>
      <c r="DCZ54" s="76"/>
      <c r="DDA54" s="76"/>
      <c r="DDB54" s="76"/>
      <c r="DDC54" s="76"/>
      <c r="DDD54" s="76"/>
      <c r="DDE54" s="76"/>
      <c r="DDF54" s="76"/>
      <c r="DDG54" s="76"/>
      <c r="DDH54" s="76"/>
      <c r="DDI54" s="76"/>
      <c r="DDJ54" s="76"/>
      <c r="DDK54" s="76"/>
      <c r="DDL54" s="76"/>
      <c r="DDM54" s="76"/>
      <c r="DDN54" s="76"/>
      <c r="DDO54" s="76"/>
      <c r="DDP54" s="76"/>
      <c r="DDQ54" s="76"/>
      <c r="DDR54" s="76"/>
      <c r="DDS54" s="76"/>
      <c r="DDT54" s="76"/>
      <c r="DDU54" s="76"/>
      <c r="DDV54" s="76"/>
      <c r="DDW54" s="76"/>
      <c r="DDX54" s="76"/>
      <c r="DDY54" s="76"/>
      <c r="DDZ54" s="76"/>
      <c r="DEA54" s="76"/>
      <c r="DEB54" s="76"/>
      <c r="DEC54" s="76"/>
      <c r="DED54" s="76"/>
      <c r="DEE54" s="76"/>
      <c r="DEF54" s="76"/>
      <c r="DEG54" s="76"/>
      <c r="DEH54" s="76"/>
      <c r="DEI54" s="76"/>
      <c r="DEJ54" s="76"/>
      <c r="DEK54" s="76"/>
      <c r="DEL54" s="76"/>
      <c r="DEM54" s="76"/>
      <c r="DEN54" s="76"/>
      <c r="DEO54" s="76"/>
      <c r="DEP54" s="76"/>
      <c r="DEQ54" s="76"/>
      <c r="DER54" s="76"/>
      <c r="DES54" s="76"/>
      <c r="DET54" s="76"/>
      <c r="DEU54" s="76"/>
      <c r="DEV54" s="76"/>
      <c r="DEW54" s="76"/>
      <c r="DEX54" s="76"/>
      <c r="DEY54" s="76"/>
      <c r="DEZ54" s="76"/>
      <c r="DFA54" s="76"/>
      <c r="DFB54" s="76"/>
      <c r="DFC54" s="76"/>
      <c r="DFD54" s="76"/>
      <c r="DFE54" s="76"/>
      <c r="DFF54" s="76"/>
      <c r="DFG54" s="76"/>
      <c r="DFH54" s="76"/>
      <c r="DFI54" s="76"/>
      <c r="DFJ54" s="76"/>
      <c r="DFK54" s="76"/>
      <c r="DFL54" s="76"/>
      <c r="DFM54" s="76"/>
      <c r="DFN54" s="76"/>
      <c r="DFO54" s="76"/>
      <c r="DFP54" s="76"/>
      <c r="DFQ54" s="76"/>
      <c r="DFR54" s="76"/>
      <c r="DFS54" s="76"/>
      <c r="DFT54" s="76"/>
      <c r="DFU54" s="76"/>
      <c r="DFV54" s="76"/>
      <c r="DFW54" s="76"/>
      <c r="DFX54" s="76"/>
      <c r="DFY54" s="76"/>
      <c r="DFZ54" s="76"/>
      <c r="DGA54" s="76"/>
      <c r="DGB54" s="76"/>
      <c r="DGC54" s="76"/>
      <c r="DGD54" s="76"/>
      <c r="DGE54" s="76"/>
      <c r="DGF54" s="76"/>
      <c r="DGG54" s="76"/>
      <c r="DGH54" s="76"/>
      <c r="DGI54" s="76"/>
      <c r="DGJ54" s="76"/>
      <c r="DGK54" s="76"/>
      <c r="DGL54" s="76"/>
      <c r="DGM54" s="76"/>
      <c r="DGN54" s="76"/>
      <c r="DGO54" s="76"/>
      <c r="DGP54" s="76"/>
      <c r="DGQ54" s="76"/>
      <c r="DGR54" s="76"/>
      <c r="DGS54" s="76"/>
      <c r="DGT54" s="76"/>
      <c r="DGU54" s="76"/>
      <c r="DGV54" s="76"/>
      <c r="DGW54" s="76"/>
      <c r="DGX54" s="76"/>
      <c r="DGY54" s="76"/>
      <c r="DGZ54" s="76"/>
      <c r="DHA54" s="76"/>
      <c r="DHB54" s="76"/>
      <c r="DHC54" s="76"/>
      <c r="DHD54" s="76"/>
      <c r="DHE54" s="76"/>
      <c r="DHF54" s="76"/>
      <c r="DHG54" s="76"/>
      <c r="DHH54" s="76"/>
      <c r="DHI54" s="76"/>
      <c r="DHJ54" s="76"/>
      <c r="DHK54" s="76"/>
      <c r="DHL54" s="76"/>
      <c r="DHM54" s="76"/>
      <c r="DHN54" s="76"/>
      <c r="DHO54" s="76"/>
      <c r="DHP54" s="76"/>
      <c r="DHQ54" s="76"/>
      <c r="DHR54" s="76"/>
      <c r="DHS54" s="76"/>
      <c r="DHT54" s="76"/>
      <c r="DHU54" s="76"/>
      <c r="DHV54" s="76"/>
      <c r="DHW54" s="76"/>
      <c r="DHX54" s="76"/>
      <c r="DHY54" s="76"/>
      <c r="DHZ54" s="76"/>
      <c r="DIA54" s="76"/>
      <c r="DIB54" s="76"/>
      <c r="DIC54" s="76"/>
      <c r="DID54" s="76"/>
      <c r="DIE54" s="76"/>
      <c r="DIF54" s="76"/>
      <c r="DIG54" s="76"/>
      <c r="DIH54" s="76"/>
      <c r="DII54" s="76"/>
      <c r="DIJ54" s="76"/>
      <c r="DIK54" s="76"/>
      <c r="DIL54" s="76"/>
      <c r="DIM54" s="76"/>
      <c r="DIN54" s="76"/>
      <c r="DIO54" s="76"/>
      <c r="DIP54" s="76"/>
      <c r="DIQ54" s="76"/>
      <c r="DIR54" s="76"/>
      <c r="DIS54" s="76"/>
      <c r="DIT54" s="76"/>
      <c r="DIU54" s="76"/>
      <c r="DIV54" s="76"/>
      <c r="DIW54" s="76"/>
      <c r="DIX54" s="76"/>
      <c r="DIY54" s="76"/>
      <c r="DIZ54" s="76"/>
      <c r="DJA54" s="76"/>
      <c r="DJB54" s="76"/>
      <c r="DJC54" s="76"/>
      <c r="DJD54" s="76"/>
      <c r="DJE54" s="76"/>
      <c r="DJF54" s="76"/>
      <c r="DJG54" s="76"/>
      <c r="DJH54" s="76"/>
      <c r="DJI54" s="76"/>
      <c r="DJJ54" s="76"/>
      <c r="DJK54" s="76"/>
      <c r="DJL54" s="76"/>
      <c r="DJM54" s="76"/>
      <c r="DJN54" s="76"/>
      <c r="DJO54" s="76"/>
      <c r="DJP54" s="76"/>
      <c r="DJQ54" s="76"/>
      <c r="DJR54" s="76"/>
      <c r="DJS54" s="76"/>
      <c r="DJT54" s="76"/>
      <c r="DJU54" s="76"/>
      <c r="DJV54" s="76"/>
      <c r="DJW54" s="76"/>
      <c r="DJX54" s="76"/>
      <c r="DJY54" s="76"/>
      <c r="DJZ54" s="76"/>
      <c r="DKA54" s="76"/>
      <c r="DKB54" s="76"/>
      <c r="DKC54" s="76"/>
      <c r="DKD54" s="76"/>
      <c r="DKE54" s="76"/>
      <c r="DKF54" s="76"/>
      <c r="DKG54" s="76"/>
      <c r="DKH54" s="76"/>
      <c r="DKI54" s="76"/>
      <c r="DKJ54" s="76"/>
      <c r="DKK54" s="76"/>
      <c r="DKL54" s="76"/>
      <c r="DKM54" s="76"/>
      <c r="DKN54" s="76"/>
      <c r="DKO54" s="76"/>
      <c r="DKP54" s="76"/>
      <c r="DKQ54" s="76"/>
      <c r="DKR54" s="76"/>
      <c r="DKS54" s="76"/>
      <c r="DKT54" s="76"/>
      <c r="DKU54" s="76"/>
      <c r="DKV54" s="76"/>
      <c r="DKW54" s="76"/>
      <c r="DKX54" s="76"/>
      <c r="DKY54" s="76"/>
      <c r="DKZ54" s="76"/>
      <c r="DLA54" s="76"/>
      <c r="DLB54" s="76"/>
      <c r="DLC54" s="76"/>
      <c r="DLD54" s="76"/>
      <c r="DLE54" s="76"/>
      <c r="DLF54" s="76"/>
      <c r="DLG54" s="76"/>
      <c r="DLH54" s="76"/>
      <c r="DLI54" s="76"/>
      <c r="DLJ54" s="76"/>
      <c r="DLK54" s="76"/>
      <c r="DLL54" s="76"/>
      <c r="DLM54" s="76"/>
      <c r="DLN54" s="76"/>
      <c r="DLO54" s="76"/>
      <c r="DLP54" s="76"/>
      <c r="DLQ54" s="76"/>
      <c r="DLR54" s="76"/>
      <c r="DLS54" s="76"/>
      <c r="DLT54" s="76"/>
      <c r="DLU54" s="76"/>
      <c r="DLV54" s="76"/>
      <c r="DLW54" s="76"/>
      <c r="DLX54" s="76"/>
      <c r="DLY54" s="76"/>
      <c r="DLZ54" s="76"/>
      <c r="DMA54" s="76"/>
      <c r="DMB54" s="76"/>
      <c r="DMC54" s="76"/>
      <c r="DMD54" s="76"/>
      <c r="DME54" s="76"/>
      <c r="DMF54" s="76"/>
      <c r="DMG54" s="76"/>
      <c r="DMH54" s="76"/>
      <c r="DMI54" s="76"/>
      <c r="DMJ54" s="76"/>
      <c r="DMK54" s="76"/>
      <c r="DML54" s="76"/>
      <c r="DMM54" s="76"/>
      <c r="DMN54" s="76"/>
      <c r="DMO54" s="76"/>
      <c r="DMP54" s="76"/>
      <c r="DMQ54" s="76"/>
      <c r="DMR54" s="76"/>
      <c r="DMS54" s="76"/>
      <c r="DMT54" s="76"/>
      <c r="DMU54" s="76"/>
      <c r="DMV54" s="76"/>
      <c r="DMW54" s="76"/>
      <c r="DMX54" s="76"/>
      <c r="DMY54" s="76"/>
      <c r="DMZ54" s="76"/>
      <c r="DNA54" s="76"/>
      <c r="DNB54" s="76"/>
      <c r="DNC54" s="76"/>
      <c r="DND54" s="76"/>
      <c r="DNE54" s="76"/>
      <c r="DNF54" s="76"/>
      <c r="DNG54" s="76"/>
      <c r="DNH54" s="76"/>
      <c r="DNI54" s="76"/>
      <c r="DNJ54" s="76"/>
      <c r="DNK54" s="76"/>
      <c r="DNL54" s="76"/>
      <c r="DNM54" s="76"/>
      <c r="DNN54" s="76"/>
      <c r="DNO54" s="76"/>
      <c r="DNP54" s="76"/>
      <c r="DNQ54" s="76"/>
      <c r="DNR54" s="76"/>
      <c r="DNS54" s="76"/>
      <c r="DNT54" s="76"/>
      <c r="DNU54" s="76"/>
      <c r="DNV54" s="76"/>
      <c r="DNW54" s="76"/>
      <c r="DNX54" s="76"/>
      <c r="DNY54" s="76"/>
      <c r="DNZ54" s="76"/>
      <c r="DOA54" s="76"/>
      <c r="DOB54" s="76"/>
      <c r="DOC54" s="76"/>
      <c r="DOD54" s="76"/>
      <c r="DOE54" s="76"/>
      <c r="DOF54" s="76"/>
      <c r="DOG54" s="76"/>
      <c r="DOH54" s="76"/>
      <c r="DOI54" s="76"/>
      <c r="DOJ54" s="76"/>
      <c r="DOK54" s="76"/>
      <c r="DOL54" s="76"/>
      <c r="DOM54" s="76"/>
      <c r="DON54" s="76"/>
      <c r="DOO54" s="76"/>
      <c r="DOP54" s="76"/>
      <c r="DOQ54" s="76"/>
      <c r="DOR54" s="76"/>
      <c r="DOS54" s="76"/>
      <c r="DOT54" s="76"/>
      <c r="DOU54" s="76"/>
      <c r="DOV54" s="76"/>
      <c r="DOW54" s="76"/>
      <c r="DOX54" s="76"/>
      <c r="DOY54" s="76"/>
      <c r="DOZ54" s="76"/>
      <c r="DPA54" s="76"/>
      <c r="DPB54" s="76"/>
      <c r="DPC54" s="76"/>
      <c r="DPD54" s="76"/>
      <c r="DPE54" s="76"/>
      <c r="DPF54" s="76"/>
      <c r="DPG54" s="76"/>
      <c r="DPH54" s="76"/>
      <c r="DPI54" s="76"/>
      <c r="DPJ54" s="76"/>
      <c r="DPK54" s="76"/>
      <c r="DPL54" s="76"/>
      <c r="DPM54" s="76"/>
      <c r="DPN54" s="76"/>
      <c r="DPO54" s="76"/>
      <c r="DPP54" s="76"/>
      <c r="DPQ54" s="76"/>
      <c r="DPR54" s="76"/>
      <c r="DPS54" s="76"/>
      <c r="DPT54" s="76"/>
      <c r="DPU54" s="76"/>
      <c r="DPV54" s="76"/>
      <c r="DPW54" s="76"/>
      <c r="DPX54" s="76"/>
      <c r="DPY54" s="76"/>
      <c r="DPZ54" s="76"/>
      <c r="DQA54" s="76"/>
      <c r="DQB54" s="76"/>
      <c r="DQC54" s="76"/>
      <c r="DQD54" s="76"/>
      <c r="DQE54" s="76"/>
      <c r="DQF54" s="76"/>
      <c r="DQG54" s="76"/>
      <c r="DQH54" s="76"/>
      <c r="DQI54" s="76"/>
      <c r="DQJ54" s="76"/>
      <c r="DQK54" s="76"/>
      <c r="DQL54" s="76"/>
      <c r="DQM54" s="76"/>
      <c r="DQN54" s="76"/>
      <c r="DQO54" s="76"/>
      <c r="DQP54" s="76"/>
      <c r="DQQ54" s="76"/>
      <c r="DQR54" s="76"/>
      <c r="DQS54" s="76"/>
      <c r="DQT54" s="76"/>
      <c r="DQU54" s="76"/>
      <c r="DQV54" s="76"/>
      <c r="DQW54" s="76"/>
      <c r="DQX54" s="76"/>
      <c r="DQY54" s="76"/>
      <c r="DQZ54" s="76"/>
      <c r="DRA54" s="76"/>
      <c r="DRB54" s="76"/>
      <c r="DRC54" s="76"/>
      <c r="DRD54" s="76"/>
      <c r="DRE54" s="76"/>
      <c r="DRF54" s="76"/>
      <c r="DRG54" s="76"/>
      <c r="DRH54" s="76"/>
      <c r="DRI54" s="76"/>
      <c r="DRJ54" s="76"/>
      <c r="DRK54" s="76"/>
      <c r="DRL54" s="76"/>
      <c r="DRM54" s="76"/>
      <c r="DRN54" s="76"/>
      <c r="DRO54" s="76"/>
      <c r="DRP54" s="76"/>
      <c r="DRQ54" s="76"/>
      <c r="DRR54" s="76"/>
      <c r="DRS54" s="76"/>
      <c r="DRT54" s="76"/>
      <c r="DRU54" s="76"/>
      <c r="DRV54" s="76"/>
      <c r="DRW54" s="76"/>
      <c r="DRX54" s="76"/>
      <c r="DRY54" s="76"/>
      <c r="DRZ54" s="76"/>
      <c r="DSA54" s="76"/>
      <c r="DSB54" s="76"/>
      <c r="DSC54" s="76"/>
      <c r="DSD54" s="76"/>
      <c r="DSE54" s="76"/>
      <c r="DSF54" s="76"/>
      <c r="DSG54" s="76"/>
      <c r="DSH54" s="76"/>
      <c r="DSI54" s="76"/>
      <c r="DSJ54" s="76"/>
      <c r="DSK54" s="76"/>
      <c r="DSL54" s="76"/>
      <c r="DSM54" s="76"/>
      <c r="DSN54" s="76"/>
      <c r="DSO54" s="76"/>
      <c r="DSP54" s="76"/>
      <c r="DSQ54" s="76"/>
      <c r="DSR54" s="76"/>
      <c r="DSS54" s="76"/>
      <c r="DST54" s="76"/>
      <c r="DSU54" s="76"/>
      <c r="DSV54" s="76"/>
      <c r="DSW54" s="76"/>
      <c r="DSX54" s="76"/>
      <c r="DSY54" s="76"/>
      <c r="DSZ54" s="76"/>
      <c r="DTA54" s="76"/>
      <c r="DTB54" s="76"/>
      <c r="DTC54" s="76"/>
      <c r="DTD54" s="76"/>
      <c r="DTE54" s="76"/>
      <c r="DTF54" s="76"/>
      <c r="DTG54" s="76"/>
      <c r="DTH54" s="76"/>
      <c r="DTI54" s="76"/>
      <c r="DTJ54" s="76"/>
      <c r="DTK54" s="76"/>
      <c r="DTL54" s="76"/>
      <c r="DTM54" s="76"/>
      <c r="DTN54" s="76"/>
      <c r="DTO54" s="76"/>
      <c r="DTP54" s="76"/>
      <c r="DTQ54" s="76"/>
      <c r="DTR54" s="76"/>
      <c r="DTS54" s="76"/>
      <c r="DTT54" s="76"/>
      <c r="DTU54" s="76"/>
      <c r="DTV54" s="76"/>
      <c r="DTW54" s="76"/>
      <c r="DTX54" s="76"/>
      <c r="DTY54" s="76"/>
      <c r="DTZ54" s="76"/>
      <c r="DUA54" s="76"/>
      <c r="DUB54" s="76"/>
      <c r="DUC54" s="76"/>
      <c r="DUD54" s="76"/>
      <c r="DUE54" s="76"/>
      <c r="DUF54" s="76"/>
      <c r="DUG54" s="76"/>
      <c r="DUH54" s="76"/>
      <c r="DUI54" s="76"/>
      <c r="DUJ54" s="76"/>
      <c r="DUK54" s="76"/>
      <c r="DUL54" s="76"/>
      <c r="DUM54" s="76"/>
      <c r="DUN54" s="76"/>
      <c r="DUO54" s="76"/>
      <c r="DUP54" s="76"/>
      <c r="DUQ54" s="76"/>
      <c r="DUR54" s="76"/>
      <c r="DUS54" s="76"/>
      <c r="DUT54" s="76"/>
      <c r="DUU54" s="76"/>
      <c r="DUV54" s="76"/>
      <c r="DUW54" s="76"/>
      <c r="DUX54" s="76"/>
      <c r="DUY54" s="76"/>
      <c r="DUZ54" s="76"/>
      <c r="DVA54" s="76"/>
      <c r="DVB54" s="76"/>
      <c r="DVC54" s="76"/>
      <c r="DVD54" s="76"/>
      <c r="DVE54" s="76"/>
      <c r="DVF54" s="76"/>
      <c r="DVG54" s="76"/>
      <c r="DVH54" s="76"/>
      <c r="DVI54" s="76"/>
      <c r="DVJ54" s="76"/>
      <c r="DVK54" s="76"/>
      <c r="DVL54" s="76"/>
      <c r="DVM54" s="76"/>
      <c r="DVN54" s="76"/>
      <c r="DVO54" s="76"/>
      <c r="DVP54" s="76"/>
      <c r="DVQ54" s="76"/>
      <c r="DVR54" s="76"/>
      <c r="DVS54" s="76"/>
      <c r="DVT54" s="76"/>
      <c r="DVU54" s="76"/>
      <c r="DVV54" s="76"/>
      <c r="DVW54" s="76"/>
      <c r="DVX54" s="76"/>
      <c r="DVY54" s="76"/>
      <c r="DVZ54" s="76"/>
      <c r="DWA54" s="76"/>
      <c r="DWB54" s="76"/>
      <c r="DWC54" s="76"/>
      <c r="DWD54" s="76"/>
      <c r="DWE54" s="76"/>
      <c r="DWF54" s="76"/>
      <c r="DWG54" s="76"/>
      <c r="DWH54" s="76"/>
      <c r="DWI54" s="76"/>
      <c r="DWJ54" s="76"/>
      <c r="DWK54" s="76"/>
      <c r="DWL54" s="76"/>
      <c r="DWM54" s="76"/>
      <c r="DWN54" s="76"/>
      <c r="DWO54" s="76"/>
      <c r="DWP54" s="76"/>
      <c r="DWQ54" s="76"/>
      <c r="DWR54" s="76"/>
      <c r="DWS54" s="76"/>
      <c r="DWT54" s="76"/>
      <c r="DWU54" s="76"/>
      <c r="DWV54" s="76"/>
      <c r="DWW54" s="76"/>
      <c r="DWX54" s="76"/>
      <c r="DWY54" s="76"/>
      <c r="DWZ54" s="76"/>
      <c r="DXA54" s="76"/>
      <c r="DXB54" s="76"/>
      <c r="DXC54" s="76"/>
      <c r="DXD54" s="76"/>
      <c r="DXE54" s="76"/>
      <c r="DXF54" s="76"/>
      <c r="DXG54" s="76"/>
      <c r="DXH54" s="76"/>
      <c r="DXI54" s="76"/>
      <c r="DXJ54" s="76"/>
      <c r="DXK54" s="76"/>
      <c r="DXL54" s="76"/>
      <c r="DXM54" s="76"/>
      <c r="DXN54" s="76"/>
      <c r="DXO54" s="76"/>
      <c r="DXP54" s="76"/>
      <c r="DXQ54" s="76"/>
      <c r="DXR54" s="76"/>
      <c r="DXS54" s="76"/>
      <c r="DXT54" s="76"/>
      <c r="DXU54" s="76"/>
      <c r="DXV54" s="76"/>
      <c r="DXW54" s="76"/>
      <c r="DXX54" s="76"/>
      <c r="DXY54" s="76"/>
      <c r="DXZ54" s="76"/>
      <c r="DYA54" s="76"/>
      <c r="DYB54" s="76"/>
      <c r="DYC54" s="76"/>
      <c r="DYD54" s="76"/>
      <c r="DYE54" s="76"/>
      <c r="DYF54" s="76"/>
      <c r="DYG54" s="76"/>
      <c r="DYH54" s="76"/>
      <c r="DYI54" s="76"/>
      <c r="DYJ54" s="76"/>
      <c r="DYK54" s="76"/>
      <c r="DYL54" s="76"/>
      <c r="DYM54" s="76"/>
      <c r="DYN54" s="76"/>
      <c r="DYO54" s="76"/>
      <c r="DYP54" s="76"/>
      <c r="DYQ54" s="76"/>
      <c r="DYR54" s="76"/>
      <c r="DYS54" s="76"/>
      <c r="DYT54" s="76"/>
      <c r="DYU54" s="76"/>
      <c r="DYV54" s="76"/>
      <c r="DYW54" s="76"/>
      <c r="DYX54" s="76"/>
      <c r="DYY54" s="76"/>
      <c r="DYZ54" s="76"/>
      <c r="DZA54" s="76"/>
      <c r="DZB54" s="76"/>
      <c r="DZC54" s="76"/>
      <c r="DZD54" s="76"/>
      <c r="DZE54" s="76"/>
      <c r="DZF54" s="76"/>
      <c r="DZG54" s="76"/>
      <c r="DZH54" s="76"/>
      <c r="DZI54" s="76"/>
      <c r="DZJ54" s="76"/>
      <c r="DZK54" s="76"/>
      <c r="DZL54" s="76"/>
      <c r="DZM54" s="76"/>
      <c r="DZN54" s="76"/>
      <c r="DZO54" s="76"/>
      <c r="DZP54" s="76"/>
      <c r="DZQ54" s="76"/>
      <c r="DZR54" s="76"/>
      <c r="DZS54" s="76"/>
      <c r="DZT54" s="76"/>
      <c r="DZU54" s="76"/>
      <c r="DZV54" s="76"/>
      <c r="DZW54" s="76"/>
      <c r="DZX54" s="76"/>
      <c r="DZY54" s="76"/>
      <c r="DZZ54" s="76"/>
      <c r="EAA54" s="76"/>
      <c r="EAB54" s="76"/>
      <c r="EAC54" s="76"/>
      <c r="EAD54" s="76"/>
      <c r="EAE54" s="76"/>
      <c r="EAF54" s="76"/>
      <c r="EAG54" s="76"/>
      <c r="EAH54" s="76"/>
      <c r="EAI54" s="76"/>
      <c r="EAJ54" s="76"/>
      <c r="EAK54" s="76"/>
      <c r="EAL54" s="76"/>
      <c r="EAM54" s="76"/>
      <c r="EAN54" s="76"/>
      <c r="EAO54" s="76"/>
      <c r="EAP54" s="76"/>
      <c r="EAQ54" s="76"/>
      <c r="EAR54" s="76"/>
      <c r="EAS54" s="76"/>
      <c r="EAT54" s="76"/>
      <c r="EAU54" s="76"/>
      <c r="EAV54" s="76"/>
      <c r="EAW54" s="76"/>
      <c r="EAX54" s="76"/>
      <c r="EAY54" s="76"/>
      <c r="EAZ54" s="76"/>
      <c r="EBA54" s="76"/>
      <c r="EBB54" s="76"/>
      <c r="EBC54" s="76"/>
      <c r="EBD54" s="76"/>
      <c r="EBE54" s="76"/>
      <c r="EBF54" s="76"/>
      <c r="EBG54" s="76"/>
      <c r="EBH54" s="76"/>
      <c r="EBI54" s="76"/>
      <c r="EBJ54" s="76"/>
      <c r="EBK54" s="76"/>
      <c r="EBL54" s="76"/>
      <c r="EBM54" s="76"/>
      <c r="EBN54" s="76"/>
      <c r="EBO54" s="76"/>
      <c r="EBP54" s="76"/>
      <c r="EBQ54" s="76"/>
      <c r="EBR54" s="76"/>
      <c r="EBS54" s="76"/>
      <c r="EBT54" s="76"/>
      <c r="EBU54" s="76"/>
      <c r="EBV54" s="76"/>
      <c r="EBW54" s="76"/>
      <c r="EBX54" s="76"/>
      <c r="EBY54" s="76"/>
      <c r="EBZ54" s="76"/>
      <c r="ECA54" s="76"/>
      <c r="ECB54" s="76"/>
      <c r="ECC54" s="76"/>
      <c r="ECD54" s="76"/>
      <c r="ECE54" s="76"/>
      <c r="ECF54" s="76"/>
      <c r="ECG54" s="76"/>
      <c r="ECH54" s="76"/>
      <c r="ECI54" s="76"/>
      <c r="ECJ54" s="76"/>
      <c r="ECK54" s="76"/>
      <c r="ECL54" s="76"/>
      <c r="ECM54" s="76"/>
      <c r="ECN54" s="76"/>
      <c r="ECO54" s="76"/>
      <c r="ECP54" s="76"/>
      <c r="ECQ54" s="76"/>
      <c r="ECR54" s="76"/>
      <c r="ECS54" s="76"/>
      <c r="ECT54" s="76"/>
      <c r="ECU54" s="76"/>
      <c r="ECV54" s="76"/>
      <c r="ECW54" s="76"/>
      <c r="ECX54" s="76"/>
      <c r="ECY54" s="76"/>
      <c r="ECZ54" s="76"/>
      <c r="EDA54" s="76"/>
      <c r="EDB54" s="76"/>
      <c r="EDC54" s="76"/>
      <c r="EDD54" s="76"/>
      <c r="EDE54" s="76"/>
      <c r="EDF54" s="76"/>
      <c r="EDG54" s="76"/>
      <c r="EDH54" s="76"/>
      <c r="EDI54" s="76"/>
      <c r="EDJ54" s="76"/>
      <c r="EDK54" s="76"/>
      <c r="EDL54" s="76"/>
      <c r="EDM54" s="76"/>
      <c r="EDN54" s="76"/>
      <c r="EDO54" s="76"/>
      <c r="EDP54" s="76"/>
      <c r="EDQ54" s="76"/>
      <c r="EDR54" s="76"/>
      <c r="EDS54" s="76"/>
      <c r="EDT54" s="76"/>
      <c r="EDU54" s="76"/>
      <c r="EDV54" s="76"/>
      <c r="EDW54" s="76"/>
      <c r="EDX54" s="76"/>
      <c r="EDY54" s="76"/>
      <c r="EDZ54" s="76"/>
      <c r="EEA54" s="76"/>
      <c r="EEB54" s="76"/>
      <c r="EEC54" s="76"/>
      <c r="EED54" s="76"/>
      <c r="EEE54" s="76"/>
      <c r="EEF54" s="76"/>
      <c r="EEG54" s="76"/>
      <c r="EEH54" s="76"/>
      <c r="EEI54" s="76"/>
      <c r="EEJ54" s="76"/>
      <c r="EEK54" s="76"/>
      <c r="EEL54" s="76"/>
      <c r="EEM54" s="76"/>
      <c r="EEN54" s="76"/>
      <c r="EEO54" s="76"/>
      <c r="EEP54" s="76"/>
      <c r="EEQ54" s="76"/>
      <c r="EER54" s="76"/>
      <c r="EES54" s="76"/>
      <c r="EET54" s="76"/>
      <c r="EEU54" s="76"/>
      <c r="EEV54" s="76"/>
      <c r="EEW54" s="76"/>
      <c r="EEX54" s="76"/>
      <c r="EEY54" s="76"/>
      <c r="EEZ54" s="76"/>
      <c r="EFA54" s="76"/>
      <c r="EFB54" s="76"/>
      <c r="EFC54" s="76"/>
      <c r="EFD54" s="76"/>
      <c r="EFE54" s="76"/>
      <c r="EFF54" s="76"/>
      <c r="EFG54" s="76"/>
      <c r="EFH54" s="76"/>
      <c r="EFI54" s="76"/>
      <c r="EFJ54" s="76"/>
      <c r="EFK54" s="76"/>
      <c r="EFL54" s="76"/>
      <c r="EFM54" s="76"/>
      <c r="EFN54" s="76"/>
      <c r="EFO54" s="76"/>
      <c r="EFP54" s="76"/>
      <c r="EFQ54" s="76"/>
      <c r="EFR54" s="76"/>
      <c r="EFS54" s="76"/>
      <c r="EFT54" s="76"/>
      <c r="EFU54" s="76"/>
      <c r="EFV54" s="76"/>
      <c r="EFW54" s="76"/>
      <c r="EFX54" s="76"/>
      <c r="EFY54" s="76"/>
      <c r="EFZ54" s="76"/>
      <c r="EGA54" s="76"/>
      <c r="EGB54" s="76"/>
      <c r="EGC54" s="76"/>
      <c r="EGD54" s="76"/>
      <c r="EGE54" s="76"/>
      <c r="EGF54" s="76"/>
      <c r="EGG54" s="76"/>
      <c r="EGH54" s="76"/>
      <c r="EGI54" s="76"/>
      <c r="EGJ54" s="76"/>
      <c r="EGK54" s="76"/>
      <c r="EGL54" s="76"/>
      <c r="EGM54" s="76"/>
      <c r="EGN54" s="76"/>
      <c r="EGO54" s="76"/>
      <c r="EGP54" s="76"/>
      <c r="EGQ54" s="76"/>
      <c r="EGR54" s="76"/>
      <c r="EGS54" s="76"/>
      <c r="EGT54" s="76"/>
      <c r="EGU54" s="76"/>
      <c r="EGV54" s="76"/>
      <c r="EGW54" s="76"/>
      <c r="EGX54" s="76"/>
      <c r="EGY54" s="76"/>
      <c r="EGZ54" s="76"/>
      <c r="EHA54" s="76"/>
      <c r="EHB54" s="76"/>
      <c r="EHC54" s="76"/>
      <c r="EHD54" s="76"/>
      <c r="EHE54" s="76"/>
      <c r="EHF54" s="76"/>
      <c r="EHG54" s="76"/>
      <c r="EHH54" s="76"/>
      <c r="EHI54" s="76"/>
      <c r="EHJ54" s="76"/>
      <c r="EHK54" s="76"/>
      <c r="EHL54" s="76"/>
      <c r="EHM54" s="76"/>
      <c r="EHN54" s="76"/>
      <c r="EHO54" s="76"/>
      <c r="EHP54" s="76"/>
      <c r="EHQ54" s="76"/>
      <c r="EHR54" s="76"/>
      <c r="EHS54" s="76"/>
      <c r="EHT54" s="76"/>
      <c r="EHU54" s="76"/>
      <c r="EHV54" s="76"/>
      <c r="EHW54" s="76"/>
      <c r="EHX54" s="76"/>
      <c r="EHY54" s="76"/>
      <c r="EHZ54" s="76"/>
      <c r="EIA54" s="76"/>
      <c r="EIB54" s="76"/>
      <c r="EIC54" s="76"/>
      <c r="EID54" s="76"/>
      <c r="EIE54" s="76"/>
      <c r="EIF54" s="76"/>
      <c r="EIG54" s="76"/>
      <c r="EIH54" s="76"/>
      <c r="EII54" s="76"/>
      <c r="EIJ54" s="76"/>
      <c r="EIK54" s="76"/>
      <c r="EIL54" s="76"/>
      <c r="EIM54" s="76"/>
      <c r="EIN54" s="76"/>
      <c r="EIO54" s="76"/>
      <c r="EIP54" s="76"/>
      <c r="EIQ54" s="76"/>
      <c r="EIR54" s="76"/>
      <c r="EIS54" s="76"/>
      <c r="EIT54" s="76"/>
      <c r="EIU54" s="76"/>
      <c r="EIV54" s="76"/>
      <c r="EIW54" s="76"/>
      <c r="EIX54" s="76"/>
      <c r="EIY54" s="76"/>
      <c r="EIZ54" s="76"/>
      <c r="EJA54" s="76"/>
      <c r="EJB54" s="76"/>
      <c r="EJC54" s="76"/>
      <c r="EJD54" s="76"/>
      <c r="EJE54" s="76"/>
      <c r="EJF54" s="76"/>
      <c r="EJG54" s="76"/>
      <c r="EJH54" s="76"/>
      <c r="EJI54" s="76"/>
      <c r="EJJ54" s="76"/>
      <c r="EJK54" s="76"/>
      <c r="EJL54" s="76"/>
      <c r="EJM54" s="76"/>
      <c r="EJN54" s="76"/>
      <c r="EJO54" s="76"/>
      <c r="EJP54" s="76"/>
      <c r="EJQ54" s="76"/>
      <c r="EJR54" s="76"/>
      <c r="EJS54" s="76"/>
      <c r="EJT54" s="76"/>
      <c r="EJU54" s="76"/>
      <c r="EJV54" s="76"/>
      <c r="EJW54" s="76"/>
      <c r="EJX54" s="76"/>
      <c r="EJY54" s="76"/>
      <c r="EJZ54" s="76"/>
      <c r="EKA54" s="76"/>
      <c r="EKB54" s="76"/>
      <c r="EKC54" s="76"/>
      <c r="EKD54" s="76"/>
      <c r="EKE54" s="76"/>
      <c r="EKF54" s="76"/>
      <c r="EKG54" s="76"/>
      <c r="EKH54" s="76"/>
      <c r="EKI54" s="76"/>
      <c r="EKJ54" s="76"/>
      <c r="EKK54" s="76"/>
      <c r="EKL54" s="76"/>
      <c r="EKM54" s="76"/>
      <c r="EKN54" s="76"/>
      <c r="EKO54" s="76"/>
      <c r="EKP54" s="76"/>
      <c r="EKQ54" s="76"/>
      <c r="EKR54" s="76"/>
      <c r="EKS54" s="76"/>
      <c r="EKT54" s="76"/>
      <c r="EKU54" s="76"/>
      <c r="EKV54" s="76"/>
      <c r="EKW54" s="76"/>
      <c r="EKX54" s="76"/>
      <c r="EKY54" s="76"/>
      <c r="EKZ54" s="76"/>
      <c r="ELA54" s="76"/>
      <c r="ELB54" s="76"/>
      <c r="ELC54" s="76"/>
      <c r="ELD54" s="76"/>
      <c r="ELE54" s="76"/>
      <c r="ELF54" s="76"/>
      <c r="ELG54" s="76"/>
      <c r="ELH54" s="76"/>
      <c r="ELI54" s="76"/>
      <c r="ELJ54" s="76"/>
      <c r="ELK54" s="76"/>
      <c r="ELL54" s="76"/>
      <c r="ELM54" s="76"/>
      <c r="ELN54" s="76"/>
      <c r="ELO54" s="76"/>
      <c r="ELP54" s="76"/>
      <c r="ELQ54" s="76"/>
      <c r="ELR54" s="76"/>
      <c r="ELS54" s="76"/>
      <c r="ELT54" s="76"/>
      <c r="ELU54" s="76"/>
      <c r="ELV54" s="76"/>
      <c r="ELW54" s="76"/>
      <c r="ELX54" s="76"/>
      <c r="ELY54" s="76"/>
      <c r="ELZ54" s="76"/>
      <c r="EMA54" s="76"/>
      <c r="EMB54" s="76"/>
      <c r="EMC54" s="76"/>
      <c r="EMD54" s="76"/>
      <c r="EME54" s="76"/>
      <c r="EMF54" s="76"/>
      <c r="EMG54" s="76"/>
      <c r="EMH54" s="76"/>
      <c r="EMI54" s="76"/>
      <c r="EMJ54" s="76"/>
      <c r="EMK54" s="76"/>
      <c r="EML54" s="76"/>
      <c r="EMM54" s="76"/>
      <c r="EMN54" s="76"/>
      <c r="EMO54" s="76"/>
      <c r="EMP54" s="76"/>
      <c r="EMQ54" s="76"/>
      <c r="EMR54" s="76"/>
      <c r="EMS54" s="76"/>
      <c r="EMT54" s="76"/>
      <c r="EMU54" s="76"/>
      <c r="EMV54" s="76"/>
      <c r="EMW54" s="76"/>
      <c r="EMX54" s="76"/>
      <c r="EMY54" s="76"/>
      <c r="EMZ54" s="76"/>
      <c r="ENA54" s="76"/>
      <c r="ENB54" s="76"/>
      <c r="ENC54" s="76"/>
      <c r="END54" s="76"/>
      <c r="ENE54" s="76"/>
      <c r="ENF54" s="76"/>
      <c r="ENG54" s="76"/>
      <c r="ENH54" s="76"/>
      <c r="ENI54" s="76"/>
      <c r="ENJ54" s="76"/>
      <c r="ENK54" s="76"/>
      <c r="ENL54" s="76"/>
      <c r="ENM54" s="76"/>
      <c r="ENN54" s="76"/>
      <c r="ENO54" s="76"/>
      <c r="ENP54" s="76"/>
      <c r="ENQ54" s="76"/>
      <c r="ENR54" s="76"/>
      <c r="ENS54" s="76"/>
      <c r="ENT54" s="76"/>
      <c r="ENU54" s="76"/>
      <c r="ENV54" s="76"/>
      <c r="ENW54" s="76"/>
      <c r="ENX54" s="76"/>
      <c r="ENY54" s="76"/>
      <c r="ENZ54" s="76"/>
      <c r="EOA54" s="76"/>
      <c r="EOB54" s="76"/>
      <c r="EOC54" s="76"/>
      <c r="EOD54" s="76"/>
      <c r="EOE54" s="76"/>
      <c r="EOF54" s="76"/>
      <c r="EOG54" s="76"/>
      <c r="EOH54" s="76"/>
      <c r="EOI54" s="76"/>
      <c r="EOJ54" s="76"/>
      <c r="EOK54" s="76"/>
      <c r="EOL54" s="76"/>
      <c r="EOM54" s="76"/>
      <c r="EON54" s="76"/>
      <c r="EOO54" s="76"/>
      <c r="EOP54" s="76"/>
      <c r="EOQ54" s="76"/>
      <c r="EOR54" s="76"/>
      <c r="EOS54" s="76"/>
      <c r="EOT54" s="76"/>
      <c r="EOU54" s="76"/>
      <c r="EOV54" s="76"/>
      <c r="EOW54" s="76"/>
      <c r="EOX54" s="76"/>
      <c r="EOY54" s="76"/>
      <c r="EOZ54" s="76"/>
      <c r="EPA54" s="76"/>
      <c r="EPB54" s="76"/>
      <c r="EPC54" s="76"/>
      <c r="EPD54" s="76"/>
      <c r="EPE54" s="76"/>
      <c r="EPF54" s="76"/>
      <c r="EPG54" s="76"/>
      <c r="EPH54" s="76"/>
      <c r="EPI54" s="76"/>
      <c r="EPJ54" s="76"/>
      <c r="EPK54" s="76"/>
      <c r="EPL54" s="76"/>
      <c r="EPM54" s="76"/>
      <c r="EPN54" s="76"/>
      <c r="EPO54" s="76"/>
      <c r="EPP54" s="76"/>
      <c r="EPQ54" s="76"/>
      <c r="EPR54" s="76"/>
      <c r="EPS54" s="76"/>
      <c r="EPT54" s="76"/>
      <c r="EPU54" s="76"/>
      <c r="EPV54" s="76"/>
      <c r="EPW54" s="76"/>
      <c r="EPX54" s="76"/>
      <c r="EPY54" s="76"/>
      <c r="EPZ54" s="76"/>
      <c r="EQA54" s="76"/>
      <c r="EQB54" s="76"/>
      <c r="EQC54" s="76"/>
      <c r="EQD54" s="76"/>
      <c r="EQE54" s="76"/>
      <c r="EQF54" s="76"/>
      <c r="EQG54" s="76"/>
      <c r="EQH54" s="76"/>
      <c r="EQI54" s="76"/>
      <c r="EQJ54" s="76"/>
      <c r="EQK54" s="76"/>
      <c r="EQL54" s="76"/>
      <c r="EQM54" s="76"/>
      <c r="EQN54" s="76"/>
      <c r="EQO54" s="76"/>
      <c r="EQP54" s="76"/>
      <c r="EQQ54" s="76"/>
      <c r="EQR54" s="76"/>
      <c r="EQS54" s="76"/>
      <c r="EQT54" s="76"/>
      <c r="EQU54" s="76"/>
      <c r="EQV54" s="76"/>
      <c r="EQW54" s="76"/>
      <c r="EQX54" s="76"/>
      <c r="EQY54" s="76"/>
      <c r="EQZ54" s="76"/>
      <c r="ERA54" s="76"/>
      <c r="ERB54" s="76"/>
      <c r="ERC54" s="76"/>
      <c r="ERD54" s="76"/>
      <c r="ERE54" s="76"/>
      <c r="ERF54" s="76"/>
      <c r="ERG54" s="76"/>
      <c r="ERH54" s="76"/>
      <c r="ERI54" s="76"/>
      <c r="ERJ54" s="76"/>
      <c r="ERK54" s="76"/>
      <c r="ERL54" s="76"/>
      <c r="ERM54" s="76"/>
      <c r="ERN54" s="76"/>
      <c r="ERO54" s="76"/>
      <c r="ERP54" s="76"/>
      <c r="ERQ54" s="76"/>
      <c r="ERR54" s="76"/>
      <c r="ERS54" s="76"/>
      <c r="ERT54" s="76"/>
      <c r="ERU54" s="76"/>
      <c r="ERV54" s="76"/>
      <c r="ERW54" s="76"/>
      <c r="ERX54" s="76"/>
      <c r="ERY54" s="76"/>
      <c r="ERZ54" s="76"/>
      <c r="ESA54" s="76"/>
      <c r="ESB54" s="76"/>
      <c r="ESC54" s="76"/>
      <c r="ESD54" s="76"/>
      <c r="ESE54" s="76"/>
      <c r="ESF54" s="76"/>
      <c r="ESG54" s="76"/>
      <c r="ESH54" s="76"/>
      <c r="ESI54" s="76"/>
      <c r="ESJ54" s="76"/>
      <c r="ESK54" s="76"/>
      <c r="ESL54" s="76"/>
      <c r="ESM54" s="76"/>
      <c r="ESN54" s="76"/>
      <c r="ESO54" s="76"/>
      <c r="ESP54" s="76"/>
      <c r="ESQ54" s="76"/>
      <c r="ESR54" s="76"/>
      <c r="ESS54" s="76"/>
      <c r="EST54" s="76"/>
      <c r="ESU54" s="76"/>
      <c r="ESV54" s="76"/>
      <c r="ESW54" s="76"/>
      <c r="ESX54" s="76"/>
      <c r="ESY54" s="76"/>
      <c r="ESZ54" s="76"/>
      <c r="ETA54" s="76"/>
      <c r="ETB54" s="76"/>
      <c r="ETC54" s="76"/>
      <c r="ETD54" s="76"/>
      <c r="ETE54" s="76"/>
      <c r="ETF54" s="76"/>
      <c r="ETG54" s="76"/>
      <c r="ETH54" s="76"/>
      <c r="ETI54" s="76"/>
      <c r="ETJ54" s="76"/>
      <c r="ETK54" s="76"/>
      <c r="ETL54" s="76"/>
      <c r="ETM54" s="76"/>
      <c r="ETN54" s="76"/>
      <c r="ETO54" s="76"/>
      <c r="ETP54" s="76"/>
      <c r="ETQ54" s="76"/>
      <c r="ETR54" s="76"/>
      <c r="ETS54" s="76"/>
      <c r="ETT54" s="76"/>
      <c r="ETU54" s="76"/>
      <c r="ETV54" s="76"/>
      <c r="ETW54" s="76"/>
      <c r="ETX54" s="76"/>
      <c r="ETY54" s="76"/>
      <c r="ETZ54" s="76"/>
      <c r="EUA54" s="76"/>
      <c r="EUB54" s="76"/>
      <c r="EUC54" s="76"/>
      <c r="EUD54" s="76"/>
      <c r="EUE54" s="76"/>
      <c r="EUF54" s="76"/>
      <c r="EUG54" s="76"/>
      <c r="EUH54" s="76"/>
      <c r="EUI54" s="76"/>
      <c r="EUJ54" s="76"/>
      <c r="EUK54" s="76"/>
      <c r="EUL54" s="76"/>
      <c r="EUM54" s="76"/>
      <c r="EUN54" s="76"/>
      <c r="EUO54" s="76"/>
      <c r="EUP54" s="76"/>
      <c r="EUQ54" s="76"/>
      <c r="EUR54" s="76"/>
      <c r="EUS54" s="76"/>
      <c r="EUT54" s="76"/>
      <c r="EUU54" s="76"/>
      <c r="EUV54" s="76"/>
      <c r="EUW54" s="76"/>
      <c r="EUX54" s="76"/>
      <c r="EUY54" s="76"/>
      <c r="EUZ54" s="76"/>
      <c r="EVA54" s="76"/>
      <c r="EVB54" s="76"/>
      <c r="EVC54" s="76"/>
      <c r="EVD54" s="76"/>
      <c r="EVE54" s="76"/>
      <c r="EVF54" s="76"/>
      <c r="EVG54" s="76"/>
      <c r="EVH54" s="76"/>
      <c r="EVI54" s="76"/>
      <c r="EVJ54" s="76"/>
      <c r="EVK54" s="76"/>
      <c r="EVL54" s="76"/>
      <c r="EVM54" s="76"/>
      <c r="EVN54" s="76"/>
      <c r="EVO54" s="76"/>
      <c r="EVP54" s="76"/>
      <c r="EVQ54" s="76"/>
      <c r="EVR54" s="76"/>
      <c r="EVS54" s="76"/>
      <c r="EVT54" s="76"/>
      <c r="EVU54" s="76"/>
      <c r="EVV54" s="76"/>
      <c r="EVW54" s="76"/>
      <c r="EVX54" s="76"/>
      <c r="EVY54" s="76"/>
      <c r="EVZ54" s="76"/>
      <c r="EWA54" s="76"/>
      <c r="EWB54" s="76"/>
      <c r="EWC54" s="76"/>
      <c r="EWD54" s="76"/>
      <c r="EWE54" s="76"/>
      <c r="EWF54" s="76"/>
      <c r="EWG54" s="76"/>
      <c r="EWH54" s="76"/>
      <c r="EWI54" s="76"/>
      <c r="EWJ54" s="76"/>
      <c r="EWK54" s="76"/>
      <c r="EWL54" s="76"/>
      <c r="EWM54" s="76"/>
      <c r="EWN54" s="76"/>
      <c r="EWO54" s="76"/>
      <c r="EWP54" s="76"/>
      <c r="EWQ54" s="76"/>
      <c r="EWR54" s="76"/>
      <c r="EWS54" s="76"/>
      <c r="EWT54" s="76"/>
      <c r="EWU54" s="76"/>
      <c r="EWV54" s="76"/>
      <c r="EWW54" s="76"/>
      <c r="EWX54" s="76"/>
      <c r="EWY54" s="76"/>
      <c r="EWZ54" s="76"/>
      <c r="EXA54" s="76"/>
      <c r="EXB54" s="76"/>
      <c r="EXC54" s="76"/>
      <c r="EXD54" s="76"/>
      <c r="EXE54" s="76"/>
      <c r="EXF54" s="76"/>
      <c r="EXG54" s="76"/>
      <c r="EXH54" s="76"/>
      <c r="EXI54" s="76"/>
      <c r="EXJ54" s="76"/>
      <c r="EXK54" s="76"/>
      <c r="EXL54" s="76"/>
      <c r="EXM54" s="76"/>
      <c r="EXN54" s="76"/>
      <c r="EXO54" s="76"/>
      <c r="EXP54" s="76"/>
      <c r="EXQ54" s="76"/>
      <c r="EXR54" s="76"/>
      <c r="EXS54" s="76"/>
      <c r="EXT54" s="76"/>
      <c r="EXU54" s="76"/>
      <c r="EXV54" s="76"/>
      <c r="EXW54" s="76"/>
      <c r="EXX54" s="76"/>
      <c r="EXY54" s="76"/>
      <c r="EXZ54" s="76"/>
      <c r="EYA54" s="76"/>
      <c r="EYB54" s="76"/>
      <c r="EYC54" s="76"/>
      <c r="EYD54" s="76"/>
      <c r="EYE54" s="76"/>
      <c r="EYF54" s="76"/>
      <c r="EYG54" s="76"/>
      <c r="EYH54" s="76"/>
      <c r="EYI54" s="76"/>
      <c r="EYJ54" s="76"/>
      <c r="EYK54" s="76"/>
      <c r="EYL54" s="76"/>
      <c r="EYM54" s="76"/>
      <c r="EYN54" s="76"/>
      <c r="EYO54" s="76"/>
      <c r="EYP54" s="76"/>
      <c r="EYQ54" s="76"/>
      <c r="EYR54" s="76"/>
      <c r="EYS54" s="76"/>
      <c r="EYT54" s="76"/>
      <c r="EYU54" s="76"/>
      <c r="EYV54" s="76"/>
      <c r="EYW54" s="76"/>
      <c r="EYX54" s="76"/>
      <c r="EYY54" s="76"/>
      <c r="EYZ54" s="76"/>
      <c r="EZA54" s="76"/>
      <c r="EZB54" s="76"/>
      <c r="EZC54" s="76"/>
      <c r="EZD54" s="76"/>
      <c r="EZE54" s="76"/>
      <c r="EZF54" s="76"/>
      <c r="EZG54" s="76"/>
      <c r="EZH54" s="76"/>
      <c r="EZI54" s="76"/>
      <c r="EZJ54" s="76"/>
      <c r="EZK54" s="76"/>
      <c r="EZL54" s="76"/>
      <c r="EZM54" s="76"/>
      <c r="EZN54" s="76"/>
      <c r="EZO54" s="76"/>
      <c r="EZP54" s="76"/>
      <c r="EZQ54" s="76"/>
      <c r="EZR54" s="76"/>
      <c r="EZS54" s="76"/>
      <c r="EZT54" s="76"/>
      <c r="EZU54" s="76"/>
      <c r="EZV54" s="76"/>
      <c r="EZW54" s="76"/>
      <c r="EZX54" s="76"/>
      <c r="EZY54" s="76"/>
      <c r="EZZ54" s="76"/>
      <c r="FAA54" s="76"/>
      <c r="FAB54" s="76"/>
      <c r="FAC54" s="76"/>
      <c r="FAD54" s="76"/>
      <c r="FAE54" s="76"/>
      <c r="FAF54" s="76"/>
      <c r="FAG54" s="76"/>
      <c r="FAH54" s="76"/>
      <c r="FAI54" s="76"/>
      <c r="FAJ54" s="76"/>
      <c r="FAK54" s="76"/>
      <c r="FAL54" s="76"/>
      <c r="FAM54" s="76"/>
      <c r="FAN54" s="76"/>
      <c r="FAO54" s="76"/>
      <c r="FAP54" s="76"/>
      <c r="FAQ54" s="76"/>
      <c r="FAR54" s="76"/>
      <c r="FAS54" s="76"/>
      <c r="FAT54" s="76"/>
      <c r="FAU54" s="76"/>
      <c r="FAV54" s="76"/>
      <c r="FAW54" s="76"/>
      <c r="FAX54" s="76"/>
      <c r="FAY54" s="76"/>
      <c r="FAZ54" s="76"/>
      <c r="FBA54" s="76"/>
      <c r="FBB54" s="76"/>
      <c r="FBC54" s="76"/>
      <c r="FBD54" s="76"/>
      <c r="FBE54" s="76"/>
      <c r="FBF54" s="76"/>
      <c r="FBG54" s="76"/>
      <c r="FBH54" s="76"/>
      <c r="FBI54" s="76"/>
      <c r="FBJ54" s="76"/>
      <c r="FBK54" s="76"/>
      <c r="FBL54" s="76"/>
      <c r="FBM54" s="76"/>
      <c r="FBN54" s="76"/>
      <c r="FBO54" s="76"/>
      <c r="FBP54" s="76"/>
      <c r="FBQ54" s="76"/>
      <c r="FBR54" s="76"/>
      <c r="FBS54" s="76"/>
      <c r="FBT54" s="76"/>
      <c r="FBU54" s="76"/>
      <c r="FBV54" s="76"/>
      <c r="FBW54" s="76"/>
      <c r="FBX54" s="76"/>
      <c r="FBY54" s="76"/>
      <c r="FBZ54" s="76"/>
      <c r="FCA54" s="76"/>
      <c r="FCB54" s="76"/>
      <c r="FCC54" s="76"/>
      <c r="FCD54" s="76"/>
      <c r="FCE54" s="76"/>
      <c r="FCF54" s="76"/>
      <c r="FCG54" s="76"/>
      <c r="FCH54" s="76"/>
      <c r="FCI54" s="76"/>
      <c r="FCJ54" s="76"/>
      <c r="FCK54" s="76"/>
      <c r="FCL54" s="76"/>
      <c r="FCM54" s="76"/>
      <c r="FCN54" s="76"/>
      <c r="FCO54" s="76"/>
      <c r="FCP54" s="76"/>
      <c r="FCQ54" s="76"/>
      <c r="FCR54" s="76"/>
      <c r="FCS54" s="76"/>
      <c r="FCT54" s="76"/>
      <c r="FCU54" s="76"/>
      <c r="FCV54" s="76"/>
      <c r="FCW54" s="76"/>
      <c r="FCX54" s="76"/>
      <c r="FCY54" s="76"/>
      <c r="FCZ54" s="76"/>
      <c r="FDA54" s="76"/>
      <c r="FDB54" s="76"/>
      <c r="FDC54" s="76"/>
      <c r="FDD54" s="76"/>
      <c r="FDE54" s="76"/>
      <c r="FDF54" s="76"/>
      <c r="FDG54" s="76"/>
      <c r="FDH54" s="76"/>
      <c r="FDI54" s="76"/>
      <c r="FDJ54" s="76"/>
      <c r="FDK54" s="76"/>
      <c r="FDL54" s="76"/>
      <c r="FDM54" s="76"/>
      <c r="FDN54" s="76"/>
      <c r="FDO54" s="76"/>
      <c r="FDP54" s="76"/>
      <c r="FDQ54" s="76"/>
      <c r="FDR54" s="76"/>
      <c r="FDS54" s="76"/>
      <c r="FDT54" s="76"/>
      <c r="FDU54" s="76"/>
      <c r="FDV54" s="76"/>
      <c r="FDW54" s="76"/>
      <c r="FDX54" s="76"/>
      <c r="FDY54" s="76"/>
      <c r="FDZ54" s="76"/>
      <c r="FEA54" s="76"/>
      <c r="FEB54" s="76"/>
      <c r="FEC54" s="76"/>
      <c r="FED54" s="76"/>
      <c r="FEE54" s="76"/>
      <c r="FEF54" s="76"/>
      <c r="FEG54" s="76"/>
      <c r="FEH54" s="76"/>
      <c r="FEI54" s="76"/>
      <c r="FEJ54" s="76"/>
      <c r="FEK54" s="76"/>
      <c r="FEL54" s="76"/>
      <c r="FEM54" s="76"/>
      <c r="FEN54" s="76"/>
      <c r="FEO54" s="76"/>
      <c r="FEP54" s="76"/>
      <c r="FEQ54" s="76"/>
      <c r="FER54" s="76"/>
      <c r="FES54" s="76"/>
      <c r="FET54" s="76"/>
      <c r="FEU54" s="76"/>
      <c r="FEV54" s="76"/>
      <c r="FEW54" s="76"/>
      <c r="FEX54" s="76"/>
      <c r="FEY54" s="76"/>
      <c r="FEZ54" s="76"/>
      <c r="FFA54" s="76"/>
      <c r="FFB54" s="76"/>
      <c r="FFC54" s="76"/>
      <c r="FFD54" s="76"/>
      <c r="FFE54" s="76"/>
      <c r="FFF54" s="76"/>
      <c r="FFG54" s="76"/>
      <c r="FFH54" s="76"/>
      <c r="FFI54" s="76"/>
      <c r="FFJ54" s="76"/>
      <c r="FFK54" s="76"/>
      <c r="FFL54" s="76"/>
      <c r="FFM54" s="76"/>
      <c r="FFN54" s="76"/>
      <c r="FFO54" s="76"/>
      <c r="FFP54" s="76"/>
      <c r="FFQ54" s="76"/>
      <c r="FFR54" s="76"/>
      <c r="FFS54" s="76"/>
      <c r="FFT54" s="76"/>
      <c r="FFU54" s="76"/>
      <c r="FFV54" s="76"/>
      <c r="FFW54" s="76"/>
      <c r="FFX54" s="76"/>
      <c r="FFY54" s="76"/>
      <c r="FFZ54" s="76"/>
      <c r="FGA54" s="76"/>
      <c r="FGB54" s="76"/>
      <c r="FGC54" s="76"/>
      <c r="FGD54" s="76"/>
      <c r="FGE54" s="76"/>
      <c r="FGF54" s="76"/>
      <c r="FGG54" s="76"/>
      <c r="FGH54" s="76"/>
      <c r="FGI54" s="76"/>
      <c r="FGJ54" s="76"/>
      <c r="FGK54" s="76"/>
      <c r="FGL54" s="76"/>
      <c r="FGM54" s="76"/>
      <c r="FGN54" s="76"/>
      <c r="FGO54" s="76"/>
      <c r="FGP54" s="76"/>
      <c r="FGQ54" s="76"/>
      <c r="FGR54" s="76"/>
      <c r="FGS54" s="76"/>
      <c r="FGT54" s="76"/>
      <c r="FGU54" s="76"/>
      <c r="FGV54" s="76"/>
      <c r="FGW54" s="76"/>
      <c r="FGX54" s="76"/>
      <c r="FGY54" s="76"/>
      <c r="FGZ54" s="76"/>
      <c r="FHA54" s="76"/>
      <c r="FHB54" s="76"/>
      <c r="FHC54" s="76"/>
      <c r="FHD54" s="76"/>
      <c r="FHE54" s="76"/>
      <c r="FHF54" s="76"/>
      <c r="FHG54" s="76"/>
      <c r="FHH54" s="76"/>
      <c r="FHI54" s="76"/>
      <c r="FHJ54" s="76"/>
      <c r="FHK54" s="76"/>
      <c r="FHL54" s="76"/>
      <c r="FHM54" s="76"/>
      <c r="FHN54" s="76"/>
      <c r="FHO54" s="76"/>
      <c r="FHP54" s="76"/>
      <c r="FHQ54" s="76"/>
      <c r="FHR54" s="76"/>
      <c r="FHS54" s="76"/>
      <c r="FHT54" s="76"/>
      <c r="FHU54" s="76"/>
      <c r="FHV54" s="76"/>
      <c r="FHW54" s="76"/>
      <c r="FHX54" s="76"/>
      <c r="FHY54" s="76"/>
      <c r="FHZ54" s="76"/>
      <c r="FIA54" s="76"/>
      <c r="FIB54" s="76"/>
      <c r="FIC54" s="76"/>
      <c r="FID54" s="76"/>
      <c r="FIE54" s="76"/>
      <c r="FIF54" s="76"/>
      <c r="FIG54" s="76"/>
      <c r="FIH54" s="76"/>
      <c r="FII54" s="76"/>
      <c r="FIJ54" s="76"/>
      <c r="FIK54" s="76"/>
      <c r="FIL54" s="76"/>
      <c r="FIM54" s="76"/>
      <c r="FIN54" s="76"/>
      <c r="FIO54" s="76"/>
      <c r="FIP54" s="76"/>
      <c r="FIQ54" s="76"/>
      <c r="FIR54" s="76"/>
      <c r="FIS54" s="76"/>
      <c r="FIT54" s="76"/>
      <c r="FIU54" s="76"/>
      <c r="FIV54" s="76"/>
      <c r="FIW54" s="76"/>
      <c r="FIX54" s="76"/>
      <c r="FIY54" s="76"/>
      <c r="FIZ54" s="76"/>
      <c r="FJA54" s="76"/>
      <c r="FJB54" s="76"/>
      <c r="FJC54" s="76"/>
      <c r="FJD54" s="76"/>
      <c r="FJE54" s="76"/>
      <c r="FJF54" s="76"/>
      <c r="FJG54" s="76"/>
      <c r="FJH54" s="76"/>
      <c r="FJI54" s="76"/>
      <c r="FJJ54" s="76"/>
      <c r="FJK54" s="76"/>
      <c r="FJL54" s="76"/>
      <c r="FJM54" s="76"/>
      <c r="FJN54" s="76"/>
      <c r="FJO54" s="76"/>
      <c r="FJP54" s="76"/>
      <c r="FJQ54" s="76"/>
      <c r="FJR54" s="76"/>
      <c r="FJS54" s="76"/>
      <c r="FJT54" s="76"/>
      <c r="FJU54" s="76"/>
      <c r="FJV54" s="76"/>
      <c r="FJW54" s="76"/>
      <c r="FJX54" s="76"/>
      <c r="FJY54" s="76"/>
      <c r="FJZ54" s="76"/>
      <c r="FKA54" s="76"/>
      <c r="FKB54" s="76"/>
      <c r="FKC54" s="76"/>
      <c r="FKD54" s="76"/>
      <c r="FKE54" s="76"/>
      <c r="FKF54" s="76"/>
      <c r="FKG54" s="76"/>
      <c r="FKH54" s="76"/>
      <c r="FKI54" s="76"/>
      <c r="FKJ54" s="76"/>
      <c r="FKK54" s="76"/>
      <c r="FKL54" s="76"/>
      <c r="FKM54" s="76"/>
      <c r="FKN54" s="76"/>
      <c r="FKO54" s="76"/>
      <c r="FKP54" s="76"/>
      <c r="FKQ54" s="76"/>
      <c r="FKR54" s="76"/>
      <c r="FKS54" s="76"/>
      <c r="FKT54" s="76"/>
      <c r="FKU54" s="76"/>
      <c r="FKV54" s="76"/>
      <c r="FKW54" s="76"/>
      <c r="FKX54" s="76"/>
      <c r="FKY54" s="76"/>
      <c r="FKZ54" s="76"/>
      <c r="FLA54" s="76"/>
      <c r="FLB54" s="76"/>
      <c r="FLC54" s="76"/>
      <c r="FLD54" s="76"/>
      <c r="FLE54" s="76"/>
      <c r="FLF54" s="76"/>
      <c r="FLG54" s="76"/>
      <c r="FLH54" s="76"/>
      <c r="FLI54" s="76"/>
      <c r="FLJ54" s="76"/>
      <c r="FLK54" s="76"/>
      <c r="FLL54" s="76"/>
      <c r="FLM54" s="76"/>
      <c r="FLN54" s="76"/>
      <c r="FLO54" s="76"/>
      <c r="FLP54" s="76"/>
      <c r="FLQ54" s="76"/>
      <c r="FLR54" s="76"/>
      <c r="FLS54" s="76"/>
      <c r="FLT54" s="76"/>
      <c r="FLU54" s="76"/>
      <c r="FLV54" s="76"/>
      <c r="FLW54" s="76"/>
      <c r="FLX54" s="76"/>
      <c r="FLY54" s="76"/>
      <c r="FLZ54" s="76"/>
      <c r="FMA54" s="76"/>
      <c r="FMB54" s="76"/>
      <c r="FMC54" s="76"/>
      <c r="FMD54" s="76"/>
      <c r="FME54" s="76"/>
      <c r="FMF54" s="76"/>
      <c r="FMG54" s="76"/>
      <c r="FMH54" s="76"/>
      <c r="FMI54" s="76"/>
      <c r="FMJ54" s="76"/>
      <c r="FMK54" s="76"/>
      <c r="FML54" s="76"/>
      <c r="FMM54" s="76"/>
      <c r="FMN54" s="76"/>
      <c r="FMO54" s="76"/>
      <c r="FMP54" s="76"/>
      <c r="FMQ54" s="76"/>
      <c r="FMR54" s="76"/>
      <c r="FMS54" s="76"/>
      <c r="FMT54" s="76"/>
      <c r="FMU54" s="76"/>
      <c r="FMV54" s="76"/>
      <c r="FMW54" s="76"/>
      <c r="FMX54" s="76"/>
      <c r="FMY54" s="76"/>
      <c r="FMZ54" s="76"/>
      <c r="FNA54" s="76"/>
      <c r="FNB54" s="76"/>
      <c r="FNC54" s="76"/>
      <c r="FND54" s="76"/>
      <c r="FNE54" s="76"/>
      <c r="FNF54" s="76"/>
      <c r="FNG54" s="76"/>
      <c r="FNH54" s="76"/>
      <c r="FNI54" s="76"/>
      <c r="FNJ54" s="76"/>
      <c r="FNK54" s="76"/>
      <c r="FNL54" s="76"/>
      <c r="FNM54" s="76"/>
      <c r="FNN54" s="76"/>
      <c r="FNO54" s="76"/>
      <c r="FNP54" s="76"/>
      <c r="FNQ54" s="76"/>
      <c r="FNR54" s="76"/>
      <c r="FNS54" s="76"/>
      <c r="FNT54" s="76"/>
      <c r="FNU54" s="76"/>
      <c r="FNV54" s="76"/>
      <c r="FNW54" s="76"/>
      <c r="FNX54" s="76"/>
      <c r="FNY54" s="76"/>
      <c r="FNZ54" s="76"/>
      <c r="FOA54" s="76"/>
      <c r="FOB54" s="76"/>
      <c r="FOC54" s="76"/>
      <c r="FOD54" s="76"/>
      <c r="FOE54" s="76"/>
      <c r="FOF54" s="76"/>
      <c r="FOG54" s="76"/>
      <c r="FOH54" s="76"/>
      <c r="FOI54" s="76"/>
      <c r="FOJ54" s="76"/>
      <c r="FOK54" s="76"/>
      <c r="FOL54" s="76"/>
      <c r="FOM54" s="76"/>
      <c r="FON54" s="76"/>
      <c r="FOO54" s="76"/>
      <c r="FOP54" s="76"/>
      <c r="FOQ54" s="76"/>
      <c r="FOR54" s="76"/>
      <c r="FOS54" s="76"/>
      <c r="FOT54" s="76"/>
      <c r="FOU54" s="76"/>
      <c r="FOV54" s="76"/>
      <c r="FOW54" s="76"/>
      <c r="FOX54" s="76"/>
      <c r="FOY54" s="76"/>
      <c r="FOZ54" s="76"/>
      <c r="FPA54" s="76"/>
      <c r="FPB54" s="76"/>
      <c r="FPC54" s="76"/>
      <c r="FPD54" s="76"/>
      <c r="FPE54" s="76"/>
      <c r="FPF54" s="76"/>
      <c r="FPG54" s="76"/>
      <c r="FPH54" s="76"/>
      <c r="FPI54" s="76"/>
      <c r="FPJ54" s="76"/>
      <c r="FPK54" s="76"/>
      <c r="FPL54" s="76"/>
      <c r="FPM54" s="76"/>
      <c r="FPN54" s="76"/>
      <c r="FPO54" s="76"/>
      <c r="FPP54" s="76"/>
      <c r="FPQ54" s="76"/>
      <c r="FPR54" s="76"/>
      <c r="FPS54" s="76"/>
      <c r="FPT54" s="76"/>
      <c r="FPU54" s="76"/>
      <c r="FPV54" s="76"/>
      <c r="FPW54" s="76"/>
      <c r="FPX54" s="76"/>
      <c r="FPY54" s="76"/>
      <c r="FPZ54" s="76"/>
      <c r="FQA54" s="76"/>
      <c r="FQB54" s="76"/>
      <c r="FQC54" s="76"/>
      <c r="FQD54" s="76"/>
      <c r="FQE54" s="76"/>
      <c r="FQF54" s="76"/>
      <c r="FQG54" s="76"/>
      <c r="FQH54" s="76"/>
      <c r="FQI54" s="76"/>
      <c r="FQJ54" s="76"/>
      <c r="FQK54" s="76"/>
      <c r="FQL54" s="76"/>
      <c r="FQM54" s="76"/>
      <c r="FQN54" s="76"/>
      <c r="FQO54" s="76"/>
      <c r="FQP54" s="76"/>
      <c r="FQQ54" s="76"/>
      <c r="FQR54" s="76"/>
      <c r="FQS54" s="76"/>
      <c r="FQT54" s="76"/>
      <c r="FQU54" s="76"/>
      <c r="FQV54" s="76"/>
      <c r="FQW54" s="76"/>
      <c r="FQX54" s="76"/>
      <c r="FQY54" s="76"/>
      <c r="FQZ54" s="76"/>
      <c r="FRA54" s="76"/>
      <c r="FRB54" s="76"/>
      <c r="FRC54" s="76"/>
      <c r="FRD54" s="76"/>
      <c r="FRE54" s="76"/>
      <c r="FRF54" s="76"/>
      <c r="FRG54" s="76"/>
      <c r="FRH54" s="76"/>
      <c r="FRI54" s="76"/>
      <c r="FRJ54" s="76"/>
      <c r="FRK54" s="76"/>
      <c r="FRL54" s="76"/>
      <c r="FRM54" s="76"/>
      <c r="FRN54" s="76"/>
      <c r="FRO54" s="76"/>
      <c r="FRP54" s="76"/>
      <c r="FRQ54" s="76"/>
      <c r="FRR54" s="76"/>
      <c r="FRS54" s="76"/>
      <c r="FRT54" s="76"/>
      <c r="FRU54" s="76"/>
      <c r="FRV54" s="76"/>
      <c r="FRW54" s="76"/>
      <c r="FRX54" s="76"/>
      <c r="FRY54" s="76"/>
      <c r="FRZ54" s="76"/>
      <c r="FSA54" s="76"/>
      <c r="FSB54" s="76"/>
      <c r="FSC54" s="76"/>
      <c r="FSD54" s="76"/>
      <c r="FSE54" s="76"/>
      <c r="FSF54" s="76"/>
      <c r="FSG54" s="76"/>
      <c r="FSH54" s="76"/>
      <c r="FSI54" s="76"/>
      <c r="FSJ54" s="76"/>
      <c r="FSK54" s="76"/>
      <c r="FSL54" s="76"/>
      <c r="FSM54" s="76"/>
      <c r="FSN54" s="76"/>
      <c r="FSO54" s="76"/>
      <c r="FSP54" s="76"/>
      <c r="FSQ54" s="76"/>
      <c r="FSR54" s="76"/>
      <c r="FSS54" s="76"/>
      <c r="FST54" s="76"/>
      <c r="FSU54" s="76"/>
      <c r="FSV54" s="76"/>
      <c r="FSW54" s="76"/>
      <c r="FSX54" s="76"/>
      <c r="FSY54" s="76"/>
      <c r="FSZ54" s="76"/>
      <c r="FTA54" s="76"/>
      <c r="FTB54" s="76"/>
      <c r="FTC54" s="76"/>
      <c r="FTD54" s="76"/>
      <c r="FTE54" s="76"/>
      <c r="FTF54" s="76"/>
      <c r="FTG54" s="76"/>
      <c r="FTH54" s="76"/>
      <c r="FTI54" s="76"/>
      <c r="FTJ54" s="76"/>
      <c r="FTK54" s="76"/>
      <c r="FTL54" s="76"/>
      <c r="FTM54" s="76"/>
      <c r="FTN54" s="76"/>
      <c r="FTO54" s="76"/>
      <c r="FTP54" s="76"/>
      <c r="FTQ54" s="76"/>
      <c r="FTR54" s="76"/>
      <c r="FTS54" s="76"/>
      <c r="FTT54" s="76"/>
      <c r="FTU54" s="76"/>
      <c r="FTV54" s="76"/>
      <c r="FTW54" s="76"/>
      <c r="FTX54" s="76"/>
      <c r="FTY54" s="76"/>
      <c r="FTZ54" s="76"/>
      <c r="FUA54" s="76"/>
      <c r="FUB54" s="76"/>
      <c r="FUC54" s="76"/>
      <c r="FUD54" s="76"/>
      <c r="FUE54" s="76"/>
      <c r="FUF54" s="76"/>
      <c r="FUG54" s="76"/>
      <c r="FUH54" s="76"/>
      <c r="FUI54" s="76"/>
      <c r="FUJ54" s="76"/>
      <c r="FUK54" s="76"/>
      <c r="FUL54" s="76"/>
      <c r="FUM54" s="76"/>
      <c r="FUN54" s="76"/>
      <c r="FUO54" s="76"/>
      <c r="FUP54" s="76"/>
      <c r="FUQ54" s="76"/>
      <c r="FUR54" s="76"/>
      <c r="FUS54" s="76"/>
      <c r="FUT54" s="76"/>
      <c r="FUU54" s="76"/>
      <c r="FUV54" s="76"/>
      <c r="FUW54" s="76"/>
      <c r="FUX54" s="76"/>
      <c r="FUY54" s="76"/>
      <c r="FUZ54" s="76"/>
      <c r="FVA54" s="76"/>
      <c r="FVB54" s="76"/>
      <c r="FVC54" s="76"/>
      <c r="FVD54" s="76"/>
      <c r="FVE54" s="76"/>
      <c r="FVF54" s="76"/>
      <c r="FVG54" s="76"/>
      <c r="FVH54" s="76"/>
      <c r="FVI54" s="76"/>
      <c r="FVJ54" s="76"/>
      <c r="FVK54" s="76"/>
      <c r="FVL54" s="76"/>
      <c r="FVM54" s="76"/>
      <c r="FVN54" s="76"/>
      <c r="FVO54" s="76"/>
      <c r="FVP54" s="76"/>
      <c r="FVQ54" s="76"/>
      <c r="FVR54" s="76"/>
      <c r="FVS54" s="76"/>
      <c r="FVT54" s="76"/>
      <c r="FVU54" s="76"/>
      <c r="FVV54" s="76"/>
      <c r="FVW54" s="76"/>
      <c r="FVX54" s="76"/>
      <c r="FVY54" s="76"/>
      <c r="FVZ54" s="76"/>
      <c r="FWA54" s="76"/>
      <c r="FWB54" s="76"/>
      <c r="FWC54" s="76"/>
      <c r="FWD54" s="76"/>
      <c r="FWE54" s="76"/>
      <c r="FWF54" s="76"/>
      <c r="FWG54" s="76"/>
      <c r="FWH54" s="76"/>
      <c r="FWI54" s="76"/>
      <c r="FWJ54" s="76"/>
      <c r="FWK54" s="76"/>
      <c r="FWL54" s="76"/>
      <c r="FWM54" s="76"/>
      <c r="FWN54" s="76"/>
      <c r="FWO54" s="76"/>
      <c r="FWP54" s="76"/>
      <c r="FWQ54" s="76"/>
      <c r="FWR54" s="76"/>
      <c r="FWS54" s="76"/>
      <c r="FWT54" s="76"/>
      <c r="FWU54" s="76"/>
      <c r="FWV54" s="76"/>
      <c r="FWW54" s="76"/>
      <c r="FWX54" s="76"/>
      <c r="FWY54" s="76"/>
      <c r="FWZ54" s="76"/>
      <c r="FXA54" s="76"/>
      <c r="FXB54" s="76"/>
      <c r="FXC54" s="76"/>
      <c r="FXD54" s="76"/>
      <c r="FXE54" s="76"/>
      <c r="FXF54" s="76"/>
      <c r="FXG54" s="76"/>
      <c r="FXH54" s="76"/>
      <c r="FXI54" s="76"/>
      <c r="FXJ54" s="76"/>
      <c r="FXK54" s="76"/>
      <c r="FXL54" s="76"/>
      <c r="FXM54" s="76"/>
      <c r="FXN54" s="76"/>
      <c r="FXO54" s="76"/>
      <c r="FXP54" s="76"/>
      <c r="FXQ54" s="76"/>
      <c r="FXR54" s="76"/>
      <c r="FXS54" s="76"/>
      <c r="FXT54" s="76"/>
      <c r="FXU54" s="76"/>
      <c r="FXV54" s="76"/>
      <c r="FXW54" s="76"/>
      <c r="FXX54" s="76"/>
      <c r="FXY54" s="76"/>
      <c r="FXZ54" s="76"/>
      <c r="FYA54" s="76"/>
      <c r="FYB54" s="76"/>
      <c r="FYC54" s="76"/>
      <c r="FYD54" s="76"/>
      <c r="FYE54" s="76"/>
      <c r="FYF54" s="76"/>
      <c r="FYG54" s="76"/>
      <c r="FYH54" s="76"/>
      <c r="FYI54" s="76"/>
      <c r="FYJ54" s="76"/>
      <c r="FYK54" s="76"/>
      <c r="FYL54" s="76"/>
      <c r="FYM54" s="76"/>
      <c r="FYN54" s="76"/>
      <c r="FYO54" s="76"/>
      <c r="FYP54" s="76"/>
      <c r="FYQ54" s="76"/>
      <c r="FYR54" s="76"/>
      <c r="FYS54" s="76"/>
      <c r="FYT54" s="76"/>
      <c r="FYU54" s="76"/>
      <c r="FYV54" s="76"/>
      <c r="FYW54" s="76"/>
      <c r="FYX54" s="76"/>
      <c r="FYY54" s="76"/>
      <c r="FYZ54" s="76"/>
      <c r="FZA54" s="76"/>
      <c r="FZB54" s="76"/>
      <c r="FZC54" s="76"/>
      <c r="FZD54" s="76"/>
      <c r="FZE54" s="76"/>
      <c r="FZF54" s="76"/>
      <c r="FZG54" s="76"/>
      <c r="FZH54" s="76"/>
      <c r="FZI54" s="76"/>
      <c r="FZJ54" s="76"/>
      <c r="FZK54" s="76"/>
      <c r="FZL54" s="76"/>
      <c r="FZM54" s="76"/>
      <c r="FZN54" s="76"/>
      <c r="FZO54" s="76"/>
      <c r="FZP54" s="76"/>
      <c r="FZQ54" s="76"/>
      <c r="FZR54" s="76"/>
      <c r="FZS54" s="76"/>
      <c r="FZT54" s="76"/>
      <c r="FZU54" s="76"/>
      <c r="FZV54" s="76"/>
      <c r="FZW54" s="76"/>
      <c r="FZX54" s="76"/>
      <c r="FZY54" s="76"/>
      <c r="FZZ54" s="76"/>
      <c r="GAA54" s="76"/>
      <c r="GAB54" s="76"/>
      <c r="GAC54" s="76"/>
      <c r="GAD54" s="76"/>
      <c r="GAE54" s="76"/>
      <c r="GAF54" s="76"/>
      <c r="GAG54" s="76"/>
      <c r="GAH54" s="76"/>
      <c r="GAI54" s="76"/>
      <c r="GAJ54" s="76"/>
      <c r="GAK54" s="76"/>
      <c r="GAL54" s="76"/>
      <c r="GAM54" s="76"/>
      <c r="GAN54" s="76"/>
      <c r="GAO54" s="76"/>
      <c r="GAP54" s="76"/>
      <c r="GAQ54" s="76"/>
      <c r="GAR54" s="76"/>
      <c r="GAS54" s="76"/>
      <c r="GAT54" s="76"/>
      <c r="GAU54" s="76"/>
      <c r="GAV54" s="76"/>
      <c r="GAW54" s="76"/>
      <c r="GAX54" s="76"/>
      <c r="GAY54" s="76"/>
      <c r="GAZ54" s="76"/>
      <c r="GBA54" s="76"/>
      <c r="GBB54" s="76"/>
      <c r="GBC54" s="76"/>
      <c r="GBD54" s="76"/>
      <c r="GBE54" s="76"/>
      <c r="GBF54" s="76"/>
      <c r="GBG54" s="76"/>
      <c r="GBH54" s="76"/>
      <c r="GBI54" s="76"/>
      <c r="GBJ54" s="76"/>
      <c r="GBK54" s="76"/>
      <c r="GBL54" s="76"/>
      <c r="GBM54" s="76"/>
      <c r="GBN54" s="76"/>
      <c r="GBO54" s="76"/>
      <c r="GBP54" s="76"/>
      <c r="GBQ54" s="76"/>
      <c r="GBR54" s="76"/>
      <c r="GBS54" s="76"/>
      <c r="GBT54" s="76"/>
      <c r="GBU54" s="76"/>
      <c r="GBV54" s="76"/>
      <c r="GBW54" s="76"/>
      <c r="GBX54" s="76"/>
      <c r="GBY54" s="76"/>
      <c r="GBZ54" s="76"/>
      <c r="GCA54" s="76"/>
      <c r="GCB54" s="76"/>
      <c r="GCC54" s="76"/>
      <c r="GCD54" s="76"/>
      <c r="GCE54" s="76"/>
      <c r="GCF54" s="76"/>
      <c r="GCG54" s="76"/>
      <c r="GCH54" s="76"/>
      <c r="GCI54" s="76"/>
      <c r="GCJ54" s="76"/>
      <c r="GCK54" s="76"/>
      <c r="GCL54" s="76"/>
      <c r="GCM54" s="76"/>
      <c r="GCN54" s="76"/>
      <c r="GCO54" s="76"/>
      <c r="GCP54" s="76"/>
      <c r="GCQ54" s="76"/>
      <c r="GCR54" s="76"/>
      <c r="GCS54" s="76"/>
      <c r="GCT54" s="76"/>
      <c r="GCU54" s="76"/>
      <c r="GCV54" s="76"/>
      <c r="GCW54" s="76"/>
      <c r="GCX54" s="76"/>
      <c r="GCY54" s="76"/>
      <c r="GCZ54" s="76"/>
      <c r="GDA54" s="76"/>
      <c r="GDB54" s="76"/>
      <c r="GDC54" s="76"/>
      <c r="GDD54" s="76"/>
      <c r="GDE54" s="76"/>
      <c r="GDF54" s="76"/>
      <c r="GDG54" s="76"/>
      <c r="GDH54" s="76"/>
      <c r="GDI54" s="76"/>
      <c r="GDJ54" s="76"/>
      <c r="GDK54" s="76"/>
      <c r="GDL54" s="76"/>
      <c r="GDM54" s="76"/>
      <c r="GDN54" s="76"/>
      <c r="GDO54" s="76"/>
      <c r="GDP54" s="76"/>
      <c r="GDQ54" s="76"/>
      <c r="GDR54" s="76"/>
      <c r="GDS54" s="76"/>
      <c r="GDT54" s="76"/>
      <c r="GDU54" s="76"/>
      <c r="GDV54" s="76"/>
      <c r="GDW54" s="76"/>
      <c r="GDX54" s="76"/>
      <c r="GDY54" s="76"/>
      <c r="GDZ54" s="76"/>
      <c r="GEA54" s="76"/>
      <c r="GEB54" s="76"/>
      <c r="GEC54" s="76"/>
      <c r="GED54" s="76"/>
      <c r="GEE54" s="76"/>
      <c r="GEF54" s="76"/>
      <c r="GEG54" s="76"/>
      <c r="GEH54" s="76"/>
      <c r="GEI54" s="76"/>
      <c r="GEJ54" s="76"/>
      <c r="GEK54" s="76"/>
      <c r="GEL54" s="76"/>
      <c r="GEM54" s="76"/>
      <c r="GEN54" s="76"/>
      <c r="GEO54" s="76"/>
      <c r="GEP54" s="76"/>
      <c r="GEQ54" s="76"/>
      <c r="GER54" s="76"/>
      <c r="GES54" s="76"/>
      <c r="GET54" s="76"/>
      <c r="GEU54" s="76"/>
      <c r="GEV54" s="76"/>
      <c r="GEW54" s="76"/>
      <c r="GEX54" s="76"/>
      <c r="GEY54" s="76"/>
      <c r="GEZ54" s="76"/>
      <c r="GFA54" s="76"/>
      <c r="GFB54" s="76"/>
      <c r="GFC54" s="76"/>
      <c r="GFD54" s="76"/>
      <c r="GFE54" s="76"/>
      <c r="GFF54" s="76"/>
      <c r="GFG54" s="76"/>
      <c r="GFH54" s="76"/>
      <c r="GFI54" s="76"/>
      <c r="GFJ54" s="76"/>
      <c r="GFK54" s="76"/>
      <c r="GFL54" s="76"/>
      <c r="GFM54" s="76"/>
      <c r="GFN54" s="76"/>
      <c r="GFO54" s="76"/>
      <c r="GFP54" s="76"/>
      <c r="GFQ54" s="76"/>
      <c r="GFR54" s="76"/>
      <c r="GFS54" s="76"/>
      <c r="GFT54" s="76"/>
      <c r="GFU54" s="76"/>
      <c r="GFV54" s="76"/>
      <c r="GFW54" s="76"/>
      <c r="GFX54" s="76"/>
      <c r="GFY54" s="76"/>
      <c r="GFZ54" s="76"/>
      <c r="GGA54" s="76"/>
      <c r="GGB54" s="76"/>
      <c r="GGC54" s="76"/>
      <c r="GGD54" s="76"/>
      <c r="GGE54" s="76"/>
      <c r="GGF54" s="76"/>
      <c r="GGG54" s="76"/>
      <c r="GGH54" s="76"/>
      <c r="GGI54" s="76"/>
      <c r="GGJ54" s="76"/>
      <c r="GGK54" s="76"/>
      <c r="GGL54" s="76"/>
      <c r="GGM54" s="76"/>
      <c r="GGN54" s="76"/>
      <c r="GGO54" s="76"/>
      <c r="GGP54" s="76"/>
      <c r="GGQ54" s="76"/>
      <c r="GGR54" s="76"/>
      <c r="GGS54" s="76"/>
      <c r="GGT54" s="76"/>
      <c r="GGU54" s="76"/>
      <c r="GGV54" s="76"/>
      <c r="GGW54" s="76"/>
      <c r="GGX54" s="76"/>
      <c r="GGY54" s="76"/>
      <c r="GGZ54" s="76"/>
      <c r="GHA54" s="76"/>
      <c r="GHB54" s="76"/>
      <c r="GHC54" s="76"/>
      <c r="GHD54" s="76"/>
      <c r="GHE54" s="76"/>
      <c r="GHF54" s="76"/>
      <c r="GHG54" s="76"/>
      <c r="GHH54" s="76"/>
      <c r="GHI54" s="76"/>
      <c r="GHJ54" s="76"/>
      <c r="GHK54" s="76"/>
      <c r="GHL54" s="76"/>
      <c r="GHM54" s="76"/>
      <c r="GHN54" s="76"/>
      <c r="GHO54" s="76"/>
      <c r="GHP54" s="76"/>
      <c r="GHQ54" s="76"/>
      <c r="GHR54" s="76"/>
      <c r="GHS54" s="76"/>
      <c r="GHT54" s="76"/>
      <c r="GHU54" s="76"/>
      <c r="GHV54" s="76"/>
      <c r="GHW54" s="76"/>
      <c r="GHX54" s="76"/>
      <c r="GHY54" s="76"/>
      <c r="GHZ54" s="76"/>
      <c r="GIA54" s="76"/>
      <c r="GIB54" s="76"/>
      <c r="GIC54" s="76"/>
      <c r="GID54" s="76"/>
      <c r="GIE54" s="76"/>
      <c r="GIF54" s="76"/>
      <c r="GIG54" s="76"/>
      <c r="GIH54" s="76"/>
      <c r="GII54" s="76"/>
      <c r="GIJ54" s="76"/>
      <c r="GIK54" s="76"/>
      <c r="GIL54" s="76"/>
      <c r="GIM54" s="76"/>
      <c r="GIN54" s="76"/>
      <c r="GIO54" s="76"/>
      <c r="GIP54" s="76"/>
      <c r="GIQ54" s="76"/>
      <c r="GIR54" s="76"/>
      <c r="GIS54" s="76"/>
      <c r="GIT54" s="76"/>
      <c r="GIU54" s="76"/>
      <c r="GIV54" s="76"/>
      <c r="GIW54" s="76"/>
      <c r="GIX54" s="76"/>
      <c r="GIY54" s="76"/>
      <c r="GIZ54" s="76"/>
      <c r="GJA54" s="76"/>
      <c r="GJB54" s="76"/>
      <c r="GJC54" s="76"/>
      <c r="GJD54" s="76"/>
      <c r="GJE54" s="76"/>
      <c r="GJF54" s="76"/>
      <c r="GJG54" s="76"/>
      <c r="GJH54" s="76"/>
      <c r="GJI54" s="76"/>
      <c r="GJJ54" s="76"/>
      <c r="GJK54" s="76"/>
      <c r="GJL54" s="76"/>
      <c r="GJM54" s="76"/>
      <c r="GJN54" s="76"/>
      <c r="GJO54" s="76"/>
      <c r="GJP54" s="76"/>
      <c r="GJQ54" s="76"/>
      <c r="GJR54" s="76"/>
      <c r="GJS54" s="76"/>
      <c r="GJT54" s="76"/>
      <c r="GJU54" s="76"/>
      <c r="GJV54" s="76"/>
      <c r="GJW54" s="76"/>
      <c r="GJX54" s="76"/>
      <c r="GJY54" s="76"/>
      <c r="GJZ54" s="76"/>
      <c r="GKA54" s="76"/>
      <c r="GKB54" s="76"/>
      <c r="GKC54" s="76"/>
      <c r="GKD54" s="76"/>
      <c r="GKE54" s="76"/>
      <c r="GKF54" s="76"/>
      <c r="GKG54" s="76"/>
      <c r="GKH54" s="76"/>
      <c r="GKI54" s="76"/>
      <c r="GKJ54" s="76"/>
      <c r="GKK54" s="76"/>
      <c r="GKL54" s="76"/>
      <c r="GKM54" s="76"/>
      <c r="GKN54" s="76"/>
      <c r="GKO54" s="76"/>
      <c r="GKP54" s="76"/>
      <c r="GKQ54" s="76"/>
      <c r="GKR54" s="76"/>
      <c r="GKS54" s="76"/>
      <c r="GKT54" s="76"/>
      <c r="GKU54" s="76"/>
      <c r="GKV54" s="76"/>
      <c r="GKW54" s="76"/>
      <c r="GKX54" s="76"/>
      <c r="GKY54" s="76"/>
      <c r="GKZ54" s="76"/>
      <c r="GLA54" s="76"/>
      <c r="GLB54" s="76"/>
      <c r="GLC54" s="76"/>
      <c r="GLD54" s="76"/>
      <c r="GLE54" s="76"/>
      <c r="GLF54" s="76"/>
      <c r="GLG54" s="76"/>
      <c r="GLH54" s="76"/>
      <c r="GLI54" s="76"/>
      <c r="GLJ54" s="76"/>
      <c r="GLK54" s="76"/>
      <c r="GLL54" s="76"/>
      <c r="GLM54" s="76"/>
      <c r="GLN54" s="76"/>
      <c r="GLO54" s="76"/>
      <c r="GLP54" s="76"/>
      <c r="GLQ54" s="76"/>
      <c r="GLR54" s="76"/>
      <c r="GLS54" s="76"/>
      <c r="GLT54" s="76"/>
      <c r="GLU54" s="76"/>
      <c r="GLV54" s="76"/>
      <c r="GLW54" s="76"/>
      <c r="GLX54" s="76"/>
      <c r="GLY54" s="76"/>
      <c r="GLZ54" s="76"/>
      <c r="GMA54" s="76"/>
      <c r="GMB54" s="76"/>
      <c r="GMC54" s="76"/>
      <c r="GMD54" s="76"/>
      <c r="GME54" s="76"/>
      <c r="GMF54" s="76"/>
      <c r="GMG54" s="76"/>
      <c r="GMH54" s="76"/>
      <c r="GMI54" s="76"/>
      <c r="GMJ54" s="76"/>
      <c r="GMK54" s="76"/>
      <c r="GML54" s="76"/>
      <c r="GMM54" s="76"/>
      <c r="GMN54" s="76"/>
      <c r="GMO54" s="76"/>
      <c r="GMP54" s="76"/>
      <c r="GMQ54" s="76"/>
      <c r="GMR54" s="76"/>
      <c r="GMS54" s="76"/>
      <c r="GMT54" s="76"/>
      <c r="GMU54" s="76"/>
      <c r="GMV54" s="76"/>
      <c r="GMW54" s="76"/>
      <c r="GMX54" s="76"/>
      <c r="GMY54" s="76"/>
      <c r="GMZ54" s="76"/>
      <c r="GNA54" s="76"/>
      <c r="GNB54" s="76"/>
      <c r="GNC54" s="76"/>
      <c r="GND54" s="76"/>
      <c r="GNE54" s="76"/>
      <c r="GNF54" s="76"/>
      <c r="GNG54" s="76"/>
      <c r="GNH54" s="76"/>
      <c r="GNI54" s="76"/>
      <c r="GNJ54" s="76"/>
      <c r="GNK54" s="76"/>
      <c r="GNL54" s="76"/>
      <c r="GNM54" s="76"/>
      <c r="GNN54" s="76"/>
      <c r="GNO54" s="76"/>
      <c r="GNP54" s="76"/>
      <c r="GNQ54" s="76"/>
      <c r="GNR54" s="76"/>
      <c r="GNS54" s="76"/>
      <c r="GNT54" s="76"/>
      <c r="GNU54" s="76"/>
      <c r="GNV54" s="76"/>
      <c r="GNW54" s="76"/>
      <c r="GNX54" s="76"/>
      <c r="GNY54" s="76"/>
      <c r="GNZ54" s="76"/>
      <c r="GOA54" s="76"/>
      <c r="GOB54" s="76"/>
      <c r="GOC54" s="76"/>
      <c r="GOD54" s="76"/>
      <c r="GOE54" s="76"/>
      <c r="GOF54" s="76"/>
      <c r="GOG54" s="76"/>
      <c r="GOH54" s="76"/>
      <c r="GOI54" s="76"/>
      <c r="GOJ54" s="76"/>
      <c r="GOK54" s="76"/>
      <c r="GOL54" s="76"/>
      <c r="GOM54" s="76"/>
      <c r="GON54" s="76"/>
      <c r="GOO54" s="76"/>
      <c r="GOP54" s="76"/>
      <c r="GOQ54" s="76"/>
      <c r="GOR54" s="76"/>
      <c r="GOS54" s="76"/>
      <c r="GOT54" s="76"/>
      <c r="GOU54" s="76"/>
      <c r="GOV54" s="76"/>
      <c r="GOW54" s="76"/>
      <c r="GOX54" s="76"/>
      <c r="GOY54" s="76"/>
      <c r="GOZ54" s="76"/>
      <c r="GPA54" s="76"/>
      <c r="GPB54" s="76"/>
      <c r="GPC54" s="76"/>
      <c r="GPD54" s="76"/>
      <c r="GPE54" s="76"/>
      <c r="GPF54" s="76"/>
      <c r="GPG54" s="76"/>
      <c r="GPH54" s="76"/>
      <c r="GPI54" s="76"/>
      <c r="GPJ54" s="76"/>
      <c r="GPK54" s="76"/>
      <c r="GPL54" s="76"/>
      <c r="GPM54" s="76"/>
      <c r="GPN54" s="76"/>
      <c r="GPO54" s="76"/>
      <c r="GPP54" s="76"/>
      <c r="GPQ54" s="76"/>
      <c r="GPR54" s="76"/>
      <c r="GPS54" s="76"/>
      <c r="GPT54" s="76"/>
      <c r="GPU54" s="76"/>
      <c r="GPV54" s="76"/>
      <c r="GPW54" s="76"/>
      <c r="GPX54" s="76"/>
      <c r="GPY54" s="76"/>
      <c r="GPZ54" s="76"/>
      <c r="GQA54" s="76"/>
      <c r="GQB54" s="76"/>
      <c r="GQC54" s="76"/>
      <c r="GQD54" s="76"/>
      <c r="GQE54" s="76"/>
      <c r="GQF54" s="76"/>
      <c r="GQG54" s="76"/>
      <c r="GQH54" s="76"/>
      <c r="GQI54" s="76"/>
      <c r="GQJ54" s="76"/>
      <c r="GQK54" s="76"/>
      <c r="GQL54" s="76"/>
      <c r="GQM54" s="76"/>
      <c r="GQN54" s="76"/>
      <c r="GQO54" s="76"/>
      <c r="GQP54" s="76"/>
      <c r="GQQ54" s="76"/>
      <c r="GQR54" s="76"/>
      <c r="GQS54" s="76"/>
      <c r="GQT54" s="76"/>
      <c r="GQU54" s="76"/>
      <c r="GQV54" s="76"/>
      <c r="GQW54" s="76"/>
      <c r="GQX54" s="76"/>
      <c r="GQY54" s="76"/>
      <c r="GQZ54" s="76"/>
      <c r="GRA54" s="76"/>
      <c r="GRB54" s="76"/>
      <c r="GRC54" s="76"/>
      <c r="GRD54" s="76"/>
      <c r="GRE54" s="76"/>
      <c r="GRF54" s="76"/>
      <c r="GRG54" s="76"/>
      <c r="GRH54" s="76"/>
      <c r="GRI54" s="76"/>
      <c r="GRJ54" s="76"/>
      <c r="GRK54" s="76"/>
      <c r="GRL54" s="76"/>
      <c r="GRM54" s="76"/>
      <c r="GRN54" s="76"/>
      <c r="GRO54" s="76"/>
      <c r="GRP54" s="76"/>
      <c r="GRQ54" s="76"/>
      <c r="GRR54" s="76"/>
      <c r="GRS54" s="76"/>
      <c r="GRT54" s="76"/>
      <c r="GRU54" s="76"/>
      <c r="GRV54" s="76"/>
      <c r="GRW54" s="76"/>
      <c r="GRX54" s="76"/>
      <c r="GRY54" s="76"/>
      <c r="GRZ54" s="76"/>
      <c r="GSA54" s="76"/>
      <c r="GSB54" s="76"/>
      <c r="GSC54" s="76"/>
      <c r="GSD54" s="76"/>
      <c r="GSE54" s="76"/>
      <c r="GSF54" s="76"/>
      <c r="GSG54" s="76"/>
      <c r="GSH54" s="76"/>
      <c r="GSI54" s="76"/>
      <c r="GSJ54" s="76"/>
      <c r="GSK54" s="76"/>
      <c r="GSL54" s="76"/>
      <c r="GSM54" s="76"/>
      <c r="GSN54" s="76"/>
      <c r="GSO54" s="76"/>
      <c r="GSP54" s="76"/>
      <c r="GSQ54" s="76"/>
      <c r="GSR54" s="76"/>
      <c r="GSS54" s="76"/>
      <c r="GST54" s="76"/>
      <c r="GSU54" s="76"/>
      <c r="GSV54" s="76"/>
      <c r="GSW54" s="76"/>
      <c r="GSX54" s="76"/>
      <c r="GSY54" s="76"/>
      <c r="GSZ54" s="76"/>
      <c r="GTA54" s="76"/>
      <c r="GTB54" s="76"/>
      <c r="GTC54" s="76"/>
      <c r="GTD54" s="76"/>
      <c r="GTE54" s="76"/>
      <c r="GTF54" s="76"/>
      <c r="GTG54" s="76"/>
      <c r="GTH54" s="76"/>
      <c r="GTI54" s="76"/>
      <c r="GTJ54" s="76"/>
      <c r="GTK54" s="76"/>
      <c r="GTL54" s="76"/>
      <c r="GTM54" s="76"/>
      <c r="GTN54" s="76"/>
      <c r="GTO54" s="76"/>
      <c r="GTP54" s="76"/>
      <c r="GTQ54" s="76"/>
      <c r="GTR54" s="76"/>
      <c r="GTS54" s="76"/>
      <c r="GTT54" s="76"/>
      <c r="GTU54" s="76"/>
      <c r="GTV54" s="76"/>
      <c r="GTW54" s="76"/>
      <c r="GTX54" s="76"/>
      <c r="GTY54" s="76"/>
      <c r="GTZ54" s="76"/>
      <c r="GUA54" s="76"/>
      <c r="GUB54" s="76"/>
      <c r="GUC54" s="76"/>
      <c r="GUD54" s="76"/>
      <c r="GUE54" s="76"/>
      <c r="GUF54" s="76"/>
      <c r="GUG54" s="76"/>
      <c r="GUH54" s="76"/>
      <c r="GUI54" s="76"/>
      <c r="GUJ54" s="76"/>
      <c r="GUK54" s="76"/>
      <c r="GUL54" s="76"/>
      <c r="GUM54" s="76"/>
      <c r="GUN54" s="76"/>
      <c r="GUO54" s="76"/>
      <c r="GUP54" s="76"/>
      <c r="GUQ54" s="76"/>
      <c r="GUR54" s="76"/>
      <c r="GUS54" s="76"/>
      <c r="GUT54" s="76"/>
      <c r="GUU54" s="76"/>
      <c r="GUV54" s="76"/>
      <c r="GUW54" s="76"/>
      <c r="GUX54" s="76"/>
      <c r="GUY54" s="76"/>
      <c r="GUZ54" s="76"/>
      <c r="GVA54" s="76"/>
      <c r="GVB54" s="76"/>
      <c r="GVC54" s="76"/>
      <c r="GVD54" s="76"/>
      <c r="GVE54" s="76"/>
      <c r="GVF54" s="76"/>
      <c r="GVG54" s="76"/>
      <c r="GVH54" s="76"/>
      <c r="GVI54" s="76"/>
      <c r="GVJ54" s="76"/>
      <c r="GVK54" s="76"/>
      <c r="GVL54" s="76"/>
      <c r="GVM54" s="76"/>
      <c r="GVN54" s="76"/>
      <c r="GVO54" s="76"/>
      <c r="GVP54" s="76"/>
      <c r="GVQ54" s="76"/>
      <c r="GVR54" s="76"/>
      <c r="GVS54" s="76"/>
      <c r="GVT54" s="76"/>
      <c r="GVU54" s="76"/>
      <c r="GVV54" s="76"/>
      <c r="GVW54" s="76"/>
      <c r="GVX54" s="76"/>
      <c r="GVY54" s="76"/>
      <c r="GVZ54" s="76"/>
      <c r="GWA54" s="76"/>
      <c r="GWB54" s="76"/>
      <c r="GWC54" s="76"/>
      <c r="GWD54" s="76"/>
      <c r="GWE54" s="76"/>
      <c r="GWF54" s="76"/>
      <c r="GWG54" s="76"/>
      <c r="GWH54" s="76"/>
      <c r="GWI54" s="76"/>
      <c r="GWJ54" s="76"/>
      <c r="GWK54" s="76"/>
      <c r="GWL54" s="76"/>
      <c r="GWM54" s="76"/>
      <c r="GWN54" s="76"/>
      <c r="GWO54" s="76"/>
      <c r="GWP54" s="76"/>
      <c r="GWQ54" s="76"/>
      <c r="GWR54" s="76"/>
      <c r="GWS54" s="76"/>
      <c r="GWT54" s="76"/>
      <c r="GWU54" s="76"/>
      <c r="GWV54" s="76"/>
      <c r="GWW54" s="76"/>
      <c r="GWX54" s="76"/>
      <c r="GWY54" s="76"/>
      <c r="GWZ54" s="76"/>
      <c r="GXA54" s="76"/>
      <c r="GXB54" s="76"/>
      <c r="GXC54" s="76"/>
      <c r="GXD54" s="76"/>
      <c r="GXE54" s="76"/>
      <c r="GXF54" s="76"/>
      <c r="GXG54" s="76"/>
      <c r="GXH54" s="76"/>
      <c r="GXI54" s="76"/>
      <c r="GXJ54" s="76"/>
      <c r="GXK54" s="76"/>
      <c r="GXL54" s="76"/>
      <c r="GXM54" s="76"/>
      <c r="GXN54" s="76"/>
      <c r="GXO54" s="76"/>
      <c r="GXP54" s="76"/>
      <c r="GXQ54" s="76"/>
      <c r="GXR54" s="76"/>
      <c r="GXS54" s="76"/>
      <c r="GXT54" s="76"/>
      <c r="GXU54" s="76"/>
      <c r="GXV54" s="76"/>
      <c r="GXW54" s="76"/>
      <c r="GXX54" s="76"/>
      <c r="GXY54" s="76"/>
      <c r="GXZ54" s="76"/>
      <c r="GYA54" s="76"/>
      <c r="GYB54" s="76"/>
      <c r="GYC54" s="76"/>
      <c r="GYD54" s="76"/>
      <c r="GYE54" s="76"/>
      <c r="GYF54" s="76"/>
      <c r="GYG54" s="76"/>
      <c r="GYH54" s="76"/>
      <c r="GYI54" s="76"/>
      <c r="GYJ54" s="76"/>
      <c r="GYK54" s="76"/>
      <c r="GYL54" s="76"/>
      <c r="GYM54" s="76"/>
      <c r="GYN54" s="76"/>
      <c r="GYO54" s="76"/>
      <c r="GYP54" s="76"/>
      <c r="GYQ54" s="76"/>
      <c r="GYR54" s="76"/>
      <c r="GYS54" s="76"/>
      <c r="GYT54" s="76"/>
      <c r="GYU54" s="76"/>
      <c r="GYV54" s="76"/>
      <c r="GYW54" s="76"/>
      <c r="GYX54" s="76"/>
      <c r="GYY54" s="76"/>
      <c r="GYZ54" s="76"/>
      <c r="GZA54" s="76"/>
      <c r="GZB54" s="76"/>
      <c r="GZC54" s="76"/>
      <c r="GZD54" s="76"/>
      <c r="GZE54" s="76"/>
      <c r="GZF54" s="76"/>
      <c r="GZG54" s="76"/>
      <c r="GZH54" s="76"/>
      <c r="GZI54" s="76"/>
      <c r="GZJ54" s="76"/>
      <c r="GZK54" s="76"/>
      <c r="GZL54" s="76"/>
      <c r="GZM54" s="76"/>
      <c r="GZN54" s="76"/>
      <c r="GZO54" s="76"/>
      <c r="GZP54" s="76"/>
      <c r="GZQ54" s="76"/>
      <c r="GZR54" s="76"/>
      <c r="GZS54" s="76"/>
      <c r="GZT54" s="76"/>
      <c r="GZU54" s="76"/>
      <c r="GZV54" s="76"/>
      <c r="GZW54" s="76"/>
      <c r="GZX54" s="76"/>
      <c r="GZY54" s="76"/>
      <c r="GZZ54" s="76"/>
      <c r="HAA54" s="76"/>
      <c r="HAB54" s="76"/>
      <c r="HAC54" s="76"/>
      <c r="HAD54" s="76"/>
      <c r="HAE54" s="76"/>
      <c r="HAF54" s="76"/>
      <c r="HAG54" s="76"/>
      <c r="HAH54" s="76"/>
      <c r="HAI54" s="76"/>
      <c r="HAJ54" s="76"/>
      <c r="HAK54" s="76"/>
      <c r="HAL54" s="76"/>
      <c r="HAM54" s="76"/>
      <c r="HAN54" s="76"/>
      <c r="HAO54" s="76"/>
      <c r="HAP54" s="76"/>
      <c r="HAQ54" s="76"/>
      <c r="HAR54" s="76"/>
      <c r="HAS54" s="76"/>
      <c r="HAT54" s="76"/>
      <c r="HAU54" s="76"/>
      <c r="HAV54" s="76"/>
      <c r="HAW54" s="76"/>
      <c r="HAX54" s="76"/>
      <c r="HAY54" s="76"/>
      <c r="HAZ54" s="76"/>
      <c r="HBA54" s="76"/>
      <c r="HBB54" s="76"/>
      <c r="HBC54" s="76"/>
      <c r="HBD54" s="76"/>
      <c r="HBE54" s="76"/>
      <c r="HBF54" s="76"/>
      <c r="HBG54" s="76"/>
      <c r="HBH54" s="76"/>
      <c r="HBI54" s="76"/>
      <c r="HBJ54" s="76"/>
      <c r="HBK54" s="76"/>
      <c r="HBL54" s="76"/>
      <c r="HBM54" s="76"/>
      <c r="HBN54" s="76"/>
      <c r="HBO54" s="76"/>
      <c r="HBP54" s="76"/>
      <c r="HBQ54" s="76"/>
      <c r="HBR54" s="76"/>
      <c r="HBS54" s="76"/>
      <c r="HBT54" s="76"/>
      <c r="HBU54" s="76"/>
      <c r="HBV54" s="76"/>
      <c r="HBW54" s="76"/>
      <c r="HBX54" s="76"/>
      <c r="HBY54" s="76"/>
      <c r="HBZ54" s="76"/>
      <c r="HCA54" s="76"/>
      <c r="HCB54" s="76"/>
      <c r="HCC54" s="76"/>
      <c r="HCD54" s="76"/>
      <c r="HCE54" s="76"/>
      <c r="HCF54" s="76"/>
      <c r="HCG54" s="76"/>
      <c r="HCH54" s="76"/>
      <c r="HCI54" s="76"/>
      <c r="HCJ54" s="76"/>
      <c r="HCK54" s="76"/>
      <c r="HCL54" s="76"/>
      <c r="HCM54" s="76"/>
      <c r="HCN54" s="76"/>
      <c r="HCO54" s="76"/>
      <c r="HCP54" s="76"/>
      <c r="HCQ54" s="76"/>
      <c r="HCR54" s="76"/>
      <c r="HCS54" s="76"/>
      <c r="HCT54" s="76"/>
      <c r="HCU54" s="76"/>
      <c r="HCV54" s="76"/>
      <c r="HCW54" s="76"/>
      <c r="HCX54" s="76"/>
      <c r="HCY54" s="76"/>
      <c r="HCZ54" s="76"/>
      <c r="HDA54" s="76"/>
      <c r="HDB54" s="76"/>
      <c r="HDC54" s="76"/>
      <c r="HDD54" s="76"/>
      <c r="HDE54" s="76"/>
      <c r="HDF54" s="76"/>
      <c r="HDG54" s="76"/>
      <c r="HDH54" s="76"/>
      <c r="HDI54" s="76"/>
      <c r="HDJ54" s="76"/>
      <c r="HDK54" s="76"/>
      <c r="HDL54" s="76"/>
      <c r="HDM54" s="76"/>
      <c r="HDN54" s="76"/>
      <c r="HDO54" s="76"/>
      <c r="HDP54" s="76"/>
      <c r="HDQ54" s="76"/>
      <c r="HDR54" s="76"/>
      <c r="HDS54" s="76"/>
      <c r="HDT54" s="76"/>
      <c r="HDU54" s="76"/>
      <c r="HDV54" s="76"/>
      <c r="HDW54" s="76"/>
      <c r="HDX54" s="76"/>
      <c r="HDY54" s="76"/>
      <c r="HDZ54" s="76"/>
      <c r="HEA54" s="76"/>
      <c r="HEB54" s="76"/>
      <c r="HEC54" s="76"/>
      <c r="HED54" s="76"/>
      <c r="HEE54" s="76"/>
      <c r="HEF54" s="76"/>
      <c r="HEG54" s="76"/>
      <c r="HEH54" s="76"/>
      <c r="HEI54" s="76"/>
      <c r="HEJ54" s="76"/>
      <c r="HEK54" s="76"/>
      <c r="HEL54" s="76"/>
      <c r="HEM54" s="76"/>
      <c r="HEN54" s="76"/>
      <c r="HEO54" s="76"/>
      <c r="HEP54" s="76"/>
      <c r="HEQ54" s="76"/>
      <c r="HER54" s="76"/>
      <c r="HES54" s="76"/>
      <c r="HET54" s="76"/>
      <c r="HEU54" s="76"/>
      <c r="HEV54" s="76"/>
      <c r="HEW54" s="76"/>
      <c r="HEX54" s="76"/>
      <c r="HEY54" s="76"/>
      <c r="HEZ54" s="76"/>
      <c r="HFA54" s="76"/>
      <c r="HFB54" s="76"/>
      <c r="HFC54" s="76"/>
      <c r="HFD54" s="76"/>
      <c r="HFE54" s="76"/>
      <c r="HFF54" s="76"/>
      <c r="HFG54" s="76"/>
      <c r="HFH54" s="76"/>
      <c r="HFI54" s="76"/>
      <c r="HFJ54" s="76"/>
      <c r="HFK54" s="76"/>
      <c r="HFL54" s="76"/>
      <c r="HFM54" s="76"/>
      <c r="HFN54" s="76"/>
      <c r="HFO54" s="76"/>
      <c r="HFP54" s="76"/>
      <c r="HFQ54" s="76"/>
      <c r="HFR54" s="76"/>
      <c r="HFS54" s="76"/>
      <c r="HFT54" s="76"/>
      <c r="HFU54" s="76"/>
      <c r="HFV54" s="76"/>
      <c r="HFW54" s="76"/>
      <c r="HFX54" s="76"/>
      <c r="HFY54" s="76"/>
      <c r="HFZ54" s="76"/>
      <c r="HGA54" s="76"/>
      <c r="HGB54" s="76"/>
      <c r="HGC54" s="76"/>
      <c r="HGD54" s="76"/>
      <c r="HGE54" s="76"/>
      <c r="HGF54" s="76"/>
      <c r="HGG54" s="76"/>
      <c r="HGH54" s="76"/>
      <c r="HGI54" s="76"/>
      <c r="HGJ54" s="76"/>
      <c r="HGK54" s="76"/>
      <c r="HGL54" s="76"/>
      <c r="HGM54" s="76"/>
      <c r="HGN54" s="76"/>
      <c r="HGO54" s="76"/>
      <c r="HGP54" s="76"/>
      <c r="HGQ54" s="76"/>
      <c r="HGR54" s="76"/>
      <c r="HGS54" s="76"/>
      <c r="HGT54" s="76"/>
      <c r="HGU54" s="76"/>
      <c r="HGV54" s="76"/>
      <c r="HGW54" s="76"/>
      <c r="HGX54" s="76"/>
      <c r="HGY54" s="76"/>
      <c r="HGZ54" s="76"/>
      <c r="HHA54" s="76"/>
      <c r="HHB54" s="76"/>
      <c r="HHC54" s="76"/>
      <c r="HHD54" s="76"/>
      <c r="HHE54" s="76"/>
      <c r="HHF54" s="76"/>
      <c r="HHG54" s="76"/>
      <c r="HHH54" s="76"/>
      <c r="HHI54" s="76"/>
      <c r="HHJ54" s="76"/>
      <c r="HHK54" s="76"/>
      <c r="HHL54" s="76"/>
      <c r="HHM54" s="76"/>
      <c r="HHN54" s="76"/>
      <c r="HHO54" s="76"/>
      <c r="HHP54" s="76"/>
      <c r="HHQ54" s="76"/>
      <c r="HHR54" s="76"/>
      <c r="HHS54" s="76"/>
      <c r="HHT54" s="76"/>
      <c r="HHU54" s="76"/>
      <c r="HHV54" s="76"/>
      <c r="HHW54" s="76"/>
      <c r="HHX54" s="76"/>
      <c r="HHY54" s="76"/>
      <c r="HHZ54" s="76"/>
      <c r="HIA54" s="76"/>
      <c r="HIB54" s="76"/>
      <c r="HIC54" s="76"/>
      <c r="HID54" s="76"/>
      <c r="HIE54" s="76"/>
      <c r="HIF54" s="76"/>
      <c r="HIG54" s="76"/>
      <c r="HIH54" s="76"/>
      <c r="HII54" s="76"/>
      <c r="HIJ54" s="76"/>
      <c r="HIK54" s="76"/>
      <c r="HIL54" s="76"/>
      <c r="HIM54" s="76"/>
      <c r="HIN54" s="76"/>
      <c r="HIO54" s="76"/>
      <c r="HIP54" s="76"/>
      <c r="HIQ54" s="76"/>
      <c r="HIR54" s="76"/>
      <c r="HIS54" s="76"/>
      <c r="HIT54" s="76"/>
      <c r="HIU54" s="76"/>
      <c r="HIV54" s="76"/>
      <c r="HIW54" s="76"/>
      <c r="HIX54" s="76"/>
      <c r="HIY54" s="76"/>
      <c r="HIZ54" s="76"/>
      <c r="HJA54" s="76"/>
      <c r="HJB54" s="76"/>
      <c r="HJC54" s="76"/>
      <c r="HJD54" s="76"/>
      <c r="HJE54" s="76"/>
      <c r="HJF54" s="76"/>
      <c r="HJG54" s="76"/>
      <c r="HJH54" s="76"/>
      <c r="HJI54" s="76"/>
      <c r="HJJ54" s="76"/>
      <c r="HJK54" s="76"/>
      <c r="HJL54" s="76"/>
      <c r="HJM54" s="76"/>
      <c r="HJN54" s="76"/>
      <c r="HJO54" s="76"/>
      <c r="HJP54" s="76"/>
      <c r="HJQ54" s="76"/>
      <c r="HJR54" s="76"/>
      <c r="HJS54" s="76"/>
      <c r="HJT54" s="76"/>
      <c r="HJU54" s="76"/>
      <c r="HJV54" s="76"/>
      <c r="HJW54" s="76"/>
      <c r="HJX54" s="76"/>
      <c r="HJY54" s="76"/>
      <c r="HJZ54" s="76"/>
      <c r="HKA54" s="76"/>
      <c r="HKB54" s="76"/>
      <c r="HKC54" s="76"/>
      <c r="HKD54" s="76"/>
      <c r="HKE54" s="76"/>
      <c r="HKF54" s="76"/>
      <c r="HKG54" s="76"/>
      <c r="HKH54" s="76"/>
      <c r="HKI54" s="76"/>
      <c r="HKJ54" s="76"/>
      <c r="HKK54" s="76"/>
      <c r="HKL54" s="76"/>
      <c r="HKM54" s="76"/>
      <c r="HKN54" s="76"/>
      <c r="HKO54" s="76"/>
      <c r="HKP54" s="76"/>
      <c r="HKQ54" s="76"/>
      <c r="HKR54" s="76"/>
      <c r="HKS54" s="76"/>
      <c r="HKT54" s="76"/>
      <c r="HKU54" s="76"/>
      <c r="HKV54" s="76"/>
      <c r="HKW54" s="76"/>
      <c r="HKX54" s="76"/>
      <c r="HKY54" s="76"/>
      <c r="HKZ54" s="76"/>
      <c r="HLA54" s="76"/>
      <c r="HLB54" s="76"/>
      <c r="HLC54" s="76"/>
      <c r="HLD54" s="76"/>
      <c r="HLE54" s="76"/>
      <c r="HLF54" s="76"/>
      <c r="HLG54" s="76"/>
      <c r="HLH54" s="76"/>
      <c r="HLI54" s="76"/>
      <c r="HLJ54" s="76"/>
      <c r="HLK54" s="76"/>
      <c r="HLL54" s="76"/>
      <c r="HLM54" s="76"/>
      <c r="HLN54" s="76"/>
      <c r="HLO54" s="76"/>
      <c r="HLP54" s="76"/>
      <c r="HLQ54" s="76"/>
      <c r="HLR54" s="76"/>
      <c r="HLS54" s="76"/>
      <c r="HLT54" s="76"/>
      <c r="HLU54" s="76"/>
      <c r="HLV54" s="76"/>
      <c r="HLW54" s="76"/>
      <c r="HLX54" s="76"/>
      <c r="HLY54" s="76"/>
      <c r="HLZ54" s="76"/>
      <c r="HMA54" s="76"/>
      <c r="HMB54" s="76"/>
      <c r="HMC54" s="76"/>
      <c r="HMD54" s="76"/>
      <c r="HME54" s="76"/>
      <c r="HMF54" s="76"/>
      <c r="HMG54" s="76"/>
      <c r="HMH54" s="76"/>
      <c r="HMI54" s="76"/>
      <c r="HMJ54" s="76"/>
      <c r="HMK54" s="76"/>
      <c r="HML54" s="76"/>
      <c r="HMM54" s="76"/>
      <c r="HMN54" s="76"/>
      <c r="HMO54" s="76"/>
      <c r="HMP54" s="76"/>
      <c r="HMQ54" s="76"/>
      <c r="HMR54" s="76"/>
      <c r="HMS54" s="76"/>
      <c r="HMT54" s="76"/>
      <c r="HMU54" s="76"/>
      <c r="HMV54" s="76"/>
      <c r="HMW54" s="76"/>
      <c r="HMX54" s="76"/>
      <c r="HMY54" s="76"/>
      <c r="HMZ54" s="76"/>
      <c r="HNA54" s="76"/>
      <c r="HNB54" s="76"/>
      <c r="HNC54" s="76"/>
      <c r="HND54" s="76"/>
      <c r="HNE54" s="76"/>
      <c r="HNF54" s="76"/>
      <c r="HNG54" s="76"/>
      <c r="HNH54" s="76"/>
      <c r="HNI54" s="76"/>
      <c r="HNJ54" s="76"/>
      <c r="HNK54" s="76"/>
      <c r="HNL54" s="76"/>
      <c r="HNM54" s="76"/>
      <c r="HNN54" s="76"/>
      <c r="HNO54" s="76"/>
      <c r="HNP54" s="76"/>
      <c r="HNQ54" s="76"/>
      <c r="HNR54" s="76"/>
      <c r="HNS54" s="76"/>
      <c r="HNT54" s="76"/>
      <c r="HNU54" s="76"/>
      <c r="HNV54" s="76"/>
      <c r="HNW54" s="76"/>
      <c r="HNX54" s="76"/>
      <c r="HNY54" s="76"/>
      <c r="HNZ54" s="76"/>
      <c r="HOA54" s="76"/>
      <c r="HOB54" s="76"/>
      <c r="HOC54" s="76"/>
      <c r="HOD54" s="76"/>
      <c r="HOE54" s="76"/>
      <c r="HOF54" s="76"/>
      <c r="HOG54" s="76"/>
      <c r="HOH54" s="76"/>
      <c r="HOI54" s="76"/>
      <c r="HOJ54" s="76"/>
      <c r="HOK54" s="76"/>
      <c r="HOL54" s="76"/>
      <c r="HOM54" s="76"/>
      <c r="HON54" s="76"/>
      <c r="HOO54" s="76"/>
      <c r="HOP54" s="76"/>
      <c r="HOQ54" s="76"/>
      <c r="HOR54" s="76"/>
      <c r="HOS54" s="76"/>
      <c r="HOT54" s="76"/>
      <c r="HOU54" s="76"/>
      <c r="HOV54" s="76"/>
      <c r="HOW54" s="76"/>
      <c r="HOX54" s="76"/>
      <c r="HOY54" s="76"/>
      <c r="HOZ54" s="76"/>
      <c r="HPA54" s="76"/>
      <c r="HPB54" s="76"/>
      <c r="HPC54" s="76"/>
      <c r="HPD54" s="76"/>
      <c r="HPE54" s="76"/>
      <c r="HPF54" s="76"/>
      <c r="HPG54" s="76"/>
      <c r="HPH54" s="76"/>
      <c r="HPI54" s="76"/>
      <c r="HPJ54" s="76"/>
      <c r="HPK54" s="76"/>
      <c r="HPL54" s="76"/>
      <c r="HPM54" s="76"/>
      <c r="HPN54" s="76"/>
      <c r="HPO54" s="76"/>
      <c r="HPP54" s="76"/>
      <c r="HPQ54" s="76"/>
      <c r="HPR54" s="76"/>
      <c r="HPS54" s="76"/>
      <c r="HPT54" s="76"/>
      <c r="HPU54" s="76"/>
      <c r="HPV54" s="76"/>
      <c r="HPW54" s="76"/>
      <c r="HPX54" s="76"/>
      <c r="HPY54" s="76"/>
      <c r="HPZ54" s="76"/>
      <c r="HQA54" s="76"/>
      <c r="HQB54" s="76"/>
      <c r="HQC54" s="76"/>
      <c r="HQD54" s="76"/>
      <c r="HQE54" s="76"/>
      <c r="HQF54" s="76"/>
      <c r="HQG54" s="76"/>
      <c r="HQH54" s="76"/>
      <c r="HQI54" s="76"/>
      <c r="HQJ54" s="76"/>
      <c r="HQK54" s="76"/>
      <c r="HQL54" s="76"/>
      <c r="HQM54" s="76"/>
      <c r="HQN54" s="76"/>
      <c r="HQO54" s="76"/>
      <c r="HQP54" s="76"/>
      <c r="HQQ54" s="76"/>
      <c r="HQR54" s="76"/>
      <c r="HQS54" s="76"/>
      <c r="HQT54" s="76"/>
      <c r="HQU54" s="76"/>
      <c r="HQV54" s="76"/>
      <c r="HQW54" s="76"/>
      <c r="HQX54" s="76"/>
      <c r="HQY54" s="76"/>
      <c r="HQZ54" s="76"/>
      <c r="HRA54" s="76"/>
      <c r="HRB54" s="76"/>
      <c r="HRC54" s="76"/>
      <c r="HRD54" s="76"/>
      <c r="HRE54" s="76"/>
      <c r="HRF54" s="76"/>
      <c r="HRG54" s="76"/>
      <c r="HRH54" s="76"/>
      <c r="HRI54" s="76"/>
      <c r="HRJ54" s="76"/>
      <c r="HRK54" s="76"/>
      <c r="HRL54" s="76"/>
      <c r="HRM54" s="76"/>
      <c r="HRN54" s="76"/>
      <c r="HRO54" s="76"/>
      <c r="HRP54" s="76"/>
      <c r="HRQ54" s="76"/>
      <c r="HRR54" s="76"/>
      <c r="HRS54" s="76"/>
      <c r="HRT54" s="76"/>
      <c r="HRU54" s="76"/>
      <c r="HRV54" s="76"/>
      <c r="HRW54" s="76"/>
      <c r="HRX54" s="76"/>
      <c r="HRY54" s="76"/>
      <c r="HRZ54" s="76"/>
      <c r="HSA54" s="76"/>
      <c r="HSB54" s="76"/>
      <c r="HSC54" s="76"/>
      <c r="HSD54" s="76"/>
      <c r="HSE54" s="76"/>
      <c r="HSF54" s="76"/>
      <c r="HSG54" s="76"/>
      <c r="HSH54" s="76"/>
      <c r="HSI54" s="76"/>
      <c r="HSJ54" s="76"/>
      <c r="HSK54" s="76"/>
      <c r="HSL54" s="76"/>
      <c r="HSM54" s="76"/>
      <c r="HSN54" s="76"/>
      <c r="HSO54" s="76"/>
      <c r="HSP54" s="76"/>
      <c r="HSQ54" s="76"/>
      <c r="HSR54" s="76"/>
      <c r="HSS54" s="76"/>
      <c r="HST54" s="76"/>
      <c r="HSU54" s="76"/>
      <c r="HSV54" s="76"/>
      <c r="HSW54" s="76"/>
      <c r="HSX54" s="76"/>
      <c r="HSY54" s="76"/>
      <c r="HSZ54" s="76"/>
      <c r="HTA54" s="76"/>
      <c r="HTB54" s="76"/>
      <c r="HTC54" s="76"/>
      <c r="HTD54" s="76"/>
      <c r="HTE54" s="76"/>
      <c r="HTF54" s="76"/>
      <c r="HTG54" s="76"/>
      <c r="HTH54" s="76"/>
      <c r="HTI54" s="76"/>
      <c r="HTJ54" s="76"/>
      <c r="HTK54" s="76"/>
      <c r="HTL54" s="76"/>
      <c r="HTM54" s="76"/>
      <c r="HTN54" s="76"/>
      <c r="HTO54" s="76"/>
      <c r="HTP54" s="76"/>
      <c r="HTQ54" s="76"/>
      <c r="HTR54" s="76"/>
      <c r="HTS54" s="76"/>
      <c r="HTT54" s="76"/>
      <c r="HTU54" s="76"/>
      <c r="HTV54" s="76"/>
      <c r="HTW54" s="76"/>
      <c r="HTX54" s="76"/>
      <c r="HTY54" s="76"/>
      <c r="HTZ54" s="76"/>
      <c r="HUA54" s="76"/>
      <c r="HUB54" s="76"/>
      <c r="HUC54" s="76"/>
      <c r="HUD54" s="76"/>
      <c r="HUE54" s="76"/>
      <c r="HUF54" s="76"/>
      <c r="HUG54" s="76"/>
      <c r="HUH54" s="76"/>
      <c r="HUI54" s="76"/>
      <c r="HUJ54" s="76"/>
      <c r="HUK54" s="76"/>
      <c r="HUL54" s="76"/>
      <c r="HUM54" s="76"/>
      <c r="HUN54" s="76"/>
      <c r="HUO54" s="76"/>
      <c r="HUP54" s="76"/>
      <c r="HUQ54" s="76"/>
      <c r="HUR54" s="76"/>
      <c r="HUS54" s="76"/>
      <c r="HUT54" s="76"/>
      <c r="HUU54" s="76"/>
      <c r="HUV54" s="76"/>
      <c r="HUW54" s="76"/>
      <c r="HUX54" s="76"/>
      <c r="HUY54" s="76"/>
      <c r="HUZ54" s="76"/>
      <c r="HVA54" s="76"/>
      <c r="HVB54" s="76"/>
      <c r="HVC54" s="76"/>
      <c r="HVD54" s="76"/>
      <c r="HVE54" s="76"/>
      <c r="HVF54" s="76"/>
      <c r="HVG54" s="76"/>
      <c r="HVH54" s="76"/>
      <c r="HVI54" s="76"/>
      <c r="HVJ54" s="76"/>
      <c r="HVK54" s="76"/>
      <c r="HVL54" s="76"/>
      <c r="HVM54" s="76"/>
      <c r="HVN54" s="76"/>
      <c r="HVO54" s="76"/>
      <c r="HVP54" s="76"/>
      <c r="HVQ54" s="76"/>
      <c r="HVR54" s="76"/>
      <c r="HVS54" s="76"/>
      <c r="HVT54" s="76"/>
      <c r="HVU54" s="76"/>
      <c r="HVV54" s="76"/>
      <c r="HVW54" s="76"/>
      <c r="HVX54" s="76"/>
      <c r="HVY54" s="76"/>
      <c r="HVZ54" s="76"/>
      <c r="HWA54" s="76"/>
      <c r="HWB54" s="76"/>
      <c r="HWC54" s="76"/>
      <c r="HWD54" s="76"/>
      <c r="HWE54" s="76"/>
      <c r="HWF54" s="76"/>
      <c r="HWG54" s="76"/>
      <c r="HWH54" s="76"/>
      <c r="HWI54" s="76"/>
      <c r="HWJ54" s="76"/>
      <c r="HWK54" s="76"/>
      <c r="HWL54" s="76"/>
      <c r="HWM54" s="76"/>
      <c r="HWN54" s="76"/>
      <c r="HWO54" s="76"/>
      <c r="HWP54" s="76"/>
      <c r="HWQ54" s="76"/>
      <c r="HWR54" s="76"/>
      <c r="HWS54" s="76"/>
      <c r="HWT54" s="76"/>
      <c r="HWU54" s="76"/>
      <c r="HWV54" s="76"/>
      <c r="HWW54" s="76"/>
      <c r="HWX54" s="76"/>
      <c r="HWY54" s="76"/>
      <c r="HWZ54" s="76"/>
      <c r="HXA54" s="76"/>
      <c r="HXB54" s="76"/>
      <c r="HXC54" s="76"/>
      <c r="HXD54" s="76"/>
      <c r="HXE54" s="76"/>
      <c r="HXF54" s="76"/>
      <c r="HXG54" s="76"/>
      <c r="HXH54" s="76"/>
      <c r="HXI54" s="76"/>
      <c r="HXJ54" s="76"/>
      <c r="HXK54" s="76"/>
      <c r="HXL54" s="76"/>
      <c r="HXM54" s="76"/>
      <c r="HXN54" s="76"/>
      <c r="HXO54" s="76"/>
      <c r="HXP54" s="76"/>
      <c r="HXQ54" s="76"/>
      <c r="HXR54" s="76"/>
      <c r="HXS54" s="76"/>
      <c r="HXT54" s="76"/>
      <c r="HXU54" s="76"/>
      <c r="HXV54" s="76"/>
      <c r="HXW54" s="76"/>
      <c r="HXX54" s="76"/>
      <c r="HXY54" s="76"/>
      <c r="HXZ54" s="76"/>
      <c r="HYA54" s="76"/>
      <c r="HYB54" s="76"/>
      <c r="HYC54" s="76"/>
      <c r="HYD54" s="76"/>
      <c r="HYE54" s="76"/>
      <c r="HYF54" s="76"/>
      <c r="HYG54" s="76"/>
      <c r="HYH54" s="76"/>
      <c r="HYI54" s="76"/>
      <c r="HYJ54" s="76"/>
      <c r="HYK54" s="76"/>
      <c r="HYL54" s="76"/>
      <c r="HYM54" s="76"/>
      <c r="HYN54" s="76"/>
      <c r="HYO54" s="76"/>
      <c r="HYP54" s="76"/>
      <c r="HYQ54" s="76"/>
      <c r="HYR54" s="76"/>
      <c r="HYS54" s="76"/>
      <c r="HYT54" s="76"/>
      <c r="HYU54" s="76"/>
      <c r="HYV54" s="76"/>
      <c r="HYW54" s="76"/>
      <c r="HYX54" s="76"/>
      <c r="HYY54" s="76"/>
      <c r="HYZ54" s="76"/>
      <c r="HZA54" s="76"/>
      <c r="HZB54" s="76"/>
      <c r="HZC54" s="76"/>
      <c r="HZD54" s="76"/>
      <c r="HZE54" s="76"/>
      <c r="HZF54" s="76"/>
      <c r="HZG54" s="76"/>
      <c r="HZH54" s="76"/>
      <c r="HZI54" s="76"/>
      <c r="HZJ54" s="76"/>
      <c r="HZK54" s="76"/>
      <c r="HZL54" s="76"/>
      <c r="HZM54" s="76"/>
      <c r="HZN54" s="76"/>
      <c r="HZO54" s="76"/>
      <c r="HZP54" s="76"/>
      <c r="HZQ54" s="76"/>
      <c r="HZR54" s="76"/>
      <c r="HZS54" s="76"/>
      <c r="HZT54" s="76"/>
      <c r="HZU54" s="76"/>
      <c r="HZV54" s="76"/>
      <c r="HZW54" s="76"/>
      <c r="HZX54" s="76"/>
      <c r="HZY54" s="76"/>
      <c r="HZZ54" s="76"/>
      <c r="IAA54" s="76"/>
      <c r="IAB54" s="76"/>
      <c r="IAC54" s="76"/>
      <c r="IAD54" s="76"/>
      <c r="IAE54" s="76"/>
      <c r="IAF54" s="76"/>
      <c r="IAG54" s="76"/>
      <c r="IAH54" s="76"/>
      <c r="IAI54" s="76"/>
      <c r="IAJ54" s="76"/>
      <c r="IAK54" s="76"/>
      <c r="IAL54" s="76"/>
      <c r="IAM54" s="76"/>
      <c r="IAN54" s="76"/>
      <c r="IAO54" s="76"/>
      <c r="IAP54" s="76"/>
      <c r="IAQ54" s="76"/>
      <c r="IAR54" s="76"/>
      <c r="IAS54" s="76"/>
      <c r="IAT54" s="76"/>
      <c r="IAU54" s="76"/>
      <c r="IAV54" s="76"/>
      <c r="IAW54" s="76"/>
      <c r="IAX54" s="76"/>
      <c r="IAY54" s="76"/>
      <c r="IAZ54" s="76"/>
      <c r="IBA54" s="76"/>
      <c r="IBB54" s="76"/>
      <c r="IBC54" s="76"/>
      <c r="IBD54" s="76"/>
      <c r="IBE54" s="76"/>
      <c r="IBF54" s="76"/>
      <c r="IBG54" s="76"/>
      <c r="IBH54" s="76"/>
      <c r="IBI54" s="76"/>
      <c r="IBJ54" s="76"/>
      <c r="IBK54" s="76"/>
      <c r="IBL54" s="76"/>
      <c r="IBM54" s="76"/>
      <c r="IBN54" s="76"/>
      <c r="IBO54" s="76"/>
      <c r="IBP54" s="76"/>
      <c r="IBQ54" s="76"/>
      <c r="IBR54" s="76"/>
      <c r="IBS54" s="76"/>
      <c r="IBT54" s="76"/>
      <c r="IBU54" s="76"/>
      <c r="IBV54" s="76"/>
      <c r="IBW54" s="76"/>
      <c r="IBX54" s="76"/>
      <c r="IBY54" s="76"/>
      <c r="IBZ54" s="76"/>
      <c r="ICA54" s="76"/>
      <c r="ICB54" s="76"/>
      <c r="ICC54" s="76"/>
      <c r="ICD54" s="76"/>
      <c r="ICE54" s="76"/>
      <c r="ICF54" s="76"/>
      <c r="ICG54" s="76"/>
      <c r="ICH54" s="76"/>
      <c r="ICI54" s="76"/>
      <c r="ICJ54" s="76"/>
      <c r="ICK54" s="76"/>
      <c r="ICL54" s="76"/>
      <c r="ICM54" s="76"/>
      <c r="ICN54" s="76"/>
      <c r="ICO54" s="76"/>
      <c r="ICP54" s="76"/>
      <c r="ICQ54" s="76"/>
      <c r="ICR54" s="76"/>
      <c r="ICS54" s="76"/>
      <c r="ICT54" s="76"/>
      <c r="ICU54" s="76"/>
      <c r="ICV54" s="76"/>
      <c r="ICW54" s="76"/>
      <c r="ICX54" s="76"/>
      <c r="ICY54" s="76"/>
      <c r="ICZ54" s="76"/>
      <c r="IDA54" s="76"/>
      <c r="IDB54" s="76"/>
      <c r="IDC54" s="76"/>
      <c r="IDD54" s="76"/>
      <c r="IDE54" s="76"/>
      <c r="IDF54" s="76"/>
      <c r="IDG54" s="76"/>
      <c r="IDH54" s="76"/>
      <c r="IDI54" s="76"/>
      <c r="IDJ54" s="76"/>
      <c r="IDK54" s="76"/>
      <c r="IDL54" s="76"/>
      <c r="IDM54" s="76"/>
      <c r="IDN54" s="76"/>
      <c r="IDO54" s="76"/>
      <c r="IDP54" s="76"/>
      <c r="IDQ54" s="76"/>
      <c r="IDR54" s="76"/>
      <c r="IDS54" s="76"/>
      <c r="IDT54" s="76"/>
      <c r="IDU54" s="76"/>
      <c r="IDV54" s="76"/>
      <c r="IDW54" s="76"/>
      <c r="IDX54" s="76"/>
      <c r="IDY54" s="76"/>
      <c r="IDZ54" s="76"/>
      <c r="IEA54" s="76"/>
      <c r="IEB54" s="76"/>
      <c r="IEC54" s="76"/>
      <c r="IED54" s="76"/>
      <c r="IEE54" s="76"/>
      <c r="IEF54" s="76"/>
      <c r="IEG54" s="76"/>
      <c r="IEH54" s="76"/>
      <c r="IEI54" s="76"/>
      <c r="IEJ54" s="76"/>
      <c r="IEK54" s="76"/>
      <c r="IEL54" s="76"/>
      <c r="IEM54" s="76"/>
      <c r="IEN54" s="76"/>
      <c r="IEO54" s="76"/>
      <c r="IEP54" s="76"/>
      <c r="IEQ54" s="76"/>
      <c r="IER54" s="76"/>
      <c r="IES54" s="76"/>
      <c r="IET54" s="76"/>
      <c r="IEU54" s="76"/>
      <c r="IEV54" s="76"/>
      <c r="IEW54" s="76"/>
      <c r="IEX54" s="76"/>
      <c r="IEY54" s="76"/>
      <c r="IEZ54" s="76"/>
      <c r="IFA54" s="76"/>
      <c r="IFB54" s="76"/>
      <c r="IFC54" s="76"/>
      <c r="IFD54" s="76"/>
      <c r="IFE54" s="76"/>
      <c r="IFF54" s="76"/>
      <c r="IFG54" s="76"/>
      <c r="IFH54" s="76"/>
      <c r="IFI54" s="76"/>
      <c r="IFJ54" s="76"/>
      <c r="IFK54" s="76"/>
      <c r="IFL54" s="76"/>
      <c r="IFM54" s="76"/>
      <c r="IFN54" s="76"/>
      <c r="IFO54" s="76"/>
      <c r="IFP54" s="76"/>
      <c r="IFQ54" s="76"/>
      <c r="IFR54" s="76"/>
      <c r="IFS54" s="76"/>
      <c r="IFT54" s="76"/>
      <c r="IFU54" s="76"/>
      <c r="IFV54" s="76"/>
      <c r="IFW54" s="76"/>
      <c r="IFX54" s="76"/>
      <c r="IFY54" s="76"/>
      <c r="IFZ54" s="76"/>
      <c r="IGA54" s="76"/>
      <c r="IGB54" s="76"/>
      <c r="IGC54" s="76"/>
      <c r="IGD54" s="76"/>
      <c r="IGE54" s="76"/>
      <c r="IGF54" s="76"/>
      <c r="IGG54" s="76"/>
      <c r="IGH54" s="76"/>
      <c r="IGI54" s="76"/>
      <c r="IGJ54" s="76"/>
      <c r="IGK54" s="76"/>
      <c r="IGL54" s="76"/>
      <c r="IGM54" s="76"/>
      <c r="IGN54" s="76"/>
      <c r="IGO54" s="76"/>
      <c r="IGP54" s="76"/>
      <c r="IGQ54" s="76"/>
      <c r="IGR54" s="76"/>
      <c r="IGS54" s="76"/>
      <c r="IGT54" s="76"/>
      <c r="IGU54" s="76"/>
      <c r="IGV54" s="76"/>
      <c r="IGW54" s="76"/>
      <c r="IGX54" s="76"/>
      <c r="IGY54" s="76"/>
      <c r="IGZ54" s="76"/>
      <c r="IHA54" s="76"/>
      <c r="IHB54" s="76"/>
      <c r="IHC54" s="76"/>
      <c r="IHD54" s="76"/>
      <c r="IHE54" s="76"/>
      <c r="IHF54" s="76"/>
      <c r="IHG54" s="76"/>
      <c r="IHH54" s="76"/>
      <c r="IHI54" s="76"/>
      <c r="IHJ54" s="76"/>
      <c r="IHK54" s="76"/>
      <c r="IHL54" s="76"/>
      <c r="IHM54" s="76"/>
      <c r="IHN54" s="76"/>
      <c r="IHO54" s="76"/>
      <c r="IHP54" s="76"/>
      <c r="IHQ54" s="76"/>
      <c r="IHR54" s="76"/>
      <c r="IHS54" s="76"/>
      <c r="IHT54" s="76"/>
      <c r="IHU54" s="76"/>
      <c r="IHV54" s="76"/>
      <c r="IHW54" s="76"/>
      <c r="IHX54" s="76"/>
      <c r="IHY54" s="76"/>
      <c r="IHZ54" s="76"/>
      <c r="IIA54" s="76"/>
      <c r="IIB54" s="76"/>
      <c r="IIC54" s="76"/>
      <c r="IID54" s="76"/>
      <c r="IIE54" s="76"/>
      <c r="IIF54" s="76"/>
      <c r="IIG54" s="76"/>
      <c r="IIH54" s="76"/>
      <c r="III54" s="76"/>
      <c r="IIJ54" s="76"/>
      <c r="IIK54" s="76"/>
      <c r="IIL54" s="76"/>
      <c r="IIM54" s="76"/>
      <c r="IIN54" s="76"/>
      <c r="IIO54" s="76"/>
      <c r="IIP54" s="76"/>
      <c r="IIQ54" s="76"/>
      <c r="IIR54" s="76"/>
      <c r="IIS54" s="76"/>
      <c r="IIT54" s="76"/>
      <c r="IIU54" s="76"/>
      <c r="IIV54" s="76"/>
      <c r="IIW54" s="76"/>
      <c r="IIX54" s="76"/>
      <c r="IIY54" s="76"/>
      <c r="IIZ54" s="76"/>
      <c r="IJA54" s="76"/>
      <c r="IJB54" s="76"/>
      <c r="IJC54" s="76"/>
      <c r="IJD54" s="76"/>
      <c r="IJE54" s="76"/>
      <c r="IJF54" s="76"/>
      <c r="IJG54" s="76"/>
      <c r="IJH54" s="76"/>
      <c r="IJI54" s="76"/>
      <c r="IJJ54" s="76"/>
      <c r="IJK54" s="76"/>
      <c r="IJL54" s="76"/>
      <c r="IJM54" s="76"/>
      <c r="IJN54" s="76"/>
      <c r="IJO54" s="76"/>
      <c r="IJP54" s="76"/>
      <c r="IJQ54" s="76"/>
      <c r="IJR54" s="76"/>
      <c r="IJS54" s="76"/>
      <c r="IJT54" s="76"/>
      <c r="IJU54" s="76"/>
      <c r="IJV54" s="76"/>
      <c r="IJW54" s="76"/>
      <c r="IJX54" s="76"/>
      <c r="IJY54" s="76"/>
      <c r="IJZ54" s="76"/>
      <c r="IKA54" s="76"/>
      <c r="IKB54" s="76"/>
      <c r="IKC54" s="76"/>
      <c r="IKD54" s="76"/>
      <c r="IKE54" s="76"/>
      <c r="IKF54" s="76"/>
      <c r="IKG54" s="76"/>
      <c r="IKH54" s="76"/>
      <c r="IKI54" s="76"/>
      <c r="IKJ54" s="76"/>
      <c r="IKK54" s="76"/>
      <c r="IKL54" s="76"/>
      <c r="IKM54" s="76"/>
      <c r="IKN54" s="76"/>
      <c r="IKO54" s="76"/>
      <c r="IKP54" s="76"/>
      <c r="IKQ54" s="76"/>
      <c r="IKR54" s="76"/>
      <c r="IKS54" s="76"/>
      <c r="IKT54" s="76"/>
      <c r="IKU54" s="76"/>
      <c r="IKV54" s="76"/>
      <c r="IKW54" s="76"/>
      <c r="IKX54" s="76"/>
      <c r="IKY54" s="76"/>
      <c r="IKZ54" s="76"/>
      <c r="ILA54" s="76"/>
      <c r="ILB54" s="76"/>
      <c r="ILC54" s="76"/>
      <c r="ILD54" s="76"/>
      <c r="ILE54" s="76"/>
      <c r="ILF54" s="76"/>
      <c r="ILG54" s="76"/>
      <c r="ILH54" s="76"/>
      <c r="ILI54" s="76"/>
      <c r="ILJ54" s="76"/>
      <c r="ILK54" s="76"/>
      <c r="ILL54" s="76"/>
      <c r="ILM54" s="76"/>
      <c r="ILN54" s="76"/>
      <c r="ILO54" s="76"/>
      <c r="ILP54" s="76"/>
      <c r="ILQ54" s="76"/>
      <c r="ILR54" s="76"/>
      <c r="ILS54" s="76"/>
      <c r="ILT54" s="76"/>
      <c r="ILU54" s="76"/>
      <c r="ILV54" s="76"/>
      <c r="ILW54" s="76"/>
      <c r="ILX54" s="76"/>
      <c r="ILY54" s="76"/>
      <c r="ILZ54" s="76"/>
      <c r="IMA54" s="76"/>
      <c r="IMB54" s="76"/>
      <c r="IMC54" s="76"/>
      <c r="IMD54" s="76"/>
      <c r="IME54" s="76"/>
      <c r="IMF54" s="76"/>
      <c r="IMG54" s="76"/>
      <c r="IMH54" s="76"/>
      <c r="IMI54" s="76"/>
      <c r="IMJ54" s="76"/>
      <c r="IMK54" s="76"/>
      <c r="IML54" s="76"/>
      <c r="IMM54" s="76"/>
      <c r="IMN54" s="76"/>
      <c r="IMO54" s="76"/>
      <c r="IMP54" s="76"/>
      <c r="IMQ54" s="76"/>
      <c r="IMR54" s="76"/>
      <c r="IMS54" s="76"/>
      <c r="IMT54" s="76"/>
      <c r="IMU54" s="76"/>
      <c r="IMV54" s="76"/>
      <c r="IMW54" s="76"/>
      <c r="IMX54" s="76"/>
      <c r="IMY54" s="76"/>
      <c r="IMZ54" s="76"/>
      <c r="INA54" s="76"/>
      <c r="INB54" s="76"/>
      <c r="INC54" s="76"/>
      <c r="IND54" s="76"/>
      <c r="INE54" s="76"/>
      <c r="INF54" s="76"/>
      <c r="ING54" s="76"/>
      <c r="INH54" s="76"/>
      <c r="INI54" s="76"/>
      <c r="INJ54" s="76"/>
      <c r="INK54" s="76"/>
      <c r="INL54" s="76"/>
      <c r="INM54" s="76"/>
      <c r="INN54" s="76"/>
      <c r="INO54" s="76"/>
      <c r="INP54" s="76"/>
      <c r="INQ54" s="76"/>
      <c r="INR54" s="76"/>
      <c r="INS54" s="76"/>
      <c r="INT54" s="76"/>
      <c r="INU54" s="76"/>
      <c r="INV54" s="76"/>
      <c r="INW54" s="76"/>
      <c r="INX54" s="76"/>
      <c r="INY54" s="76"/>
      <c r="INZ54" s="76"/>
      <c r="IOA54" s="76"/>
      <c r="IOB54" s="76"/>
      <c r="IOC54" s="76"/>
      <c r="IOD54" s="76"/>
      <c r="IOE54" s="76"/>
      <c r="IOF54" s="76"/>
      <c r="IOG54" s="76"/>
      <c r="IOH54" s="76"/>
      <c r="IOI54" s="76"/>
      <c r="IOJ54" s="76"/>
      <c r="IOK54" s="76"/>
      <c r="IOL54" s="76"/>
      <c r="IOM54" s="76"/>
      <c r="ION54" s="76"/>
      <c r="IOO54" s="76"/>
      <c r="IOP54" s="76"/>
      <c r="IOQ54" s="76"/>
      <c r="IOR54" s="76"/>
      <c r="IOS54" s="76"/>
      <c r="IOT54" s="76"/>
      <c r="IOU54" s="76"/>
      <c r="IOV54" s="76"/>
      <c r="IOW54" s="76"/>
      <c r="IOX54" s="76"/>
      <c r="IOY54" s="76"/>
      <c r="IOZ54" s="76"/>
      <c r="IPA54" s="76"/>
      <c r="IPB54" s="76"/>
      <c r="IPC54" s="76"/>
      <c r="IPD54" s="76"/>
      <c r="IPE54" s="76"/>
      <c r="IPF54" s="76"/>
      <c r="IPG54" s="76"/>
      <c r="IPH54" s="76"/>
      <c r="IPI54" s="76"/>
      <c r="IPJ54" s="76"/>
      <c r="IPK54" s="76"/>
      <c r="IPL54" s="76"/>
      <c r="IPM54" s="76"/>
      <c r="IPN54" s="76"/>
      <c r="IPO54" s="76"/>
      <c r="IPP54" s="76"/>
      <c r="IPQ54" s="76"/>
      <c r="IPR54" s="76"/>
      <c r="IPS54" s="76"/>
      <c r="IPT54" s="76"/>
      <c r="IPU54" s="76"/>
      <c r="IPV54" s="76"/>
      <c r="IPW54" s="76"/>
      <c r="IPX54" s="76"/>
      <c r="IPY54" s="76"/>
      <c r="IPZ54" s="76"/>
      <c r="IQA54" s="76"/>
      <c r="IQB54" s="76"/>
      <c r="IQC54" s="76"/>
      <c r="IQD54" s="76"/>
      <c r="IQE54" s="76"/>
      <c r="IQF54" s="76"/>
      <c r="IQG54" s="76"/>
      <c r="IQH54" s="76"/>
      <c r="IQI54" s="76"/>
      <c r="IQJ54" s="76"/>
      <c r="IQK54" s="76"/>
      <c r="IQL54" s="76"/>
      <c r="IQM54" s="76"/>
      <c r="IQN54" s="76"/>
      <c r="IQO54" s="76"/>
      <c r="IQP54" s="76"/>
      <c r="IQQ54" s="76"/>
      <c r="IQR54" s="76"/>
      <c r="IQS54" s="76"/>
      <c r="IQT54" s="76"/>
      <c r="IQU54" s="76"/>
      <c r="IQV54" s="76"/>
      <c r="IQW54" s="76"/>
      <c r="IQX54" s="76"/>
      <c r="IQY54" s="76"/>
      <c r="IQZ54" s="76"/>
      <c r="IRA54" s="76"/>
      <c r="IRB54" s="76"/>
      <c r="IRC54" s="76"/>
      <c r="IRD54" s="76"/>
      <c r="IRE54" s="76"/>
      <c r="IRF54" s="76"/>
      <c r="IRG54" s="76"/>
      <c r="IRH54" s="76"/>
      <c r="IRI54" s="76"/>
      <c r="IRJ54" s="76"/>
      <c r="IRK54" s="76"/>
      <c r="IRL54" s="76"/>
      <c r="IRM54" s="76"/>
      <c r="IRN54" s="76"/>
      <c r="IRO54" s="76"/>
      <c r="IRP54" s="76"/>
      <c r="IRQ54" s="76"/>
      <c r="IRR54" s="76"/>
      <c r="IRS54" s="76"/>
      <c r="IRT54" s="76"/>
      <c r="IRU54" s="76"/>
      <c r="IRV54" s="76"/>
      <c r="IRW54" s="76"/>
      <c r="IRX54" s="76"/>
      <c r="IRY54" s="76"/>
      <c r="IRZ54" s="76"/>
      <c r="ISA54" s="76"/>
      <c r="ISB54" s="76"/>
      <c r="ISC54" s="76"/>
      <c r="ISD54" s="76"/>
      <c r="ISE54" s="76"/>
      <c r="ISF54" s="76"/>
      <c r="ISG54" s="76"/>
      <c r="ISH54" s="76"/>
      <c r="ISI54" s="76"/>
      <c r="ISJ54" s="76"/>
      <c r="ISK54" s="76"/>
      <c r="ISL54" s="76"/>
      <c r="ISM54" s="76"/>
      <c r="ISN54" s="76"/>
      <c r="ISO54" s="76"/>
      <c r="ISP54" s="76"/>
      <c r="ISQ54" s="76"/>
      <c r="ISR54" s="76"/>
      <c r="ISS54" s="76"/>
      <c r="IST54" s="76"/>
      <c r="ISU54" s="76"/>
      <c r="ISV54" s="76"/>
      <c r="ISW54" s="76"/>
      <c r="ISX54" s="76"/>
      <c r="ISY54" s="76"/>
      <c r="ISZ54" s="76"/>
      <c r="ITA54" s="76"/>
      <c r="ITB54" s="76"/>
      <c r="ITC54" s="76"/>
      <c r="ITD54" s="76"/>
      <c r="ITE54" s="76"/>
      <c r="ITF54" s="76"/>
      <c r="ITG54" s="76"/>
      <c r="ITH54" s="76"/>
      <c r="ITI54" s="76"/>
      <c r="ITJ54" s="76"/>
      <c r="ITK54" s="76"/>
      <c r="ITL54" s="76"/>
      <c r="ITM54" s="76"/>
      <c r="ITN54" s="76"/>
      <c r="ITO54" s="76"/>
      <c r="ITP54" s="76"/>
      <c r="ITQ54" s="76"/>
      <c r="ITR54" s="76"/>
      <c r="ITS54" s="76"/>
      <c r="ITT54" s="76"/>
      <c r="ITU54" s="76"/>
      <c r="ITV54" s="76"/>
      <c r="ITW54" s="76"/>
      <c r="ITX54" s="76"/>
      <c r="ITY54" s="76"/>
      <c r="ITZ54" s="76"/>
      <c r="IUA54" s="76"/>
      <c r="IUB54" s="76"/>
      <c r="IUC54" s="76"/>
      <c r="IUD54" s="76"/>
      <c r="IUE54" s="76"/>
      <c r="IUF54" s="76"/>
      <c r="IUG54" s="76"/>
      <c r="IUH54" s="76"/>
      <c r="IUI54" s="76"/>
      <c r="IUJ54" s="76"/>
      <c r="IUK54" s="76"/>
      <c r="IUL54" s="76"/>
      <c r="IUM54" s="76"/>
      <c r="IUN54" s="76"/>
      <c r="IUO54" s="76"/>
      <c r="IUP54" s="76"/>
      <c r="IUQ54" s="76"/>
      <c r="IUR54" s="76"/>
      <c r="IUS54" s="76"/>
      <c r="IUT54" s="76"/>
      <c r="IUU54" s="76"/>
      <c r="IUV54" s="76"/>
      <c r="IUW54" s="76"/>
      <c r="IUX54" s="76"/>
      <c r="IUY54" s="76"/>
      <c r="IUZ54" s="76"/>
      <c r="IVA54" s="76"/>
      <c r="IVB54" s="76"/>
      <c r="IVC54" s="76"/>
      <c r="IVD54" s="76"/>
      <c r="IVE54" s="76"/>
      <c r="IVF54" s="76"/>
      <c r="IVG54" s="76"/>
      <c r="IVH54" s="76"/>
      <c r="IVI54" s="76"/>
      <c r="IVJ54" s="76"/>
      <c r="IVK54" s="76"/>
      <c r="IVL54" s="76"/>
      <c r="IVM54" s="76"/>
      <c r="IVN54" s="76"/>
      <c r="IVO54" s="76"/>
      <c r="IVP54" s="76"/>
      <c r="IVQ54" s="76"/>
      <c r="IVR54" s="76"/>
      <c r="IVS54" s="76"/>
      <c r="IVT54" s="76"/>
      <c r="IVU54" s="76"/>
      <c r="IVV54" s="76"/>
      <c r="IVW54" s="76"/>
      <c r="IVX54" s="76"/>
      <c r="IVY54" s="76"/>
      <c r="IVZ54" s="76"/>
      <c r="IWA54" s="76"/>
      <c r="IWB54" s="76"/>
      <c r="IWC54" s="76"/>
      <c r="IWD54" s="76"/>
      <c r="IWE54" s="76"/>
      <c r="IWF54" s="76"/>
      <c r="IWG54" s="76"/>
      <c r="IWH54" s="76"/>
      <c r="IWI54" s="76"/>
      <c r="IWJ54" s="76"/>
      <c r="IWK54" s="76"/>
      <c r="IWL54" s="76"/>
      <c r="IWM54" s="76"/>
      <c r="IWN54" s="76"/>
      <c r="IWO54" s="76"/>
      <c r="IWP54" s="76"/>
      <c r="IWQ54" s="76"/>
      <c r="IWR54" s="76"/>
      <c r="IWS54" s="76"/>
      <c r="IWT54" s="76"/>
      <c r="IWU54" s="76"/>
      <c r="IWV54" s="76"/>
      <c r="IWW54" s="76"/>
      <c r="IWX54" s="76"/>
      <c r="IWY54" s="76"/>
      <c r="IWZ54" s="76"/>
      <c r="IXA54" s="76"/>
      <c r="IXB54" s="76"/>
      <c r="IXC54" s="76"/>
      <c r="IXD54" s="76"/>
      <c r="IXE54" s="76"/>
      <c r="IXF54" s="76"/>
      <c r="IXG54" s="76"/>
      <c r="IXH54" s="76"/>
      <c r="IXI54" s="76"/>
      <c r="IXJ54" s="76"/>
      <c r="IXK54" s="76"/>
      <c r="IXL54" s="76"/>
      <c r="IXM54" s="76"/>
      <c r="IXN54" s="76"/>
      <c r="IXO54" s="76"/>
      <c r="IXP54" s="76"/>
      <c r="IXQ54" s="76"/>
      <c r="IXR54" s="76"/>
      <c r="IXS54" s="76"/>
      <c r="IXT54" s="76"/>
      <c r="IXU54" s="76"/>
      <c r="IXV54" s="76"/>
      <c r="IXW54" s="76"/>
      <c r="IXX54" s="76"/>
      <c r="IXY54" s="76"/>
      <c r="IXZ54" s="76"/>
      <c r="IYA54" s="76"/>
      <c r="IYB54" s="76"/>
      <c r="IYC54" s="76"/>
      <c r="IYD54" s="76"/>
      <c r="IYE54" s="76"/>
      <c r="IYF54" s="76"/>
      <c r="IYG54" s="76"/>
      <c r="IYH54" s="76"/>
      <c r="IYI54" s="76"/>
      <c r="IYJ54" s="76"/>
      <c r="IYK54" s="76"/>
      <c r="IYL54" s="76"/>
      <c r="IYM54" s="76"/>
      <c r="IYN54" s="76"/>
      <c r="IYO54" s="76"/>
      <c r="IYP54" s="76"/>
      <c r="IYQ54" s="76"/>
      <c r="IYR54" s="76"/>
      <c r="IYS54" s="76"/>
      <c r="IYT54" s="76"/>
      <c r="IYU54" s="76"/>
      <c r="IYV54" s="76"/>
      <c r="IYW54" s="76"/>
      <c r="IYX54" s="76"/>
      <c r="IYY54" s="76"/>
      <c r="IYZ54" s="76"/>
      <c r="IZA54" s="76"/>
      <c r="IZB54" s="76"/>
      <c r="IZC54" s="76"/>
      <c r="IZD54" s="76"/>
      <c r="IZE54" s="76"/>
      <c r="IZF54" s="76"/>
      <c r="IZG54" s="76"/>
      <c r="IZH54" s="76"/>
      <c r="IZI54" s="76"/>
      <c r="IZJ54" s="76"/>
      <c r="IZK54" s="76"/>
      <c r="IZL54" s="76"/>
      <c r="IZM54" s="76"/>
      <c r="IZN54" s="76"/>
      <c r="IZO54" s="76"/>
      <c r="IZP54" s="76"/>
      <c r="IZQ54" s="76"/>
      <c r="IZR54" s="76"/>
      <c r="IZS54" s="76"/>
      <c r="IZT54" s="76"/>
      <c r="IZU54" s="76"/>
      <c r="IZV54" s="76"/>
      <c r="IZW54" s="76"/>
      <c r="IZX54" s="76"/>
      <c r="IZY54" s="76"/>
      <c r="IZZ54" s="76"/>
      <c r="JAA54" s="76"/>
      <c r="JAB54" s="76"/>
      <c r="JAC54" s="76"/>
      <c r="JAD54" s="76"/>
      <c r="JAE54" s="76"/>
      <c r="JAF54" s="76"/>
      <c r="JAG54" s="76"/>
      <c r="JAH54" s="76"/>
      <c r="JAI54" s="76"/>
      <c r="JAJ54" s="76"/>
      <c r="JAK54" s="76"/>
      <c r="JAL54" s="76"/>
      <c r="JAM54" s="76"/>
      <c r="JAN54" s="76"/>
      <c r="JAO54" s="76"/>
      <c r="JAP54" s="76"/>
      <c r="JAQ54" s="76"/>
      <c r="JAR54" s="76"/>
      <c r="JAS54" s="76"/>
      <c r="JAT54" s="76"/>
      <c r="JAU54" s="76"/>
      <c r="JAV54" s="76"/>
      <c r="JAW54" s="76"/>
      <c r="JAX54" s="76"/>
      <c r="JAY54" s="76"/>
      <c r="JAZ54" s="76"/>
      <c r="JBA54" s="76"/>
      <c r="JBB54" s="76"/>
      <c r="JBC54" s="76"/>
      <c r="JBD54" s="76"/>
      <c r="JBE54" s="76"/>
      <c r="JBF54" s="76"/>
      <c r="JBG54" s="76"/>
      <c r="JBH54" s="76"/>
      <c r="JBI54" s="76"/>
      <c r="JBJ54" s="76"/>
      <c r="JBK54" s="76"/>
      <c r="JBL54" s="76"/>
      <c r="JBM54" s="76"/>
      <c r="JBN54" s="76"/>
      <c r="JBO54" s="76"/>
      <c r="JBP54" s="76"/>
      <c r="JBQ54" s="76"/>
      <c r="JBR54" s="76"/>
      <c r="JBS54" s="76"/>
      <c r="JBT54" s="76"/>
      <c r="JBU54" s="76"/>
      <c r="JBV54" s="76"/>
      <c r="JBW54" s="76"/>
      <c r="JBX54" s="76"/>
      <c r="JBY54" s="76"/>
      <c r="JBZ54" s="76"/>
      <c r="JCA54" s="76"/>
      <c r="JCB54" s="76"/>
      <c r="JCC54" s="76"/>
      <c r="JCD54" s="76"/>
      <c r="JCE54" s="76"/>
      <c r="JCF54" s="76"/>
      <c r="JCG54" s="76"/>
      <c r="JCH54" s="76"/>
      <c r="JCI54" s="76"/>
      <c r="JCJ54" s="76"/>
      <c r="JCK54" s="76"/>
      <c r="JCL54" s="76"/>
      <c r="JCM54" s="76"/>
      <c r="JCN54" s="76"/>
      <c r="JCO54" s="76"/>
      <c r="JCP54" s="76"/>
      <c r="JCQ54" s="76"/>
      <c r="JCR54" s="76"/>
      <c r="JCS54" s="76"/>
      <c r="JCT54" s="76"/>
      <c r="JCU54" s="76"/>
      <c r="JCV54" s="76"/>
      <c r="JCW54" s="76"/>
      <c r="JCX54" s="76"/>
      <c r="JCY54" s="76"/>
      <c r="JCZ54" s="76"/>
      <c r="JDA54" s="76"/>
      <c r="JDB54" s="76"/>
      <c r="JDC54" s="76"/>
      <c r="JDD54" s="76"/>
      <c r="JDE54" s="76"/>
      <c r="JDF54" s="76"/>
      <c r="JDG54" s="76"/>
      <c r="JDH54" s="76"/>
      <c r="JDI54" s="76"/>
      <c r="JDJ54" s="76"/>
      <c r="JDK54" s="76"/>
      <c r="JDL54" s="76"/>
      <c r="JDM54" s="76"/>
      <c r="JDN54" s="76"/>
      <c r="JDO54" s="76"/>
      <c r="JDP54" s="76"/>
      <c r="JDQ54" s="76"/>
      <c r="JDR54" s="76"/>
      <c r="JDS54" s="76"/>
      <c r="JDT54" s="76"/>
      <c r="JDU54" s="76"/>
      <c r="JDV54" s="76"/>
      <c r="JDW54" s="76"/>
      <c r="JDX54" s="76"/>
      <c r="JDY54" s="76"/>
      <c r="JDZ54" s="76"/>
      <c r="JEA54" s="76"/>
      <c r="JEB54" s="76"/>
      <c r="JEC54" s="76"/>
      <c r="JED54" s="76"/>
      <c r="JEE54" s="76"/>
      <c r="JEF54" s="76"/>
      <c r="JEG54" s="76"/>
      <c r="JEH54" s="76"/>
      <c r="JEI54" s="76"/>
      <c r="JEJ54" s="76"/>
      <c r="JEK54" s="76"/>
      <c r="JEL54" s="76"/>
      <c r="JEM54" s="76"/>
      <c r="JEN54" s="76"/>
      <c r="JEO54" s="76"/>
      <c r="JEP54" s="76"/>
      <c r="JEQ54" s="76"/>
      <c r="JER54" s="76"/>
      <c r="JES54" s="76"/>
      <c r="JET54" s="76"/>
      <c r="JEU54" s="76"/>
      <c r="JEV54" s="76"/>
      <c r="JEW54" s="76"/>
      <c r="JEX54" s="76"/>
      <c r="JEY54" s="76"/>
      <c r="JEZ54" s="76"/>
      <c r="JFA54" s="76"/>
      <c r="JFB54" s="76"/>
      <c r="JFC54" s="76"/>
      <c r="JFD54" s="76"/>
      <c r="JFE54" s="76"/>
      <c r="JFF54" s="76"/>
      <c r="JFG54" s="76"/>
      <c r="JFH54" s="76"/>
      <c r="JFI54" s="76"/>
      <c r="JFJ54" s="76"/>
      <c r="JFK54" s="76"/>
      <c r="JFL54" s="76"/>
      <c r="JFM54" s="76"/>
      <c r="JFN54" s="76"/>
      <c r="JFO54" s="76"/>
      <c r="JFP54" s="76"/>
      <c r="JFQ54" s="76"/>
      <c r="JFR54" s="76"/>
      <c r="JFS54" s="76"/>
      <c r="JFT54" s="76"/>
      <c r="JFU54" s="76"/>
      <c r="JFV54" s="76"/>
      <c r="JFW54" s="76"/>
      <c r="JFX54" s="76"/>
      <c r="JFY54" s="76"/>
      <c r="JFZ54" s="76"/>
      <c r="JGA54" s="76"/>
      <c r="JGB54" s="76"/>
      <c r="JGC54" s="76"/>
      <c r="JGD54" s="76"/>
      <c r="JGE54" s="76"/>
      <c r="JGF54" s="76"/>
      <c r="JGG54" s="76"/>
      <c r="JGH54" s="76"/>
      <c r="JGI54" s="76"/>
      <c r="JGJ54" s="76"/>
      <c r="JGK54" s="76"/>
      <c r="JGL54" s="76"/>
      <c r="JGM54" s="76"/>
      <c r="JGN54" s="76"/>
      <c r="JGO54" s="76"/>
      <c r="JGP54" s="76"/>
      <c r="JGQ54" s="76"/>
      <c r="JGR54" s="76"/>
      <c r="JGS54" s="76"/>
      <c r="JGT54" s="76"/>
      <c r="JGU54" s="76"/>
      <c r="JGV54" s="76"/>
      <c r="JGW54" s="76"/>
      <c r="JGX54" s="76"/>
      <c r="JGY54" s="76"/>
      <c r="JGZ54" s="76"/>
      <c r="JHA54" s="76"/>
      <c r="JHB54" s="76"/>
      <c r="JHC54" s="76"/>
      <c r="JHD54" s="76"/>
      <c r="JHE54" s="76"/>
      <c r="JHF54" s="76"/>
      <c r="JHG54" s="76"/>
      <c r="JHH54" s="76"/>
      <c r="JHI54" s="76"/>
      <c r="JHJ54" s="76"/>
      <c r="JHK54" s="76"/>
      <c r="JHL54" s="76"/>
      <c r="JHM54" s="76"/>
      <c r="JHN54" s="76"/>
      <c r="JHO54" s="76"/>
      <c r="JHP54" s="76"/>
      <c r="JHQ54" s="76"/>
      <c r="JHR54" s="76"/>
      <c r="JHS54" s="76"/>
      <c r="JHT54" s="76"/>
      <c r="JHU54" s="76"/>
      <c r="JHV54" s="76"/>
      <c r="JHW54" s="76"/>
      <c r="JHX54" s="76"/>
      <c r="JHY54" s="76"/>
      <c r="JHZ54" s="76"/>
      <c r="JIA54" s="76"/>
      <c r="JIB54" s="76"/>
      <c r="JIC54" s="76"/>
      <c r="JID54" s="76"/>
      <c r="JIE54" s="76"/>
      <c r="JIF54" s="76"/>
      <c r="JIG54" s="76"/>
      <c r="JIH54" s="76"/>
      <c r="JII54" s="76"/>
      <c r="JIJ54" s="76"/>
      <c r="JIK54" s="76"/>
      <c r="JIL54" s="76"/>
      <c r="JIM54" s="76"/>
      <c r="JIN54" s="76"/>
      <c r="JIO54" s="76"/>
      <c r="JIP54" s="76"/>
      <c r="JIQ54" s="76"/>
      <c r="JIR54" s="76"/>
      <c r="JIS54" s="76"/>
      <c r="JIT54" s="76"/>
      <c r="JIU54" s="76"/>
      <c r="JIV54" s="76"/>
      <c r="JIW54" s="76"/>
      <c r="JIX54" s="76"/>
      <c r="JIY54" s="76"/>
      <c r="JIZ54" s="76"/>
      <c r="JJA54" s="76"/>
      <c r="JJB54" s="76"/>
      <c r="JJC54" s="76"/>
      <c r="JJD54" s="76"/>
      <c r="JJE54" s="76"/>
      <c r="JJF54" s="76"/>
      <c r="JJG54" s="76"/>
      <c r="JJH54" s="76"/>
      <c r="JJI54" s="76"/>
      <c r="JJJ54" s="76"/>
      <c r="JJK54" s="76"/>
      <c r="JJL54" s="76"/>
      <c r="JJM54" s="76"/>
      <c r="JJN54" s="76"/>
      <c r="JJO54" s="76"/>
      <c r="JJP54" s="76"/>
      <c r="JJQ54" s="76"/>
      <c r="JJR54" s="76"/>
      <c r="JJS54" s="76"/>
      <c r="JJT54" s="76"/>
      <c r="JJU54" s="76"/>
      <c r="JJV54" s="76"/>
      <c r="JJW54" s="76"/>
      <c r="JJX54" s="76"/>
      <c r="JJY54" s="76"/>
      <c r="JJZ54" s="76"/>
      <c r="JKA54" s="76"/>
      <c r="JKB54" s="76"/>
      <c r="JKC54" s="76"/>
      <c r="JKD54" s="76"/>
      <c r="JKE54" s="76"/>
      <c r="JKF54" s="76"/>
      <c r="JKG54" s="76"/>
      <c r="JKH54" s="76"/>
      <c r="JKI54" s="76"/>
      <c r="JKJ54" s="76"/>
      <c r="JKK54" s="76"/>
      <c r="JKL54" s="76"/>
      <c r="JKM54" s="76"/>
      <c r="JKN54" s="76"/>
      <c r="JKO54" s="76"/>
      <c r="JKP54" s="76"/>
      <c r="JKQ54" s="76"/>
      <c r="JKR54" s="76"/>
      <c r="JKS54" s="76"/>
      <c r="JKT54" s="76"/>
      <c r="JKU54" s="76"/>
      <c r="JKV54" s="76"/>
      <c r="JKW54" s="76"/>
      <c r="JKX54" s="76"/>
      <c r="JKY54" s="76"/>
      <c r="JKZ54" s="76"/>
      <c r="JLA54" s="76"/>
      <c r="JLB54" s="76"/>
      <c r="JLC54" s="76"/>
      <c r="JLD54" s="76"/>
      <c r="JLE54" s="76"/>
      <c r="JLF54" s="76"/>
      <c r="JLG54" s="76"/>
      <c r="JLH54" s="76"/>
      <c r="JLI54" s="76"/>
      <c r="JLJ54" s="76"/>
      <c r="JLK54" s="76"/>
      <c r="JLL54" s="76"/>
      <c r="JLM54" s="76"/>
      <c r="JLN54" s="76"/>
      <c r="JLO54" s="76"/>
      <c r="JLP54" s="76"/>
      <c r="JLQ54" s="76"/>
      <c r="JLR54" s="76"/>
      <c r="JLS54" s="76"/>
      <c r="JLT54" s="76"/>
      <c r="JLU54" s="76"/>
      <c r="JLV54" s="76"/>
      <c r="JLW54" s="76"/>
      <c r="JLX54" s="76"/>
      <c r="JLY54" s="76"/>
      <c r="JLZ54" s="76"/>
      <c r="JMA54" s="76"/>
      <c r="JMB54" s="76"/>
      <c r="JMC54" s="76"/>
      <c r="JMD54" s="76"/>
      <c r="JME54" s="76"/>
      <c r="JMF54" s="76"/>
      <c r="JMG54" s="76"/>
      <c r="JMH54" s="76"/>
      <c r="JMI54" s="76"/>
      <c r="JMJ54" s="76"/>
      <c r="JMK54" s="76"/>
      <c r="JML54" s="76"/>
      <c r="JMM54" s="76"/>
      <c r="JMN54" s="76"/>
      <c r="JMO54" s="76"/>
      <c r="JMP54" s="76"/>
      <c r="JMQ54" s="76"/>
      <c r="JMR54" s="76"/>
      <c r="JMS54" s="76"/>
      <c r="JMT54" s="76"/>
      <c r="JMU54" s="76"/>
      <c r="JMV54" s="76"/>
      <c r="JMW54" s="76"/>
      <c r="JMX54" s="76"/>
      <c r="JMY54" s="76"/>
      <c r="JMZ54" s="76"/>
      <c r="JNA54" s="76"/>
      <c r="JNB54" s="76"/>
      <c r="JNC54" s="76"/>
      <c r="JND54" s="76"/>
      <c r="JNE54" s="76"/>
      <c r="JNF54" s="76"/>
      <c r="JNG54" s="76"/>
      <c r="JNH54" s="76"/>
      <c r="JNI54" s="76"/>
      <c r="JNJ54" s="76"/>
      <c r="JNK54" s="76"/>
      <c r="JNL54" s="76"/>
      <c r="JNM54" s="76"/>
      <c r="JNN54" s="76"/>
      <c r="JNO54" s="76"/>
      <c r="JNP54" s="76"/>
      <c r="JNQ54" s="76"/>
      <c r="JNR54" s="76"/>
      <c r="JNS54" s="76"/>
      <c r="JNT54" s="76"/>
      <c r="JNU54" s="76"/>
      <c r="JNV54" s="76"/>
      <c r="JNW54" s="76"/>
      <c r="JNX54" s="76"/>
      <c r="JNY54" s="76"/>
      <c r="JNZ54" s="76"/>
      <c r="JOA54" s="76"/>
      <c r="JOB54" s="76"/>
      <c r="JOC54" s="76"/>
      <c r="JOD54" s="76"/>
      <c r="JOE54" s="76"/>
      <c r="JOF54" s="76"/>
      <c r="JOG54" s="76"/>
      <c r="JOH54" s="76"/>
      <c r="JOI54" s="76"/>
      <c r="JOJ54" s="76"/>
      <c r="JOK54" s="76"/>
      <c r="JOL54" s="76"/>
      <c r="JOM54" s="76"/>
      <c r="JON54" s="76"/>
      <c r="JOO54" s="76"/>
      <c r="JOP54" s="76"/>
      <c r="JOQ54" s="76"/>
      <c r="JOR54" s="76"/>
      <c r="JOS54" s="76"/>
      <c r="JOT54" s="76"/>
      <c r="JOU54" s="76"/>
      <c r="JOV54" s="76"/>
      <c r="JOW54" s="76"/>
      <c r="JOX54" s="76"/>
      <c r="JOY54" s="76"/>
      <c r="JOZ54" s="76"/>
      <c r="JPA54" s="76"/>
      <c r="JPB54" s="76"/>
      <c r="JPC54" s="76"/>
      <c r="JPD54" s="76"/>
      <c r="JPE54" s="76"/>
      <c r="JPF54" s="76"/>
      <c r="JPG54" s="76"/>
      <c r="JPH54" s="76"/>
      <c r="JPI54" s="76"/>
      <c r="JPJ54" s="76"/>
      <c r="JPK54" s="76"/>
      <c r="JPL54" s="76"/>
      <c r="JPM54" s="76"/>
      <c r="JPN54" s="76"/>
      <c r="JPO54" s="76"/>
      <c r="JPP54" s="76"/>
      <c r="JPQ54" s="76"/>
      <c r="JPR54" s="76"/>
      <c r="JPS54" s="76"/>
      <c r="JPT54" s="76"/>
      <c r="JPU54" s="76"/>
      <c r="JPV54" s="76"/>
      <c r="JPW54" s="76"/>
      <c r="JPX54" s="76"/>
      <c r="JPY54" s="76"/>
      <c r="JPZ54" s="76"/>
      <c r="JQA54" s="76"/>
      <c r="JQB54" s="76"/>
      <c r="JQC54" s="76"/>
      <c r="JQD54" s="76"/>
      <c r="JQE54" s="76"/>
      <c r="JQF54" s="76"/>
      <c r="JQG54" s="76"/>
      <c r="JQH54" s="76"/>
      <c r="JQI54" s="76"/>
      <c r="JQJ54" s="76"/>
      <c r="JQK54" s="76"/>
      <c r="JQL54" s="76"/>
      <c r="JQM54" s="76"/>
      <c r="JQN54" s="76"/>
      <c r="JQO54" s="76"/>
      <c r="JQP54" s="76"/>
      <c r="JQQ54" s="76"/>
      <c r="JQR54" s="76"/>
      <c r="JQS54" s="76"/>
      <c r="JQT54" s="76"/>
      <c r="JQU54" s="76"/>
      <c r="JQV54" s="76"/>
      <c r="JQW54" s="76"/>
      <c r="JQX54" s="76"/>
      <c r="JQY54" s="76"/>
      <c r="JQZ54" s="76"/>
      <c r="JRA54" s="76"/>
      <c r="JRB54" s="76"/>
      <c r="JRC54" s="76"/>
      <c r="JRD54" s="76"/>
      <c r="JRE54" s="76"/>
      <c r="JRF54" s="76"/>
      <c r="JRG54" s="76"/>
      <c r="JRH54" s="76"/>
      <c r="JRI54" s="76"/>
      <c r="JRJ54" s="76"/>
      <c r="JRK54" s="76"/>
      <c r="JRL54" s="76"/>
      <c r="JRM54" s="76"/>
      <c r="JRN54" s="76"/>
      <c r="JRO54" s="76"/>
      <c r="JRP54" s="76"/>
      <c r="JRQ54" s="76"/>
      <c r="JRR54" s="76"/>
      <c r="JRS54" s="76"/>
      <c r="JRT54" s="76"/>
      <c r="JRU54" s="76"/>
      <c r="JRV54" s="76"/>
      <c r="JRW54" s="76"/>
      <c r="JRX54" s="76"/>
      <c r="JRY54" s="76"/>
      <c r="JRZ54" s="76"/>
      <c r="JSA54" s="76"/>
      <c r="JSB54" s="76"/>
      <c r="JSC54" s="76"/>
      <c r="JSD54" s="76"/>
      <c r="JSE54" s="76"/>
      <c r="JSF54" s="76"/>
      <c r="JSG54" s="76"/>
      <c r="JSH54" s="76"/>
      <c r="JSI54" s="76"/>
      <c r="JSJ54" s="76"/>
      <c r="JSK54" s="76"/>
      <c r="JSL54" s="76"/>
      <c r="JSM54" s="76"/>
      <c r="JSN54" s="76"/>
      <c r="JSO54" s="76"/>
      <c r="JSP54" s="76"/>
      <c r="JSQ54" s="76"/>
      <c r="JSR54" s="76"/>
      <c r="JSS54" s="76"/>
      <c r="JST54" s="76"/>
      <c r="JSU54" s="76"/>
      <c r="JSV54" s="76"/>
      <c r="JSW54" s="76"/>
      <c r="JSX54" s="76"/>
      <c r="JSY54" s="76"/>
      <c r="JSZ54" s="76"/>
      <c r="JTA54" s="76"/>
      <c r="JTB54" s="76"/>
      <c r="JTC54" s="76"/>
      <c r="JTD54" s="76"/>
      <c r="JTE54" s="76"/>
      <c r="JTF54" s="76"/>
      <c r="JTG54" s="76"/>
      <c r="JTH54" s="76"/>
      <c r="JTI54" s="76"/>
      <c r="JTJ54" s="76"/>
      <c r="JTK54" s="76"/>
      <c r="JTL54" s="76"/>
      <c r="JTM54" s="76"/>
      <c r="JTN54" s="76"/>
      <c r="JTO54" s="76"/>
      <c r="JTP54" s="76"/>
      <c r="JTQ54" s="76"/>
      <c r="JTR54" s="76"/>
      <c r="JTS54" s="76"/>
      <c r="JTT54" s="76"/>
      <c r="JTU54" s="76"/>
      <c r="JTV54" s="76"/>
      <c r="JTW54" s="76"/>
      <c r="JTX54" s="76"/>
      <c r="JTY54" s="76"/>
      <c r="JTZ54" s="76"/>
      <c r="JUA54" s="76"/>
      <c r="JUB54" s="76"/>
      <c r="JUC54" s="76"/>
      <c r="JUD54" s="76"/>
      <c r="JUE54" s="76"/>
      <c r="JUF54" s="76"/>
      <c r="JUG54" s="76"/>
      <c r="JUH54" s="76"/>
      <c r="JUI54" s="76"/>
      <c r="JUJ54" s="76"/>
      <c r="JUK54" s="76"/>
      <c r="JUL54" s="76"/>
      <c r="JUM54" s="76"/>
      <c r="JUN54" s="76"/>
      <c r="JUO54" s="76"/>
      <c r="JUP54" s="76"/>
      <c r="JUQ54" s="76"/>
      <c r="JUR54" s="76"/>
      <c r="JUS54" s="76"/>
      <c r="JUT54" s="76"/>
      <c r="JUU54" s="76"/>
      <c r="JUV54" s="76"/>
      <c r="JUW54" s="76"/>
      <c r="JUX54" s="76"/>
      <c r="JUY54" s="76"/>
      <c r="JUZ54" s="76"/>
      <c r="JVA54" s="76"/>
      <c r="JVB54" s="76"/>
      <c r="JVC54" s="76"/>
      <c r="JVD54" s="76"/>
      <c r="JVE54" s="76"/>
      <c r="JVF54" s="76"/>
      <c r="JVG54" s="76"/>
      <c r="JVH54" s="76"/>
      <c r="JVI54" s="76"/>
      <c r="JVJ54" s="76"/>
      <c r="JVK54" s="76"/>
      <c r="JVL54" s="76"/>
      <c r="JVM54" s="76"/>
      <c r="JVN54" s="76"/>
      <c r="JVO54" s="76"/>
      <c r="JVP54" s="76"/>
      <c r="JVQ54" s="76"/>
      <c r="JVR54" s="76"/>
      <c r="JVS54" s="76"/>
      <c r="JVT54" s="76"/>
      <c r="JVU54" s="76"/>
      <c r="JVV54" s="76"/>
      <c r="JVW54" s="76"/>
      <c r="JVX54" s="76"/>
      <c r="JVY54" s="76"/>
      <c r="JVZ54" s="76"/>
      <c r="JWA54" s="76"/>
      <c r="JWB54" s="76"/>
      <c r="JWC54" s="76"/>
      <c r="JWD54" s="76"/>
      <c r="JWE54" s="76"/>
      <c r="JWF54" s="76"/>
      <c r="JWG54" s="76"/>
      <c r="JWH54" s="76"/>
      <c r="JWI54" s="76"/>
      <c r="JWJ54" s="76"/>
      <c r="JWK54" s="76"/>
      <c r="JWL54" s="76"/>
      <c r="JWM54" s="76"/>
      <c r="JWN54" s="76"/>
      <c r="JWO54" s="76"/>
      <c r="JWP54" s="76"/>
      <c r="JWQ54" s="76"/>
      <c r="JWR54" s="76"/>
      <c r="JWS54" s="76"/>
      <c r="JWT54" s="76"/>
      <c r="JWU54" s="76"/>
      <c r="JWV54" s="76"/>
      <c r="JWW54" s="76"/>
      <c r="JWX54" s="76"/>
      <c r="JWY54" s="76"/>
      <c r="JWZ54" s="76"/>
      <c r="JXA54" s="76"/>
      <c r="JXB54" s="76"/>
      <c r="JXC54" s="76"/>
      <c r="JXD54" s="76"/>
      <c r="JXE54" s="76"/>
      <c r="JXF54" s="76"/>
      <c r="JXG54" s="76"/>
      <c r="JXH54" s="76"/>
      <c r="JXI54" s="76"/>
      <c r="JXJ54" s="76"/>
      <c r="JXK54" s="76"/>
      <c r="JXL54" s="76"/>
      <c r="JXM54" s="76"/>
      <c r="JXN54" s="76"/>
      <c r="JXO54" s="76"/>
      <c r="JXP54" s="76"/>
      <c r="JXQ54" s="76"/>
      <c r="JXR54" s="76"/>
      <c r="JXS54" s="76"/>
      <c r="JXT54" s="76"/>
      <c r="JXU54" s="76"/>
      <c r="JXV54" s="76"/>
      <c r="JXW54" s="76"/>
      <c r="JXX54" s="76"/>
      <c r="JXY54" s="76"/>
      <c r="JXZ54" s="76"/>
      <c r="JYA54" s="76"/>
      <c r="JYB54" s="76"/>
      <c r="JYC54" s="76"/>
      <c r="JYD54" s="76"/>
      <c r="JYE54" s="76"/>
      <c r="JYF54" s="76"/>
      <c r="JYG54" s="76"/>
      <c r="JYH54" s="76"/>
      <c r="JYI54" s="76"/>
      <c r="JYJ54" s="76"/>
      <c r="JYK54" s="76"/>
      <c r="JYL54" s="76"/>
      <c r="JYM54" s="76"/>
      <c r="JYN54" s="76"/>
      <c r="JYO54" s="76"/>
      <c r="JYP54" s="76"/>
      <c r="JYQ54" s="76"/>
      <c r="JYR54" s="76"/>
      <c r="JYS54" s="76"/>
      <c r="JYT54" s="76"/>
      <c r="JYU54" s="76"/>
      <c r="JYV54" s="76"/>
      <c r="JYW54" s="76"/>
      <c r="JYX54" s="76"/>
      <c r="JYY54" s="76"/>
      <c r="JYZ54" s="76"/>
      <c r="JZA54" s="76"/>
      <c r="JZB54" s="76"/>
      <c r="JZC54" s="76"/>
      <c r="JZD54" s="76"/>
      <c r="JZE54" s="76"/>
      <c r="JZF54" s="76"/>
      <c r="JZG54" s="76"/>
      <c r="JZH54" s="76"/>
      <c r="JZI54" s="76"/>
      <c r="JZJ54" s="76"/>
      <c r="JZK54" s="76"/>
      <c r="JZL54" s="76"/>
      <c r="JZM54" s="76"/>
      <c r="JZN54" s="76"/>
      <c r="JZO54" s="76"/>
      <c r="JZP54" s="76"/>
      <c r="JZQ54" s="76"/>
      <c r="JZR54" s="76"/>
      <c r="JZS54" s="76"/>
      <c r="JZT54" s="76"/>
      <c r="JZU54" s="76"/>
      <c r="JZV54" s="76"/>
      <c r="JZW54" s="76"/>
      <c r="JZX54" s="76"/>
      <c r="JZY54" s="76"/>
      <c r="JZZ54" s="76"/>
      <c r="KAA54" s="76"/>
      <c r="KAB54" s="76"/>
      <c r="KAC54" s="76"/>
      <c r="KAD54" s="76"/>
      <c r="KAE54" s="76"/>
      <c r="KAF54" s="76"/>
      <c r="KAG54" s="76"/>
      <c r="KAH54" s="76"/>
      <c r="KAI54" s="76"/>
      <c r="KAJ54" s="76"/>
      <c r="KAK54" s="76"/>
      <c r="KAL54" s="76"/>
      <c r="KAM54" s="76"/>
      <c r="KAN54" s="76"/>
      <c r="KAO54" s="76"/>
      <c r="KAP54" s="76"/>
      <c r="KAQ54" s="76"/>
      <c r="KAR54" s="76"/>
      <c r="KAS54" s="76"/>
      <c r="KAT54" s="76"/>
      <c r="KAU54" s="76"/>
      <c r="KAV54" s="76"/>
      <c r="KAW54" s="76"/>
      <c r="KAX54" s="76"/>
      <c r="KAY54" s="76"/>
      <c r="KAZ54" s="76"/>
      <c r="KBA54" s="76"/>
      <c r="KBB54" s="76"/>
      <c r="KBC54" s="76"/>
      <c r="KBD54" s="76"/>
      <c r="KBE54" s="76"/>
      <c r="KBF54" s="76"/>
      <c r="KBG54" s="76"/>
      <c r="KBH54" s="76"/>
      <c r="KBI54" s="76"/>
      <c r="KBJ54" s="76"/>
      <c r="KBK54" s="76"/>
      <c r="KBL54" s="76"/>
      <c r="KBM54" s="76"/>
      <c r="KBN54" s="76"/>
      <c r="KBO54" s="76"/>
      <c r="KBP54" s="76"/>
      <c r="KBQ54" s="76"/>
      <c r="KBR54" s="76"/>
      <c r="KBS54" s="76"/>
      <c r="KBT54" s="76"/>
      <c r="KBU54" s="76"/>
      <c r="KBV54" s="76"/>
      <c r="KBW54" s="76"/>
      <c r="KBX54" s="76"/>
      <c r="KBY54" s="76"/>
      <c r="KBZ54" s="76"/>
      <c r="KCA54" s="76"/>
      <c r="KCB54" s="76"/>
      <c r="KCC54" s="76"/>
      <c r="KCD54" s="76"/>
      <c r="KCE54" s="76"/>
      <c r="KCF54" s="76"/>
      <c r="KCG54" s="76"/>
      <c r="KCH54" s="76"/>
      <c r="KCI54" s="76"/>
      <c r="KCJ54" s="76"/>
      <c r="KCK54" s="76"/>
      <c r="KCL54" s="76"/>
      <c r="KCM54" s="76"/>
      <c r="KCN54" s="76"/>
      <c r="KCO54" s="76"/>
      <c r="KCP54" s="76"/>
      <c r="KCQ54" s="76"/>
      <c r="KCR54" s="76"/>
      <c r="KCS54" s="76"/>
      <c r="KCT54" s="76"/>
      <c r="KCU54" s="76"/>
      <c r="KCV54" s="76"/>
      <c r="KCW54" s="76"/>
      <c r="KCX54" s="76"/>
      <c r="KCY54" s="76"/>
      <c r="KCZ54" s="76"/>
      <c r="KDA54" s="76"/>
      <c r="KDB54" s="76"/>
      <c r="KDC54" s="76"/>
      <c r="KDD54" s="76"/>
      <c r="KDE54" s="76"/>
      <c r="KDF54" s="76"/>
      <c r="KDG54" s="76"/>
      <c r="KDH54" s="76"/>
      <c r="KDI54" s="76"/>
      <c r="KDJ54" s="76"/>
      <c r="KDK54" s="76"/>
      <c r="KDL54" s="76"/>
      <c r="KDM54" s="76"/>
      <c r="KDN54" s="76"/>
      <c r="KDO54" s="76"/>
      <c r="KDP54" s="76"/>
      <c r="KDQ54" s="76"/>
      <c r="KDR54" s="76"/>
      <c r="KDS54" s="76"/>
      <c r="KDT54" s="76"/>
      <c r="KDU54" s="76"/>
      <c r="KDV54" s="76"/>
      <c r="KDW54" s="76"/>
      <c r="KDX54" s="76"/>
      <c r="KDY54" s="76"/>
      <c r="KDZ54" s="76"/>
      <c r="KEA54" s="76"/>
      <c r="KEB54" s="76"/>
      <c r="KEC54" s="76"/>
      <c r="KED54" s="76"/>
      <c r="KEE54" s="76"/>
      <c r="KEF54" s="76"/>
      <c r="KEG54" s="76"/>
      <c r="KEH54" s="76"/>
      <c r="KEI54" s="76"/>
      <c r="KEJ54" s="76"/>
      <c r="KEK54" s="76"/>
      <c r="KEL54" s="76"/>
      <c r="KEM54" s="76"/>
      <c r="KEN54" s="76"/>
      <c r="KEO54" s="76"/>
      <c r="KEP54" s="76"/>
      <c r="KEQ54" s="76"/>
      <c r="KER54" s="76"/>
      <c r="KES54" s="76"/>
      <c r="KET54" s="76"/>
      <c r="KEU54" s="76"/>
      <c r="KEV54" s="76"/>
      <c r="KEW54" s="76"/>
      <c r="KEX54" s="76"/>
      <c r="KEY54" s="76"/>
      <c r="KEZ54" s="76"/>
      <c r="KFA54" s="76"/>
      <c r="KFB54" s="76"/>
      <c r="KFC54" s="76"/>
      <c r="KFD54" s="76"/>
      <c r="KFE54" s="76"/>
      <c r="KFF54" s="76"/>
      <c r="KFG54" s="76"/>
      <c r="KFH54" s="76"/>
      <c r="KFI54" s="76"/>
      <c r="KFJ54" s="76"/>
      <c r="KFK54" s="76"/>
      <c r="KFL54" s="76"/>
      <c r="KFM54" s="76"/>
      <c r="KFN54" s="76"/>
      <c r="KFO54" s="76"/>
      <c r="KFP54" s="76"/>
      <c r="KFQ54" s="76"/>
      <c r="KFR54" s="76"/>
      <c r="KFS54" s="76"/>
      <c r="KFT54" s="76"/>
      <c r="KFU54" s="76"/>
      <c r="KFV54" s="76"/>
      <c r="KFW54" s="76"/>
      <c r="KFX54" s="76"/>
      <c r="KFY54" s="76"/>
      <c r="KFZ54" s="76"/>
      <c r="KGA54" s="76"/>
      <c r="KGB54" s="76"/>
      <c r="KGC54" s="76"/>
      <c r="KGD54" s="76"/>
      <c r="KGE54" s="76"/>
      <c r="KGF54" s="76"/>
      <c r="KGG54" s="76"/>
      <c r="KGH54" s="76"/>
      <c r="KGI54" s="76"/>
      <c r="KGJ54" s="76"/>
      <c r="KGK54" s="76"/>
      <c r="KGL54" s="76"/>
      <c r="KGM54" s="76"/>
      <c r="KGN54" s="76"/>
      <c r="KGO54" s="76"/>
      <c r="KGP54" s="76"/>
      <c r="KGQ54" s="76"/>
      <c r="KGR54" s="76"/>
      <c r="KGS54" s="76"/>
      <c r="KGT54" s="76"/>
      <c r="KGU54" s="76"/>
      <c r="KGV54" s="76"/>
      <c r="KGW54" s="76"/>
      <c r="KGX54" s="76"/>
      <c r="KGY54" s="76"/>
      <c r="KGZ54" s="76"/>
      <c r="KHA54" s="76"/>
      <c r="KHB54" s="76"/>
      <c r="KHC54" s="76"/>
      <c r="KHD54" s="76"/>
      <c r="KHE54" s="76"/>
      <c r="KHF54" s="76"/>
      <c r="KHG54" s="76"/>
      <c r="KHH54" s="76"/>
      <c r="KHI54" s="76"/>
      <c r="KHJ54" s="76"/>
      <c r="KHK54" s="76"/>
      <c r="KHL54" s="76"/>
      <c r="KHM54" s="76"/>
      <c r="KHN54" s="76"/>
      <c r="KHO54" s="76"/>
      <c r="KHP54" s="76"/>
      <c r="KHQ54" s="76"/>
      <c r="KHR54" s="76"/>
      <c r="KHS54" s="76"/>
      <c r="KHT54" s="76"/>
      <c r="KHU54" s="76"/>
      <c r="KHV54" s="76"/>
      <c r="KHW54" s="76"/>
      <c r="KHX54" s="76"/>
      <c r="KHY54" s="76"/>
      <c r="KHZ54" s="76"/>
      <c r="KIA54" s="76"/>
      <c r="KIB54" s="76"/>
      <c r="KIC54" s="76"/>
      <c r="KID54" s="76"/>
      <c r="KIE54" s="76"/>
      <c r="KIF54" s="76"/>
      <c r="KIG54" s="76"/>
      <c r="KIH54" s="76"/>
      <c r="KII54" s="76"/>
      <c r="KIJ54" s="76"/>
      <c r="KIK54" s="76"/>
      <c r="KIL54" s="76"/>
      <c r="KIM54" s="76"/>
      <c r="KIN54" s="76"/>
      <c r="KIO54" s="76"/>
      <c r="KIP54" s="76"/>
      <c r="KIQ54" s="76"/>
      <c r="KIR54" s="76"/>
      <c r="KIS54" s="76"/>
      <c r="KIT54" s="76"/>
      <c r="KIU54" s="76"/>
      <c r="KIV54" s="76"/>
      <c r="KIW54" s="76"/>
      <c r="KIX54" s="76"/>
      <c r="KIY54" s="76"/>
      <c r="KIZ54" s="76"/>
      <c r="KJA54" s="76"/>
      <c r="KJB54" s="76"/>
      <c r="KJC54" s="76"/>
      <c r="KJD54" s="76"/>
      <c r="KJE54" s="76"/>
      <c r="KJF54" s="76"/>
      <c r="KJG54" s="76"/>
      <c r="KJH54" s="76"/>
      <c r="KJI54" s="76"/>
      <c r="KJJ54" s="76"/>
      <c r="KJK54" s="76"/>
      <c r="KJL54" s="76"/>
      <c r="KJM54" s="76"/>
      <c r="KJN54" s="76"/>
      <c r="KJO54" s="76"/>
      <c r="KJP54" s="76"/>
      <c r="KJQ54" s="76"/>
      <c r="KJR54" s="76"/>
      <c r="KJS54" s="76"/>
      <c r="KJT54" s="76"/>
      <c r="KJU54" s="76"/>
      <c r="KJV54" s="76"/>
      <c r="KJW54" s="76"/>
      <c r="KJX54" s="76"/>
      <c r="KJY54" s="76"/>
      <c r="KJZ54" s="76"/>
      <c r="KKA54" s="76"/>
      <c r="KKB54" s="76"/>
      <c r="KKC54" s="76"/>
      <c r="KKD54" s="76"/>
      <c r="KKE54" s="76"/>
      <c r="KKF54" s="76"/>
      <c r="KKG54" s="76"/>
      <c r="KKH54" s="76"/>
      <c r="KKI54" s="76"/>
      <c r="KKJ54" s="76"/>
      <c r="KKK54" s="76"/>
      <c r="KKL54" s="76"/>
      <c r="KKM54" s="76"/>
      <c r="KKN54" s="76"/>
      <c r="KKO54" s="76"/>
      <c r="KKP54" s="76"/>
      <c r="KKQ54" s="76"/>
      <c r="KKR54" s="76"/>
      <c r="KKS54" s="76"/>
      <c r="KKT54" s="76"/>
      <c r="KKU54" s="76"/>
      <c r="KKV54" s="76"/>
      <c r="KKW54" s="76"/>
      <c r="KKX54" s="76"/>
      <c r="KKY54" s="76"/>
      <c r="KKZ54" s="76"/>
      <c r="KLA54" s="76"/>
      <c r="KLB54" s="76"/>
      <c r="KLC54" s="76"/>
      <c r="KLD54" s="76"/>
      <c r="KLE54" s="76"/>
      <c r="KLF54" s="76"/>
      <c r="KLG54" s="76"/>
      <c r="KLH54" s="76"/>
      <c r="KLI54" s="76"/>
      <c r="KLJ54" s="76"/>
      <c r="KLK54" s="76"/>
      <c r="KLL54" s="76"/>
      <c r="KLM54" s="76"/>
      <c r="KLN54" s="76"/>
      <c r="KLO54" s="76"/>
      <c r="KLP54" s="76"/>
      <c r="KLQ54" s="76"/>
      <c r="KLR54" s="76"/>
      <c r="KLS54" s="76"/>
      <c r="KLT54" s="76"/>
      <c r="KLU54" s="76"/>
      <c r="KLV54" s="76"/>
      <c r="KLW54" s="76"/>
      <c r="KLX54" s="76"/>
      <c r="KLY54" s="76"/>
      <c r="KLZ54" s="76"/>
      <c r="KMA54" s="76"/>
      <c r="KMB54" s="76"/>
      <c r="KMC54" s="76"/>
      <c r="KMD54" s="76"/>
      <c r="KME54" s="76"/>
      <c r="KMF54" s="76"/>
      <c r="KMG54" s="76"/>
      <c r="KMH54" s="76"/>
      <c r="KMI54" s="76"/>
      <c r="KMJ54" s="76"/>
      <c r="KMK54" s="76"/>
      <c r="KML54" s="76"/>
      <c r="KMM54" s="76"/>
      <c r="KMN54" s="76"/>
      <c r="KMO54" s="76"/>
      <c r="KMP54" s="76"/>
      <c r="KMQ54" s="76"/>
      <c r="KMR54" s="76"/>
      <c r="KMS54" s="76"/>
      <c r="KMT54" s="76"/>
      <c r="KMU54" s="76"/>
      <c r="KMV54" s="76"/>
      <c r="KMW54" s="76"/>
      <c r="KMX54" s="76"/>
      <c r="KMY54" s="76"/>
      <c r="KMZ54" s="76"/>
      <c r="KNA54" s="76"/>
      <c r="KNB54" s="76"/>
      <c r="KNC54" s="76"/>
      <c r="KND54" s="76"/>
      <c r="KNE54" s="76"/>
      <c r="KNF54" s="76"/>
      <c r="KNG54" s="76"/>
      <c r="KNH54" s="76"/>
      <c r="KNI54" s="76"/>
      <c r="KNJ54" s="76"/>
      <c r="KNK54" s="76"/>
      <c r="KNL54" s="76"/>
      <c r="KNM54" s="76"/>
      <c r="KNN54" s="76"/>
      <c r="KNO54" s="76"/>
      <c r="KNP54" s="76"/>
      <c r="KNQ54" s="76"/>
      <c r="KNR54" s="76"/>
      <c r="KNS54" s="76"/>
      <c r="KNT54" s="76"/>
      <c r="KNU54" s="76"/>
      <c r="KNV54" s="76"/>
      <c r="KNW54" s="76"/>
      <c r="KNX54" s="76"/>
      <c r="KNY54" s="76"/>
      <c r="KNZ54" s="76"/>
      <c r="KOA54" s="76"/>
      <c r="KOB54" s="76"/>
      <c r="KOC54" s="76"/>
      <c r="KOD54" s="76"/>
      <c r="KOE54" s="76"/>
      <c r="KOF54" s="76"/>
      <c r="KOG54" s="76"/>
      <c r="KOH54" s="76"/>
      <c r="KOI54" s="76"/>
      <c r="KOJ54" s="76"/>
      <c r="KOK54" s="76"/>
      <c r="KOL54" s="76"/>
      <c r="KOM54" s="76"/>
      <c r="KON54" s="76"/>
      <c r="KOO54" s="76"/>
      <c r="KOP54" s="76"/>
      <c r="KOQ54" s="76"/>
      <c r="KOR54" s="76"/>
      <c r="KOS54" s="76"/>
      <c r="KOT54" s="76"/>
      <c r="KOU54" s="76"/>
      <c r="KOV54" s="76"/>
      <c r="KOW54" s="76"/>
      <c r="KOX54" s="76"/>
      <c r="KOY54" s="76"/>
      <c r="KOZ54" s="76"/>
      <c r="KPA54" s="76"/>
      <c r="KPB54" s="76"/>
      <c r="KPC54" s="76"/>
      <c r="KPD54" s="76"/>
      <c r="KPE54" s="76"/>
      <c r="KPF54" s="76"/>
      <c r="KPG54" s="76"/>
      <c r="KPH54" s="76"/>
      <c r="KPI54" s="76"/>
      <c r="KPJ54" s="76"/>
      <c r="KPK54" s="76"/>
      <c r="KPL54" s="76"/>
      <c r="KPM54" s="76"/>
      <c r="KPN54" s="76"/>
      <c r="KPO54" s="76"/>
      <c r="KPP54" s="76"/>
      <c r="KPQ54" s="76"/>
      <c r="KPR54" s="76"/>
      <c r="KPS54" s="76"/>
      <c r="KPT54" s="76"/>
      <c r="KPU54" s="76"/>
      <c r="KPV54" s="76"/>
      <c r="KPW54" s="76"/>
      <c r="KPX54" s="76"/>
      <c r="KPY54" s="76"/>
      <c r="KPZ54" s="76"/>
      <c r="KQA54" s="76"/>
      <c r="KQB54" s="76"/>
      <c r="KQC54" s="76"/>
      <c r="KQD54" s="76"/>
      <c r="KQE54" s="76"/>
      <c r="KQF54" s="76"/>
      <c r="KQG54" s="76"/>
      <c r="KQH54" s="76"/>
      <c r="KQI54" s="76"/>
      <c r="KQJ54" s="76"/>
      <c r="KQK54" s="76"/>
      <c r="KQL54" s="76"/>
      <c r="KQM54" s="76"/>
      <c r="KQN54" s="76"/>
      <c r="KQO54" s="76"/>
      <c r="KQP54" s="76"/>
      <c r="KQQ54" s="76"/>
      <c r="KQR54" s="76"/>
      <c r="KQS54" s="76"/>
      <c r="KQT54" s="76"/>
      <c r="KQU54" s="76"/>
      <c r="KQV54" s="76"/>
      <c r="KQW54" s="76"/>
      <c r="KQX54" s="76"/>
      <c r="KQY54" s="76"/>
      <c r="KQZ54" s="76"/>
      <c r="KRA54" s="76"/>
      <c r="KRB54" s="76"/>
      <c r="KRC54" s="76"/>
      <c r="KRD54" s="76"/>
      <c r="KRE54" s="76"/>
      <c r="KRF54" s="76"/>
      <c r="KRG54" s="76"/>
      <c r="KRH54" s="76"/>
      <c r="KRI54" s="76"/>
      <c r="KRJ54" s="76"/>
      <c r="KRK54" s="76"/>
      <c r="KRL54" s="76"/>
      <c r="KRM54" s="76"/>
      <c r="KRN54" s="76"/>
      <c r="KRO54" s="76"/>
      <c r="KRP54" s="76"/>
      <c r="KRQ54" s="76"/>
      <c r="KRR54" s="76"/>
      <c r="KRS54" s="76"/>
      <c r="KRT54" s="76"/>
      <c r="KRU54" s="76"/>
      <c r="KRV54" s="76"/>
      <c r="KRW54" s="76"/>
      <c r="KRX54" s="76"/>
      <c r="KRY54" s="76"/>
      <c r="KRZ54" s="76"/>
      <c r="KSA54" s="76"/>
      <c r="KSB54" s="76"/>
      <c r="KSC54" s="76"/>
      <c r="KSD54" s="76"/>
      <c r="KSE54" s="76"/>
      <c r="KSF54" s="76"/>
      <c r="KSG54" s="76"/>
      <c r="KSH54" s="76"/>
      <c r="KSI54" s="76"/>
      <c r="KSJ54" s="76"/>
      <c r="KSK54" s="76"/>
      <c r="KSL54" s="76"/>
      <c r="KSM54" s="76"/>
      <c r="KSN54" s="76"/>
      <c r="KSO54" s="76"/>
      <c r="KSP54" s="76"/>
      <c r="KSQ54" s="76"/>
      <c r="KSR54" s="76"/>
      <c r="KSS54" s="76"/>
      <c r="KST54" s="76"/>
      <c r="KSU54" s="76"/>
      <c r="KSV54" s="76"/>
      <c r="KSW54" s="76"/>
      <c r="KSX54" s="76"/>
      <c r="KSY54" s="76"/>
      <c r="KSZ54" s="76"/>
      <c r="KTA54" s="76"/>
      <c r="KTB54" s="76"/>
      <c r="KTC54" s="76"/>
      <c r="KTD54" s="76"/>
      <c r="KTE54" s="76"/>
      <c r="KTF54" s="76"/>
      <c r="KTG54" s="76"/>
      <c r="KTH54" s="76"/>
      <c r="KTI54" s="76"/>
      <c r="KTJ54" s="76"/>
      <c r="KTK54" s="76"/>
      <c r="KTL54" s="76"/>
      <c r="KTM54" s="76"/>
      <c r="KTN54" s="76"/>
      <c r="KTO54" s="76"/>
      <c r="KTP54" s="76"/>
      <c r="KTQ54" s="76"/>
      <c r="KTR54" s="76"/>
      <c r="KTS54" s="76"/>
      <c r="KTT54" s="76"/>
      <c r="KTU54" s="76"/>
      <c r="KTV54" s="76"/>
      <c r="KTW54" s="76"/>
      <c r="KTX54" s="76"/>
      <c r="KTY54" s="76"/>
      <c r="KTZ54" s="76"/>
      <c r="KUA54" s="76"/>
      <c r="KUB54" s="76"/>
      <c r="KUC54" s="76"/>
      <c r="KUD54" s="76"/>
      <c r="KUE54" s="76"/>
      <c r="KUF54" s="76"/>
      <c r="KUG54" s="76"/>
      <c r="KUH54" s="76"/>
      <c r="KUI54" s="76"/>
      <c r="KUJ54" s="76"/>
      <c r="KUK54" s="76"/>
      <c r="KUL54" s="76"/>
      <c r="KUM54" s="76"/>
      <c r="KUN54" s="76"/>
      <c r="KUO54" s="76"/>
      <c r="KUP54" s="76"/>
      <c r="KUQ54" s="76"/>
      <c r="KUR54" s="76"/>
      <c r="KUS54" s="76"/>
      <c r="KUT54" s="76"/>
      <c r="KUU54" s="76"/>
      <c r="KUV54" s="76"/>
      <c r="KUW54" s="76"/>
      <c r="KUX54" s="76"/>
      <c r="KUY54" s="76"/>
      <c r="KUZ54" s="76"/>
      <c r="KVA54" s="76"/>
      <c r="KVB54" s="76"/>
      <c r="KVC54" s="76"/>
      <c r="KVD54" s="76"/>
      <c r="KVE54" s="76"/>
      <c r="KVF54" s="76"/>
      <c r="KVG54" s="76"/>
      <c r="KVH54" s="76"/>
      <c r="KVI54" s="76"/>
      <c r="KVJ54" s="76"/>
      <c r="KVK54" s="76"/>
      <c r="KVL54" s="76"/>
      <c r="KVM54" s="76"/>
      <c r="KVN54" s="76"/>
      <c r="KVO54" s="76"/>
      <c r="KVP54" s="76"/>
      <c r="KVQ54" s="76"/>
      <c r="KVR54" s="76"/>
      <c r="KVS54" s="76"/>
      <c r="KVT54" s="76"/>
      <c r="KVU54" s="76"/>
      <c r="KVV54" s="76"/>
      <c r="KVW54" s="76"/>
      <c r="KVX54" s="76"/>
      <c r="KVY54" s="76"/>
      <c r="KVZ54" s="76"/>
      <c r="KWA54" s="76"/>
      <c r="KWB54" s="76"/>
      <c r="KWC54" s="76"/>
      <c r="KWD54" s="76"/>
      <c r="KWE54" s="76"/>
      <c r="KWF54" s="76"/>
      <c r="KWG54" s="76"/>
      <c r="KWH54" s="76"/>
      <c r="KWI54" s="76"/>
      <c r="KWJ54" s="76"/>
      <c r="KWK54" s="76"/>
      <c r="KWL54" s="76"/>
      <c r="KWM54" s="76"/>
      <c r="KWN54" s="76"/>
      <c r="KWO54" s="76"/>
      <c r="KWP54" s="76"/>
      <c r="KWQ54" s="76"/>
      <c r="KWR54" s="76"/>
      <c r="KWS54" s="76"/>
      <c r="KWT54" s="76"/>
      <c r="KWU54" s="76"/>
      <c r="KWV54" s="76"/>
      <c r="KWW54" s="76"/>
      <c r="KWX54" s="76"/>
      <c r="KWY54" s="76"/>
      <c r="KWZ54" s="76"/>
      <c r="KXA54" s="76"/>
      <c r="KXB54" s="76"/>
      <c r="KXC54" s="76"/>
      <c r="KXD54" s="76"/>
      <c r="KXE54" s="76"/>
      <c r="KXF54" s="76"/>
      <c r="KXG54" s="76"/>
      <c r="KXH54" s="76"/>
      <c r="KXI54" s="76"/>
      <c r="KXJ54" s="76"/>
      <c r="KXK54" s="76"/>
      <c r="KXL54" s="76"/>
      <c r="KXM54" s="76"/>
      <c r="KXN54" s="76"/>
      <c r="KXO54" s="76"/>
      <c r="KXP54" s="76"/>
      <c r="KXQ54" s="76"/>
      <c r="KXR54" s="76"/>
      <c r="KXS54" s="76"/>
      <c r="KXT54" s="76"/>
      <c r="KXU54" s="76"/>
      <c r="KXV54" s="76"/>
      <c r="KXW54" s="76"/>
      <c r="KXX54" s="76"/>
      <c r="KXY54" s="76"/>
      <c r="KXZ54" s="76"/>
      <c r="KYA54" s="76"/>
      <c r="KYB54" s="76"/>
      <c r="KYC54" s="76"/>
      <c r="KYD54" s="76"/>
      <c r="KYE54" s="76"/>
      <c r="KYF54" s="76"/>
      <c r="KYG54" s="76"/>
      <c r="KYH54" s="76"/>
      <c r="KYI54" s="76"/>
      <c r="KYJ54" s="76"/>
      <c r="KYK54" s="76"/>
      <c r="KYL54" s="76"/>
      <c r="KYM54" s="76"/>
      <c r="KYN54" s="76"/>
      <c r="KYO54" s="76"/>
      <c r="KYP54" s="76"/>
      <c r="KYQ54" s="76"/>
      <c r="KYR54" s="76"/>
      <c r="KYS54" s="76"/>
      <c r="KYT54" s="76"/>
      <c r="KYU54" s="76"/>
      <c r="KYV54" s="76"/>
      <c r="KYW54" s="76"/>
      <c r="KYX54" s="76"/>
      <c r="KYY54" s="76"/>
      <c r="KYZ54" s="76"/>
      <c r="KZA54" s="76"/>
      <c r="KZB54" s="76"/>
      <c r="KZC54" s="76"/>
      <c r="KZD54" s="76"/>
      <c r="KZE54" s="76"/>
      <c r="KZF54" s="76"/>
      <c r="KZG54" s="76"/>
      <c r="KZH54" s="76"/>
      <c r="KZI54" s="76"/>
      <c r="KZJ54" s="76"/>
      <c r="KZK54" s="76"/>
      <c r="KZL54" s="76"/>
      <c r="KZM54" s="76"/>
      <c r="KZN54" s="76"/>
      <c r="KZO54" s="76"/>
      <c r="KZP54" s="76"/>
      <c r="KZQ54" s="76"/>
      <c r="KZR54" s="76"/>
      <c r="KZS54" s="76"/>
      <c r="KZT54" s="76"/>
      <c r="KZU54" s="76"/>
      <c r="KZV54" s="76"/>
      <c r="KZW54" s="76"/>
      <c r="KZX54" s="76"/>
      <c r="KZY54" s="76"/>
      <c r="KZZ54" s="76"/>
      <c r="LAA54" s="76"/>
      <c r="LAB54" s="76"/>
      <c r="LAC54" s="76"/>
      <c r="LAD54" s="76"/>
      <c r="LAE54" s="76"/>
      <c r="LAF54" s="76"/>
      <c r="LAG54" s="76"/>
      <c r="LAH54" s="76"/>
      <c r="LAI54" s="76"/>
      <c r="LAJ54" s="76"/>
      <c r="LAK54" s="76"/>
      <c r="LAL54" s="76"/>
      <c r="LAM54" s="76"/>
      <c r="LAN54" s="76"/>
      <c r="LAO54" s="76"/>
      <c r="LAP54" s="76"/>
      <c r="LAQ54" s="76"/>
      <c r="LAR54" s="76"/>
      <c r="LAS54" s="76"/>
      <c r="LAT54" s="76"/>
      <c r="LAU54" s="76"/>
      <c r="LAV54" s="76"/>
      <c r="LAW54" s="76"/>
      <c r="LAX54" s="76"/>
      <c r="LAY54" s="76"/>
      <c r="LAZ54" s="76"/>
      <c r="LBA54" s="76"/>
      <c r="LBB54" s="76"/>
      <c r="LBC54" s="76"/>
      <c r="LBD54" s="76"/>
      <c r="LBE54" s="76"/>
      <c r="LBF54" s="76"/>
      <c r="LBG54" s="76"/>
      <c r="LBH54" s="76"/>
      <c r="LBI54" s="76"/>
      <c r="LBJ54" s="76"/>
      <c r="LBK54" s="76"/>
      <c r="LBL54" s="76"/>
      <c r="LBM54" s="76"/>
      <c r="LBN54" s="76"/>
      <c r="LBO54" s="76"/>
      <c r="LBP54" s="76"/>
      <c r="LBQ54" s="76"/>
      <c r="LBR54" s="76"/>
      <c r="LBS54" s="76"/>
      <c r="LBT54" s="76"/>
      <c r="LBU54" s="76"/>
      <c r="LBV54" s="76"/>
      <c r="LBW54" s="76"/>
      <c r="LBX54" s="76"/>
      <c r="LBY54" s="76"/>
      <c r="LBZ54" s="76"/>
      <c r="LCA54" s="76"/>
      <c r="LCB54" s="76"/>
      <c r="LCC54" s="76"/>
      <c r="LCD54" s="76"/>
      <c r="LCE54" s="76"/>
      <c r="LCF54" s="76"/>
      <c r="LCG54" s="76"/>
      <c r="LCH54" s="76"/>
      <c r="LCI54" s="76"/>
      <c r="LCJ54" s="76"/>
      <c r="LCK54" s="76"/>
      <c r="LCL54" s="76"/>
      <c r="LCM54" s="76"/>
      <c r="LCN54" s="76"/>
      <c r="LCO54" s="76"/>
      <c r="LCP54" s="76"/>
      <c r="LCQ54" s="76"/>
      <c r="LCR54" s="76"/>
      <c r="LCS54" s="76"/>
      <c r="LCT54" s="76"/>
      <c r="LCU54" s="76"/>
      <c r="LCV54" s="76"/>
      <c r="LCW54" s="76"/>
      <c r="LCX54" s="76"/>
      <c r="LCY54" s="76"/>
      <c r="LCZ54" s="76"/>
      <c r="LDA54" s="76"/>
      <c r="LDB54" s="76"/>
      <c r="LDC54" s="76"/>
      <c r="LDD54" s="76"/>
      <c r="LDE54" s="76"/>
      <c r="LDF54" s="76"/>
      <c r="LDG54" s="76"/>
      <c r="LDH54" s="76"/>
      <c r="LDI54" s="76"/>
      <c r="LDJ54" s="76"/>
      <c r="LDK54" s="76"/>
      <c r="LDL54" s="76"/>
      <c r="LDM54" s="76"/>
      <c r="LDN54" s="76"/>
      <c r="LDO54" s="76"/>
      <c r="LDP54" s="76"/>
      <c r="LDQ54" s="76"/>
      <c r="LDR54" s="76"/>
      <c r="LDS54" s="76"/>
      <c r="LDT54" s="76"/>
      <c r="LDU54" s="76"/>
      <c r="LDV54" s="76"/>
      <c r="LDW54" s="76"/>
      <c r="LDX54" s="76"/>
      <c r="LDY54" s="76"/>
      <c r="LDZ54" s="76"/>
      <c r="LEA54" s="76"/>
      <c r="LEB54" s="76"/>
      <c r="LEC54" s="76"/>
      <c r="LED54" s="76"/>
      <c r="LEE54" s="76"/>
      <c r="LEF54" s="76"/>
      <c r="LEG54" s="76"/>
      <c r="LEH54" s="76"/>
      <c r="LEI54" s="76"/>
      <c r="LEJ54" s="76"/>
      <c r="LEK54" s="76"/>
      <c r="LEL54" s="76"/>
      <c r="LEM54" s="76"/>
      <c r="LEN54" s="76"/>
      <c r="LEO54" s="76"/>
      <c r="LEP54" s="76"/>
      <c r="LEQ54" s="76"/>
      <c r="LER54" s="76"/>
      <c r="LES54" s="76"/>
      <c r="LET54" s="76"/>
      <c r="LEU54" s="76"/>
      <c r="LEV54" s="76"/>
      <c r="LEW54" s="76"/>
      <c r="LEX54" s="76"/>
      <c r="LEY54" s="76"/>
      <c r="LEZ54" s="76"/>
      <c r="LFA54" s="76"/>
      <c r="LFB54" s="76"/>
      <c r="LFC54" s="76"/>
      <c r="LFD54" s="76"/>
      <c r="LFE54" s="76"/>
      <c r="LFF54" s="76"/>
      <c r="LFG54" s="76"/>
      <c r="LFH54" s="76"/>
      <c r="LFI54" s="76"/>
      <c r="LFJ54" s="76"/>
      <c r="LFK54" s="76"/>
      <c r="LFL54" s="76"/>
      <c r="LFM54" s="76"/>
      <c r="LFN54" s="76"/>
      <c r="LFO54" s="76"/>
      <c r="LFP54" s="76"/>
      <c r="LFQ54" s="76"/>
      <c r="LFR54" s="76"/>
      <c r="LFS54" s="76"/>
      <c r="LFT54" s="76"/>
      <c r="LFU54" s="76"/>
      <c r="LFV54" s="76"/>
      <c r="LFW54" s="76"/>
      <c r="LFX54" s="76"/>
      <c r="LFY54" s="76"/>
      <c r="LFZ54" s="76"/>
      <c r="LGA54" s="76"/>
      <c r="LGB54" s="76"/>
      <c r="LGC54" s="76"/>
      <c r="LGD54" s="76"/>
      <c r="LGE54" s="76"/>
      <c r="LGF54" s="76"/>
      <c r="LGG54" s="76"/>
      <c r="LGH54" s="76"/>
      <c r="LGI54" s="76"/>
      <c r="LGJ54" s="76"/>
      <c r="LGK54" s="76"/>
      <c r="LGL54" s="76"/>
      <c r="LGM54" s="76"/>
      <c r="LGN54" s="76"/>
      <c r="LGO54" s="76"/>
      <c r="LGP54" s="76"/>
      <c r="LGQ54" s="76"/>
      <c r="LGR54" s="76"/>
      <c r="LGS54" s="76"/>
      <c r="LGT54" s="76"/>
      <c r="LGU54" s="76"/>
      <c r="LGV54" s="76"/>
      <c r="LGW54" s="76"/>
      <c r="LGX54" s="76"/>
      <c r="LGY54" s="76"/>
      <c r="LGZ54" s="76"/>
      <c r="LHA54" s="76"/>
      <c r="LHB54" s="76"/>
      <c r="LHC54" s="76"/>
      <c r="LHD54" s="76"/>
      <c r="LHE54" s="76"/>
      <c r="LHF54" s="76"/>
      <c r="LHG54" s="76"/>
      <c r="LHH54" s="76"/>
      <c r="LHI54" s="76"/>
      <c r="LHJ54" s="76"/>
      <c r="LHK54" s="76"/>
      <c r="LHL54" s="76"/>
      <c r="LHM54" s="76"/>
      <c r="LHN54" s="76"/>
      <c r="LHO54" s="76"/>
      <c r="LHP54" s="76"/>
      <c r="LHQ54" s="76"/>
      <c r="LHR54" s="76"/>
      <c r="LHS54" s="76"/>
      <c r="LHT54" s="76"/>
      <c r="LHU54" s="76"/>
      <c r="LHV54" s="76"/>
      <c r="LHW54" s="76"/>
      <c r="LHX54" s="76"/>
      <c r="LHY54" s="76"/>
      <c r="LHZ54" s="76"/>
      <c r="LIA54" s="76"/>
      <c r="LIB54" s="76"/>
      <c r="LIC54" s="76"/>
      <c r="LID54" s="76"/>
      <c r="LIE54" s="76"/>
      <c r="LIF54" s="76"/>
      <c r="LIG54" s="76"/>
      <c r="LIH54" s="76"/>
      <c r="LII54" s="76"/>
      <c r="LIJ54" s="76"/>
      <c r="LIK54" s="76"/>
      <c r="LIL54" s="76"/>
      <c r="LIM54" s="76"/>
      <c r="LIN54" s="76"/>
      <c r="LIO54" s="76"/>
      <c r="LIP54" s="76"/>
      <c r="LIQ54" s="76"/>
      <c r="LIR54" s="76"/>
      <c r="LIS54" s="76"/>
      <c r="LIT54" s="76"/>
      <c r="LIU54" s="76"/>
      <c r="LIV54" s="76"/>
      <c r="LIW54" s="76"/>
      <c r="LIX54" s="76"/>
      <c r="LIY54" s="76"/>
      <c r="LIZ54" s="76"/>
      <c r="LJA54" s="76"/>
      <c r="LJB54" s="76"/>
      <c r="LJC54" s="76"/>
      <c r="LJD54" s="76"/>
      <c r="LJE54" s="76"/>
      <c r="LJF54" s="76"/>
      <c r="LJG54" s="76"/>
      <c r="LJH54" s="76"/>
      <c r="LJI54" s="76"/>
      <c r="LJJ54" s="76"/>
      <c r="LJK54" s="76"/>
      <c r="LJL54" s="76"/>
      <c r="LJM54" s="76"/>
      <c r="LJN54" s="76"/>
      <c r="LJO54" s="76"/>
      <c r="LJP54" s="76"/>
      <c r="LJQ54" s="76"/>
      <c r="LJR54" s="76"/>
      <c r="LJS54" s="76"/>
      <c r="LJT54" s="76"/>
      <c r="LJU54" s="76"/>
      <c r="LJV54" s="76"/>
      <c r="LJW54" s="76"/>
      <c r="LJX54" s="76"/>
      <c r="LJY54" s="76"/>
      <c r="LJZ54" s="76"/>
      <c r="LKA54" s="76"/>
      <c r="LKB54" s="76"/>
      <c r="LKC54" s="76"/>
      <c r="LKD54" s="76"/>
      <c r="LKE54" s="76"/>
      <c r="LKF54" s="76"/>
      <c r="LKG54" s="76"/>
      <c r="LKH54" s="76"/>
      <c r="LKI54" s="76"/>
      <c r="LKJ54" s="76"/>
      <c r="LKK54" s="76"/>
      <c r="LKL54" s="76"/>
      <c r="LKM54" s="76"/>
      <c r="LKN54" s="76"/>
      <c r="LKO54" s="76"/>
      <c r="LKP54" s="76"/>
      <c r="LKQ54" s="76"/>
      <c r="LKR54" s="76"/>
      <c r="LKS54" s="76"/>
      <c r="LKT54" s="76"/>
      <c r="LKU54" s="76"/>
      <c r="LKV54" s="76"/>
      <c r="LKW54" s="76"/>
      <c r="LKX54" s="76"/>
      <c r="LKY54" s="76"/>
      <c r="LKZ54" s="76"/>
      <c r="LLA54" s="76"/>
      <c r="LLB54" s="76"/>
      <c r="LLC54" s="76"/>
      <c r="LLD54" s="76"/>
      <c r="LLE54" s="76"/>
      <c r="LLF54" s="76"/>
      <c r="LLG54" s="76"/>
      <c r="LLH54" s="76"/>
      <c r="LLI54" s="76"/>
      <c r="LLJ54" s="76"/>
      <c r="LLK54" s="76"/>
      <c r="LLL54" s="76"/>
      <c r="LLM54" s="76"/>
      <c r="LLN54" s="76"/>
      <c r="LLO54" s="76"/>
      <c r="LLP54" s="76"/>
      <c r="LLQ54" s="76"/>
      <c r="LLR54" s="76"/>
      <c r="LLS54" s="76"/>
      <c r="LLT54" s="76"/>
      <c r="LLU54" s="76"/>
      <c r="LLV54" s="76"/>
      <c r="LLW54" s="76"/>
      <c r="LLX54" s="76"/>
      <c r="LLY54" s="76"/>
      <c r="LLZ54" s="76"/>
      <c r="LMA54" s="76"/>
      <c r="LMB54" s="76"/>
      <c r="LMC54" s="76"/>
      <c r="LMD54" s="76"/>
      <c r="LME54" s="76"/>
      <c r="LMF54" s="76"/>
      <c r="LMG54" s="76"/>
      <c r="LMH54" s="76"/>
      <c r="LMI54" s="76"/>
      <c r="LMJ54" s="76"/>
      <c r="LMK54" s="76"/>
      <c r="LML54" s="76"/>
      <c r="LMM54" s="76"/>
      <c r="LMN54" s="76"/>
      <c r="LMO54" s="76"/>
      <c r="LMP54" s="76"/>
      <c r="LMQ54" s="76"/>
      <c r="LMR54" s="76"/>
      <c r="LMS54" s="76"/>
      <c r="LMT54" s="76"/>
      <c r="LMU54" s="76"/>
      <c r="LMV54" s="76"/>
      <c r="LMW54" s="76"/>
      <c r="LMX54" s="76"/>
      <c r="LMY54" s="76"/>
      <c r="LMZ54" s="76"/>
      <c r="LNA54" s="76"/>
      <c r="LNB54" s="76"/>
      <c r="LNC54" s="76"/>
      <c r="LND54" s="76"/>
      <c r="LNE54" s="76"/>
      <c r="LNF54" s="76"/>
      <c r="LNG54" s="76"/>
      <c r="LNH54" s="76"/>
      <c r="LNI54" s="76"/>
      <c r="LNJ54" s="76"/>
      <c r="LNK54" s="76"/>
      <c r="LNL54" s="76"/>
      <c r="LNM54" s="76"/>
      <c r="LNN54" s="76"/>
      <c r="LNO54" s="76"/>
      <c r="LNP54" s="76"/>
      <c r="LNQ54" s="76"/>
      <c r="LNR54" s="76"/>
      <c r="LNS54" s="76"/>
      <c r="LNT54" s="76"/>
      <c r="LNU54" s="76"/>
      <c r="LNV54" s="76"/>
      <c r="LNW54" s="76"/>
      <c r="LNX54" s="76"/>
      <c r="LNY54" s="76"/>
      <c r="LNZ54" s="76"/>
      <c r="LOA54" s="76"/>
      <c r="LOB54" s="76"/>
      <c r="LOC54" s="76"/>
      <c r="LOD54" s="76"/>
      <c r="LOE54" s="76"/>
      <c r="LOF54" s="76"/>
      <c r="LOG54" s="76"/>
      <c r="LOH54" s="76"/>
      <c r="LOI54" s="76"/>
      <c r="LOJ54" s="76"/>
      <c r="LOK54" s="76"/>
      <c r="LOL54" s="76"/>
      <c r="LOM54" s="76"/>
      <c r="LON54" s="76"/>
      <c r="LOO54" s="76"/>
      <c r="LOP54" s="76"/>
      <c r="LOQ54" s="76"/>
      <c r="LOR54" s="76"/>
      <c r="LOS54" s="76"/>
      <c r="LOT54" s="76"/>
      <c r="LOU54" s="76"/>
      <c r="LOV54" s="76"/>
      <c r="LOW54" s="76"/>
      <c r="LOX54" s="76"/>
      <c r="LOY54" s="76"/>
      <c r="LOZ54" s="76"/>
      <c r="LPA54" s="76"/>
      <c r="LPB54" s="76"/>
      <c r="LPC54" s="76"/>
      <c r="LPD54" s="76"/>
      <c r="LPE54" s="76"/>
      <c r="LPF54" s="76"/>
      <c r="LPG54" s="76"/>
      <c r="LPH54" s="76"/>
      <c r="LPI54" s="76"/>
      <c r="LPJ54" s="76"/>
      <c r="LPK54" s="76"/>
      <c r="LPL54" s="76"/>
      <c r="LPM54" s="76"/>
      <c r="LPN54" s="76"/>
      <c r="LPO54" s="76"/>
      <c r="LPP54" s="76"/>
      <c r="LPQ54" s="76"/>
      <c r="LPR54" s="76"/>
      <c r="LPS54" s="76"/>
      <c r="LPT54" s="76"/>
      <c r="LPU54" s="76"/>
      <c r="LPV54" s="76"/>
      <c r="LPW54" s="76"/>
      <c r="LPX54" s="76"/>
      <c r="LPY54" s="76"/>
      <c r="LPZ54" s="76"/>
      <c r="LQA54" s="76"/>
      <c r="LQB54" s="76"/>
      <c r="LQC54" s="76"/>
      <c r="LQD54" s="76"/>
      <c r="LQE54" s="76"/>
      <c r="LQF54" s="76"/>
      <c r="LQG54" s="76"/>
      <c r="LQH54" s="76"/>
      <c r="LQI54" s="76"/>
      <c r="LQJ54" s="76"/>
      <c r="LQK54" s="76"/>
      <c r="LQL54" s="76"/>
      <c r="LQM54" s="76"/>
      <c r="LQN54" s="76"/>
      <c r="LQO54" s="76"/>
      <c r="LQP54" s="76"/>
      <c r="LQQ54" s="76"/>
      <c r="LQR54" s="76"/>
      <c r="LQS54" s="76"/>
      <c r="LQT54" s="76"/>
      <c r="LQU54" s="76"/>
      <c r="LQV54" s="76"/>
      <c r="LQW54" s="76"/>
      <c r="LQX54" s="76"/>
      <c r="LQY54" s="76"/>
      <c r="LQZ54" s="76"/>
      <c r="LRA54" s="76"/>
      <c r="LRB54" s="76"/>
      <c r="LRC54" s="76"/>
      <c r="LRD54" s="76"/>
      <c r="LRE54" s="76"/>
      <c r="LRF54" s="76"/>
      <c r="LRG54" s="76"/>
      <c r="LRH54" s="76"/>
      <c r="LRI54" s="76"/>
      <c r="LRJ54" s="76"/>
      <c r="LRK54" s="76"/>
      <c r="LRL54" s="76"/>
      <c r="LRM54" s="76"/>
      <c r="LRN54" s="76"/>
      <c r="LRO54" s="76"/>
      <c r="LRP54" s="76"/>
      <c r="LRQ54" s="76"/>
      <c r="LRR54" s="76"/>
      <c r="LRS54" s="76"/>
      <c r="LRT54" s="76"/>
      <c r="LRU54" s="76"/>
      <c r="LRV54" s="76"/>
      <c r="LRW54" s="76"/>
      <c r="LRX54" s="76"/>
      <c r="LRY54" s="76"/>
      <c r="LRZ54" s="76"/>
      <c r="LSA54" s="76"/>
      <c r="LSB54" s="76"/>
      <c r="LSC54" s="76"/>
      <c r="LSD54" s="76"/>
      <c r="LSE54" s="76"/>
      <c r="LSF54" s="76"/>
      <c r="LSG54" s="76"/>
      <c r="LSH54" s="76"/>
      <c r="LSI54" s="76"/>
      <c r="LSJ54" s="76"/>
      <c r="LSK54" s="76"/>
      <c r="LSL54" s="76"/>
      <c r="LSM54" s="76"/>
      <c r="LSN54" s="76"/>
      <c r="LSO54" s="76"/>
      <c r="LSP54" s="76"/>
      <c r="LSQ54" s="76"/>
      <c r="LSR54" s="76"/>
      <c r="LSS54" s="76"/>
      <c r="LST54" s="76"/>
      <c r="LSU54" s="76"/>
      <c r="LSV54" s="76"/>
      <c r="LSW54" s="76"/>
      <c r="LSX54" s="76"/>
      <c r="LSY54" s="76"/>
      <c r="LSZ54" s="76"/>
      <c r="LTA54" s="76"/>
      <c r="LTB54" s="76"/>
      <c r="LTC54" s="76"/>
      <c r="LTD54" s="76"/>
      <c r="LTE54" s="76"/>
      <c r="LTF54" s="76"/>
      <c r="LTG54" s="76"/>
      <c r="LTH54" s="76"/>
      <c r="LTI54" s="76"/>
      <c r="LTJ54" s="76"/>
      <c r="LTK54" s="76"/>
      <c r="LTL54" s="76"/>
      <c r="LTM54" s="76"/>
      <c r="LTN54" s="76"/>
      <c r="LTO54" s="76"/>
      <c r="LTP54" s="76"/>
      <c r="LTQ54" s="76"/>
      <c r="LTR54" s="76"/>
      <c r="LTS54" s="76"/>
      <c r="LTT54" s="76"/>
      <c r="LTU54" s="76"/>
      <c r="LTV54" s="76"/>
      <c r="LTW54" s="76"/>
      <c r="LTX54" s="76"/>
      <c r="LTY54" s="76"/>
      <c r="LTZ54" s="76"/>
      <c r="LUA54" s="76"/>
      <c r="LUB54" s="76"/>
      <c r="LUC54" s="76"/>
      <c r="LUD54" s="76"/>
      <c r="LUE54" s="76"/>
      <c r="LUF54" s="76"/>
      <c r="LUG54" s="76"/>
      <c r="LUH54" s="76"/>
      <c r="LUI54" s="76"/>
      <c r="LUJ54" s="76"/>
      <c r="LUK54" s="76"/>
      <c r="LUL54" s="76"/>
      <c r="LUM54" s="76"/>
      <c r="LUN54" s="76"/>
      <c r="LUO54" s="76"/>
      <c r="LUP54" s="76"/>
      <c r="LUQ54" s="76"/>
      <c r="LUR54" s="76"/>
      <c r="LUS54" s="76"/>
      <c r="LUT54" s="76"/>
      <c r="LUU54" s="76"/>
      <c r="LUV54" s="76"/>
      <c r="LUW54" s="76"/>
      <c r="LUX54" s="76"/>
      <c r="LUY54" s="76"/>
      <c r="LUZ54" s="76"/>
      <c r="LVA54" s="76"/>
      <c r="LVB54" s="76"/>
      <c r="LVC54" s="76"/>
      <c r="LVD54" s="76"/>
      <c r="LVE54" s="76"/>
      <c r="LVF54" s="76"/>
      <c r="LVG54" s="76"/>
      <c r="LVH54" s="76"/>
      <c r="LVI54" s="76"/>
      <c r="LVJ54" s="76"/>
      <c r="LVK54" s="76"/>
      <c r="LVL54" s="76"/>
      <c r="LVM54" s="76"/>
      <c r="LVN54" s="76"/>
      <c r="LVO54" s="76"/>
      <c r="LVP54" s="76"/>
      <c r="LVQ54" s="76"/>
      <c r="LVR54" s="76"/>
      <c r="LVS54" s="76"/>
      <c r="LVT54" s="76"/>
      <c r="LVU54" s="76"/>
      <c r="LVV54" s="76"/>
      <c r="LVW54" s="76"/>
      <c r="LVX54" s="76"/>
      <c r="LVY54" s="76"/>
      <c r="LVZ54" s="76"/>
      <c r="LWA54" s="76"/>
      <c r="LWB54" s="76"/>
      <c r="LWC54" s="76"/>
      <c r="LWD54" s="76"/>
      <c r="LWE54" s="76"/>
      <c r="LWF54" s="76"/>
      <c r="LWG54" s="76"/>
      <c r="LWH54" s="76"/>
      <c r="LWI54" s="76"/>
      <c r="LWJ54" s="76"/>
      <c r="LWK54" s="76"/>
      <c r="LWL54" s="76"/>
      <c r="LWM54" s="76"/>
      <c r="LWN54" s="76"/>
      <c r="LWO54" s="76"/>
      <c r="LWP54" s="76"/>
      <c r="LWQ54" s="76"/>
      <c r="LWR54" s="76"/>
      <c r="LWS54" s="76"/>
      <c r="LWT54" s="76"/>
      <c r="LWU54" s="76"/>
      <c r="LWV54" s="76"/>
      <c r="LWW54" s="76"/>
      <c r="LWX54" s="76"/>
      <c r="LWY54" s="76"/>
      <c r="LWZ54" s="76"/>
      <c r="LXA54" s="76"/>
      <c r="LXB54" s="76"/>
      <c r="LXC54" s="76"/>
      <c r="LXD54" s="76"/>
      <c r="LXE54" s="76"/>
      <c r="LXF54" s="76"/>
      <c r="LXG54" s="76"/>
      <c r="LXH54" s="76"/>
      <c r="LXI54" s="76"/>
      <c r="LXJ54" s="76"/>
      <c r="LXK54" s="76"/>
      <c r="LXL54" s="76"/>
      <c r="LXM54" s="76"/>
      <c r="LXN54" s="76"/>
      <c r="LXO54" s="76"/>
      <c r="LXP54" s="76"/>
      <c r="LXQ54" s="76"/>
      <c r="LXR54" s="76"/>
      <c r="LXS54" s="76"/>
      <c r="LXT54" s="76"/>
      <c r="LXU54" s="76"/>
      <c r="LXV54" s="76"/>
      <c r="LXW54" s="76"/>
      <c r="LXX54" s="76"/>
      <c r="LXY54" s="76"/>
      <c r="LXZ54" s="76"/>
      <c r="LYA54" s="76"/>
      <c r="LYB54" s="76"/>
      <c r="LYC54" s="76"/>
      <c r="LYD54" s="76"/>
      <c r="LYE54" s="76"/>
      <c r="LYF54" s="76"/>
      <c r="LYG54" s="76"/>
      <c r="LYH54" s="76"/>
      <c r="LYI54" s="76"/>
      <c r="LYJ54" s="76"/>
      <c r="LYK54" s="76"/>
      <c r="LYL54" s="76"/>
      <c r="LYM54" s="76"/>
      <c r="LYN54" s="76"/>
      <c r="LYO54" s="76"/>
      <c r="LYP54" s="76"/>
      <c r="LYQ54" s="76"/>
      <c r="LYR54" s="76"/>
      <c r="LYS54" s="76"/>
      <c r="LYT54" s="76"/>
      <c r="LYU54" s="76"/>
      <c r="LYV54" s="76"/>
      <c r="LYW54" s="76"/>
      <c r="LYX54" s="76"/>
      <c r="LYY54" s="76"/>
      <c r="LYZ54" s="76"/>
      <c r="LZA54" s="76"/>
      <c r="LZB54" s="76"/>
      <c r="LZC54" s="76"/>
      <c r="LZD54" s="76"/>
      <c r="LZE54" s="76"/>
      <c r="LZF54" s="76"/>
      <c r="LZG54" s="76"/>
      <c r="LZH54" s="76"/>
      <c r="LZI54" s="76"/>
      <c r="LZJ54" s="76"/>
      <c r="LZK54" s="76"/>
      <c r="LZL54" s="76"/>
      <c r="LZM54" s="76"/>
      <c r="LZN54" s="76"/>
      <c r="LZO54" s="76"/>
      <c r="LZP54" s="76"/>
      <c r="LZQ54" s="76"/>
      <c r="LZR54" s="76"/>
      <c r="LZS54" s="76"/>
      <c r="LZT54" s="76"/>
      <c r="LZU54" s="76"/>
      <c r="LZV54" s="76"/>
      <c r="LZW54" s="76"/>
      <c r="LZX54" s="76"/>
      <c r="LZY54" s="76"/>
      <c r="LZZ54" s="76"/>
      <c r="MAA54" s="76"/>
      <c r="MAB54" s="76"/>
      <c r="MAC54" s="76"/>
      <c r="MAD54" s="76"/>
      <c r="MAE54" s="76"/>
      <c r="MAF54" s="76"/>
      <c r="MAG54" s="76"/>
      <c r="MAH54" s="76"/>
      <c r="MAI54" s="76"/>
      <c r="MAJ54" s="76"/>
      <c r="MAK54" s="76"/>
      <c r="MAL54" s="76"/>
      <c r="MAM54" s="76"/>
      <c r="MAN54" s="76"/>
      <c r="MAO54" s="76"/>
      <c r="MAP54" s="76"/>
      <c r="MAQ54" s="76"/>
      <c r="MAR54" s="76"/>
      <c r="MAS54" s="76"/>
      <c r="MAT54" s="76"/>
      <c r="MAU54" s="76"/>
      <c r="MAV54" s="76"/>
      <c r="MAW54" s="76"/>
      <c r="MAX54" s="76"/>
      <c r="MAY54" s="76"/>
      <c r="MAZ54" s="76"/>
      <c r="MBA54" s="76"/>
      <c r="MBB54" s="76"/>
      <c r="MBC54" s="76"/>
      <c r="MBD54" s="76"/>
      <c r="MBE54" s="76"/>
      <c r="MBF54" s="76"/>
      <c r="MBG54" s="76"/>
      <c r="MBH54" s="76"/>
      <c r="MBI54" s="76"/>
      <c r="MBJ54" s="76"/>
      <c r="MBK54" s="76"/>
      <c r="MBL54" s="76"/>
      <c r="MBM54" s="76"/>
      <c r="MBN54" s="76"/>
      <c r="MBO54" s="76"/>
      <c r="MBP54" s="76"/>
      <c r="MBQ54" s="76"/>
      <c r="MBR54" s="76"/>
      <c r="MBS54" s="76"/>
      <c r="MBT54" s="76"/>
      <c r="MBU54" s="76"/>
      <c r="MBV54" s="76"/>
      <c r="MBW54" s="76"/>
      <c r="MBX54" s="76"/>
      <c r="MBY54" s="76"/>
      <c r="MBZ54" s="76"/>
      <c r="MCA54" s="76"/>
      <c r="MCB54" s="76"/>
      <c r="MCC54" s="76"/>
      <c r="MCD54" s="76"/>
      <c r="MCE54" s="76"/>
      <c r="MCF54" s="76"/>
      <c r="MCG54" s="76"/>
      <c r="MCH54" s="76"/>
      <c r="MCI54" s="76"/>
      <c r="MCJ54" s="76"/>
      <c r="MCK54" s="76"/>
      <c r="MCL54" s="76"/>
      <c r="MCM54" s="76"/>
      <c r="MCN54" s="76"/>
      <c r="MCO54" s="76"/>
      <c r="MCP54" s="76"/>
      <c r="MCQ54" s="76"/>
      <c r="MCR54" s="76"/>
      <c r="MCS54" s="76"/>
      <c r="MCT54" s="76"/>
      <c r="MCU54" s="76"/>
      <c r="MCV54" s="76"/>
      <c r="MCW54" s="76"/>
      <c r="MCX54" s="76"/>
      <c r="MCY54" s="76"/>
      <c r="MCZ54" s="76"/>
      <c r="MDA54" s="76"/>
      <c r="MDB54" s="76"/>
      <c r="MDC54" s="76"/>
      <c r="MDD54" s="76"/>
      <c r="MDE54" s="76"/>
      <c r="MDF54" s="76"/>
      <c r="MDG54" s="76"/>
      <c r="MDH54" s="76"/>
      <c r="MDI54" s="76"/>
      <c r="MDJ54" s="76"/>
      <c r="MDK54" s="76"/>
      <c r="MDL54" s="76"/>
      <c r="MDM54" s="76"/>
      <c r="MDN54" s="76"/>
      <c r="MDO54" s="76"/>
      <c r="MDP54" s="76"/>
      <c r="MDQ54" s="76"/>
      <c r="MDR54" s="76"/>
      <c r="MDS54" s="76"/>
      <c r="MDT54" s="76"/>
      <c r="MDU54" s="76"/>
      <c r="MDV54" s="76"/>
      <c r="MDW54" s="76"/>
      <c r="MDX54" s="76"/>
      <c r="MDY54" s="76"/>
      <c r="MDZ54" s="76"/>
      <c r="MEA54" s="76"/>
      <c r="MEB54" s="76"/>
      <c r="MEC54" s="76"/>
      <c r="MED54" s="76"/>
      <c r="MEE54" s="76"/>
      <c r="MEF54" s="76"/>
      <c r="MEG54" s="76"/>
      <c r="MEH54" s="76"/>
      <c r="MEI54" s="76"/>
      <c r="MEJ54" s="76"/>
      <c r="MEK54" s="76"/>
      <c r="MEL54" s="76"/>
      <c r="MEM54" s="76"/>
      <c r="MEN54" s="76"/>
      <c r="MEO54" s="76"/>
      <c r="MEP54" s="76"/>
      <c r="MEQ54" s="76"/>
      <c r="MER54" s="76"/>
      <c r="MES54" s="76"/>
      <c r="MET54" s="76"/>
      <c r="MEU54" s="76"/>
      <c r="MEV54" s="76"/>
      <c r="MEW54" s="76"/>
      <c r="MEX54" s="76"/>
      <c r="MEY54" s="76"/>
      <c r="MEZ54" s="76"/>
      <c r="MFA54" s="76"/>
      <c r="MFB54" s="76"/>
      <c r="MFC54" s="76"/>
      <c r="MFD54" s="76"/>
      <c r="MFE54" s="76"/>
      <c r="MFF54" s="76"/>
      <c r="MFG54" s="76"/>
      <c r="MFH54" s="76"/>
      <c r="MFI54" s="76"/>
      <c r="MFJ54" s="76"/>
      <c r="MFK54" s="76"/>
      <c r="MFL54" s="76"/>
      <c r="MFM54" s="76"/>
      <c r="MFN54" s="76"/>
      <c r="MFO54" s="76"/>
      <c r="MFP54" s="76"/>
      <c r="MFQ54" s="76"/>
      <c r="MFR54" s="76"/>
      <c r="MFS54" s="76"/>
      <c r="MFT54" s="76"/>
      <c r="MFU54" s="76"/>
      <c r="MFV54" s="76"/>
      <c r="MFW54" s="76"/>
      <c r="MFX54" s="76"/>
      <c r="MFY54" s="76"/>
      <c r="MFZ54" s="76"/>
      <c r="MGA54" s="76"/>
      <c r="MGB54" s="76"/>
      <c r="MGC54" s="76"/>
      <c r="MGD54" s="76"/>
      <c r="MGE54" s="76"/>
      <c r="MGF54" s="76"/>
      <c r="MGG54" s="76"/>
      <c r="MGH54" s="76"/>
      <c r="MGI54" s="76"/>
      <c r="MGJ54" s="76"/>
      <c r="MGK54" s="76"/>
      <c r="MGL54" s="76"/>
      <c r="MGM54" s="76"/>
      <c r="MGN54" s="76"/>
      <c r="MGO54" s="76"/>
      <c r="MGP54" s="76"/>
      <c r="MGQ54" s="76"/>
      <c r="MGR54" s="76"/>
      <c r="MGS54" s="76"/>
      <c r="MGT54" s="76"/>
      <c r="MGU54" s="76"/>
      <c r="MGV54" s="76"/>
      <c r="MGW54" s="76"/>
      <c r="MGX54" s="76"/>
      <c r="MGY54" s="76"/>
      <c r="MGZ54" s="76"/>
      <c r="MHA54" s="76"/>
      <c r="MHB54" s="76"/>
      <c r="MHC54" s="76"/>
      <c r="MHD54" s="76"/>
      <c r="MHE54" s="76"/>
      <c r="MHF54" s="76"/>
      <c r="MHG54" s="76"/>
      <c r="MHH54" s="76"/>
      <c r="MHI54" s="76"/>
      <c r="MHJ54" s="76"/>
      <c r="MHK54" s="76"/>
      <c r="MHL54" s="76"/>
      <c r="MHM54" s="76"/>
      <c r="MHN54" s="76"/>
      <c r="MHO54" s="76"/>
      <c r="MHP54" s="76"/>
      <c r="MHQ54" s="76"/>
      <c r="MHR54" s="76"/>
      <c r="MHS54" s="76"/>
      <c r="MHT54" s="76"/>
      <c r="MHU54" s="76"/>
      <c r="MHV54" s="76"/>
      <c r="MHW54" s="76"/>
      <c r="MHX54" s="76"/>
      <c r="MHY54" s="76"/>
      <c r="MHZ54" s="76"/>
      <c r="MIA54" s="76"/>
      <c r="MIB54" s="76"/>
      <c r="MIC54" s="76"/>
      <c r="MID54" s="76"/>
      <c r="MIE54" s="76"/>
      <c r="MIF54" s="76"/>
      <c r="MIG54" s="76"/>
      <c r="MIH54" s="76"/>
      <c r="MII54" s="76"/>
      <c r="MIJ54" s="76"/>
      <c r="MIK54" s="76"/>
      <c r="MIL54" s="76"/>
      <c r="MIM54" s="76"/>
      <c r="MIN54" s="76"/>
      <c r="MIO54" s="76"/>
      <c r="MIP54" s="76"/>
      <c r="MIQ54" s="76"/>
      <c r="MIR54" s="76"/>
      <c r="MIS54" s="76"/>
      <c r="MIT54" s="76"/>
      <c r="MIU54" s="76"/>
      <c r="MIV54" s="76"/>
      <c r="MIW54" s="76"/>
      <c r="MIX54" s="76"/>
      <c r="MIY54" s="76"/>
      <c r="MIZ54" s="76"/>
      <c r="MJA54" s="76"/>
      <c r="MJB54" s="76"/>
      <c r="MJC54" s="76"/>
      <c r="MJD54" s="76"/>
      <c r="MJE54" s="76"/>
      <c r="MJF54" s="76"/>
      <c r="MJG54" s="76"/>
      <c r="MJH54" s="76"/>
      <c r="MJI54" s="76"/>
      <c r="MJJ54" s="76"/>
      <c r="MJK54" s="76"/>
      <c r="MJL54" s="76"/>
      <c r="MJM54" s="76"/>
      <c r="MJN54" s="76"/>
      <c r="MJO54" s="76"/>
      <c r="MJP54" s="76"/>
      <c r="MJQ54" s="76"/>
      <c r="MJR54" s="76"/>
      <c r="MJS54" s="76"/>
      <c r="MJT54" s="76"/>
      <c r="MJU54" s="76"/>
      <c r="MJV54" s="76"/>
      <c r="MJW54" s="76"/>
      <c r="MJX54" s="76"/>
      <c r="MJY54" s="76"/>
      <c r="MJZ54" s="76"/>
      <c r="MKA54" s="76"/>
      <c r="MKB54" s="76"/>
      <c r="MKC54" s="76"/>
      <c r="MKD54" s="76"/>
      <c r="MKE54" s="76"/>
      <c r="MKF54" s="76"/>
      <c r="MKG54" s="76"/>
      <c r="MKH54" s="76"/>
      <c r="MKI54" s="76"/>
      <c r="MKJ54" s="76"/>
      <c r="MKK54" s="76"/>
      <c r="MKL54" s="76"/>
      <c r="MKM54" s="76"/>
      <c r="MKN54" s="76"/>
      <c r="MKO54" s="76"/>
      <c r="MKP54" s="76"/>
      <c r="MKQ54" s="76"/>
      <c r="MKR54" s="76"/>
      <c r="MKS54" s="76"/>
      <c r="MKT54" s="76"/>
      <c r="MKU54" s="76"/>
      <c r="MKV54" s="76"/>
      <c r="MKW54" s="76"/>
      <c r="MKX54" s="76"/>
      <c r="MKY54" s="76"/>
      <c r="MKZ54" s="76"/>
      <c r="MLA54" s="76"/>
      <c r="MLB54" s="76"/>
      <c r="MLC54" s="76"/>
      <c r="MLD54" s="76"/>
      <c r="MLE54" s="76"/>
      <c r="MLF54" s="76"/>
      <c r="MLG54" s="76"/>
      <c r="MLH54" s="76"/>
      <c r="MLI54" s="76"/>
      <c r="MLJ54" s="76"/>
      <c r="MLK54" s="76"/>
      <c r="MLL54" s="76"/>
      <c r="MLM54" s="76"/>
      <c r="MLN54" s="76"/>
      <c r="MLO54" s="76"/>
      <c r="MLP54" s="76"/>
      <c r="MLQ54" s="76"/>
      <c r="MLR54" s="76"/>
      <c r="MLS54" s="76"/>
      <c r="MLT54" s="76"/>
      <c r="MLU54" s="76"/>
      <c r="MLV54" s="76"/>
      <c r="MLW54" s="76"/>
      <c r="MLX54" s="76"/>
      <c r="MLY54" s="76"/>
      <c r="MLZ54" s="76"/>
      <c r="MMA54" s="76"/>
      <c r="MMB54" s="76"/>
      <c r="MMC54" s="76"/>
      <c r="MMD54" s="76"/>
      <c r="MME54" s="76"/>
      <c r="MMF54" s="76"/>
      <c r="MMG54" s="76"/>
      <c r="MMH54" s="76"/>
      <c r="MMI54" s="76"/>
      <c r="MMJ54" s="76"/>
      <c r="MMK54" s="76"/>
      <c r="MML54" s="76"/>
      <c r="MMM54" s="76"/>
      <c r="MMN54" s="76"/>
      <c r="MMO54" s="76"/>
      <c r="MMP54" s="76"/>
      <c r="MMQ54" s="76"/>
      <c r="MMR54" s="76"/>
      <c r="MMS54" s="76"/>
      <c r="MMT54" s="76"/>
      <c r="MMU54" s="76"/>
      <c r="MMV54" s="76"/>
      <c r="MMW54" s="76"/>
      <c r="MMX54" s="76"/>
      <c r="MMY54" s="76"/>
      <c r="MMZ54" s="76"/>
      <c r="MNA54" s="76"/>
      <c r="MNB54" s="76"/>
      <c r="MNC54" s="76"/>
      <c r="MND54" s="76"/>
      <c r="MNE54" s="76"/>
      <c r="MNF54" s="76"/>
      <c r="MNG54" s="76"/>
      <c r="MNH54" s="76"/>
      <c r="MNI54" s="76"/>
      <c r="MNJ54" s="76"/>
      <c r="MNK54" s="76"/>
      <c r="MNL54" s="76"/>
      <c r="MNM54" s="76"/>
      <c r="MNN54" s="76"/>
      <c r="MNO54" s="76"/>
      <c r="MNP54" s="76"/>
      <c r="MNQ54" s="76"/>
      <c r="MNR54" s="76"/>
      <c r="MNS54" s="76"/>
      <c r="MNT54" s="76"/>
      <c r="MNU54" s="76"/>
      <c r="MNV54" s="76"/>
      <c r="MNW54" s="76"/>
      <c r="MNX54" s="76"/>
      <c r="MNY54" s="76"/>
      <c r="MNZ54" s="76"/>
      <c r="MOA54" s="76"/>
      <c r="MOB54" s="76"/>
      <c r="MOC54" s="76"/>
      <c r="MOD54" s="76"/>
      <c r="MOE54" s="76"/>
      <c r="MOF54" s="76"/>
      <c r="MOG54" s="76"/>
      <c r="MOH54" s="76"/>
      <c r="MOI54" s="76"/>
      <c r="MOJ54" s="76"/>
      <c r="MOK54" s="76"/>
      <c r="MOL54" s="76"/>
      <c r="MOM54" s="76"/>
      <c r="MON54" s="76"/>
      <c r="MOO54" s="76"/>
      <c r="MOP54" s="76"/>
      <c r="MOQ54" s="76"/>
      <c r="MOR54" s="76"/>
      <c r="MOS54" s="76"/>
      <c r="MOT54" s="76"/>
      <c r="MOU54" s="76"/>
      <c r="MOV54" s="76"/>
      <c r="MOW54" s="76"/>
      <c r="MOX54" s="76"/>
      <c r="MOY54" s="76"/>
      <c r="MOZ54" s="76"/>
      <c r="MPA54" s="76"/>
      <c r="MPB54" s="76"/>
      <c r="MPC54" s="76"/>
      <c r="MPD54" s="76"/>
      <c r="MPE54" s="76"/>
      <c r="MPF54" s="76"/>
      <c r="MPG54" s="76"/>
      <c r="MPH54" s="76"/>
      <c r="MPI54" s="76"/>
      <c r="MPJ54" s="76"/>
      <c r="MPK54" s="76"/>
      <c r="MPL54" s="76"/>
      <c r="MPM54" s="76"/>
      <c r="MPN54" s="76"/>
      <c r="MPO54" s="76"/>
      <c r="MPP54" s="76"/>
      <c r="MPQ54" s="76"/>
      <c r="MPR54" s="76"/>
      <c r="MPS54" s="76"/>
      <c r="MPT54" s="76"/>
      <c r="MPU54" s="76"/>
      <c r="MPV54" s="76"/>
      <c r="MPW54" s="76"/>
      <c r="MPX54" s="76"/>
      <c r="MPY54" s="76"/>
      <c r="MPZ54" s="76"/>
      <c r="MQA54" s="76"/>
      <c r="MQB54" s="76"/>
      <c r="MQC54" s="76"/>
      <c r="MQD54" s="76"/>
      <c r="MQE54" s="76"/>
      <c r="MQF54" s="76"/>
      <c r="MQG54" s="76"/>
      <c r="MQH54" s="76"/>
      <c r="MQI54" s="76"/>
      <c r="MQJ54" s="76"/>
      <c r="MQK54" s="76"/>
      <c r="MQL54" s="76"/>
      <c r="MQM54" s="76"/>
      <c r="MQN54" s="76"/>
      <c r="MQO54" s="76"/>
      <c r="MQP54" s="76"/>
      <c r="MQQ54" s="76"/>
      <c r="MQR54" s="76"/>
      <c r="MQS54" s="76"/>
      <c r="MQT54" s="76"/>
      <c r="MQU54" s="76"/>
      <c r="MQV54" s="76"/>
      <c r="MQW54" s="76"/>
      <c r="MQX54" s="76"/>
      <c r="MQY54" s="76"/>
      <c r="MQZ54" s="76"/>
      <c r="MRA54" s="76"/>
      <c r="MRB54" s="76"/>
      <c r="MRC54" s="76"/>
      <c r="MRD54" s="76"/>
      <c r="MRE54" s="76"/>
      <c r="MRF54" s="76"/>
      <c r="MRG54" s="76"/>
      <c r="MRH54" s="76"/>
      <c r="MRI54" s="76"/>
      <c r="MRJ54" s="76"/>
      <c r="MRK54" s="76"/>
      <c r="MRL54" s="76"/>
      <c r="MRM54" s="76"/>
      <c r="MRN54" s="76"/>
      <c r="MRO54" s="76"/>
      <c r="MRP54" s="76"/>
      <c r="MRQ54" s="76"/>
      <c r="MRR54" s="76"/>
      <c r="MRS54" s="76"/>
      <c r="MRT54" s="76"/>
      <c r="MRU54" s="76"/>
      <c r="MRV54" s="76"/>
      <c r="MRW54" s="76"/>
      <c r="MRX54" s="76"/>
      <c r="MRY54" s="76"/>
      <c r="MRZ54" s="76"/>
      <c r="MSA54" s="76"/>
      <c r="MSB54" s="76"/>
      <c r="MSC54" s="76"/>
      <c r="MSD54" s="76"/>
      <c r="MSE54" s="76"/>
      <c r="MSF54" s="76"/>
      <c r="MSG54" s="76"/>
      <c r="MSH54" s="76"/>
      <c r="MSI54" s="76"/>
      <c r="MSJ54" s="76"/>
      <c r="MSK54" s="76"/>
      <c r="MSL54" s="76"/>
      <c r="MSM54" s="76"/>
      <c r="MSN54" s="76"/>
      <c r="MSO54" s="76"/>
      <c r="MSP54" s="76"/>
      <c r="MSQ54" s="76"/>
      <c r="MSR54" s="76"/>
      <c r="MSS54" s="76"/>
      <c r="MST54" s="76"/>
      <c r="MSU54" s="76"/>
      <c r="MSV54" s="76"/>
      <c r="MSW54" s="76"/>
      <c r="MSX54" s="76"/>
      <c r="MSY54" s="76"/>
      <c r="MSZ54" s="76"/>
      <c r="MTA54" s="76"/>
      <c r="MTB54" s="76"/>
      <c r="MTC54" s="76"/>
      <c r="MTD54" s="76"/>
      <c r="MTE54" s="76"/>
      <c r="MTF54" s="76"/>
      <c r="MTG54" s="76"/>
      <c r="MTH54" s="76"/>
      <c r="MTI54" s="76"/>
      <c r="MTJ54" s="76"/>
      <c r="MTK54" s="76"/>
      <c r="MTL54" s="76"/>
      <c r="MTM54" s="76"/>
      <c r="MTN54" s="76"/>
      <c r="MTO54" s="76"/>
      <c r="MTP54" s="76"/>
      <c r="MTQ54" s="76"/>
      <c r="MTR54" s="76"/>
      <c r="MTS54" s="76"/>
      <c r="MTT54" s="76"/>
      <c r="MTU54" s="76"/>
      <c r="MTV54" s="76"/>
      <c r="MTW54" s="76"/>
      <c r="MTX54" s="76"/>
      <c r="MTY54" s="76"/>
      <c r="MTZ54" s="76"/>
      <c r="MUA54" s="76"/>
      <c r="MUB54" s="76"/>
      <c r="MUC54" s="76"/>
      <c r="MUD54" s="76"/>
      <c r="MUE54" s="76"/>
      <c r="MUF54" s="76"/>
      <c r="MUG54" s="76"/>
      <c r="MUH54" s="76"/>
      <c r="MUI54" s="76"/>
      <c r="MUJ54" s="76"/>
      <c r="MUK54" s="76"/>
      <c r="MUL54" s="76"/>
      <c r="MUM54" s="76"/>
      <c r="MUN54" s="76"/>
      <c r="MUO54" s="76"/>
      <c r="MUP54" s="76"/>
      <c r="MUQ54" s="76"/>
      <c r="MUR54" s="76"/>
      <c r="MUS54" s="76"/>
      <c r="MUT54" s="76"/>
      <c r="MUU54" s="76"/>
      <c r="MUV54" s="76"/>
      <c r="MUW54" s="76"/>
      <c r="MUX54" s="76"/>
      <c r="MUY54" s="76"/>
      <c r="MUZ54" s="76"/>
      <c r="MVA54" s="76"/>
      <c r="MVB54" s="76"/>
      <c r="MVC54" s="76"/>
      <c r="MVD54" s="76"/>
      <c r="MVE54" s="76"/>
      <c r="MVF54" s="76"/>
      <c r="MVG54" s="76"/>
      <c r="MVH54" s="76"/>
      <c r="MVI54" s="76"/>
      <c r="MVJ54" s="76"/>
      <c r="MVK54" s="76"/>
      <c r="MVL54" s="76"/>
      <c r="MVM54" s="76"/>
      <c r="MVN54" s="76"/>
      <c r="MVO54" s="76"/>
      <c r="MVP54" s="76"/>
      <c r="MVQ54" s="76"/>
      <c r="MVR54" s="76"/>
      <c r="MVS54" s="76"/>
      <c r="MVT54" s="76"/>
      <c r="MVU54" s="76"/>
      <c r="MVV54" s="76"/>
      <c r="MVW54" s="76"/>
      <c r="MVX54" s="76"/>
      <c r="MVY54" s="76"/>
      <c r="MVZ54" s="76"/>
      <c r="MWA54" s="76"/>
      <c r="MWB54" s="76"/>
      <c r="MWC54" s="76"/>
      <c r="MWD54" s="76"/>
      <c r="MWE54" s="76"/>
      <c r="MWF54" s="76"/>
      <c r="MWG54" s="76"/>
      <c r="MWH54" s="76"/>
      <c r="MWI54" s="76"/>
      <c r="MWJ54" s="76"/>
      <c r="MWK54" s="76"/>
      <c r="MWL54" s="76"/>
      <c r="MWM54" s="76"/>
      <c r="MWN54" s="76"/>
      <c r="MWO54" s="76"/>
      <c r="MWP54" s="76"/>
      <c r="MWQ54" s="76"/>
      <c r="MWR54" s="76"/>
      <c r="MWS54" s="76"/>
      <c r="MWT54" s="76"/>
      <c r="MWU54" s="76"/>
      <c r="MWV54" s="76"/>
      <c r="MWW54" s="76"/>
      <c r="MWX54" s="76"/>
      <c r="MWY54" s="76"/>
      <c r="MWZ54" s="76"/>
      <c r="MXA54" s="76"/>
      <c r="MXB54" s="76"/>
      <c r="MXC54" s="76"/>
      <c r="MXD54" s="76"/>
      <c r="MXE54" s="76"/>
      <c r="MXF54" s="76"/>
      <c r="MXG54" s="76"/>
      <c r="MXH54" s="76"/>
      <c r="MXI54" s="76"/>
      <c r="MXJ54" s="76"/>
      <c r="MXK54" s="76"/>
      <c r="MXL54" s="76"/>
      <c r="MXM54" s="76"/>
      <c r="MXN54" s="76"/>
      <c r="MXO54" s="76"/>
      <c r="MXP54" s="76"/>
      <c r="MXQ54" s="76"/>
      <c r="MXR54" s="76"/>
      <c r="MXS54" s="76"/>
      <c r="MXT54" s="76"/>
      <c r="MXU54" s="76"/>
      <c r="MXV54" s="76"/>
      <c r="MXW54" s="76"/>
      <c r="MXX54" s="76"/>
      <c r="MXY54" s="76"/>
      <c r="MXZ54" s="76"/>
      <c r="MYA54" s="76"/>
      <c r="MYB54" s="76"/>
      <c r="MYC54" s="76"/>
      <c r="MYD54" s="76"/>
      <c r="MYE54" s="76"/>
      <c r="MYF54" s="76"/>
      <c r="MYG54" s="76"/>
      <c r="MYH54" s="76"/>
      <c r="MYI54" s="76"/>
      <c r="MYJ54" s="76"/>
      <c r="MYK54" s="76"/>
      <c r="MYL54" s="76"/>
      <c r="MYM54" s="76"/>
      <c r="MYN54" s="76"/>
      <c r="MYO54" s="76"/>
      <c r="MYP54" s="76"/>
      <c r="MYQ54" s="76"/>
      <c r="MYR54" s="76"/>
      <c r="MYS54" s="76"/>
      <c r="MYT54" s="76"/>
      <c r="MYU54" s="76"/>
      <c r="MYV54" s="76"/>
      <c r="MYW54" s="76"/>
      <c r="MYX54" s="76"/>
      <c r="MYY54" s="76"/>
      <c r="MYZ54" s="76"/>
      <c r="MZA54" s="76"/>
      <c r="MZB54" s="76"/>
      <c r="MZC54" s="76"/>
      <c r="MZD54" s="76"/>
      <c r="MZE54" s="76"/>
      <c r="MZF54" s="76"/>
      <c r="MZG54" s="76"/>
      <c r="MZH54" s="76"/>
      <c r="MZI54" s="76"/>
      <c r="MZJ54" s="76"/>
      <c r="MZK54" s="76"/>
      <c r="MZL54" s="76"/>
      <c r="MZM54" s="76"/>
      <c r="MZN54" s="76"/>
      <c r="MZO54" s="76"/>
      <c r="MZP54" s="76"/>
      <c r="MZQ54" s="76"/>
      <c r="MZR54" s="76"/>
      <c r="MZS54" s="76"/>
      <c r="MZT54" s="76"/>
      <c r="MZU54" s="76"/>
      <c r="MZV54" s="76"/>
      <c r="MZW54" s="76"/>
      <c r="MZX54" s="76"/>
      <c r="MZY54" s="76"/>
      <c r="MZZ54" s="76"/>
      <c r="NAA54" s="76"/>
      <c r="NAB54" s="76"/>
      <c r="NAC54" s="76"/>
      <c r="NAD54" s="76"/>
      <c r="NAE54" s="76"/>
      <c r="NAF54" s="76"/>
      <c r="NAG54" s="76"/>
      <c r="NAH54" s="76"/>
      <c r="NAI54" s="76"/>
      <c r="NAJ54" s="76"/>
      <c r="NAK54" s="76"/>
      <c r="NAL54" s="76"/>
      <c r="NAM54" s="76"/>
      <c r="NAN54" s="76"/>
      <c r="NAO54" s="76"/>
      <c r="NAP54" s="76"/>
      <c r="NAQ54" s="76"/>
      <c r="NAR54" s="76"/>
      <c r="NAS54" s="76"/>
      <c r="NAT54" s="76"/>
      <c r="NAU54" s="76"/>
      <c r="NAV54" s="76"/>
      <c r="NAW54" s="76"/>
      <c r="NAX54" s="76"/>
      <c r="NAY54" s="76"/>
      <c r="NAZ54" s="76"/>
      <c r="NBA54" s="76"/>
      <c r="NBB54" s="76"/>
      <c r="NBC54" s="76"/>
      <c r="NBD54" s="76"/>
      <c r="NBE54" s="76"/>
      <c r="NBF54" s="76"/>
      <c r="NBG54" s="76"/>
      <c r="NBH54" s="76"/>
      <c r="NBI54" s="76"/>
      <c r="NBJ54" s="76"/>
      <c r="NBK54" s="76"/>
      <c r="NBL54" s="76"/>
      <c r="NBM54" s="76"/>
      <c r="NBN54" s="76"/>
      <c r="NBO54" s="76"/>
      <c r="NBP54" s="76"/>
      <c r="NBQ54" s="76"/>
      <c r="NBR54" s="76"/>
      <c r="NBS54" s="76"/>
      <c r="NBT54" s="76"/>
      <c r="NBU54" s="76"/>
      <c r="NBV54" s="76"/>
      <c r="NBW54" s="76"/>
      <c r="NBX54" s="76"/>
      <c r="NBY54" s="76"/>
      <c r="NBZ54" s="76"/>
      <c r="NCA54" s="76"/>
      <c r="NCB54" s="76"/>
      <c r="NCC54" s="76"/>
      <c r="NCD54" s="76"/>
      <c r="NCE54" s="76"/>
      <c r="NCF54" s="76"/>
      <c r="NCG54" s="76"/>
      <c r="NCH54" s="76"/>
      <c r="NCI54" s="76"/>
      <c r="NCJ54" s="76"/>
      <c r="NCK54" s="76"/>
      <c r="NCL54" s="76"/>
      <c r="NCM54" s="76"/>
      <c r="NCN54" s="76"/>
      <c r="NCO54" s="76"/>
      <c r="NCP54" s="76"/>
      <c r="NCQ54" s="76"/>
      <c r="NCR54" s="76"/>
      <c r="NCS54" s="76"/>
      <c r="NCT54" s="76"/>
      <c r="NCU54" s="76"/>
      <c r="NCV54" s="76"/>
      <c r="NCW54" s="76"/>
      <c r="NCX54" s="76"/>
      <c r="NCY54" s="76"/>
      <c r="NCZ54" s="76"/>
      <c r="NDA54" s="76"/>
      <c r="NDB54" s="76"/>
      <c r="NDC54" s="76"/>
      <c r="NDD54" s="76"/>
      <c r="NDE54" s="76"/>
      <c r="NDF54" s="76"/>
      <c r="NDG54" s="76"/>
      <c r="NDH54" s="76"/>
      <c r="NDI54" s="76"/>
      <c r="NDJ54" s="76"/>
      <c r="NDK54" s="76"/>
      <c r="NDL54" s="76"/>
      <c r="NDM54" s="76"/>
      <c r="NDN54" s="76"/>
      <c r="NDO54" s="76"/>
      <c r="NDP54" s="76"/>
      <c r="NDQ54" s="76"/>
      <c r="NDR54" s="76"/>
      <c r="NDS54" s="76"/>
      <c r="NDT54" s="76"/>
      <c r="NDU54" s="76"/>
      <c r="NDV54" s="76"/>
      <c r="NDW54" s="76"/>
      <c r="NDX54" s="76"/>
      <c r="NDY54" s="76"/>
      <c r="NDZ54" s="76"/>
      <c r="NEA54" s="76"/>
      <c r="NEB54" s="76"/>
      <c r="NEC54" s="76"/>
      <c r="NED54" s="76"/>
      <c r="NEE54" s="76"/>
      <c r="NEF54" s="76"/>
      <c r="NEG54" s="76"/>
      <c r="NEH54" s="76"/>
      <c r="NEI54" s="76"/>
      <c r="NEJ54" s="76"/>
      <c r="NEK54" s="76"/>
      <c r="NEL54" s="76"/>
      <c r="NEM54" s="76"/>
      <c r="NEN54" s="76"/>
      <c r="NEO54" s="76"/>
      <c r="NEP54" s="76"/>
      <c r="NEQ54" s="76"/>
      <c r="NER54" s="76"/>
      <c r="NES54" s="76"/>
      <c r="NET54" s="76"/>
      <c r="NEU54" s="76"/>
      <c r="NEV54" s="76"/>
      <c r="NEW54" s="76"/>
      <c r="NEX54" s="76"/>
      <c r="NEY54" s="76"/>
      <c r="NEZ54" s="76"/>
      <c r="NFA54" s="76"/>
      <c r="NFB54" s="76"/>
      <c r="NFC54" s="76"/>
      <c r="NFD54" s="76"/>
      <c r="NFE54" s="76"/>
      <c r="NFF54" s="76"/>
      <c r="NFG54" s="76"/>
      <c r="NFH54" s="76"/>
      <c r="NFI54" s="76"/>
      <c r="NFJ54" s="76"/>
      <c r="NFK54" s="76"/>
      <c r="NFL54" s="76"/>
      <c r="NFM54" s="76"/>
      <c r="NFN54" s="76"/>
      <c r="NFO54" s="76"/>
      <c r="NFP54" s="76"/>
      <c r="NFQ54" s="76"/>
      <c r="NFR54" s="76"/>
      <c r="NFS54" s="76"/>
      <c r="NFT54" s="76"/>
      <c r="NFU54" s="76"/>
      <c r="NFV54" s="76"/>
      <c r="NFW54" s="76"/>
      <c r="NFX54" s="76"/>
      <c r="NFY54" s="76"/>
      <c r="NFZ54" s="76"/>
      <c r="NGA54" s="76"/>
      <c r="NGB54" s="76"/>
      <c r="NGC54" s="76"/>
      <c r="NGD54" s="76"/>
      <c r="NGE54" s="76"/>
      <c r="NGF54" s="76"/>
      <c r="NGG54" s="76"/>
      <c r="NGH54" s="76"/>
      <c r="NGI54" s="76"/>
      <c r="NGJ54" s="76"/>
      <c r="NGK54" s="76"/>
      <c r="NGL54" s="76"/>
      <c r="NGM54" s="76"/>
      <c r="NGN54" s="76"/>
      <c r="NGO54" s="76"/>
      <c r="NGP54" s="76"/>
      <c r="NGQ54" s="76"/>
      <c r="NGR54" s="76"/>
      <c r="NGS54" s="76"/>
      <c r="NGT54" s="76"/>
      <c r="NGU54" s="76"/>
      <c r="NGV54" s="76"/>
      <c r="NGW54" s="76"/>
      <c r="NGX54" s="76"/>
      <c r="NGY54" s="76"/>
      <c r="NGZ54" s="76"/>
      <c r="NHA54" s="76"/>
      <c r="NHB54" s="76"/>
      <c r="NHC54" s="76"/>
      <c r="NHD54" s="76"/>
      <c r="NHE54" s="76"/>
      <c r="NHF54" s="76"/>
      <c r="NHG54" s="76"/>
      <c r="NHH54" s="76"/>
      <c r="NHI54" s="76"/>
      <c r="NHJ54" s="76"/>
      <c r="NHK54" s="76"/>
      <c r="NHL54" s="76"/>
      <c r="NHM54" s="76"/>
      <c r="NHN54" s="76"/>
      <c r="NHO54" s="76"/>
      <c r="NHP54" s="76"/>
      <c r="NHQ54" s="76"/>
      <c r="NHR54" s="76"/>
      <c r="NHS54" s="76"/>
      <c r="NHT54" s="76"/>
      <c r="NHU54" s="76"/>
      <c r="NHV54" s="76"/>
      <c r="NHW54" s="76"/>
      <c r="NHX54" s="76"/>
      <c r="NHY54" s="76"/>
      <c r="NHZ54" s="76"/>
      <c r="NIA54" s="76"/>
      <c r="NIB54" s="76"/>
      <c r="NIC54" s="76"/>
      <c r="NID54" s="76"/>
      <c r="NIE54" s="76"/>
      <c r="NIF54" s="76"/>
      <c r="NIG54" s="76"/>
      <c r="NIH54" s="76"/>
      <c r="NII54" s="76"/>
      <c r="NIJ54" s="76"/>
      <c r="NIK54" s="76"/>
      <c r="NIL54" s="76"/>
      <c r="NIM54" s="76"/>
      <c r="NIN54" s="76"/>
      <c r="NIO54" s="76"/>
      <c r="NIP54" s="76"/>
      <c r="NIQ54" s="76"/>
      <c r="NIR54" s="76"/>
      <c r="NIS54" s="76"/>
      <c r="NIT54" s="76"/>
      <c r="NIU54" s="76"/>
      <c r="NIV54" s="76"/>
      <c r="NIW54" s="76"/>
      <c r="NIX54" s="76"/>
      <c r="NIY54" s="76"/>
      <c r="NIZ54" s="76"/>
      <c r="NJA54" s="76"/>
      <c r="NJB54" s="76"/>
      <c r="NJC54" s="76"/>
      <c r="NJD54" s="76"/>
      <c r="NJE54" s="76"/>
      <c r="NJF54" s="76"/>
      <c r="NJG54" s="76"/>
      <c r="NJH54" s="76"/>
      <c r="NJI54" s="76"/>
      <c r="NJJ54" s="76"/>
      <c r="NJK54" s="76"/>
      <c r="NJL54" s="76"/>
      <c r="NJM54" s="76"/>
      <c r="NJN54" s="76"/>
      <c r="NJO54" s="76"/>
      <c r="NJP54" s="76"/>
      <c r="NJQ54" s="76"/>
      <c r="NJR54" s="76"/>
      <c r="NJS54" s="76"/>
      <c r="NJT54" s="76"/>
      <c r="NJU54" s="76"/>
      <c r="NJV54" s="76"/>
      <c r="NJW54" s="76"/>
      <c r="NJX54" s="76"/>
      <c r="NJY54" s="76"/>
      <c r="NJZ54" s="76"/>
      <c r="NKA54" s="76"/>
      <c r="NKB54" s="76"/>
      <c r="NKC54" s="76"/>
      <c r="NKD54" s="76"/>
      <c r="NKE54" s="76"/>
      <c r="NKF54" s="76"/>
      <c r="NKG54" s="76"/>
      <c r="NKH54" s="76"/>
      <c r="NKI54" s="76"/>
      <c r="NKJ54" s="76"/>
      <c r="NKK54" s="76"/>
      <c r="NKL54" s="76"/>
      <c r="NKM54" s="76"/>
      <c r="NKN54" s="76"/>
      <c r="NKO54" s="76"/>
      <c r="NKP54" s="76"/>
      <c r="NKQ54" s="76"/>
      <c r="NKR54" s="76"/>
      <c r="NKS54" s="76"/>
      <c r="NKT54" s="76"/>
      <c r="NKU54" s="76"/>
      <c r="NKV54" s="76"/>
      <c r="NKW54" s="76"/>
      <c r="NKX54" s="76"/>
      <c r="NKY54" s="76"/>
      <c r="NKZ54" s="76"/>
      <c r="NLA54" s="76"/>
      <c r="NLB54" s="76"/>
      <c r="NLC54" s="76"/>
      <c r="NLD54" s="76"/>
      <c r="NLE54" s="76"/>
      <c r="NLF54" s="76"/>
      <c r="NLG54" s="76"/>
      <c r="NLH54" s="76"/>
      <c r="NLI54" s="76"/>
      <c r="NLJ54" s="76"/>
      <c r="NLK54" s="76"/>
      <c r="NLL54" s="76"/>
      <c r="NLM54" s="76"/>
      <c r="NLN54" s="76"/>
      <c r="NLO54" s="76"/>
      <c r="NLP54" s="76"/>
      <c r="NLQ54" s="76"/>
      <c r="NLR54" s="76"/>
      <c r="NLS54" s="76"/>
      <c r="NLT54" s="76"/>
      <c r="NLU54" s="76"/>
      <c r="NLV54" s="76"/>
      <c r="NLW54" s="76"/>
      <c r="NLX54" s="76"/>
      <c r="NLY54" s="76"/>
      <c r="NLZ54" s="76"/>
      <c r="NMA54" s="76"/>
      <c r="NMB54" s="76"/>
      <c r="NMC54" s="76"/>
      <c r="NMD54" s="76"/>
      <c r="NME54" s="76"/>
      <c r="NMF54" s="76"/>
      <c r="NMG54" s="76"/>
      <c r="NMH54" s="76"/>
      <c r="NMI54" s="76"/>
      <c r="NMJ54" s="76"/>
      <c r="NMK54" s="76"/>
      <c r="NML54" s="76"/>
      <c r="NMM54" s="76"/>
      <c r="NMN54" s="76"/>
      <c r="NMO54" s="76"/>
      <c r="NMP54" s="76"/>
      <c r="NMQ54" s="76"/>
      <c r="NMR54" s="76"/>
      <c r="NMS54" s="76"/>
      <c r="NMT54" s="76"/>
      <c r="NMU54" s="76"/>
      <c r="NMV54" s="76"/>
      <c r="NMW54" s="76"/>
      <c r="NMX54" s="76"/>
      <c r="NMY54" s="76"/>
      <c r="NMZ54" s="76"/>
      <c r="NNA54" s="76"/>
      <c r="NNB54" s="76"/>
      <c r="NNC54" s="76"/>
      <c r="NND54" s="76"/>
      <c r="NNE54" s="76"/>
      <c r="NNF54" s="76"/>
      <c r="NNG54" s="76"/>
      <c r="NNH54" s="76"/>
      <c r="NNI54" s="76"/>
      <c r="NNJ54" s="76"/>
      <c r="NNK54" s="76"/>
      <c r="NNL54" s="76"/>
      <c r="NNM54" s="76"/>
      <c r="NNN54" s="76"/>
      <c r="NNO54" s="76"/>
      <c r="NNP54" s="76"/>
      <c r="NNQ54" s="76"/>
      <c r="NNR54" s="76"/>
      <c r="NNS54" s="76"/>
      <c r="NNT54" s="76"/>
      <c r="NNU54" s="76"/>
      <c r="NNV54" s="76"/>
      <c r="NNW54" s="76"/>
      <c r="NNX54" s="76"/>
      <c r="NNY54" s="76"/>
      <c r="NNZ54" s="76"/>
      <c r="NOA54" s="76"/>
      <c r="NOB54" s="76"/>
      <c r="NOC54" s="76"/>
      <c r="NOD54" s="76"/>
      <c r="NOE54" s="76"/>
      <c r="NOF54" s="76"/>
      <c r="NOG54" s="76"/>
      <c r="NOH54" s="76"/>
      <c r="NOI54" s="76"/>
      <c r="NOJ54" s="76"/>
      <c r="NOK54" s="76"/>
      <c r="NOL54" s="76"/>
      <c r="NOM54" s="76"/>
      <c r="NON54" s="76"/>
      <c r="NOO54" s="76"/>
      <c r="NOP54" s="76"/>
      <c r="NOQ54" s="76"/>
      <c r="NOR54" s="76"/>
      <c r="NOS54" s="76"/>
      <c r="NOT54" s="76"/>
      <c r="NOU54" s="76"/>
      <c r="NOV54" s="76"/>
      <c r="NOW54" s="76"/>
      <c r="NOX54" s="76"/>
      <c r="NOY54" s="76"/>
      <c r="NOZ54" s="76"/>
      <c r="NPA54" s="76"/>
      <c r="NPB54" s="76"/>
      <c r="NPC54" s="76"/>
      <c r="NPD54" s="76"/>
      <c r="NPE54" s="76"/>
      <c r="NPF54" s="76"/>
      <c r="NPG54" s="76"/>
      <c r="NPH54" s="76"/>
      <c r="NPI54" s="76"/>
      <c r="NPJ54" s="76"/>
      <c r="NPK54" s="76"/>
      <c r="NPL54" s="76"/>
      <c r="NPM54" s="76"/>
      <c r="NPN54" s="76"/>
      <c r="NPO54" s="76"/>
      <c r="NPP54" s="76"/>
      <c r="NPQ54" s="76"/>
      <c r="NPR54" s="76"/>
      <c r="NPS54" s="76"/>
      <c r="NPT54" s="76"/>
      <c r="NPU54" s="76"/>
      <c r="NPV54" s="76"/>
      <c r="NPW54" s="76"/>
      <c r="NPX54" s="76"/>
      <c r="NPY54" s="76"/>
      <c r="NPZ54" s="76"/>
      <c r="NQA54" s="76"/>
      <c r="NQB54" s="76"/>
      <c r="NQC54" s="76"/>
      <c r="NQD54" s="76"/>
      <c r="NQE54" s="76"/>
      <c r="NQF54" s="76"/>
      <c r="NQG54" s="76"/>
      <c r="NQH54" s="76"/>
      <c r="NQI54" s="76"/>
      <c r="NQJ54" s="76"/>
      <c r="NQK54" s="76"/>
      <c r="NQL54" s="76"/>
      <c r="NQM54" s="76"/>
      <c r="NQN54" s="76"/>
      <c r="NQO54" s="76"/>
      <c r="NQP54" s="76"/>
      <c r="NQQ54" s="76"/>
      <c r="NQR54" s="76"/>
      <c r="NQS54" s="76"/>
      <c r="NQT54" s="76"/>
      <c r="NQU54" s="76"/>
      <c r="NQV54" s="76"/>
      <c r="NQW54" s="76"/>
      <c r="NQX54" s="76"/>
      <c r="NQY54" s="76"/>
      <c r="NQZ54" s="76"/>
      <c r="NRA54" s="76"/>
      <c r="NRB54" s="76"/>
      <c r="NRC54" s="76"/>
      <c r="NRD54" s="76"/>
      <c r="NRE54" s="76"/>
      <c r="NRF54" s="76"/>
      <c r="NRG54" s="76"/>
      <c r="NRH54" s="76"/>
      <c r="NRI54" s="76"/>
      <c r="NRJ54" s="76"/>
      <c r="NRK54" s="76"/>
      <c r="NRL54" s="76"/>
      <c r="NRM54" s="76"/>
      <c r="NRN54" s="76"/>
      <c r="NRO54" s="76"/>
      <c r="NRP54" s="76"/>
      <c r="NRQ54" s="76"/>
      <c r="NRR54" s="76"/>
      <c r="NRS54" s="76"/>
      <c r="NRT54" s="76"/>
      <c r="NRU54" s="76"/>
      <c r="NRV54" s="76"/>
      <c r="NRW54" s="76"/>
      <c r="NRX54" s="76"/>
      <c r="NRY54" s="76"/>
      <c r="NRZ54" s="76"/>
      <c r="NSA54" s="76"/>
      <c r="NSB54" s="76"/>
      <c r="NSC54" s="76"/>
      <c r="NSD54" s="76"/>
      <c r="NSE54" s="76"/>
      <c r="NSF54" s="76"/>
      <c r="NSG54" s="76"/>
      <c r="NSH54" s="76"/>
      <c r="NSI54" s="76"/>
      <c r="NSJ54" s="76"/>
      <c r="NSK54" s="76"/>
      <c r="NSL54" s="76"/>
      <c r="NSM54" s="76"/>
      <c r="NSN54" s="76"/>
      <c r="NSO54" s="76"/>
      <c r="NSP54" s="76"/>
      <c r="NSQ54" s="76"/>
      <c r="NSR54" s="76"/>
      <c r="NSS54" s="76"/>
      <c r="NST54" s="76"/>
      <c r="NSU54" s="76"/>
      <c r="NSV54" s="76"/>
      <c r="NSW54" s="76"/>
      <c r="NSX54" s="76"/>
      <c r="NSY54" s="76"/>
      <c r="NSZ54" s="76"/>
      <c r="NTA54" s="76"/>
      <c r="NTB54" s="76"/>
      <c r="NTC54" s="76"/>
      <c r="NTD54" s="76"/>
      <c r="NTE54" s="76"/>
      <c r="NTF54" s="76"/>
      <c r="NTG54" s="76"/>
      <c r="NTH54" s="76"/>
      <c r="NTI54" s="76"/>
      <c r="NTJ54" s="76"/>
      <c r="NTK54" s="76"/>
      <c r="NTL54" s="76"/>
      <c r="NTM54" s="76"/>
      <c r="NTN54" s="76"/>
      <c r="NTO54" s="76"/>
      <c r="NTP54" s="76"/>
      <c r="NTQ54" s="76"/>
      <c r="NTR54" s="76"/>
      <c r="NTS54" s="76"/>
      <c r="NTT54" s="76"/>
      <c r="NTU54" s="76"/>
      <c r="NTV54" s="76"/>
      <c r="NTW54" s="76"/>
      <c r="NTX54" s="76"/>
      <c r="NTY54" s="76"/>
      <c r="NTZ54" s="76"/>
      <c r="NUA54" s="76"/>
      <c r="NUB54" s="76"/>
      <c r="NUC54" s="76"/>
      <c r="NUD54" s="76"/>
      <c r="NUE54" s="76"/>
      <c r="NUF54" s="76"/>
      <c r="NUG54" s="76"/>
      <c r="NUH54" s="76"/>
      <c r="NUI54" s="76"/>
      <c r="NUJ54" s="76"/>
      <c r="NUK54" s="76"/>
      <c r="NUL54" s="76"/>
      <c r="NUM54" s="76"/>
      <c r="NUN54" s="76"/>
      <c r="NUO54" s="76"/>
      <c r="NUP54" s="76"/>
      <c r="NUQ54" s="76"/>
      <c r="NUR54" s="76"/>
      <c r="NUS54" s="76"/>
      <c r="NUT54" s="76"/>
      <c r="NUU54" s="76"/>
      <c r="NUV54" s="76"/>
      <c r="NUW54" s="76"/>
      <c r="NUX54" s="76"/>
      <c r="NUY54" s="76"/>
      <c r="NUZ54" s="76"/>
      <c r="NVA54" s="76"/>
      <c r="NVB54" s="76"/>
      <c r="NVC54" s="76"/>
      <c r="NVD54" s="76"/>
      <c r="NVE54" s="76"/>
      <c r="NVF54" s="76"/>
      <c r="NVG54" s="76"/>
      <c r="NVH54" s="76"/>
      <c r="NVI54" s="76"/>
      <c r="NVJ54" s="76"/>
      <c r="NVK54" s="76"/>
      <c r="NVL54" s="76"/>
      <c r="NVM54" s="76"/>
      <c r="NVN54" s="76"/>
      <c r="NVO54" s="76"/>
      <c r="NVP54" s="76"/>
      <c r="NVQ54" s="76"/>
      <c r="NVR54" s="76"/>
      <c r="NVS54" s="76"/>
      <c r="NVT54" s="76"/>
      <c r="NVU54" s="76"/>
      <c r="NVV54" s="76"/>
      <c r="NVW54" s="76"/>
      <c r="NVX54" s="76"/>
      <c r="NVY54" s="76"/>
      <c r="NVZ54" s="76"/>
      <c r="NWA54" s="76"/>
      <c r="NWB54" s="76"/>
      <c r="NWC54" s="76"/>
      <c r="NWD54" s="76"/>
      <c r="NWE54" s="76"/>
      <c r="NWF54" s="76"/>
      <c r="NWG54" s="76"/>
      <c r="NWH54" s="76"/>
      <c r="NWI54" s="76"/>
      <c r="NWJ54" s="76"/>
      <c r="NWK54" s="76"/>
      <c r="NWL54" s="76"/>
      <c r="NWM54" s="76"/>
      <c r="NWN54" s="76"/>
      <c r="NWO54" s="76"/>
      <c r="NWP54" s="76"/>
      <c r="NWQ54" s="76"/>
      <c r="NWR54" s="76"/>
      <c r="NWS54" s="76"/>
      <c r="NWT54" s="76"/>
      <c r="NWU54" s="76"/>
      <c r="NWV54" s="76"/>
      <c r="NWW54" s="76"/>
      <c r="NWX54" s="76"/>
      <c r="NWY54" s="76"/>
      <c r="NWZ54" s="76"/>
      <c r="NXA54" s="76"/>
      <c r="NXB54" s="76"/>
      <c r="NXC54" s="76"/>
      <c r="NXD54" s="76"/>
      <c r="NXE54" s="76"/>
      <c r="NXF54" s="76"/>
      <c r="NXG54" s="76"/>
      <c r="NXH54" s="76"/>
      <c r="NXI54" s="76"/>
      <c r="NXJ54" s="76"/>
      <c r="NXK54" s="76"/>
      <c r="NXL54" s="76"/>
      <c r="NXM54" s="76"/>
      <c r="NXN54" s="76"/>
      <c r="NXO54" s="76"/>
      <c r="NXP54" s="76"/>
      <c r="NXQ54" s="76"/>
      <c r="NXR54" s="76"/>
      <c r="NXS54" s="76"/>
      <c r="NXT54" s="76"/>
      <c r="NXU54" s="76"/>
      <c r="NXV54" s="76"/>
      <c r="NXW54" s="76"/>
      <c r="NXX54" s="76"/>
      <c r="NXY54" s="76"/>
      <c r="NXZ54" s="76"/>
      <c r="NYA54" s="76"/>
      <c r="NYB54" s="76"/>
      <c r="NYC54" s="76"/>
      <c r="NYD54" s="76"/>
      <c r="NYE54" s="76"/>
      <c r="NYF54" s="76"/>
      <c r="NYG54" s="76"/>
      <c r="NYH54" s="76"/>
      <c r="NYI54" s="76"/>
      <c r="NYJ54" s="76"/>
      <c r="NYK54" s="76"/>
      <c r="NYL54" s="76"/>
      <c r="NYM54" s="76"/>
      <c r="NYN54" s="76"/>
      <c r="NYO54" s="76"/>
      <c r="NYP54" s="76"/>
      <c r="NYQ54" s="76"/>
      <c r="NYR54" s="76"/>
      <c r="NYS54" s="76"/>
      <c r="NYT54" s="76"/>
      <c r="NYU54" s="76"/>
      <c r="NYV54" s="76"/>
      <c r="NYW54" s="76"/>
      <c r="NYX54" s="76"/>
      <c r="NYY54" s="76"/>
      <c r="NYZ54" s="76"/>
      <c r="NZA54" s="76"/>
      <c r="NZB54" s="76"/>
      <c r="NZC54" s="76"/>
      <c r="NZD54" s="76"/>
      <c r="NZE54" s="76"/>
      <c r="NZF54" s="76"/>
      <c r="NZG54" s="76"/>
      <c r="NZH54" s="76"/>
      <c r="NZI54" s="76"/>
      <c r="NZJ54" s="76"/>
      <c r="NZK54" s="76"/>
      <c r="NZL54" s="76"/>
      <c r="NZM54" s="76"/>
      <c r="NZN54" s="76"/>
      <c r="NZO54" s="76"/>
      <c r="NZP54" s="76"/>
      <c r="NZQ54" s="76"/>
      <c r="NZR54" s="76"/>
      <c r="NZS54" s="76"/>
      <c r="NZT54" s="76"/>
      <c r="NZU54" s="76"/>
      <c r="NZV54" s="76"/>
      <c r="NZW54" s="76"/>
      <c r="NZX54" s="76"/>
      <c r="NZY54" s="76"/>
      <c r="NZZ54" s="76"/>
      <c r="OAA54" s="76"/>
      <c r="OAB54" s="76"/>
      <c r="OAC54" s="76"/>
      <c r="OAD54" s="76"/>
      <c r="OAE54" s="76"/>
      <c r="OAF54" s="76"/>
      <c r="OAG54" s="76"/>
      <c r="OAH54" s="76"/>
      <c r="OAI54" s="76"/>
      <c r="OAJ54" s="76"/>
      <c r="OAK54" s="76"/>
      <c r="OAL54" s="76"/>
      <c r="OAM54" s="76"/>
      <c r="OAN54" s="76"/>
      <c r="OAO54" s="76"/>
      <c r="OAP54" s="76"/>
      <c r="OAQ54" s="76"/>
      <c r="OAR54" s="76"/>
      <c r="OAS54" s="76"/>
      <c r="OAT54" s="76"/>
      <c r="OAU54" s="76"/>
      <c r="OAV54" s="76"/>
      <c r="OAW54" s="76"/>
      <c r="OAX54" s="76"/>
      <c r="OAY54" s="76"/>
      <c r="OAZ54" s="76"/>
      <c r="OBA54" s="76"/>
      <c r="OBB54" s="76"/>
      <c r="OBC54" s="76"/>
      <c r="OBD54" s="76"/>
      <c r="OBE54" s="76"/>
      <c r="OBF54" s="76"/>
      <c r="OBG54" s="76"/>
      <c r="OBH54" s="76"/>
      <c r="OBI54" s="76"/>
      <c r="OBJ54" s="76"/>
      <c r="OBK54" s="76"/>
      <c r="OBL54" s="76"/>
      <c r="OBM54" s="76"/>
      <c r="OBN54" s="76"/>
      <c r="OBO54" s="76"/>
      <c r="OBP54" s="76"/>
      <c r="OBQ54" s="76"/>
      <c r="OBR54" s="76"/>
      <c r="OBS54" s="76"/>
      <c r="OBT54" s="76"/>
      <c r="OBU54" s="76"/>
      <c r="OBV54" s="76"/>
      <c r="OBW54" s="76"/>
      <c r="OBX54" s="76"/>
      <c r="OBY54" s="76"/>
      <c r="OBZ54" s="76"/>
      <c r="OCA54" s="76"/>
      <c r="OCB54" s="76"/>
      <c r="OCC54" s="76"/>
      <c r="OCD54" s="76"/>
      <c r="OCE54" s="76"/>
      <c r="OCF54" s="76"/>
      <c r="OCG54" s="76"/>
      <c r="OCH54" s="76"/>
      <c r="OCI54" s="76"/>
      <c r="OCJ54" s="76"/>
      <c r="OCK54" s="76"/>
      <c r="OCL54" s="76"/>
      <c r="OCM54" s="76"/>
      <c r="OCN54" s="76"/>
      <c r="OCO54" s="76"/>
      <c r="OCP54" s="76"/>
      <c r="OCQ54" s="76"/>
      <c r="OCR54" s="76"/>
      <c r="OCS54" s="76"/>
      <c r="OCT54" s="76"/>
      <c r="OCU54" s="76"/>
      <c r="OCV54" s="76"/>
      <c r="OCW54" s="76"/>
      <c r="OCX54" s="76"/>
      <c r="OCY54" s="76"/>
      <c r="OCZ54" s="76"/>
      <c r="ODA54" s="76"/>
      <c r="ODB54" s="76"/>
      <c r="ODC54" s="76"/>
      <c r="ODD54" s="76"/>
      <c r="ODE54" s="76"/>
      <c r="ODF54" s="76"/>
      <c r="ODG54" s="76"/>
      <c r="ODH54" s="76"/>
      <c r="ODI54" s="76"/>
      <c r="ODJ54" s="76"/>
      <c r="ODK54" s="76"/>
      <c r="ODL54" s="76"/>
      <c r="ODM54" s="76"/>
      <c r="ODN54" s="76"/>
      <c r="ODO54" s="76"/>
      <c r="ODP54" s="76"/>
      <c r="ODQ54" s="76"/>
      <c r="ODR54" s="76"/>
      <c r="ODS54" s="76"/>
      <c r="ODT54" s="76"/>
      <c r="ODU54" s="76"/>
      <c r="ODV54" s="76"/>
      <c r="ODW54" s="76"/>
      <c r="ODX54" s="76"/>
      <c r="ODY54" s="76"/>
      <c r="ODZ54" s="76"/>
      <c r="OEA54" s="76"/>
      <c r="OEB54" s="76"/>
      <c r="OEC54" s="76"/>
      <c r="OED54" s="76"/>
      <c r="OEE54" s="76"/>
      <c r="OEF54" s="76"/>
      <c r="OEG54" s="76"/>
      <c r="OEH54" s="76"/>
      <c r="OEI54" s="76"/>
      <c r="OEJ54" s="76"/>
      <c r="OEK54" s="76"/>
      <c r="OEL54" s="76"/>
      <c r="OEM54" s="76"/>
      <c r="OEN54" s="76"/>
      <c r="OEO54" s="76"/>
      <c r="OEP54" s="76"/>
      <c r="OEQ54" s="76"/>
      <c r="OER54" s="76"/>
      <c r="OES54" s="76"/>
      <c r="OET54" s="76"/>
      <c r="OEU54" s="76"/>
      <c r="OEV54" s="76"/>
      <c r="OEW54" s="76"/>
      <c r="OEX54" s="76"/>
      <c r="OEY54" s="76"/>
      <c r="OEZ54" s="76"/>
      <c r="OFA54" s="76"/>
      <c r="OFB54" s="76"/>
      <c r="OFC54" s="76"/>
      <c r="OFD54" s="76"/>
      <c r="OFE54" s="76"/>
      <c r="OFF54" s="76"/>
      <c r="OFG54" s="76"/>
      <c r="OFH54" s="76"/>
      <c r="OFI54" s="76"/>
      <c r="OFJ54" s="76"/>
      <c r="OFK54" s="76"/>
      <c r="OFL54" s="76"/>
      <c r="OFM54" s="76"/>
      <c r="OFN54" s="76"/>
      <c r="OFO54" s="76"/>
      <c r="OFP54" s="76"/>
      <c r="OFQ54" s="76"/>
      <c r="OFR54" s="76"/>
      <c r="OFS54" s="76"/>
      <c r="OFT54" s="76"/>
      <c r="OFU54" s="76"/>
      <c r="OFV54" s="76"/>
      <c r="OFW54" s="76"/>
      <c r="OFX54" s="76"/>
      <c r="OFY54" s="76"/>
      <c r="OFZ54" s="76"/>
      <c r="OGA54" s="76"/>
      <c r="OGB54" s="76"/>
      <c r="OGC54" s="76"/>
      <c r="OGD54" s="76"/>
      <c r="OGE54" s="76"/>
      <c r="OGF54" s="76"/>
      <c r="OGG54" s="76"/>
      <c r="OGH54" s="76"/>
      <c r="OGI54" s="76"/>
      <c r="OGJ54" s="76"/>
      <c r="OGK54" s="76"/>
      <c r="OGL54" s="76"/>
      <c r="OGM54" s="76"/>
      <c r="OGN54" s="76"/>
      <c r="OGO54" s="76"/>
      <c r="OGP54" s="76"/>
      <c r="OGQ54" s="76"/>
      <c r="OGR54" s="76"/>
      <c r="OGS54" s="76"/>
      <c r="OGT54" s="76"/>
      <c r="OGU54" s="76"/>
      <c r="OGV54" s="76"/>
      <c r="OGW54" s="76"/>
      <c r="OGX54" s="76"/>
      <c r="OGY54" s="76"/>
      <c r="OGZ54" s="76"/>
      <c r="OHA54" s="76"/>
      <c r="OHB54" s="76"/>
      <c r="OHC54" s="76"/>
      <c r="OHD54" s="76"/>
      <c r="OHE54" s="76"/>
      <c r="OHF54" s="76"/>
      <c r="OHG54" s="76"/>
      <c r="OHH54" s="76"/>
      <c r="OHI54" s="76"/>
      <c r="OHJ54" s="76"/>
      <c r="OHK54" s="76"/>
      <c r="OHL54" s="76"/>
      <c r="OHM54" s="76"/>
      <c r="OHN54" s="76"/>
      <c r="OHO54" s="76"/>
      <c r="OHP54" s="76"/>
      <c r="OHQ54" s="76"/>
      <c r="OHR54" s="76"/>
      <c r="OHS54" s="76"/>
      <c r="OHT54" s="76"/>
      <c r="OHU54" s="76"/>
      <c r="OHV54" s="76"/>
      <c r="OHW54" s="76"/>
      <c r="OHX54" s="76"/>
      <c r="OHY54" s="76"/>
      <c r="OHZ54" s="76"/>
      <c r="OIA54" s="76"/>
      <c r="OIB54" s="76"/>
      <c r="OIC54" s="76"/>
      <c r="OID54" s="76"/>
      <c r="OIE54" s="76"/>
      <c r="OIF54" s="76"/>
      <c r="OIG54" s="76"/>
      <c r="OIH54" s="76"/>
      <c r="OII54" s="76"/>
      <c r="OIJ54" s="76"/>
      <c r="OIK54" s="76"/>
      <c r="OIL54" s="76"/>
      <c r="OIM54" s="76"/>
      <c r="OIN54" s="76"/>
      <c r="OIO54" s="76"/>
      <c r="OIP54" s="76"/>
      <c r="OIQ54" s="76"/>
      <c r="OIR54" s="76"/>
      <c r="OIS54" s="76"/>
      <c r="OIT54" s="76"/>
      <c r="OIU54" s="76"/>
      <c r="OIV54" s="76"/>
      <c r="OIW54" s="76"/>
      <c r="OIX54" s="76"/>
      <c r="OIY54" s="76"/>
      <c r="OIZ54" s="76"/>
      <c r="OJA54" s="76"/>
      <c r="OJB54" s="76"/>
      <c r="OJC54" s="76"/>
      <c r="OJD54" s="76"/>
      <c r="OJE54" s="76"/>
      <c r="OJF54" s="76"/>
      <c r="OJG54" s="76"/>
      <c r="OJH54" s="76"/>
      <c r="OJI54" s="76"/>
      <c r="OJJ54" s="76"/>
      <c r="OJK54" s="76"/>
      <c r="OJL54" s="76"/>
      <c r="OJM54" s="76"/>
      <c r="OJN54" s="76"/>
      <c r="OJO54" s="76"/>
      <c r="OJP54" s="76"/>
      <c r="OJQ54" s="76"/>
      <c r="OJR54" s="76"/>
      <c r="OJS54" s="76"/>
      <c r="OJT54" s="76"/>
      <c r="OJU54" s="76"/>
      <c r="OJV54" s="76"/>
      <c r="OJW54" s="76"/>
      <c r="OJX54" s="76"/>
      <c r="OJY54" s="76"/>
      <c r="OJZ54" s="76"/>
      <c r="OKA54" s="76"/>
      <c r="OKB54" s="76"/>
      <c r="OKC54" s="76"/>
      <c r="OKD54" s="76"/>
      <c r="OKE54" s="76"/>
      <c r="OKF54" s="76"/>
      <c r="OKG54" s="76"/>
      <c r="OKH54" s="76"/>
      <c r="OKI54" s="76"/>
      <c r="OKJ54" s="76"/>
      <c r="OKK54" s="76"/>
      <c r="OKL54" s="76"/>
      <c r="OKM54" s="76"/>
      <c r="OKN54" s="76"/>
      <c r="OKO54" s="76"/>
      <c r="OKP54" s="76"/>
      <c r="OKQ54" s="76"/>
      <c r="OKR54" s="76"/>
      <c r="OKS54" s="76"/>
      <c r="OKT54" s="76"/>
      <c r="OKU54" s="76"/>
      <c r="OKV54" s="76"/>
      <c r="OKW54" s="76"/>
      <c r="OKX54" s="76"/>
      <c r="OKY54" s="76"/>
      <c r="OKZ54" s="76"/>
      <c r="OLA54" s="76"/>
      <c r="OLB54" s="76"/>
      <c r="OLC54" s="76"/>
      <c r="OLD54" s="76"/>
      <c r="OLE54" s="76"/>
      <c r="OLF54" s="76"/>
      <c r="OLG54" s="76"/>
      <c r="OLH54" s="76"/>
      <c r="OLI54" s="76"/>
      <c r="OLJ54" s="76"/>
      <c r="OLK54" s="76"/>
      <c r="OLL54" s="76"/>
      <c r="OLM54" s="76"/>
      <c r="OLN54" s="76"/>
      <c r="OLO54" s="76"/>
      <c r="OLP54" s="76"/>
      <c r="OLQ54" s="76"/>
      <c r="OLR54" s="76"/>
      <c r="OLS54" s="76"/>
      <c r="OLT54" s="76"/>
      <c r="OLU54" s="76"/>
      <c r="OLV54" s="76"/>
      <c r="OLW54" s="76"/>
      <c r="OLX54" s="76"/>
      <c r="OLY54" s="76"/>
      <c r="OLZ54" s="76"/>
      <c r="OMA54" s="76"/>
      <c r="OMB54" s="76"/>
      <c r="OMC54" s="76"/>
      <c r="OMD54" s="76"/>
      <c r="OME54" s="76"/>
      <c r="OMF54" s="76"/>
      <c r="OMG54" s="76"/>
      <c r="OMH54" s="76"/>
      <c r="OMI54" s="76"/>
      <c r="OMJ54" s="76"/>
      <c r="OMK54" s="76"/>
      <c r="OML54" s="76"/>
      <c r="OMM54" s="76"/>
      <c r="OMN54" s="76"/>
      <c r="OMO54" s="76"/>
      <c r="OMP54" s="76"/>
      <c r="OMQ54" s="76"/>
      <c r="OMR54" s="76"/>
      <c r="OMS54" s="76"/>
      <c r="OMT54" s="76"/>
      <c r="OMU54" s="76"/>
      <c r="OMV54" s="76"/>
      <c r="OMW54" s="76"/>
      <c r="OMX54" s="76"/>
      <c r="OMY54" s="76"/>
      <c r="OMZ54" s="76"/>
      <c r="ONA54" s="76"/>
      <c r="ONB54" s="76"/>
      <c r="ONC54" s="76"/>
      <c r="OND54" s="76"/>
      <c r="ONE54" s="76"/>
      <c r="ONF54" s="76"/>
      <c r="ONG54" s="76"/>
      <c r="ONH54" s="76"/>
      <c r="ONI54" s="76"/>
      <c r="ONJ54" s="76"/>
      <c r="ONK54" s="76"/>
      <c r="ONL54" s="76"/>
      <c r="ONM54" s="76"/>
      <c r="ONN54" s="76"/>
      <c r="ONO54" s="76"/>
      <c r="ONP54" s="76"/>
      <c r="ONQ54" s="76"/>
      <c r="ONR54" s="76"/>
      <c r="ONS54" s="76"/>
      <c r="ONT54" s="76"/>
      <c r="ONU54" s="76"/>
      <c r="ONV54" s="76"/>
      <c r="ONW54" s="76"/>
      <c r="ONX54" s="76"/>
      <c r="ONY54" s="76"/>
      <c r="ONZ54" s="76"/>
      <c r="OOA54" s="76"/>
      <c r="OOB54" s="76"/>
      <c r="OOC54" s="76"/>
      <c r="OOD54" s="76"/>
      <c r="OOE54" s="76"/>
      <c r="OOF54" s="76"/>
      <c r="OOG54" s="76"/>
      <c r="OOH54" s="76"/>
      <c r="OOI54" s="76"/>
      <c r="OOJ54" s="76"/>
      <c r="OOK54" s="76"/>
      <c r="OOL54" s="76"/>
      <c r="OOM54" s="76"/>
      <c r="OON54" s="76"/>
      <c r="OOO54" s="76"/>
      <c r="OOP54" s="76"/>
      <c r="OOQ54" s="76"/>
      <c r="OOR54" s="76"/>
      <c r="OOS54" s="76"/>
      <c r="OOT54" s="76"/>
      <c r="OOU54" s="76"/>
      <c r="OOV54" s="76"/>
      <c r="OOW54" s="76"/>
      <c r="OOX54" s="76"/>
      <c r="OOY54" s="76"/>
      <c r="OOZ54" s="76"/>
      <c r="OPA54" s="76"/>
      <c r="OPB54" s="76"/>
      <c r="OPC54" s="76"/>
      <c r="OPD54" s="76"/>
      <c r="OPE54" s="76"/>
      <c r="OPF54" s="76"/>
      <c r="OPG54" s="76"/>
      <c r="OPH54" s="76"/>
      <c r="OPI54" s="76"/>
      <c r="OPJ54" s="76"/>
      <c r="OPK54" s="76"/>
      <c r="OPL54" s="76"/>
      <c r="OPM54" s="76"/>
      <c r="OPN54" s="76"/>
      <c r="OPO54" s="76"/>
      <c r="OPP54" s="76"/>
      <c r="OPQ54" s="76"/>
      <c r="OPR54" s="76"/>
      <c r="OPS54" s="76"/>
      <c r="OPT54" s="76"/>
      <c r="OPU54" s="76"/>
      <c r="OPV54" s="76"/>
      <c r="OPW54" s="76"/>
      <c r="OPX54" s="76"/>
      <c r="OPY54" s="76"/>
      <c r="OPZ54" s="76"/>
      <c r="OQA54" s="76"/>
      <c r="OQB54" s="76"/>
      <c r="OQC54" s="76"/>
      <c r="OQD54" s="76"/>
      <c r="OQE54" s="76"/>
      <c r="OQF54" s="76"/>
      <c r="OQG54" s="76"/>
      <c r="OQH54" s="76"/>
      <c r="OQI54" s="76"/>
      <c r="OQJ54" s="76"/>
      <c r="OQK54" s="76"/>
      <c r="OQL54" s="76"/>
      <c r="OQM54" s="76"/>
      <c r="OQN54" s="76"/>
      <c r="OQO54" s="76"/>
      <c r="OQP54" s="76"/>
      <c r="OQQ54" s="76"/>
      <c r="OQR54" s="76"/>
      <c r="OQS54" s="76"/>
      <c r="OQT54" s="76"/>
      <c r="OQU54" s="76"/>
      <c r="OQV54" s="76"/>
      <c r="OQW54" s="76"/>
      <c r="OQX54" s="76"/>
      <c r="OQY54" s="76"/>
      <c r="OQZ54" s="76"/>
      <c r="ORA54" s="76"/>
      <c r="ORB54" s="76"/>
      <c r="ORC54" s="76"/>
      <c r="ORD54" s="76"/>
      <c r="ORE54" s="76"/>
      <c r="ORF54" s="76"/>
      <c r="ORG54" s="76"/>
      <c r="ORH54" s="76"/>
      <c r="ORI54" s="76"/>
      <c r="ORJ54" s="76"/>
      <c r="ORK54" s="76"/>
      <c r="ORL54" s="76"/>
      <c r="ORM54" s="76"/>
      <c r="ORN54" s="76"/>
      <c r="ORO54" s="76"/>
      <c r="ORP54" s="76"/>
      <c r="ORQ54" s="76"/>
      <c r="ORR54" s="76"/>
      <c r="ORS54" s="76"/>
      <c r="ORT54" s="76"/>
      <c r="ORU54" s="76"/>
      <c r="ORV54" s="76"/>
      <c r="ORW54" s="76"/>
      <c r="ORX54" s="76"/>
      <c r="ORY54" s="76"/>
      <c r="ORZ54" s="76"/>
      <c r="OSA54" s="76"/>
      <c r="OSB54" s="76"/>
      <c r="OSC54" s="76"/>
      <c r="OSD54" s="76"/>
      <c r="OSE54" s="76"/>
      <c r="OSF54" s="76"/>
      <c r="OSG54" s="76"/>
      <c r="OSH54" s="76"/>
      <c r="OSI54" s="76"/>
      <c r="OSJ54" s="76"/>
      <c r="OSK54" s="76"/>
      <c r="OSL54" s="76"/>
      <c r="OSM54" s="76"/>
      <c r="OSN54" s="76"/>
      <c r="OSO54" s="76"/>
      <c r="OSP54" s="76"/>
      <c r="OSQ54" s="76"/>
      <c r="OSR54" s="76"/>
      <c r="OSS54" s="76"/>
      <c r="OST54" s="76"/>
      <c r="OSU54" s="76"/>
      <c r="OSV54" s="76"/>
      <c r="OSW54" s="76"/>
      <c r="OSX54" s="76"/>
      <c r="OSY54" s="76"/>
      <c r="OSZ54" s="76"/>
      <c r="OTA54" s="76"/>
      <c r="OTB54" s="76"/>
      <c r="OTC54" s="76"/>
      <c r="OTD54" s="76"/>
      <c r="OTE54" s="76"/>
      <c r="OTF54" s="76"/>
      <c r="OTG54" s="76"/>
      <c r="OTH54" s="76"/>
      <c r="OTI54" s="76"/>
      <c r="OTJ54" s="76"/>
      <c r="OTK54" s="76"/>
      <c r="OTL54" s="76"/>
      <c r="OTM54" s="76"/>
      <c r="OTN54" s="76"/>
      <c r="OTO54" s="76"/>
      <c r="OTP54" s="76"/>
      <c r="OTQ54" s="76"/>
      <c r="OTR54" s="76"/>
      <c r="OTS54" s="76"/>
      <c r="OTT54" s="76"/>
      <c r="OTU54" s="76"/>
      <c r="OTV54" s="76"/>
      <c r="OTW54" s="76"/>
      <c r="OTX54" s="76"/>
      <c r="OTY54" s="76"/>
      <c r="OTZ54" s="76"/>
      <c r="OUA54" s="76"/>
      <c r="OUB54" s="76"/>
      <c r="OUC54" s="76"/>
      <c r="OUD54" s="76"/>
      <c r="OUE54" s="76"/>
      <c r="OUF54" s="76"/>
      <c r="OUG54" s="76"/>
      <c r="OUH54" s="76"/>
      <c r="OUI54" s="76"/>
      <c r="OUJ54" s="76"/>
      <c r="OUK54" s="76"/>
      <c r="OUL54" s="76"/>
      <c r="OUM54" s="76"/>
      <c r="OUN54" s="76"/>
      <c r="OUO54" s="76"/>
      <c r="OUP54" s="76"/>
      <c r="OUQ54" s="76"/>
      <c r="OUR54" s="76"/>
      <c r="OUS54" s="76"/>
      <c r="OUT54" s="76"/>
      <c r="OUU54" s="76"/>
      <c r="OUV54" s="76"/>
      <c r="OUW54" s="76"/>
      <c r="OUX54" s="76"/>
      <c r="OUY54" s="76"/>
      <c r="OUZ54" s="76"/>
      <c r="OVA54" s="76"/>
      <c r="OVB54" s="76"/>
      <c r="OVC54" s="76"/>
      <c r="OVD54" s="76"/>
      <c r="OVE54" s="76"/>
      <c r="OVF54" s="76"/>
      <c r="OVG54" s="76"/>
      <c r="OVH54" s="76"/>
      <c r="OVI54" s="76"/>
      <c r="OVJ54" s="76"/>
      <c r="OVK54" s="76"/>
      <c r="OVL54" s="76"/>
      <c r="OVM54" s="76"/>
      <c r="OVN54" s="76"/>
      <c r="OVO54" s="76"/>
      <c r="OVP54" s="76"/>
      <c r="OVQ54" s="76"/>
      <c r="OVR54" s="76"/>
      <c r="OVS54" s="76"/>
      <c r="OVT54" s="76"/>
      <c r="OVU54" s="76"/>
      <c r="OVV54" s="76"/>
      <c r="OVW54" s="76"/>
      <c r="OVX54" s="76"/>
      <c r="OVY54" s="76"/>
      <c r="OVZ54" s="76"/>
      <c r="OWA54" s="76"/>
      <c r="OWB54" s="76"/>
      <c r="OWC54" s="76"/>
      <c r="OWD54" s="76"/>
      <c r="OWE54" s="76"/>
      <c r="OWF54" s="76"/>
      <c r="OWG54" s="76"/>
      <c r="OWH54" s="76"/>
      <c r="OWI54" s="76"/>
      <c r="OWJ54" s="76"/>
      <c r="OWK54" s="76"/>
      <c r="OWL54" s="76"/>
      <c r="OWM54" s="76"/>
      <c r="OWN54" s="76"/>
      <c r="OWO54" s="76"/>
      <c r="OWP54" s="76"/>
      <c r="OWQ54" s="76"/>
      <c r="OWR54" s="76"/>
      <c r="OWS54" s="76"/>
      <c r="OWT54" s="76"/>
      <c r="OWU54" s="76"/>
      <c r="OWV54" s="76"/>
      <c r="OWW54" s="76"/>
      <c r="OWX54" s="76"/>
      <c r="OWY54" s="76"/>
      <c r="OWZ54" s="76"/>
      <c r="OXA54" s="76"/>
      <c r="OXB54" s="76"/>
      <c r="OXC54" s="76"/>
      <c r="OXD54" s="76"/>
      <c r="OXE54" s="76"/>
      <c r="OXF54" s="76"/>
      <c r="OXG54" s="76"/>
      <c r="OXH54" s="76"/>
      <c r="OXI54" s="76"/>
      <c r="OXJ54" s="76"/>
      <c r="OXK54" s="76"/>
      <c r="OXL54" s="76"/>
      <c r="OXM54" s="76"/>
      <c r="OXN54" s="76"/>
      <c r="OXO54" s="76"/>
      <c r="OXP54" s="76"/>
      <c r="OXQ54" s="76"/>
      <c r="OXR54" s="76"/>
      <c r="OXS54" s="76"/>
      <c r="OXT54" s="76"/>
      <c r="OXU54" s="76"/>
      <c r="OXV54" s="76"/>
      <c r="OXW54" s="76"/>
      <c r="OXX54" s="76"/>
      <c r="OXY54" s="76"/>
      <c r="OXZ54" s="76"/>
      <c r="OYA54" s="76"/>
      <c r="OYB54" s="76"/>
      <c r="OYC54" s="76"/>
      <c r="OYD54" s="76"/>
      <c r="OYE54" s="76"/>
      <c r="OYF54" s="76"/>
      <c r="OYG54" s="76"/>
      <c r="OYH54" s="76"/>
      <c r="OYI54" s="76"/>
      <c r="OYJ54" s="76"/>
      <c r="OYK54" s="76"/>
      <c r="OYL54" s="76"/>
      <c r="OYM54" s="76"/>
      <c r="OYN54" s="76"/>
      <c r="OYO54" s="76"/>
      <c r="OYP54" s="76"/>
      <c r="OYQ54" s="76"/>
      <c r="OYR54" s="76"/>
      <c r="OYS54" s="76"/>
      <c r="OYT54" s="76"/>
      <c r="OYU54" s="76"/>
      <c r="OYV54" s="76"/>
      <c r="OYW54" s="76"/>
      <c r="OYX54" s="76"/>
      <c r="OYY54" s="76"/>
      <c r="OYZ54" s="76"/>
      <c r="OZA54" s="76"/>
      <c r="OZB54" s="76"/>
      <c r="OZC54" s="76"/>
      <c r="OZD54" s="76"/>
      <c r="OZE54" s="76"/>
      <c r="OZF54" s="76"/>
      <c r="OZG54" s="76"/>
      <c r="OZH54" s="76"/>
      <c r="OZI54" s="76"/>
      <c r="OZJ54" s="76"/>
      <c r="OZK54" s="76"/>
      <c r="OZL54" s="76"/>
      <c r="OZM54" s="76"/>
      <c r="OZN54" s="76"/>
      <c r="OZO54" s="76"/>
      <c r="OZP54" s="76"/>
      <c r="OZQ54" s="76"/>
      <c r="OZR54" s="76"/>
      <c r="OZS54" s="76"/>
      <c r="OZT54" s="76"/>
      <c r="OZU54" s="76"/>
      <c r="OZV54" s="76"/>
      <c r="OZW54" s="76"/>
      <c r="OZX54" s="76"/>
      <c r="OZY54" s="76"/>
      <c r="OZZ54" s="76"/>
      <c r="PAA54" s="76"/>
      <c r="PAB54" s="76"/>
      <c r="PAC54" s="76"/>
      <c r="PAD54" s="76"/>
      <c r="PAE54" s="76"/>
      <c r="PAF54" s="76"/>
      <c r="PAG54" s="76"/>
      <c r="PAH54" s="76"/>
      <c r="PAI54" s="76"/>
      <c r="PAJ54" s="76"/>
      <c r="PAK54" s="76"/>
      <c r="PAL54" s="76"/>
      <c r="PAM54" s="76"/>
      <c r="PAN54" s="76"/>
      <c r="PAO54" s="76"/>
      <c r="PAP54" s="76"/>
      <c r="PAQ54" s="76"/>
      <c r="PAR54" s="76"/>
      <c r="PAS54" s="76"/>
      <c r="PAT54" s="76"/>
      <c r="PAU54" s="76"/>
      <c r="PAV54" s="76"/>
      <c r="PAW54" s="76"/>
      <c r="PAX54" s="76"/>
      <c r="PAY54" s="76"/>
      <c r="PAZ54" s="76"/>
      <c r="PBA54" s="76"/>
      <c r="PBB54" s="76"/>
      <c r="PBC54" s="76"/>
      <c r="PBD54" s="76"/>
      <c r="PBE54" s="76"/>
      <c r="PBF54" s="76"/>
      <c r="PBG54" s="76"/>
      <c r="PBH54" s="76"/>
      <c r="PBI54" s="76"/>
      <c r="PBJ54" s="76"/>
      <c r="PBK54" s="76"/>
      <c r="PBL54" s="76"/>
      <c r="PBM54" s="76"/>
      <c r="PBN54" s="76"/>
      <c r="PBO54" s="76"/>
      <c r="PBP54" s="76"/>
      <c r="PBQ54" s="76"/>
      <c r="PBR54" s="76"/>
      <c r="PBS54" s="76"/>
      <c r="PBT54" s="76"/>
      <c r="PBU54" s="76"/>
      <c r="PBV54" s="76"/>
      <c r="PBW54" s="76"/>
      <c r="PBX54" s="76"/>
      <c r="PBY54" s="76"/>
      <c r="PBZ54" s="76"/>
      <c r="PCA54" s="76"/>
      <c r="PCB54" s="76"/>
      <c r="PCC54" s="76"/>
      <c r="PCD54" s="76"/>
      <c r="PCE54" s="76"/>
      <c r="PCF54" s="76"/>
      <c r="PCG54" s="76"/>
      <c r="PCH54" s="76"/>
      <c r="PCI54" s="76"/>
      <c r="PCJ54" s="76"/>
      <c r="PCK54" s="76"/>
      <c r="PCL54" s="76"/>
      <c r="PCM54" s="76"/>
      <c r="PCN54" s="76"/>
      <c r="PCO54" s="76"/>
      <c r="PCP54" s="76"/>
      <c r="PCQ54" s="76"/>
      <c r="PCR54" s="76"/>
      <c r="PCS54" s="76"/>
      <c r="PCT54" s="76"/>
      <c r="PCU54" s="76"/>
      <c r="PCV54" s="76"/>
      <c r="PCW54" s="76"/>
      <c r="PCX54" s="76"/>
      <c r="PCY54" s="76"/>
      <c r="PCZ54" s="76"/>
      <c r="PDA54" s="76"/>
      <c r="PDB54" s="76"/>
      <c r="PDC54" s="76"/>
      <c r="PDD54" s="76"/>
      <c r="PDE54" s="76"/>
      <c r="PDF54" s="76"/>
      <c r="PDG54" s="76"/>
      <c r="PDH54" s="76"/>
      <c r="PDI54" s="76"/>
      <c r="PDJ54" s="76"/>
      <c r="PDK54" s="76"/>
      <c r="PDL54" s="76"/>
      <c r="PDM54" s="76"/>
      <c r="PDN54" s="76"/>
      <c r="PDO54" s="76"/>
      <c r="PDP54" s="76"/>
      <c r="PDQ54" s="76"/>
      <c r="PDR54" s="76"/>
      <c r="PDS54" s="76"/>
      <c r="PDT54" s="76"/>
      <c r="PDU54" s="76"/>
      <c r="PDV54" s="76"/>
      <c r="PDW54" s="76"/>
      <c r="PDX54" s="76"/>
      <c r="PDY54" s="76"/>
      <c r="PDZ54" s="76"/>
      <c r="PEA54" s="76"/>
      <c r="PEB54" s="76"/>
      <c r="PEC54" s="76"/>
      <c r="PED54" s="76"/>
      <c r="PEE54" s="76"/>
      <c r="PEF54" s="76"/>
      <c r="PEG54" s="76"/>
      <c r="PEH54" s="76"/>
      <c r="PEI54" s="76"/>
      <c r="PEJ54" s="76"/>
      <c r="PEK54" s="76"/>
      <c r="PEL54" s="76"/>
      <c r="PEM54" s="76"/>
      <c r="PEN54" s="76"/>
      <c r="PEO54" s="76"/>
      <c r="PEP54" s="76"/>
      <c r="PEQ54" s="76"/>
      <c r="PER54" s="76"/>
      <c r="PES54" s="76"/>
      <c r="PET54" s="76"/>
      <c r="PEU54" s="76"/>
      <c r="PEV54" s="76"/>
      <c r="PEW54" s="76"/>
      <c r="PEX54" s="76"/>
      <c r="PEY54" s="76"/>
      <c r="PEZ54" s="76"/>
      <c r="PFA54" s="76"/>
      <c r="PFB54" s="76"/>
      <c r="PFC54" s="76"/>
      <c r="PFD54" s="76"/>
      <c r="PFE54" s="76"/>
      <c r="PFF54" s="76"/>
      <c r="PFG54" s="76"/>
      <c r="PFH54" s="76"/>
      <c r="PFI54" s="76"/>
      <c r="PFJ54" s="76"/>
      <c r="PFK54" s="76"/>
      <c r="PFL54" s="76"/>
      <c r="PFM54" s="76"/>
      <c r="PFN54" s="76"/>
      <c r="PFO54" s="76"/>
      <c r="PFP54" s="76"/>
      <c r="PFQ54" s="76"/>
      <c r="PFR54" s="76"/>
      <c r="PFS54" s="76"/>
      <c r="PFT54" s="76"/>
      <c r="PFU54" s="76"/>
      <c r="PFV54" s="76"/>
      <c r="PFW54" s="76"/>
      <c r="PFX54" s="76"/>
      <c r="PFY54" s="76"/>
      <c r="PFZ54" s="76"/>
      <c r="PGA54" s="76"/>
      <c r="PGB54" s="76"/>
      <c r="PGC54" s="76"/>
      <c r="PGD54" s="76"/>
      <c r="PGE54" s="76"/>
      <c r="PGF54" s="76"/>
      <c r="PGG54" s="76"/>
      <c r="PGH54" s="76"/>
      <c r="PGI54" s="76"/>
      <c r="PGJ54" s="76"/>
      <c r="PGK54" s="76"/>
      <c r="PGL54" s="76"/>
      <c r="PGM54" s="76"/>
      <c r="PGN54" s="76"/>
      <c r="PGO54" s="76"/>
      <c r="PGP54" s="76"/>
      <c r="PGQ54" s="76"/>
      <c r="PGR54" s="76"/>
      <c r="PGS54" s="76"/>
      <c r="PGT54" s="76"/>
      <c r="PGU54" s="76"/>
      <c r="PGV54" s="76"/>
      <c r="PGW54" s="76"/>
      <c r="PGX54" s="76"/>
      <c r="PGY54" s="76"/>
      <c r="PGZ54" s="76"/>
      <c r="PHA54" s="76"/>
      <c r="PHB54" s="76"/>
      <c r="PHC54" s="76"/>
      <c r="PHD54" s="76"/>
      <c r="PHE54" s="76"/>
      <c r="PHF54" s="76"/>
      <c r="PHG54" s="76"/>
      <c r="PHH54" s="76"/>
      <c r="PHI54" s="76"/>
      <c r="PHJ54" s="76"/>
      <c r="PHK54" s="76"/>
      <c r="PHL54" s="76"/>
      <c r="PHM54" s="76"/>
      <c r="PHN54" s="76"/>
      <c r="PHO54" s="76"/>
      <c r="PHP54" s="76"/>
      <c r="PHQ54" s="76"/>
      <c r="PHR54" s="76"/>
      <c r="PHS54" s="76"/>
      <c r="PHT54" s="76"/>
      <c r="PHU54" s="76"/>
      <c r="PHV54" s="76"/>
      <c r="PHW54" s="76"/>
      <c r="PHX54" s="76"/>
      <c r="PHY54" s="76"/>
      <c r="PHZ54" s="76"/>
      <c r="PIA54" s="76"/>
      <c r="PIB54" s="76"/>
      <c r="PIC54" s="76"/>
      <c r="PID54" s="76"/>
      <c r="PIE54" s="76"/>
      <c r="PIF54" s="76"/>
      <c r="PIG54" s="76"/>
      <c r="PIH54" s="76"/>
      <c r="PII54" s="76"/>
      <c r="PIJ54" s="76"/>
      <c r="PIK54" s="76"/>
      <c r="PIL54" s="76"/>
      <c r="PIM54" s="76"/>
      <c r="PIN54" s="76"/>
      <c r="PIO54" s="76"/>
      <c r="PIP54" s="76"/>
      <c r="PIQ54" s="76"/>
      <c r="PIR54" s="76"/>
      <c r="PIS54" s="76"/>
      <c r="PIT54" s="76"/>
      <c r="PIU54" s="76"/>
      <c r="PIV54" s="76"/>
      <c r="PIW54" s="76"/>
      <c r="PIX54" s="76"/>
      <c r="PIY54" s="76"/>
      <c r="PIZ54" s="76"/>
      <c r="PJA54" s="76"/>
      <c r="PJB54" s="76"/>
      <c r="PJC54" s="76"/>
      <c r="PJD54" s="76"/>
      <c r="PJE54" s="76"/>
      <c r="PJF54" s="76"/>
      <c r="PJG54" s="76"/>
      <c r="PJH54" s="76"/>
      <c r="PJI54" s="76"/>
      <c r="PJJ54" s="76"/>
      <c r="PJK54" s="76"/>
      <c r="PJL54" s="76"/>
      <c r="PJM54" s="76"/>
      <c r="PJN54" s="76"/>
      <c r="PJO54" s="76"/>
      <c r="PJP54" s="76"/>
      <c r="PJQ54" s="76"/>
      <c r="PJR54" s="76"/>
      <c r="PJS54" s="76"/>
      <c r="PJT54" s="76"/>
      <c r="PJU54" s="76"/>
      <c r="PJV54" s="76"/>
      <c r="PJW54" s="76"/>
      <c r="PJX54" s="76"/>
      <c r="PJY54" s="76"/>
      <c r="PJZ54" s="76"/>
      <c r="PKA54" s="76"/>
      <c r="PKB54" s="76"/>
      <c r="PKC54" s="76"/>
      <c r="PKD54" s="76"/>
      <c r="PKE54" s="76"/>
      <c r="PKF54" s="76"/>
      <c r="PKG54" s="76"/>
      <c r="PKH54" s="76"/>
      <c r="PKI54" s="76"/>
      <c r="PKJ54" s="76"/>
      <c r="PKK54" s="76"/>
      <c r="PKL54" s="76"/>
      <c r="PKM54" s="76"/>
      <c r="PKN54" s="76"/>
      <c r="PKO54" s="76"/>
      <c r="PKP54" s="76"/>
      <c r="PKQ54" s="76"/>
      <c r="PKR54" s="76"/>
      <c r="PKS54" s="76"/>
      <c r="PKT54" s="76"/>
      <c r="PKU54" s="76"/>
      <c r="PKV54" s="76"/>
      <c r="PKW54" s="76"/>
      <c r="PKX54" s="76"/>
      <c r="PKY54" s="76"/>
      <c r="PKZ54" s="76"/>
      <c r="PLA54" s="76"/>
      <c r="PLB54" s="76"/>
      <c r="PLC54" s="76"/>
      <c r="PLD54" s="76"/>
      <c r="PLE54" s="76"/>
      <c r="PLF54" s="76"/>
      <c r="PLG54" s="76"/>
      <c r="PLH54" s="76"/>
      <c r="PLI54" s="76"/>
      <c r="PLJ54" s="76"/>
      <c r="PLK54" s="76"/>
      <c r="PLL54" s="76"/>
      <c r="PLM54" s="76"/>
      <c r="PLN54" s="76"/>
      <c r="PLO54" s="76"/>
      <c r="PLP54" s="76"/>
      <c r="PLQ54" s="76"/>
      <c r="PLR54" s="76"/>
      <c r="PLS54" s="76"/>
      <c r="PLT54" s="76"/>
      <c r="PLU54" s="76"/>
      <c r="PLV54" s="76"/>
      <c r="PLW54" s="76"/>
      <c r="PLX54" s="76"/>
      <c r="PLY54" s="76"/>
      <c r="PLZ54" s="76"/>
      <c r="PMA54" s="76"/>
      <c r="PMB54" s="76"/>
      <c r="PMC54" s="76"/>
      <c r="PMD54" s="76"/>
      <c r="PME54" s="76"/>
      <c r="PMF54" s="76"/>
      <c r="PMG54" s="76"/>
      <c r="PMH54" s="76"/>
      <c r="PMI54" s="76"/>
      <c r="PMJ54" s="76"/>
      <c r="PMK54" s="76"/>
      <c r="PML54" s="76"/>
      <c r="PMM54" s="76"/>
      <c r="PMN54" s="76"/>
      <c r="PMO54" s="76"/>
      <c r="PMP54" s="76"/>
      <c r="PMQ54" s="76"/>
      <c r="PMR54" s="76"/>
      <c r="PMS54" s="76"/>
      <c r="PMT54" s="76"/>
      <c r="PMU54" s="76"/>
      <c r="PMV54" s="76"/>
      <c r="PMW54" s="76"/>
      <c r="PMX54" s="76"/>
      <c r="PMY54" s="76"/>
      <c r="PMZ54" s="76"/>
      <c r="PNA54" s="76"/>
      <c r="PNB54" s="76"/>
      <c r="PNC54" s="76"/>
      <c r="PND54" s="76"/>
      <c r="PNE54" s="76"/>
      <c r="PNF54" s="76"/>
      <c r="PNG54" s="76"/>
      <c r="PNH54" s="76"/>
      <c r="PNI54" s="76"/>
      <c r="PNJ54" s="76"/>
      <c r="PNK54" s="76"/>
      <c r="PNL54" s="76"/>
      <c r="PNM54" s="76"/>
      <c r="PNN54" s="76"/>
      <c r="PNO54" s="76"/>
      <c r="PNP54" s="76"/>
      <c r="PNQ54" s="76"/>
      <c r="PNR54" s="76"/>
      <c r="PNS54" s="76"/>
      <c r="PNT54" s="76"/>
      <c r="PNU54" s="76"/>
      <c r="PNV54" s="76"/>
      <c r="PNW54" s="76"/>
      <c r="PNX54" s="76"/>
      <c r="PNY54" s="76"/>
      <c r="PNZ54" s="76"/>
      <c r="POA54" s="76"/>
      <c r="POB54" s="76"/>
      <c r="POC54" s="76"/>
      <c r="POD54" s="76"/>
      <c r="POE54" s="76"/>
      <c r="POF54" s="76"/>
      <c r="POG54" s="76"/>
      <c r="POH54" s="76"/>
      <c r="POI54" s="76"/>
      <c r="POJ54" s="76"/>
      <c r="POK54" s="76"/>
      <c r="POL54" s="76"/>
      <c r="POM54" s="76"/>
      <c r="PON54" s="76"/>
      <c r="POO54" s="76"/>
      <c r="POP54" s="76"/>
      <c r="POQ54" s="76"/>
      <c r="POR54" s="76"/>
      <c r="POS54" s="76"/>
      <c r="POT54" s="76"/>
      <c r="POU54" s="76"/>
      <c r="POV54" s="76"/>
      <c r="POW54" s="76"/>
      <c r="POX54" s="76"/>
      <c r="POY54" s="76"/>
      <c r="POZ54" s="76"/>
      <c r="PPA54" s="76"/>
      <c r="PPB54" s="76"/>
      <c r="PPC54" s="76"/>
      <c r="PPD54" s="76"/>
      <c r="PPE54" s="76"/>
      <c r="PPF54" s="76"/>
      <c r="PPG54" s="76"/>
      <c r="PPH54" s="76"/>
      <c r="PPI54" s="76"/>
      <c r="PPJ54" s="76"/>
      <c r="PPK54" s="76"/>
      <c r="PPL54" s="76"/>
      <c r="PPM54" s="76"/>
      <c r="PPN54" s="76"/>
      <c r="PPO54" s="76"/>
      <c r="PPP54" s="76"/>
      <c r="PPQ54" s="76"/>
      <c r="PPR54" s="76"/>
      <c r="PPS54" s="76"/>
      <c r="PPT54" s="76"/>
      <c r="PPU54" s="76"/>
      <c r="PPV54" s="76"/>
      <c r="PPW54" s="76"/>
      <c r="PPX54" s="76"/>
      <c r="PPY54" s="76"/>
      <c r="PPZ54" s="76"/>
      <c r="PQA54" s="76"/>
      <c r="PQB54" s="76"/>
      <c r="PQC54" s="76"/>
      <c r="PQD54" s="76"/>
      <c r="PQE54" s="76"/>
      <c r="PQF54" s="76"/>
      <c r="PQG54" s="76"/>
      <c r="PQH54" s="76"/>
      <c r="PQI54" s="76"/>
      <c r="PQJ54" s="76"/>
      <c r="PQK54" s="76"/>
      <c r="PQL54" s="76"/>
      <c r="PQM54" s="76"/>
      <c r="PQN54" s="76"/>
      <c r="PQO54" s="76"/>
      <c r="PQP54" s="76"/>
      <c r="PQQ54" s="76"/>
      <c r="PQR54" s="76"/>
      <c r="PQS54" s="76"/>
      <c r="PQT54" s="76"/>
      <c r="PQU54" s="76"/>
      <c r="PQV54" s="76"/>
      <c r="PQW54" s="76"/>
      <c r="PQX54" s="76"/>
      <c r="PQY54" s="76"/>
      <c r="PQZ54" s="76"/>
      <c r="PRA54" s="76"/>
      <c r="PRB54" s="76"/>
      <c r="PRC54" s="76"/>
      <c r="PRD54" s="76"/>
      <c r="PRE54" s="76"/>
      <c r="PRF54" s="76"/>
      <c r="PRG54" s="76"/>
      <c r="PRH54" s="76"/>
      <c r="PRI54" s="76"/>
      <c r="PRJ54" s="76"/>
      <c r="PRK54" s="76"/>
      <c r="PRL54" s="76"/>
      <c r="PRM54" s="76"/>
      <c r="PRN54" s="76"/>
      <c r="PRO54" s="76"/>
      <c r="PRP54" s="76"/>
      <c r="PRQ54" s="76"/>
      <c r="PRR54" s="76"/>
      <c r="PRS54" s="76"/>
      <c r="PRT54" s="76"/>
      <c r="PRU54" s="76"/>
      <c r="PRV54" s="76"/>
      <c r="PRW54" s="76"/>
      <c r="PRX54" s="76"/>
      <c r="PRY54" s="76"/>
      <c r="PRZ54" s="76"/>
      <c r="PSA54" s="76"/>
      <c r="PSB54" s="76"/>
      <c r="PSC54" s="76"/>
      <c r="PSD54" s="76"/>
      <c r="PSE54" s="76"/>
      <c r="PSF54" s="76"/>
      <c r="PSG54" s="76"/>
      <c r="PSH54" s="76"/>
      <c r="PSI54" s="76"/>
      <c r="PSJ54" s="76"/>
      <c r="PSK54" s="76"/>
      <c r="PSL54" s="76"/>
      <c r="PSM54" s="76"/>
      <c r="PSN54" s="76"/>
      <c r="PSO54" s="76"/>
      <c r="PSP54" s="76"/>
      <c r="PSQ54" s="76"/>
      <c r="PSR54" s="76"/>
      <c r="PSS54" s="76"/>
      <c r="PST54" s="76"/>
      <c r="PSU54" s="76"/>
      <c r="PSV54" s="76"/>
      <c r="PSW54" s="76"/>
      <c r="PSX54" s="76"/>
      <c r="PSY54" s="76"/>
      <c r="PSZ54" s="76"/>
      <c r="PTA54" s="76"/>
      <c r="PTB54" s="76"/>
      <c r="PTC54" s="76"/>
      <c r="PTD54" s="76"/>
      <c r="PTE54" s="76"/>
      <c r="PTF54" s="76"/>
      <c r="PTG54" s="76"/>
      <c r="PTH54" s="76"/>
      <c r="PTI54" s="76"/>
      <c r="PTJ54" s="76"/>
      <c r="PTK54" s="76"/>
      <c r="PTL54" s="76"/>
      <c r="PTM54" s="76"/>
      <c r="PTN54" s="76"/>
      <c r="PTO54" s="76"/>
      <c r="PTP54" s="76"/>
      <c r="PTQ54" s="76"/>
      <c r="PTR54" s="76"/>
      <c r="PTS54" s="76"/>
      <c r="PTT54" s="76"/>
      <c r="PTU54" s="76"/>
      <c r="PTV54" s="76"/>
      <c r="PTW54" s="76"/>
      <c r="PTX54" s="76"/>
      <c r="PTY54" s="76"/>
      <c r="PTZ54" s="76"/>
      <c r="PUA54" s="76"/>
      <c r="PUB54" s="76"/>
      <c r="PUC54" s="76"/>
      <c r="PUD54" s="76"/>
      <c r="PUE54" s="76"/>
      <c r="PUF54" s="76"/>
      <c r="PUG54" s="76"/>
      <c r="PUH54" s="76"/>
      <c r="PUI54" s="76"/>
      <c r="PUJ54" s="76"/>
      <c r="PUK54" s="76"/>
      <c r="PUL54" s="76"/>
      <c r="PUM54" s="76"/>
      <c r="PUN54" s="76"/>
      <c r="PUO54" s="76"/>
      <c r="PUP54" s="76"/>
      <c r="PUQ54" s="76"/>
      <c r="PUR54" s="76"/>
      <c r="PUS54" s="76"/>
      <c r="PUT54" s="76"/>
      <c r="PUU54" s="76"/>
      <c r="PUV54" s="76"/>
      <c r="PUW54" s="76"/>
      <c r="PUX54" s="76"/>
      <c r="PUY54" s="76"/>
      <c r="PUZ54" s="76"/>
      <c r="PVA54" s="76"/>
      <c r="PVB54" s="76"/>
      <c r="PVC54" s="76"/>
      <c r="PVD54" s="76"/>
      <c r="PVE54" s="76"/>
      <c r="PVF54" s="76"/>
      <c r="PVG54" s="76"/>
      <c r="PVH54" s="76"/>
      <c r="PVI54" s="76"/>
      <c r="PVJ54" s="76"/>
      <c r="PVK54" s="76"/>
      <c r="PVL54" s="76"/>
      <c r="PVM54" s="76"/>
      <c r="PVN54" s="76"/>
      <c r="PVO54" s="76"/>
      <c r="PVP54" s="76"/>
      <c r="PVQ54" s="76"/>
      <c r="PVR54" s="76"/>
      <c r="PVS54" s="76"/>
      <c r="PVT54" s="76"/>
      <c r="PVU54" s="76"/>
      <c r="PVV54" s="76"/>
      <c r="PVW54" s="76"/>
      <c r="PVX54" s="76"/>
      <c r="PVY54" s="76"/>
      <c r="PVZ54" s="76"/>
      <c r="PWA54" s="76"/>
      <c r="PWB54" s="76"/>
      <c r="PWC54" s="76"/>
      <c r="PWD54" s="76"/>
      <c r="PWE54" s="76"/>
      <c r="PWF54" s="76"/>
      <c r="PWG54" s="76"/>
      <c r="PWH54" s="76"/>
      <c r="PWI54" s="76"/>
      <c r="PWJ54" s="76"/>
      <c r="PWK54" s="76"/>
      <c r="PWL54" s="76"/>
      <c r="PWM54" s="76"/>
      <c r="PWN54" s="76"/>
      <c r="PWO54" s="76"/>
      <c r="PWP54" s="76"/>
      <c r="PWQ54" s="76"/>
      <c r="PWR54" s="76"/>
      <c r="PWS54" s="76"/>
      <c r="PWT54" s="76"/>
      <c r="PWU54" s="76"/>
      <c r="PWV54" s="76"/>
      <c r="PWW54" s="76"/>
      <c r="PWX54" s="76"/>
      <c r="PWY54" s="76"/>
      <c r="PWZ54" s="76"/>
      <c r="PXA54" s="76"/>
      <c r="PXB54" s="76"/>
      <c r="PXC54" s="76"/>
      <c r="PXD54" s="76"/>
      <c r="PXE54" s="76"/>
      <c r="PXF54" s="76"/>
      <c r="PXG54" s="76"/>
      <c r="PXH54" s="76"/>
      <c r="PXI54" s="76"/>
      <c r="PXJ54" s="76"/>
      <c r="PXK54" s="76"/>
      <c r="PXL54" s="76"/>
      <c r="PXM54" s="76"/>
      <c r="PXN54" s="76"/>
      <c r="PXO54" s="76"/>
      <c r="PXP54" s="76"/>
      <c r="PXQ54" s="76"/>
      <c r="PXR54" s="76"/>
      <c r="PXS54" s="76"/>
      <c r="PXT54" s="76"/>
      <c r="PXU54" s="76"/>
      <c r="PXV54" s="76"/>
      <c r="PXW54" s="76"/>
      <c r="PXX54" s="76"/>
      <c r="PXY54" s="76"/>
      <c r="PXZ54" s="76"/>
      <c r="PYA54" s="76"/>
      <c r="PYB54" s="76"/>
      <c r="PYC54" s="76"/>
      <c r="PYD54" s="76"/>
      <c r="PYE54" s="76"/>
      <c r="PYF54" s="76"/>
      <c r="PYG54" s="76"/>
      <c r="PYH54" s="76"/>
      <c r="PYI54" s="76"/>
      <c r="PYJ54" s="76"/>
      <c r="PYK54" s="76"/>
      <c r="PYL54" s="76"/>
      <c r="PYM54" s="76"/>
      <c r="PYN54" s="76"/>
      <c r="PYO54" s="76"/>
      <c r="PYP54" s="76"/>
      <c r="PYQ54" s="76"/>
      <c r="PYR54" s="76"/>
      <c r="PYS54" s="76"/>
      <c r="PYT54" s="76"/>
      <c r="PYU54" s="76"/>
      <c r="PYV54" s="76"/>
      <c r="PYW54" s="76"/>
      <c r="PYX54" s="76"/>
      <c r="PYY54" s="76"/>
      <c r="PYZ54" s="76"/>
      <c r="PZA54" s="76"/>
      <c r="PZB54" s="76"/>
      <c r="PZC54" s="76"/>
      <c r="PZD54" s="76"/>
      <c r="PZE54" s="76"/>
      <c r="PZF54" s="76"/>
      <c r="PZG54" s="76"/>
      <c r="PZH54" s="76"/>
      <c r="PZI54" s="76"/>
      <c r="PZJ54" s="76"/>
      <c r="PZK54" s="76"/>
      <c r="PZL54" s="76"/>
      <c r="PZM54" s="76"/>
      <c r="PZN54" s="76"/>
      <c r="PZO54" s="76"/>
      <c r="PZP54" s="76"/>
      <c r="PZQ54" s="76"/>
      <c r="PZR54" s="76"/>
      <c r="PZS54" s="76"/>
      <c r="PZT54" s="76"/>
      <c r="PZU54" s="76"/>
      <c r="PZV54" s="76"/>
      <c r="PZW54" s="76"/>
      <c r="PZX54" s="76"/>
      <c r="PZY54" s="76"/>
      <c r="PZZ54" s="76"/>
      <c r="QAA54" s="76"/>
      <c r="QAB54" s="76"/>
      <c r="QAC54" s="76"/>
      <c r="QAD54" s="76"/>
      <c r="QAE54" s="76"/>
      <c r="QAF54" s="76"/>
      <c r="QAG54" s="76"/>
      <c r="QAH54" s="76"/>
      <c r="QAI54" s="76"/>
      <c r="QAJ54" s="76"/>
      <c r="QAK54" s="76"/>
      <c r="QAL54" s="76"/>
      <c r="QAM54" s="76"/>
      <c r="QAN54" s="76"/>
      <c r="QAO54" s="76"/>
      <c r="QAP54" s="76"/>
      <c r="QAQ54" s="76"/>
      <c r="QAR54" s="76"/>
      <c r="QAS54" s="76"/>
      <c r="QAT54" s="76"/>
      <c r="QAU54" s="76"/>
      <c r="QAV54" s="76"/>
      <c r="QAW54" s="76"/>
      <c r="QAX54" s="76"/>
      <c r="QAY54" s="76"/>
      <c r="QAZ54" s="76"/>
      <c r="QBA54" s="76"/>
      <c r="QBB54" s="76"/>
      <c r="QBC54" s="76"/>
      <c r="QBD54" s="76"/>
      <c r="QBE54" s="76"/>
      <c r="QBF54" s="76"/>
      <c r="QBG54" s="76"/>
      <c r="QBH54" s="76"/>
      <c r="QBI54" s="76"/>
      <c r="QBJ54" s="76"/>
      <c r="QBK54" s="76"/>
      <c r="QBL54" s="76"/>
      <c r="QBM54" s="76"/>
      <c r="QBN54" s="76"/>
      <c r="QBO54" s="76"/>
      <c r="QBP54" s="76"/>
      <c r="QBQ54" s="76"/>
      <c r="QBR54" s="76"/>
      <c r="QBS54" s="76"/>
      <c r="QBT54" s="76"/>
      <c r="QBU54" s="76"/>
      <c r="QBV54" s="76"/>
      <c r="QBW54" s="76"/>
      <c r="QBX54" s="76"/>
      <c r="QBY54" s="76"/>
      <c r="QBZ54" s="76"/>
      <c r="QCA54" s="76"/>
      <c r="QCB54" s="76"/>
      <c r="QCC54" s="76"/>
      <c r="QCD54" s="76"/>
      <c r="QCE54" s="76"/>
      <c r="QCF54" s="76"/>
      <c r="QCG54" s="76"/>
      <c r="QCH54" s="76"/>
      <c r="QCI54" s="76"/>
      <c r="QCJ54" s="76"/>
      <c r="QCK54" s="76"/>
      <c r="QCL54" s="76"/>
      <c r="QCM54" s="76"/>
      <c r="QCN54" s="76"/>
      <c r="QCO54" s="76"/>
      <c r="QCP54" s="76"/>
      <c r="QCQ54" s="76"/>
      <c r="QCR54" s="76"/>
      <c r="QCS54" s="76"/>
      <c r="QCT54" s="76"/>
      <c r="QCU54" s="76"/>
      <c r="QCV54" s="76"/>
      <c r="QCW54" s="76"/>
      <c r="QCX54" s="76"/>
      <c r="QCY54" s="76"/>
      <c r="QCZ54" s="76"/>
      <c r="QDA54" s="76"/>
      <c r="QDB54" s="76"/>
      <c r="QDC54" s="76"/>
      <c r="QDD54" s="76"/>
      <c r="QDE54" s="76"/>
      <c r="QDF54" s="76"/>
      <c r="QDG54" s="76"/>
      <c r="QDH54" s="76"/>
      <c r="QDI54" s="76"/>
      <c r="QDJ54" s="76"/>
      <c r="QDK54" s="76"/>
      <c r="QDL54" s="76"/>
      <c r="QDM54" s="76"/>
      <c r="QDN54" s="76"/>
      <c r="QDO54" s="76"/>
      <c r="QDP54" s="76"/>
      <c r="QDQ54" s="76"/>
      <c r="QDR54" s="76"/>
      <c r="QDS54" s="76"/>
      <c r="QDT54" s="76"/>
      <c r="QDU54" s="76"/>
      <c r="QDV54" s="76"/>
      <c r="QDW54" s="76"/>
      <c r="QDX54" s="76"/>
      <c r="QDY54" s="76"/>
      <c r="QDZ54" s="76"/>
      <c r="QEA54" s="76"/>
      <c r="QEB54" s="76"/>
      <c r="QEC54" s="76"/>
      <c r="QED54" s="76"/>
      <c r="QEE54" s="76"/>
      <c r="QEF54" s="76"/>
      <c r="QEG54" s="76"/>
      <c r="QEH54" s="76"/>
      <c r="QEI54" s="76"/>
      <c r="QEJ54" s="76"/>
      <c r="QEK54" s="76"/>
      <c r="QEL54" s="76"/>
      <c r="QEM54" s="76"/>
      <c r="QEN54" s="76"/>
      <c r="QEO54" s="76"/>
      <c r="QEP54" s="76"/>
      <c r="QEQ54" s="76"/>
      <c r="QER54" s="76"/>
      <c r="QES54" s="76"/>
      <c r="QET54" s="76"/>
      <c r="QEU54" s="76"/>
      <c r="QEV54" s="76"/>
      <c r="QEW54" s="76"/>
      <c r="QEX54" s="76"/>
      <c r="QEY54" s="76"/>
      <c r="QEZ54" s="76"/>
      <c r="QFA54" s="76"/>
      <c r="QFB54" s="76"/>
      <c r="QFC54" s="76"/>
      <c r="QFD54" s="76"/>
      <c r="QFE54" s="76"/>
      <c r="QFF54" s="76"/>
      <c r="QFG54" s="76"/>
      <c r="QFH54" s="76"/>
      <c r="QFI54" s="76"/>
      <c r="QFJ54" s="76"/>
      <c r="QFK54" s="76"/>
      <c r="QFL54" s="76"/>
      <c r="QFM54" s="76"/>
      <c r="QFN54" s="76"/>
      <c r="QFO54" s="76"/>
      <c r="QFP54" s="76"/>
      <c r="QFQ54" s="76"/>
      <c r="QFR54" s="76"/>
      <c r="QFS54" s="76"/>
      <c r="QFT54" s="76"/>
      <c r="QFU54" s="76"/>
      <c r="QFV54" s="76"/>
      <c r="QFW54" s="76"/>
      <c r="QFX54" s="76"/>
      <c r="QFY54" s="76"/>
      <c r="QFZ54" s="76"/>
      <c r="QGA54" s="76"/>
      <c r="QGB54" s="76"/>
      <c r="QGC54" s="76"/>
      <c r="QGD54" s="76"/>
      <c r="QGE54" s="76"/>
      <c r="QGF54" s="76"/>
      <c r="QGG54" s="76"/>
      <c r="QGH54" s="76"/>
      <c r="QGI54" s="76"/>
      <c r="QGJ54" s="76"/>
      <c r="QGK54" s="76"/>
      <c r="QGL54" s="76"/>
      <c r="QGM54" s="76"/>
      <c r="QGN54" s="76"/>
      <c r="QGO54" s="76"/>
      <c r="QGP54" s="76"/>
      <c r="QGQ54" s="76"/>
      <c r="QGR54" s="76"/>
      <c r="QGS54" s="76"/>
      <c r="QGT54" s="76"/>
      <c r="QGU54" s="76"/>
      <c r="QGV54" s="76"/>
      <c r="QGW54" s="76"/>
      <c r="QGX54" s="76"/>
      <c r="QGY54" s="76"/>
      <c r="QGZ54" s="76"/>
      <c r="QHA54" s="76"/>
      <c r="QHB54" s="76"/>
      <c r="QHC54" s="76"/>
      <c r="QHD54" s="76"/>
      <c r="QHE54" s="76"/>
      <c r="QHF54" s="76"/>
      <c r="QHG54" s="76"/>
      <c r="QHH54" s="76"/>
      <c r="QHI54" s="76"/>
      <c r="QHJ54" s="76"/>
      <c r="QHK54" s="76"/>
      <c r="QHL54" s="76"/>
      <c r="QHM54" s="76"/>
      <c r="QHN54" s="76"/>
      <c r="QHO54" s="76"/>
      <c r="QHP54" s="76"/>
      <c r="QHQ54" s="76"/>
      <c r="QHR54" s="76"/>
      <c r="QHS54" s="76"/>
      <c r="QHT54" s="76"/>
      <c r="QHU54" s="76"/>
      <c r="QHV54" s="76"/>
      <c r="QHW54" s="76"/>
      <c r="QHX54" s="76"/>
      <c r="QHY54" s="76"/>
      <c r="QHZ54" s="76"/>
      <c r="QIA54" s="76"/>
      <c r="QIB54" s="76"/>
      <c r="QIC54" s="76"/>
      <c r="QID54" s="76"/>
      <c r="QIE54" s="76"/>
      <c r="QIF54" s="76"/>
      <c r="QIG54" s="76"/>
      <c r="QIH54" s="76"/>
      <c r="QII54" s="76"/>
      <c r="QIJ54" s="76"/>
      <c r="QIK54" s="76"/>
      <c r="QIL54" s="76"/>
      <c r="QIM54" s="76"/>
      <c r="QIN54" s="76"/>
      <c r="QIO54" s="76"/>
      <c r="QIP54" s="76"/>
      <c r="QIQ54" s="76"/>
      <c r="QIR54" s="76"/>
      <c r="QIS54" s="76"/>
      <c r="QIT54" s="76"/>
      <c r="QIU54" s="76"/>
      <c r="QIV54" s="76"/>
      <c r="QIW54" s="76"/>
      <c r="QIX54" s="76"/>
      <c r="QIY54" s="76"/>
      <c r="QIZ54" s="76"/>
      <c r="QJA54" s="76"/>
      <c r="QJB54" s="76"/>
      <c r="QJC54" s="76"/>
      <c r="QJD54" s="76"/>
      <c r="QJE54" s="76"/>
      <c r="QJF54" s="76"/>
      <c r="QJG54" s="76"/>
      <c r="QJH54" s="76"/>
      <c r="QJI54" s="76"/>
      <c r="QJJ54" s="76"/>
      <c r="QJK54" s="76"/>
      <c r="QJL54" s="76"/>
      <c r="QJM54" s="76"/>
      <c r="QJN54" s="76"/>
      <c r="QJO54" s="76"/>
      <c r="QJP54" s="76"/>
      <c r="QJQ54" s="76"/>
      <c r="QJR54" s="76"/>
      <c r="QJS54" s="76"/>
      <c r="QJT54" s="76"/>
      <c r="QJU54" s="76"/>
      <c r="QJV54" s="76"/>
      <c r="QJW54" s="76"/>
      <c r="QJX54" s="76"/>
      <c r="QJY54" s="76"/>
      <c r="QJZ54" s="76"/>
      <c r="QKA54" s="76"/>
      <c r="QKB54" s="76"/>
      <c r="QKC54" s="76"/>
      <c r="QKD54" s="76"/>
      <c r="QKE54" s="76"/>
      <c r="QKF54" s="76"/>
      <c r="QKG54" s="76"/>
      <c r="QKH54" s="76"/>
      <c r="QKI54" s="76"/>
      <c r="QKJ54" s="76"/>
      <c r="QKK54" s="76"/>
      <c r="QKL54" s="76"/>
      <c r="QKM54" s="76"/>
      <c r="QKN54" s="76"/>
      <c r="QKO54" s="76"/>
      <c r="QKP54" s="76"/>
      <c r="QKQ54" s="76"/>
      <c r="QKR54" s="76"/>
      <c r="QKS54" s="76"/>
      <c r="QKT54" s="76"/>
      <c r="QKU54" s="76"/>
      <c r="QKV54" s="76"/>
      <c r="QKW54" s="76"/>
      <c r="QKX54" s="76"/>
      <c r="QKY54" s="76"/>
      <c r="QKZ54" s="76"/>
      <c r="QLA54" s="76"/>
      <c r="QLB54" s="76"/>
      <c r="QLC54" s="76"/>
      <c r="QLD54" s="76"/>
      <c r="QLE54" s="76"/>
      <c r="QLF54" s="76"/>
      <c r="QLG54" s="76"/>
      <c r="QLH54" s="76"/>
      <c r="QLI54" s="76"/>
      <c r="QLJ54" s="76"/>
      <c r="QLK54" s="76"/>
      <c r="QLL54" s="76"/>
      <c r="QLM54" s="76"/>
      <c r="QLN54" s="76"/>
      <c r="QLO54" s="76"/>
      <c r="QLP54" s="76"/>
      <c r="QLQ54" s="76"/>
      <c r="QLR54" s="76"/>
      <c r="QLS54" s="76"/>
      <c r="QLT54" s="76"/>
      <c r="QLU54" s="76"/>
      <c r="QLV54" s="76"/>
      <c r="QLW54" s="76"/>
      <c r="QLX54" s="76"/>
      <c r="QLY54" s="76"/>
      <c r="QLZ54" s="76"/>
      <c r="QMA54" s="76"/>
      <c r="QMB54" s="76"/>
      <c r="QMC54" s="76"/>
      <c r="QMD54" s="76"/>
      <c r="QME54" s="76"/>
      <c r="QMF54" s="76"/>
      <c r="QMG54" s="76"/>
      <c r="QMH54" s="76"/>
      <c r="QMI54" s="76"/>
      <c r="QMJ54" s="76"/>
      <c r="QMK54" s="76"/>
      <c r="QML54" s="76"/>
      <c r="QMM54" s="76"/>
      <c r="QMN54" s="76"/>
      <c r="QMO54" s="76"/>
      <c r="QMP54" s="76"/>
      <c r="QMQ54" s="76"/>
      <c r="QMR54" s="76"/>
      <c r="QMS54" s="76"/>
      <c r="QMT54" s="76"/>
      <c r="QMU54" s="76"/>
      <c r="QMV54" s="76"/>
      <c r="QMW54" s="76"/>
      <c r="QMX54" s="76"/>
      <c r="QMY54" s="76"/>
      <c r="QMZ54" s="76"/>
      <c r="QNA54" s="76"/>
      <c r="QNB54" s="76"/>
      <c r="QNC54" s="76"/>
      <c r="QND54" s="76"/>
      <c r="QNE54" s="76"/>
      <c r="QNF54" s="76"/>
      <c r="QNG54" s="76"/>
      <c r="QNH54" s="76"/>
      <c r="QNI54" s="76"/>
      <c r="QNJ54" s="76"/>
      <c r="QNK54" s="76"/>
      <c r="QNL54" s="76"/>
      <c r="QNM54" s="76"/>
      <c r="QNN54" s="76"/>
      <c r="QNO54" s="76"/>
      <c r="QNP54" s="76"/>
      <c r="QNQ54" s="76"/>
      <c r="QNR54" s="76"/>
      <c r="QNS54" s="76"/>
      <c r="QNT54" s="76"/>
      <c r="QNU54" s="76"/>
      <c r="QNV54" s="76"/>
      <c r="QNW54" s="76"/>
      <c r="QNX54" s="76"/>
      <c r="QNY54" s="76"/>
      <c r="QNZ54" s="76"/>
      <c r="QOA54" s="76"/>
      <c r="QOB54" s="76"/>
      <c r="QOC54" s="76"/>
      <c r="QOD54" s="76"/>
      <c r="QOE54" s="76"/>
      <c r="QOF54" s="76"/>
      <c r="QOG54" s="76"/>
      <c r="QOH54" s="76"/>
      <c r="QOI54" s="76"/>
      <c r="QOJ54" s="76"/>
      <c r="QOK54" s="76"/>
      <c r="QOL54" s="76"/>
      <c r="QOM54" s="76"/>
      <c r="QON54" s="76"/>
      <c r="QOO54" s="76"/>
      <c r="QOP54" s="76"/>
      <c r="QOQ54" s="76"/>
      <c r="QOR54" s="76"/>
      <c r="QOS54" s="76"/>
      <c r="QOT54" s="76"/>
      <c r="QOU54" s="76"/>
      <c r="QOV54" s="76"/>
      <c r="QOW54" s="76"/>
      <c r="QOX54" s="76"/>
      <c r="QOY54" s="76"/>
      <c r="QOZ54" s="76"/>
      <c r="QPA54" s="76"/>
      <c r="QPB54" s="76"/>
      <c r="QPC54" s="76"/>
      <c r="QPD54" s="76"/>
      <c r="QPE54" s="76"/>
      <c r="QPF54" s="76"/>
      <c r="QPG54" s="76"/>
      <c r="QPH54" s="76"/>
      <c r="QPI54" s="76"/>
      <c r="QPJ54" s="76"/>
      <c r="QPK54" s="76"/>
      <c r="QPL54" s="76"/>
      <c r="QPM54" s="76"/>
      <c r="QPN54" s="76"/>
      <c r="QPO54" s="76"/>
      <c r="QPP54" s="76"/>
      <c r="QPQ54" s="76"/>
      <c r="QPR54" s="76"/>
      <c r="QPS54" s="76"/>
      <c r="QPT54" s="76"/>
      <c r="QPU54" s="76"/>
      <c r="QPV54" s="76"/>
      <c r="QPW54" s="76"/>
      <c r="QPX54" s="76"/>
      <c r="QPY54" s="76"/>
      <c r="QPZ54" s="76"/>
      <c r="QQA54" s="76"/>
      <c r="QQB54" s="76"/>
      <c r="QQC54" s="76"/>
      <c r="QQD54" s="76"/>
      <c r="QQE54" s="76"/>
      <c r="QQF54" s="76"/>
      <c r="QQG54" s="76"/>
      <c r="QQH54" s="76"/>
      <c r="QQI54" s="76"/>
      <c r="QQJ54" s="76"/>
      <c r="QQK54" s="76"/>
      <c r="QQL54" s="76"/>
      <c r="QQM54" s="76"/>
      <c r="QQN54" s="76"/>
      <c r="QQO54" s="76"/>
      <c r="QQP54" s="76"/>
      <c r="QQQ54" s="76"/>
      <c r="QQR54" s="76"/>
      <c r="QQS54" s="76"/>
      <c r="QQT54" s="76"/>
      <c r="QQU54" s="76"/>
      <c r="QQV54" s="76"/>
      <c r="QQW54" s="76"/>
      <c r="QQX54" s="76"/>
      <c r="QQY54" s="76"/>
      <c r="QQZ54" s="76"/>
      <c r="QRA54" s="76"/>
      <c r="QRB54" s="76"/>
      <c r="QRC54" s="76"/>
      <c r="QRD54" s="76"/>
      <c r="QRE54" s="76"/>
      <c r="QRF54" s="76"/>
      <c r="QRG54" s="76"/>
      <c r="QRH54" s="76"/>
      <c r="QRI54" s="76"/>
      <c r="QRJ54" s="76"/>
      <c r="QRK54" s="76"/>
      <c r="QRL54" s="76"/>
      <c r="QRM54" s="76"/>
      <c r="QRN54" s="76"/>
      <c r="QRO54" s="76"/>
      <c r="QRP54" s="76"/>
      <c r="QRQ54" s="76"/>
      <c r="QRR54" s="76"/>
      <c r="QRS54" s="76"/>
      <c r="QRT54" s="76"/>
      <c r="QRU54" s="76"/>
      <c r="QRV54" s="76"/>
      <c r="QRW54" s="76"/>
      <c r="QRX54" s="76"/>
      <c r="QRY54" s="76"/>
      <c r="QRZ54" s="76"/>
      <c r="QSA54" s="76"/>
      <c r="QSB54" s="76"/>
      <c r="QSC54" s="76"/>
      <c r="QSD54" s="76"/>
      <c r="QSE54" s="76"/>
      <c r="QSF54" s="76"/>
      <c r="QSG54" s="76"/>
      <c r="QSH54" s="76"/>
      <c r="QSI54" s="76"/>
      <c r="QSJ54" s="76"/>
      <c r="QSK54" s="76"/>
      <c r="QSL54" s="76"/>
      <c r="QSM54" s="76"/>
      <c r="QSN54" s="76"/>
      <c r="QSO54" s="76"/>
      <c r="QSP54" s="76"/>
      <c r="QSQ54" s="76"/>
      <c r="QSR54" s="76"/>
      <c r="QSS54" s="76"/>
      <c r="QST54" s="76"/>
      <c r="QSU54" s="76"/>
      <c r="QSV54" s="76"/>
      <c r="QSW54" s="76"/>
      <c r="QSX54" s="76"/>
      <c r="QSY54" s="76"/>
      <c r="QSZ54" s="76"/>
      <c r="QTA54" s="76"/>
      <c r="QTB54" s="76"/>
      <c r="QTC54" s="76"/>
      <c r="QTD54" s="76"/>
      <c r="QTE54" s="76"/>
      <c r="QTF54" s="76"/>
      <c r="QTG54" s="76"/>
      <c r="QTH54" s="76"/>
      <c r="QTI54" s="76"/>
      <c r="QTJ54" s="76"/>
      <c r="QTK54" s="76"/>
      <c r="QTL54" s="76"/>
      <c r="QTM54" s="76"/>
      <c r="QTN54" s="76"/>
      <c r="QTO54" s="76"/>
      <c r="QTP54" s="76"/>
      <c r="QTQ54" s="76"/>
      <c r="QTR54" s="76"/>
      <c r="QTS54" s="76"/>
      <c r="QTT54" s="76"/>
      <c r="QTU54" s="76"/>
      <c r="QTV54" s="76"/>
      <c r="QTW54" s="76"/>
      <c r="QTX54" s="76"/>
      <c r="QTY54" s="76"/>
      <c r="QTZ54" s="76"/>
      <c r="QUA54" s="76"/>
      <c r="QUB54" s="76"/>
      <c r="QUC54" s="76"/>
      <c r="QUD54" s="76"/>
      <c r="QUE54" s="76"/>
      <c r="QUF54" s="76"/>
      <c r="QUG54" s="76"/>
      <c r="QUH54" s="76"/>
      <c r="QUI54" s="76"/>
      <c r="QUJ54" s="76"/>
      <c r="QUK54" s="76"/>
      <c r="QUL54" s="76"/>
      <c r="QUM54" s="76"/>
      <c r="QUN54" s="76"/>
      <c r="QUO54" s="76"/>
      <c r="QUP54" s="76"/>
      <c r="QUQ54" s="76"/>
      <c r="QUR54" s="76"/>
      <c r="QUS54" s="76"/>
      <c r="QUT54" s="76"/>
      <c r="QUU54" s="76"/>
      <c r="QUV54" s="76"/>
      <c r="QUW54" s="76"/>
      <c r="QUX54" s="76"/>
      <c r="QUY54" s="76"/>
      <c r="QUZ54" s="76"/>
      <c r="QVA54" s="76"/>
      <c r="QVB54" s="76"/>
      <c r="QVC54" s="76"/>
      <c r="QVD54" s="76"/>
      <c r="QVE54" s="76"/>
      <c r="QVF54" s="76"/>
      <c r="QVG54" s="76"/>
      <c r="QVH54" s="76"/>
      <c r="QVI54" s="76"/>
      <c r="QVJ54" s="76"/>
      <c r="QVK54" s="76"/>
      <c r="QVL54" s="76"/>
      <c r="QVM54" s="76"/>
      <c r="QVN54" s="76"/>
      <c r="QVO54" s="76"/>
      <c r="QVP54" s="76"/>
      <c r="QVQ54" s="76"/>
      <c r="QVR54" s="76"/>
      <c r="QVS54" s="76"/>
      <c r="QVT54" s="76"/>
      <c r="QVU54" s="76"/>
      <c r="QVV54" s="76"/>
      <c r="QVW54" s="76"/>
      <c r="QVX54" s="76"/>
      <c r="QVY54" s="76"/>
      <c r="QVZ54" s="76"/>
      <c r="QWA54" s="76"/>
      <c r="QWB54" s="76"/>
      <c r="QWC54" s="76"/>
      <c r="QWD54" s="76"/>
      <c r="QWE54" s="76"/>
      <c r="QWF54" s="76"/>
      <c r="QWG54" s="76"/>
      <c r="QWH54" s="76"/>
      <c r="QWI54" s="76"/>
      <c r="QWJ54" s="76"/>
      <c r="QWK54" s="76"/>
      <c r="QWL54" s="76"/>
      <c r="QWM54" s="76"/>
      <c r="QWN54" s="76"/>
      <c r="QWO54" s="76"/>
      <c r="QWP54" s="76"/>
      <c r="QWQ54" s="76"/>
      <c r="QWR54" s="76"/>
      <c r="QWS54" s="76"/>
      <c r="QWT54" s="76"/>
      <c r="QWU54" s="76"/>
      <c r="QWV54" s="76"/>
      <c r="QWW54" s="76"/>
      <c r="QWX54" s="76"/>
      <c r="QWY54" s="76"/>
      <c r="QWZ54" s="76"/>
      <c r="QXA54" s="76"/>
      <c r="QXB54" s="76"/>
      <c r="QXC54" s="76"/>
      <c r="QXD54" s="76"/>
      <c r="QXE54" s="76"/>
      <c r="QXF54" s="76"/>
      <c r="QXG54" s="76"/>
      <c r="QXH54" s="76"/>
      <c r="QXI54" s="76"/>
      <c r="QXJ54" s="76"/>
      <c r="QXK54" s="76"/>
      <c r="QXL54" s="76"/>
      <c r="QXM54" s="76"/>
      <c r="QXN54" s="76"/>
      <c r="QXO54" s="76"/>
      <c r="QXP54" s="76"/>
      <c r="QXQ54" s="76"/>
      <c r="QXR54" s="76"/>
      <c r="QXS54" s="76"/>
      <c r="QXT54" s="76"/>
      <c r="QXU54" s="76"/>
      <c r="QXV54" s="76"/>
      <c r="QXW54" s="76"/>
      <c r="QXX54" s="76"/>
      <c r="QXY54" s="76"/>
      <c r="QXZ54" s="76"/>
      <c r="QYA54" s="76"/>
      <c r="QYB54" s="76"/>
      <c r="QYC54" s="76"/>
      <c r="QYD54" s="76"/>
      <c r="QYE54" s="76"/>
      <c r="QYF54" s="76"/>
      <c r="QYG54" s="76"/>
      <c r="QYH54" s="76"/>
      <c r="QYI54" s="76"/>
      <c r="QYJ54" s="76"/>
      <c r="QYK54" s="76"/>
      <c r="QYL54" s="76"/>
      <c r="QYM54" s="76"/>
      <c r="QYN54" s="76"/>
      <c r="QYO54" s="76"/>
      <c r="QYP54" s="76"/>
      <c r="QYQ54" s="76"/>
      <c r="QYR54" s="76"/>
      <c r="QYS54" s="76"/>
      <c r="QYT54" s="76"/>
      <c r="QYU54" s="76"/>
      <c r="QYV54" s="76"/>
      <c r="QYW54" s="76"/>
      <c r="QYX54" s="76"/>
      <c r="QYY54" s="76"/>
      <c r="QYZ54" s="76"/>
      <c r="QZA54" s="76"/>
      <c r="QZB54" s="76"/>
      <c r="QZC54" s="76"/>
      <c r="QZD54" s="76"/>
      <c r="QZE54" s="76"/>
      <c r="QZF54" s="76"/>
      <c r="QZG54" s="76"/>
      <c r="QZH54" s="76"/>
      <c r="QZI54" s="76"/>
      <c r="QZJ54" s="76"/>
      <c r="QZK54" s="76"/>
      <c r="QZL54" s="76"/>
      <c r="QZM54" s="76"/>
      <c r="QZN54" s="76"/>
      <c r="QZO54" s="76"/>
      <c r="QZP54" s="76"/>
      <c r="QZQ54" s="76"/>
      <c r="QZR54" s="76"/>
      <c r="QZS54" s="76"/>
      <c r="QZT54" s="76"/>
      <c r="QZU54" s="76"/>
      <c r="QZV54" s="76"/>
      <c r="QZW54" s="76"/>
      <c r="QZX54" s="76"/>
      <c r="QZY54" s="76"/>
      <c r="QZZ54" s="76"/>
      <c r="RAA54" s="76"/>
      <c r="RAB54" s="76"/>
      <c r="RAC54" s="76"/>
      <c r="RAD54" s="76"/>
      <c r="RAE54" s="76"/>
      <c r="RAF54" s="76"/>
      <c r="RAG54" s="76"/>
      <c r="RAH54" s="76"/>
      <c r="RAI54" s="76"/>
      <c r="RAJ54" s="76"/>
      <c r="RAK54" s="76"/>
      <c r="RAL54" s="76"/>
      <c r="RAM54" s="76"/>
      <c r="RAN54" s="76"/>
      <c r="RAO54" s="76"/>
      <c r="RAP54" s="76"/>
      <c r="RAQ54" s="76"/>
      <c r="RAR54" s="76"/>
      <c r="RAS54" s="76"/>
      <c r="RAT54" s="76"/>
      <c r="RAU54" s="76"/>
      <c r="RAV54" s="76"/>
      <c r="RAW54" s="76"/>
      <c r="RAX54" s="76"/>
      <c r="RAY54" s="76"/>
      <c r="RAZ54" s="76"/>
      <c r="RBA54" s="76"/>
      <c r="RBB54" s="76"/>
      <c r="RBC54" s="76"/>
      <c r="RBD54" s="76"/>
      <c r="RBE54" s="76"/>
      <c r="RBF54" s="76"/>
      <c r="RBG54" s="76"/>
      <c r="RBH54" s="76"/>
      <c r="RBI54" s="76"/>
      <c r="RBJ54" s="76"/>
      <c r="RBK54" s="76"/>
      <c r="RBL54" s="76"/>
      <c r="RBM54" s="76"/>
      <c r="RBN54" s="76"/>
      <c r="RBO54" s="76"/>
      <c r="RBP54" s="76"/>
      <c r="RBQ54" s="76"/>
      <c r="RBR54" s="76"/>
      <c r="RBS54" s="76"/>
      <c r="RBT54" s="76"/>
      <c r="RBU54" s="76"/>
      <c r="RBV54" s="76"/>
      <c r="RBW54" s="76"/>
      <c r="RBX54" s="76"/>
      <c r="RBY54" s="76"/>
      <c r="RBZ54" s="76"/>
      <c r="RCA54" s="76"/>
      <c r="RCB54" s="76"/>
      <c r="RCC54" s="76"/>
      <c r="RCD54" s="76"/>
      <c r="RCE54" s="76"/>
      <c r="RCF54" s="76"/>
      <c r="RCG54" s="76"/>
      <c r="RCH54" s="76"/>
      <c r="RCI54" s="76"/>
      <c r="RCJ54" s="76"/>
      <c r="RCK54" s="76"/>
      <c r="RCL54" s="76"/>
      <c r="RCM54" s="76"/>
      <c r="RCN54" s="76"/>
      <c r="RCO54" s="76"/>
      <c r="RCP54" s="76"/>
      <c r="RCQ54" s="76"/>
      <c r="RCR54" s="76"/>
      <c r="RCS54" s="76"/>
      <c r="RCT54" s="76"/>
      <c r="RCU54" s="76"/>
      <c r="RCV54" s="76"/>
      <c r="RCW54" s="76"/>
      <c r="RCX54" s="76"/>
      <c r="RCY54" s="76"/>
      <c r="RCZ54" s="76"/>
      <c r="RDA54" s="76"/>
      <c r="RDB54" s="76"/>
      <c r="RDC54" s="76"/>
      <c r="RDD54" s="76"/>
      <c r="RDE54" s="76"/>
      <c r="RDF54" s="76"/>
      <c r="RDG54" s="76"/>
      <c r="RDH54" s="76"/>
      <c r="RDI54" s="76"/>
      <c r="RDJ54" s="76"/>
      <c r="RDK54" s="76"/>
      <c r="RDL54" s="76"/>
      <c r="RDM54" s="76"/>
      <c r="RDN54" s="76"/>
      <c r="RDO54" s="76"/>
      <c r="RDP54" s="76"/>
      <c r="RDQ54" s="76"/>
      <c r="RDR54" s="76"/>
      <c r="RDS54" s="76"/>
      <c r="RDT54" s="76"/>
      <c r="RDU54" s="76"/>
      <c r="RDV54" s="76"/>
      <c r="RDW54" s="76"/>
      <c r="RDX54" s="76"/>
      <c r="RDY54" s="76"/>
      <c r="RDZ54" s="76"/>
      <c r="REA54" s="76"/>
      <c r="REB54" s="76"/>
      <c r="REC54" s="76"/>
      <c r="RED54" s="76"/>
      <c r="REE54" s="76"/>
      <c r="REF54" s="76"/>
      <c r="REG54" s="76"/>
      <c r="REH54" s="76"/>
      <c r="REI54" s="76"/>
      <c r="REJ54" s="76"/>
      <c r="REK54" s="76"/>
      <c r="REL54" s="76"/>
      <c r="REM54" s="76"/>
      <c r="REN54" s="76"/>
      <c r="REO54" s="76"/>
      <c r="REP54" s="76"/>
      <c r="REQ54" s="76"/>
      <c r="RER54" s="76"/>
      <c r="RES54" s="76"/>
      <c r="RET54" s="76"/>
      <c r="REU54" s="76"/>
      <c r="REV54" s="76"/>
      <c r="REW54" s="76"/>
      <c r="REX54" s="76"/>
      <c r="REY54" s="76"/>
      <c r="REZ54" s="76"/>
      <c r="RFA54" s="76"/>
      <c r="RFB54" s="76"/>
      <c r="RFC54" s="76"/>
      <c r="RFD54" s="76"/>
      <c r="RFE54" s="76"/>
      <c r="RFF54" s="76"/>
      <c r="RFG54" s="76"/>
      <c r="RFH54" s="76"/>
      <c r="RFI54" s="76"/>
      <c r="RFJ54" s="76"/>
      <c r="RFK54" s="76"/>
      <c r="RFL54" s="76"/>
      <c r="RFM54" s="76"/>
      <c r="RFN54" s="76"/>
      <c r="RFO54" s="76"/>
      <c r="RFP54" s="76"/>
      <c r="RFQ54" s="76"/>
      <c r="RFR54" s="76"/>
      <c r="RFS54" s="76"/>
      <c r="RFT54" s="76"/>
      <c r="RFU54" s="76"/>
      <c r="RFV54" s="76"/>
      <c r="RFW54" s="76"/>
      <c r="RFX54" s="76"/>
      <c r="RFY54" s="76"/>
      <c r="RFZ54" s="76"/>
      <c r="RGA54" s="76"/>
      <c r="RGB54" s="76"/>
      <c r="RGC54" s="76"/>
      <c r="RGD54" s="76"/>
      <c r="RGE54" s="76"/>
      <c r="RGF54" s="76"/>
      <c r="RGG54" s="76"/>
      <c r="RGH54" s="76"/>
      <c r="RGI54" s="76"/>
      <c r="RGJ54" s="76"/>
      <c r="RGK54" s="76"/>
      <c r="RGL54" s="76"/>
      <c r="RGM54" s="76"/>
      <c r="RGN54" s="76"/>
      <c r="RGO54" s="76"/>
      <c r="RGP54" s="76"/>
      <c r="RGQ54" s="76"/>
      <c r="RGR54" s="76"/>
      <c r="RGS54" s="76"/>
      <c r="RGT54" s="76"/>
      <c r="RGU54" s="76"/>
      <c r="RGV54" s="76"/>
      <c r="RGW54" s="76"/>
      <c r="RGX54" s="76"/>
      <c r="RGY54" s="76"/>
      <c r="RGZ54" s="76"/>
      <c r="RHA54" s="76"/>
      <c r="RHB54" s="76"/>
      <c r="RHC54" s="76"/>
      <c r="RHD54" s="76"/>
      <c r="RHE54" s="76"/>
      <c r="RHF54" s="76"/>
      <c r="RHG54" s="76"/>
      <c r="RHH54" s="76"/>
      <c r="RHI54" s="76"/>
      <c r="RHJ54" s="76"/>
      <c r="RHK54" s="76"/>
      <c r="RHL54" s="76"/>
      <c r="RHM54" s="76"/>
      <c r="RHN54" s="76"/>
      <c r="RHO54" s="76"/>
      <c r="RHP54" s="76"/>
      <c r="RHQ54" s="76"/>
      <c r="RHR54" s="76"/>
      <c r="RHS54" s="76"/>
      <c r="RHT54" s="76"/>
      <c r="RHU54" s="76"/>
      <c r="RHV54" s="76"/>
      <c r="RHW54" s="76"/>
      <c r="RHX54" s="76"/>
      <c r="RHY54" s="76"/>
      <c r="RHZ54" s="76"/>
      <c r="RIA54" s="76"/>
      <c r="RIB54" s="76"/>
      <c r="RIC54" s="76"/>
      <c r="RID54" s="76"/>
      <c r="RIE54" s="76"/>
      <c r="RIF54" s="76"/>
      <c r="RIG54" s="76"/>
      <c r="RIH54" s="76"/>
      <c r="RII54" s="76"/>
      <c r="RIJ54" s="76"/>
      <c r="RIK54" s="76"/>
      <c r="RIL54" s="76"/>
      <c r="RIM54" s="76"/>
      <c r="RIN54" s="76"/>
      <c r="RIO54" s="76"/>
      <c r="RIP54" s="76"/>
      <c r="RIQ54" s="76"/>
      <c r="RIR54" s="76"/>
      <c r="RIS54" s="76"/>
      <c r="RIT54" s="76"/>
      <c r="RIU54" s="76"/>
      <c r="RIV54" s="76"/>
      <c r="RIW54" s="76"/>
      <c r="RIX54" s="76"/>
      <c r="RIY54" s="76"/>
      <c r="RIZ54" s="76"/>
      <c r="RJA54" s="76"/>
      <c r="RJB54" s="76"/>
      <c r="RJC54" s="76"/>
      <c r="RJD54" s="76"/>
      <c r="RJE54" s="76"/>
      <c r="RJF54" s="76"/>
      <c r="RJG54" s="76"/>
      <c r="RJH54" s="76"/>
      <c r="RJI54" s="76"/>
      <c r="RJJ54" s="76"/>
      <c r="RJK54" s="76"/>
      <c r="RJL54" s="76"/>
      <c r="RJM54" s="76"/>
      <c r="RJN54" s="76"/>
      <c r="RJO54" s="76"/>
      <c r="RJP54" s="76"/>
      <c r="RJQ54" s="76"/>
      <c r="RJR54" s="76"/>
      <c r="RJS54" s="76"/>
      <c r="RJT54" s="76"/>
      <c r="RJU54" s="76"/>
      <c r="RJV54" s="76"/>
      <c r="RJW54" s="76"/>
      <c r="RJX54" s="76"/>
      <c r="RJY54" s="76"/>
      <c r="RJZ54" s="76"/>
      <c r="RKA54" s="76"/>
      <c r="RKB54" s="76"/>
      <c r="RKC54" s="76"/>
      <c r="RKD54" s="76"/>
      <c r="RKE54" s="76"/>
      <c r="RKF54" s="76"/>
      <c r="RKG54" s="76"/>
      <c r="RKH54" s="76"/>
      <c r="RKI54" s="76"/>
      <c r="RKJ54" s="76"/>
      <c r="RKK54" s="76"/>
      <c r="RKL54" s="76"/>
      <c r="RKM54" s="76"/>
      <c r="RKN54" s="76"/>
      <c r="RKO54" s="76"/>
      <c r="RKP54" s="76"/>
      <c r="RKQ54" s="76"/>
      <c r="RKR54" s="76"/>
      <c r="RKS54" s="76"/>
      <c r="RKT54" s="76"/>
      <c r="RKU54" s="76"/>
      <c r="RKV54" s="76"/>
      <c r="RKW54" s="76"/>
      <c r="RKX54" s="76"/>
      <c r="RKY54" s="76"/>
      <c r="RKZ54" s="76"/>
      <c r="RLA54" s="76"/>
      <c r="RLB54" s="76"/>
      <c r="RLC54" s="76"/>
      <c r="RLD54" s="76"/>
      <c r="RLE54" s="76"/>
      <c r="RLF54" s="76"/>
      <c r="RLG54" s="76"/>
      <c r="RLH54" s="76"/>
      <c r="RLI54" s="76"/>
      <c r="RLJ54" s="76"/>
      <c r="RLK54" s="76"/>
      <c r="RLL54" s="76"/>
      <c r="RLM54" s="76"/>
      <c r="RLN54" s="76"/>
      <c r="RLO54" s="76"/>
      <c r="RLP54" s="76"/>
      <c r="RLQ54" s="76"/>
      <c r="RLR54" s="76"/>
      <c r="RLS54" s="76"/>
      <c r="RLT54" s="76"/>
      <c r="RLU54" s="76"/>
      <c r="RLV54" s="76"/>
      <c r="RLW54" s="76"/>
      <c r="RLX54" s="76"/>
      <c r="RLY54" s="76"/>
      <c r="RLZ54" s="76"/>
      <c r="RMA54" s="76"/>
      <c r="RMB54" s="76"/>
      <c r="RMC54" s="76"/>
      <c r="RMD54" s="76"/>
      <c r="RME54" s="76"/>
      <c r="RMF54" s="76"/>
      <c r="RMG54" s="76"/>
      <c r="RMH54" s="76"/>
      <c r="RMI54" s="76"/>
      <c r="RMJ54" s="76"/>
      <c r="RMK54" s="76"/>
      <c r="RML54" s="76"/>
      <c r="RMM54" s="76"/>
      <c r="RMN54" s="76"/>
      <c r="RMO54" s="76"/>
      <c r="RMP54" s="76"/>
      <c r="RMQ54" s="76"/>
      <c r="RMR54" s="76"/>
      <c r="RMS54" s="76"/>
      <c r="RMT54" s="76"/>
      <c r="RMU54" s="76"/>
      <c r="RMV54" s="76"/>
      <c r="RMW54" s="76"/>
      <c r="RMX54" s="76"/>
      <c r="RMY54" s="76"/>
      <c r="RMZ54" s="76"/>
      <c r="RNA54" s="76"/>
      <c r="RNB54" s="76"/>
      <c r="RNC54" s="76"/>
      <c r="RND54" s="76"/>
      <c r="RNE54" s="76"/>
      <c r="RNF54" s="76"/>
      <c r="RNG54" s="76"/>
      <c r="RNH54" s="76"/>
      <c r="RNI54" s="76"/>
      <c r="RNJ54" s="76"/>
      <c r="RNK54" s="76"/>
      <c r="RNL54" s="76"/>
      <c r="RNM54" s="76"/>
      <c r="RNN54" s="76"/>
      <c r="RNO54" s="76"/>
      <c r="RNP54" s="76"/>
      <c r="RNQ54" s="76"/>
      <c r="RNR54" s="76"/>
      <c r="RNS54" s="76"/>
      <c r="RNT54" s="76"/>
      <c r="RNU54" s="76"/>
      <c r="RNV54" s="76"/>
      <c r="RNW54" s="76"/>
      <c r="RNX54" s="76"/>
      <c r="RNY54" s="76"/>
      <c r="RNZ54" s="76"/>
      <c r="ROA54" s="76"/>
      <c r="ROB54" s="76"/>
      <c r="ROC54" s="76"/>
      <c r="ROD54" s="76"/>
      <c r="ROE54" s="76"/>
      <c r="ROF54" s="76"/>
      <c r="ROG54" s="76"/>
      <c r="ROH54" s="76"/>
      <c r="ROI54" s="76"/>
      <c r="ROJ54" s="76"/>
      <c r="ROK54" s="76"/>
      <c r="ROL54" s="76"/>
      <c r="ROM54" s="76"/>
      <c r="RON54" s="76"/>
      <c r="ROO54" s="76"/>
      <c r="ROP54" s="76"/>
      <c r="ROQ54" s="76"/>
      <c r="ROR54" s="76"/>
      <c r="ROS54" s="76"/>
      <c r="ROT54" s="76"/>
      <c r="ROU54" s="76"/>
      <c r="ROV54" s="76"/>
      <c r="ROW54" s="76"/>
      <c r="ROX54" s="76"/>
      <c r="ROY54" s="76"/>
      <c r="ROZ54" s="76"/>
      <c r="RPA54" s="76"/>
      <c r="RPB54" s="76"/>
      <c r="RPC54" s="76"/>
      <c r="RPD54" s="76"/>
      <c r="RPE54" s="76"/>
      <c r="RPF54" s="76"/>
      <c r="RPG54" s="76"/>
      <c r="RPH54" s="76"/>
      <c r="RPI54" s="76"/>
      <c r="RPJ54" s="76"/>
      <c r="RPK54" s="76"/>
      <c r="RPL54" s="76"/>
      <c r="RPM54" s="76"/>
      <c r="RPN54" s="76"/>
      <c r="RPO54" s="76"/>
      <c r="RPP54" s="76"/>
      <c r="RPQ54" s="76"/>
      <c r="RPR54" s="76"/>
      <c r="RPS54" s="76"/>
      <c r="RPT54" s="76"/>
      <c r="RPU54" s="76"/>
      <c r="RPV54" s="76"/>
      <c r="RPW54" s="76"/>
      <c r="RPX54" s="76"/>
      <c r="RPY54" s="76"/>
      <c r="RPZ54" s="76"/>
      <c r="RQA54" s="76"/>
      <c r="RQB54" s="76"/>
      <c r="RQC54" s="76"/>
      <c r="RQD54" s="76"/>
      <c r="RQE54" s="76"/>
      <c r="RQF54" s="76"/>
      <c r="RQG54" s="76"/>
      <c r="RQH54" s="76"/>
      <c r="RQI54" s="76"/>
      <c r="RQJ54" s="76"/>
      <c r="RQK54" s="76"/>
      <c r="RQL54" s="76"/>
      <c r="RQM54" s="76"/>
      <c r="RQN54" s="76"/>
      <c r="RQO54" s="76"/>
      <c r="RQP54" s="76"/>
      <c r="RQQ54" s="76"/>
      <c r="RQR54" s="76"/>
      <c r="RQS54" s="76"/>
      <c r="RQT54" s="76"/>
      <c r="RQU54" s="76"/>
      <c r="RQV54" s="76"/>
      <c r="RQW54" s="76"/>
      <c r="RQX54" s="76"/>
      <c r="RQY54" s="76"/>
      <c r="RQZ54" s="76"/>
      <c r="RRA54" s="76"/>
      <c r="RRB54" s="76"/>
      <c r="RRC54" s="76"/>
      <c r="RRD54" s="76"/>
      <c r="RRE54" s="76"/>
      <c r="RRF54" s="76"/>
      <c r="RRG54" s="76"/>
      <c r="RRH54" s="76"/>
      <c r="RRI54" s="76"/>
      <c r="RRJ54" s="76"/>
      <c r="RRK54" s="76"/>
      <c r="RRL54" s="76"/>
      <c r="RRM54" s="76"/>
      <c r="RRN54" s="76"/>
      <c r="RRO54" s="76"/>
      <c r="RRP54" s="76"/>
      <c r="RRQ54" s="76"/>
      <c r="RRR54" s="76"/>
      <c r="RRS54" s="76"/>
      <c r="RRT54" s="76"/>
      <c r="RRU54" s="76"/>
      <c r="RRV54" s="76"/>
      <c r="RRW54" s="76"/>
      <c r="RRX54" s="76"/>
      <c r="RRY54" s="76"/>
      <c r="RRZ54" s="76"/>
      <c r="RSA54" s="76"/>
      <c r="RSB54" s="76"/>
      <c r="RSC54" s="76"/>
      <c r="RSD54" s="76"/>
      <c r="RSE54" s="76"/>
      <c r="RSF54" s="76"/>
      <c r="RSG54" s="76"/>
      <c r="RSH54" s="76"/>
      <c r="RSI54" s="76"/>
      <c r="RSJ54" s="76"/>
      <c r="RSK54" s="76"/>
      <c r="RSL54" s="76"/>
      <c r="RSM54" s="76"/>
      <c r="RSN54" s="76"/>
      <c r="RSO54" s="76"/>
      <c r="RSP54" s="76"/>
      <c r="RSQ54" s="76"/>
      <c r="RSR54" s="76"/>
      <c r="RSS54" s="76"/>
      <c r="RST54" s="76"/>
      <c r="RSU54" s="76"/>
      <c r="RSV54" s="76"/>
      <c r="RSW54" s="76"/>
      <c r="RSX54" s="76"/>
      <c r="RSY54" s="76"/>
      <c r="RSZ54" s="76"/>
      <c r="RTA54" s="76"/>
      <c r="RTB54" s="76"/>
      <c r="RTC54" s="76"/>
      <c r="RTD54" s="76"/>
      <c r="RTE54" s="76"/>
      <c r="RTF54" s="76"/>
      <c r="RTG54" s="76"/>
      <c r="RTH54" s="76"/>
      <c r="RTI54" s="76"/>
      <c r="RTJ54" s="76"/>
      <c r="RTK54" s="76"/>
      <c r="RTL54" s="76"/>
      <c r="RTM54" s="76"/>
      <c r="RTN54" s="76"/>
      <c r="RTO54" s="76"/>
      <c r="RTP54" s="76"/>
      <c r="RTQ54" s="76"/>
      <c r="RTR54" s="76"/>
      <c r="RTS54" s="76"/>
      <c r="RTT54" s="76"/>
      <c r="RTU54" s="76"/>
      <c r="RTV54" s="76"/>
      <c r="RTW54" s="76"/>
      <c r="RTX54" s="76"/>
      <c r="RTY54" s="76"/>
      <c r="RTZ54" s="76"/>
      <c r="RUA54" s="76"/>
      <c r="RUB54" s="76"/>
      <c r="RUC54" s="76"/>
      <c r="RUD54" s="76"/>
      <c r="RUE54" s="76"/>
      <c r="RUF54" s="76"/>
      <c r="RUG54" s="76"/>
      <c r="RUH54" s="76"/>
      <c r="RUI54" s="76"/>
      <c r="RUJ54" s="76"/>
      <c r="RUK54" s="76"/>
      <c r="RUL54" s="76"/>
      <c r="RUM54" s="76"/>
      <c r="RUN54" s="76"/>
      <c r="RUO54" s="76"/>
      <c r="RUP54" s="76"/>
      <c r="RUQ54" s="76"/>
      <c r="RUR54" s="76"/>
      <c r="RUS54" s="76"/>
      <c r="RUT54" s="76"/>
      <c r="RUU54" s="76"/>
      <c r="RUV54" s="76"/>
      <c r="RUW54" s="76"/>
      <c r="RUX54" s="76"/>
      <c r="RUY54" s="76"/>
      <c r="RUZ54" s="76"/>
      <c r="RVA54" s="76"/>
      <c r="RVB54" s="76"/>
      <c r="RVC54" s="76"/>
      <c r="RVD54" s="76"/>
      <c r="RVE54" s="76"/>
      <c r="RVF54" s="76"/>
      <c r="RVG54" s="76"/>
      <c r="RVH54" s="76"/>
      <c r="RVI54" s="76"/>
      <c r="RVJ54" s="76"/>
      <c r="RVK54" s="76"/>
      <c r="RVL54" s="76"/>
      <c r="RVM54" s="76"/>
      <c r="RVN54" s="76"/>
      <c r="RVO54" s="76"/>
      <c r="RVP54" s="76"/>
      <c r="RVQ54" s="76"/>
      <c r="RVR54" s="76"/>
      <c r="RVS54" s="76"/>
      <c r="RVT54" s="76"/>
      <c r="RVU54" s="76"/>
      <c r="RVV54" s="76"/>
      <c r="RVW54" s="76"/>
      <c r="RVX54" s="76"/>
      <c r="RVY54" s="76"/>
      <c r="RVZ54" s="76"/>
      <c r="RWA54" s="76"/>
      <c r="RWB54" s="76"/>
      <c r="RWC54" s="76"/>
      <c r="RWD54" s="76"/>
      <c r="RWE54" s="76"/>
      <c r="RWF54" s="76"/>
      <c r="RWG54" s="76"/>
      <c r="RWH54" s="76"/>
      <c r="RWI54" s="76"/>
      <c r="RWJ54" s="76"/>
      <c r="RWK54" s="76"/>
      <c r="RWL54" s="76"/>
      <c r="RWM54" s="76"/>
      <c r="RWN54" s="76"/>
      <c r="RWO54" s="76"/>
      <c r="RWP54" s="76"/>
      <c r="RWQ54" s="76"/>
      <c r="RWR54" s="76"/>
      <c r="RWS54" s="76"/>
      <c r="RWT54" s="76"/>
      <c r="RWU54" s="76"/>
      <c r="RWV54" s="76"/>
      <c r="RWW54" s="76"/>
      <c r="RWX54" s="76"/>
      <c r="RWY54" s="76"/>
      <c r="RWZ54" s="76"/>
      <c r="RXA54" s="76"/>
      <c r="RXB54" s="76"/>
      <c r="RXC54" s="76"/>
      <c r="RXD54" s="76"/>
      <c r="RXE54" s="76"/>
      <c r="RXF54" s="76"/>
      <c r="RXG54" s="76"/>
      <c r="RXH54" s="76"/>
      <c r="RXI54" s="76"/>
      <c r="RXJ54" s="76"/>
      <c r="RXK54" s="76"/>
      <c r="RXL54" s="76"/>
      <c r="RXM54" s="76"/>
      <c r="RXN54" s="76"/>
      <c r="RXO54" s="76"/>
      <c r="RXP54" s="76"/>
      <c r="RXQ54" s="76"/>
      <c r="RXR54" s="76"/>
      <c r="RXS54" s="76"/>
      <c r="RXT54" s="76"/>
      <c r="RXU54" s="76"/>
      <c r="RXV54" s="76"/>
      <c r="RXW54" s="76"/>
      <c r="RXX54" s="76"/>
      <c r="RXY54" s="76"/>
      <c r="RXZ54" s="76"/>
      <c r="RYA54" s="76"/>
      <c r="RYB54" s="76"/>
      <c r="RYC54" s="76"/>
      <c r="RYD54" s="76"/>
      <c r="RYE54" s="76"/>
      <c r="RYF54" s="76"/>
      <c r="RYG54" s="76"/>
      <c r="RYH54" s="76"/>
      <c r="RYI54" s="76"/>
      <c r="RYJ54" s="76"/>
      <c r="RYK54" s="76"/>
      <c r="RYL54" s="76"/>
      <c r="RYM54" s="76"/>
      <c r="RYN54" s="76"/>
      <c r="RYO54" s="76"/>
      <c r="RYP54" s="76"/>
      <c r="RYQ54" s="76"/>
      <c r="RYR54" s="76"/>
      <c r="RYS54" s="76"/>
      <c r="RYT54" s="76"/>
      <c r="RYU54" s="76"/>
      <c r="RYV54" s="76"/>
      <c r="RYW54" s="76"/>
      <c r="RYX54" s="76"/>
      <c r="RYY54" s="76"/>
      <c r="RYZ54" s="76"/>
      <c r="RZA54" s="76"/>
      <c r="RZB54" s="76"/>
      <c r="RZC54" s="76"/>
      <c r="RZD54" s="76"/>
      <c r="RZE54" s="76"/>
      <c r="RZF54" s="76"/>
      <c r="RZG54" s="76"/>
      <c r="RZH54" s="76"/>
      <c r="RZI54" s="76"/>
      <c r="RZJ54" s="76"/>
      <c r="RZK54" s="76"/>
      <c r="RZL54" s="76"/>
      <c r="RZM54" s="76"/>
      <c r="RZN54" s="76"/>
      <c r="RZO54" s="76"/>
      <c r="RZP54" s="76"/>
      <c r="RZQ54" s="76"/>
      <c r="RZR54" s="76"/>
      <c r="RZS54" s="76"/>
      <c r="RZT54" s="76"/>
      <c r="RZU54" s="76"/>
      <c r="RZV54" s="76"/>
      <c r="RZW54" s="76"/>
      <c r="RZX54" s="76"/>
      <c r="RZY54" s="76"/>
      <c r="RZZ54" s="76"/>
      <c r="SAA54" s="76"/>
      <c r="SAB54" s="76"/>
      <c r="SAC54" s="76"/>
      <c r="SAD54" s="76"/>
      <c r="SAE54" s="76"/>
      <c r="SAF54" s="76"/>
      <c r="SAG54" s="76"/>
      <c r="SAH54" s="76"/>
      <c r="SAI54" s="76"/>
      <c r="SAJ54" s="76"/>
      <c r="SAK54" s="76"/>
      <c r="SAL54" s="76"/>
      <c r="SAM54" s="76"/>
      <c r="SAN54" s="76"/>
      <c r="SAO54" s="76"/>
      <c r="SAP54" s="76"/>
      <c r="SAQ54" s="76"/>
      <c r="SAR54" s="76"/>
      <c r="SAS54" s="76"/>
      <c r="SAT54" s="76"/>
      <c r="SAU54" s="76"/>
      <c r="SAV54" s="76"/>
      <c r="SAW54" s="76"/>
      <c r="SAX54" s="76"/>
      <c r="SAY54" s="76"/>
      <c r="SAZ54" s="76"/>
      <c r="SBA54" s="76"/>
      <c r="SBB54" s="76"/>
      <c r="SBC54" s="76"/>
      <c r="SBD54" s="76"/>
      <c r="SBE54" s="76"/>
      <c r="SBF54" s="76"/>
      <c r="SBG54" s="76"/>
      <c r="SBH54" s="76"/>
      <c r="SBI54" s="76"/>
      <c r="SBJ54" s="76"/>
      <c r="SBK54" s="76"/>
      <c r="SBL54" s="76"/>
      <c r="SBM54" s="76"/>
      <c r="SBN54" s="76"/>
      <c r="SBO54" s="76"/>
      <c r="SBP54" s="76"/>
      <c r="SBQ54" s="76"/>
      <c r="SBR54" s="76"/>
      <c r="SBS54" s="76"/>
      <c r="SBT54" s="76"/>
      <c r="SBU54" s="76"/>
      <c r="SBV54" s="76"/>
      <c r="SBW54" s="76"/>
      <c r="SBX54" s="76"/>
      <c r="SBY54" s="76"/>
      <c r="SBZ54" s="76"/>
      <c r="SCA54" s="76"/>
      <c r="SCB54" s="76"/>
      <c r="SCC54" s="76"/>
      <c r="SCD54" s="76"/>
      <c r="SCE54" s="76"/>
      <c r="SCF54" s="76"/>
      <c r="SCG54" s="76"/>
      <c r="SCH54" s="76"/>
      <c r="SCI54" s="76"/>
      <c r="SCJ54" s="76"/>
      <c r="SCK54" s="76"/>
      <c r="SCL54" s="76"/>
      <c r="SCM54" s="76"/>
      <c r="SCN54" s="76"/>
      <c r="SCO54" s="76"/>
      <c r="SCP54" s="76"/>
      <c r="SCQ54" s="76"/>
      <c r="SCR54" s="76"/>
      <c r="SCS54" s="76"/>
      <c r="SCT54" s="76"/>
      <c r="SCU54" s="76"/>
      <c r="SCV54" s="76"/>
      <c r="SCW54" s="76"/>
      <c r="SCX54" s="76"/>
      <c r="SCY54" s="76"/>
      <c r="SCZ54" s="76"/>
      <c r="SDA54" s="76"/>
      <c r="SDB54" s="76"/>
      <c r="SDC54" s="76"/>
      <c r="SDD54" s="76"/>
      <c r="SDE54" s="76"/>
      <c r="SDF54" s="76"/>
      <c r="SDG54" s="76"/>
      <c r="SDH54" s="76"/>
      <c r="SDI54" s="76"/>
      <c r="SDJ54" s="76"/>
      <c r="SDK54" s="76"/>
      <c r="SDL54" s="76"/>
      <c r="SDM54" s="76"/>
      <c r="SDN54" s="76"/>
      <c r="SDO54" s="76"/>
      <c r="SDP54" s="76"/>
      <c r="SDQ54" s="76"/>
      <c r="SDR54" s="76"/>
      <c r="SDS54" s="76"/>
      <c r="SDT54" s="76"/>
      <c r="SDU54" s="76"/>
      <c r="SDV54" s="76"/>
      <c r="SDW54" s="76"/>
      <c r="SDX54" s="76"/>
      <c r="SDY54" s="76"/>
      <c r="SDZ54" s="76"/>
      <c r="SEA54" s="76"/>
      <c r="SEB54" s="76"/>
      <c r="SEC54" s="76"/>
      <c r="SED54" s="76"/>
      <c r="SEE54" s="76"/>
      <c r="SEF54" s="76"/>
      <c r="SEG54" s="76"/>
      <c r="SEH54" s="76"/>
      <c r="SEI54" s="76"/>
      <c r="SEJ54" s="76"/>
      <c r="SEK54" s="76"/>
      <c r="SEL54" s="76"/>
      <c r="SEM54" s="76"/>
      <c r="SEN54" s="76"/>
      <c r="SEO54" s="76"/>
      <c r="SEP54" s="76"/>
      <c r="SEQ54" s="76"/>
      <c r="SER54" s="76"/>
      <c r="SES54" s="76"/>
      <c r="SET54" s="76"/>
      <c r="SEU54" s="76"/>
      <c r="SEV54" s="76"/>
      <c r="SEW54" s="76"/>
      <c r="SEX54" s="76"/>
      <c r="SEY54" s="76"/>
      <c r="SEZ54" s="76"/>
      <c r="SFA54" s="76"/>
      <c r="SFB54" s="76"/>
      <c r="SFC54" s="76"/>
      <c r="SFD54" s="76"/>
      <c r="SFE54" s="76"/>
      <c r="SFF54" s="76"/>
      <c r="SFG54" s="76"/>
      <c r="SFH54" s="76"/>
      <c r="SFI54" s="76"/>
      <c r="SFJ54" s="76"/>
      <c r="SFK54" s="76"/>
      <c r="SFL54" s="76"/>
      <c r="SFM54" s="76"/>
      <c r="SFN54" s="76"/>
      <c r="SFO54" s="76"/>
      <c r="SFP54" s="76"/>
      <c r="SFQ54" s="76"/>
      <c r="SFR54" s="76"/>
      <c r="SFS54" s="76"/>
      <c r="SFT54" s="76"/>
      <c r="SFU54" s="76"/>
      <c r="SFV54" s="76"/>
      <c r="SFW54" s="76"/>
      <c r="SFX54" s="76"/>
      <c r="SFY54" s="76"/>
      <c r="SFZ54" s="76"/>
      <c r="SGA54" s="76"/>
      <c r="SGB54" s="76"/>
      <c r="SGC54" s="76"/>
      <c r="SGD54" s="76"/>
      <c r="SGE54" s="76"/>
      <c r="SGF54" s="76"/>
      <c r="SGG54" s="76"/>
      <c r="SGH54" s="76"/>
      <c r="SGI54" s="76"/>
      <c r="SGJ54" s="76"/>
      <c r="SGK54" s="76"/>
      <c r="SGL54" s="76"/>
      <c r="SGM54" s="76"/>
      <c r="SGN54" s="76"/>
      <c r="SGO54" s="76"/>
      <c r="SGP54" s="76"/>
      <c r="SGQ54" s="76"/>
      <c r="SGR54" s="76"/>
      <c r="SGS54" s="76"/>
      <c r="SGT54" s="76"/>
      <c r="SGU54" s="76"/>
      <c r="SGV54" s="76"/>
      <c r="SGW54" s="76"/>
      <c r="SGX54" s="76"/>
      <c r="SGY54" s="76"/>
      <c r="SGZ54" s="76"/>
      <c r="SHA54" s="76"/>
      <c r="SHB54" s="76"/>
      <c r="SHC54" s="76"/>
      <c r="SHD54" s="76"/>
      <c r="SHE54" s="76"/>
      <c r="SHF54" s="76"/>
      <c r="SHG54" s="76"/>
      <c r="SHH54" s="76"/>
      <c r="SHI54" s="76"/>
      <c r="SHJ54" s="76"/>
      <c r="SHK54" s="76"/>
      <c r="SHL54" s="76"/>
      <c r="SHM54" s="76"/>
      <c r="SHN54" s="76"/>
      <c r="SHO54" s="76"/>
      <c r="SHP54" s="76"/>
      <c r="SHQ54" s="76"/>
      <c r="SHR54" s="76"/>
      <c r="SHS54" s="76"/>
      <c r="SHT54" s="76"/>
      <c r="SHU54" s="76"/>
      <c r="SHV54" s="76"/>
      <c r="SHW54" s="76"/>
      <c r="SHX54" s="76"/>
      <c r="SHY54" s="76"/>
      <c r="SHZ54" s="76"/>
      <c r="SIA54" s="76"/>
      <c r="SIB54" s="76"/>
      <c r="SIC54" s="76"/>
      <c r="SID54" s="76"/>
      <c r="SIE54" s="76"/>
      <c r="SIF54" s="76"/>
      <c r="SIG54" s="76"/>
      <c r="SIH54" s="76"/>
      <c r="SII54" s="76"/>
      <c r="SIJ54" s="76"/>
      <c r="SIK54" s="76"/>
      <c r="SIL54" s="76"/>
      <c r="SIM54" s="76"/>
      <c r="SIN54" s="76"/>
      <c r="SIO54" s="76"/>
      <c r="SIP54" s="76"/>
      <c r="SIQ54" s="76"/>
      <c r="SIR54" s="76"/>
      <c r="SIS54" s="76"/>
      <c r="SIT54" s="76"/>
      <c r="SIU54" s="76"/>
      <c r="SIV54" s="76"/>
      <c r="SIW54" s="76"/>
      <c r="SIX54" s="76"/>
      <c r="SIY54" s="76"/>
      <c r="SIZ54" s="76"/>
      <c r="SJA54" s="76"/>
      <c r="SJB54" s="76"/>
      <c r="SJC54" s="76"/>
      <c r="SJD54" s="76"/>
      <c r="SJE54" s="76"/>
      <c r="SJF54" s="76"/>
      <c r="SJG54" s="76"/>
      <c r="SJH54" s="76"/>
      <c r="SJI54" s="76"/>
      <c r="SJJ54" s="76"/>
      <c r="SJK54" s="76"/>
      <c r="SJL54" s="76"/>
      <c r="SJM54" s="76"/>
      <c r="SJN54" s="76"/>
      <c r="SJO54" s="76"/>
      <c r="SJP54" s="76"/>
      <c r="SJQ54" s="76"/>
      <c r="SJR54" s="76"/>
      <c r="SJS54" s="76"/>
      <c r="SJT54" s="76"/>
      <c r="SJU54" s="76"/>
      <c r="SJV54" s="76"/>
      <c r="SJW54" s="76"/>
      <c r="SJX54" s="76"/>
      <c r="SJY54" s="76"/>
      <c r="SJZ54" s="76"/>
      <c r="SKA54" s="76"/>
      <c r="SKB54" s="76"/>
      <c r="SKC54" s="76"/>
      <c r="SKD54" s="76"/>
      <c r="SKE54" s="76"/>
      <c r="SKF54" s="76"/>
      <c r="SKG54" s="76"/>
      <c r="SKH54" s="76"/>
      <c r="SKI54" s="76"/>
      <c r="SKJ54" s="76"/>
      <c r="SKK54" s="76"/>
      <c r="SKL54" s="76"/>
      <c r="SKM54" s="76"/>
      <c r="SKN54" s="76"/>
      <c r="SKO54" s="76"/>
      <c r="SKP54" s="76"/>
      <c r="SKQ54" s="76"/>
      <c r="SKR54" s="76"/>
      <c r="SKS54" s="76"/>
      <c r="SKT54" s="76"/>
      <c r="SKU54" s="76"/>
      <c r="SKV54" s="76"/>
      <c r="SKW54" s="76"/>
      <c r="SKX54" s="76"/>
      <c r="SKY54" s="76"/>
      <c r="SKZ54" s="76"/>
      <c r="SLA54" s="76"/>
      <c r="SLB54" s="76"/>
      <c r="SLC54" s="76"/>
      <c r="SLD54" s="76"/>
      <c r="SLE54" s="76"/>
      <c r="SLF54" s="76"/>
      <c r="SLG54" s="76"/>
      <c r="SLH54" s="76"/>
      <c r="SLI54" s="76"/>
      <c r="SLJ54" s="76"/>
      <c r="SLK54" s="76"/>
      <c r="SLL54" s="76"/>
      <c r="SLM54" s="76"/>
      <c r="SLN54" s="76"/>
      <c r="SLO54" s="76"/>
      <c r="SLP54" s="76"/>
      <c r="SLQ54" s="76"/>
      <c r="SLR54" s="76"/>
      <c r="SLS54" s="76"/>
      <c r="SLT54" s="76"/>
      <c r="SLU54" s="76"/>
      <c r="SLV54" s="76"/>
      <c r="SLW54" s="76"/>
      <c r="SLX54" s="76"/>
      <c r="SLY54" s="76"/>
      <c r="SLZ54" s="76"/>
      <c r="SMA54" s="76"/>
      <c r="SMB54" s="76"/>
      <c r="SMC54" s="76"/>
      <c r="SMD54" s="76"/>
      <c r="SME54" s="76"/>
      <c r="SMF54" s="76"/>
      <c r="SMG54" s="76"/>
      <c r="SMH54" s="76"/>
      <c r="SMI54" s="76"/>
      <c r="SMJ54" s="76"/>
      <c r="SMK54" s="76"/>
      <c r="SML54" s="76"/>
      <c r="SMM54" s="76"/>
      <c r="SMN54" s="76"/>
      <c r="SMO54" s="76"/>
      <c r="SMP54" s="76"/>
      <c r="SMQ54" s="76"/>
      <c r="SMR54" s="76"/>
      <c r="SMS54" s="76"/>
      <c r="SMT54" s="76"/>
      <c r="SMU54" s="76"/>
      <c r="SMV54" s="76"/>
      <c r="SMW54" s="76"/>
      <c r="SMX54" s="76"/>
      <c r="SMY54" s="76"/>
      <c r="SMZ54" s="76"/>
      <c r="SNA54" s="76"/>
      <c r="SNB54" s="76"/>
      <c r="SNC54" s="76"/>
      <c r="SND54" s="76"/>
      <c r="SNE54" s="76"/>
      <c r="SNF54" s="76"/>
      <c r="SNG54" s="76"/>
      <c r="SNH54" s="76"/>
      <c r="SNI54" s="76"/>
      <c r="SNJ54" s="76"/>
      <c r="SNK54" s="76"/>
      <c r="SNL54" s="76"/>
      <c r="SNM54" s="76"/>
      <c r="SNN54" s="76"/>
      <c r="SNO54" s="76"/>
      <c r="SNP54" s="76"/>
      <c r="SNQ54" s="76"/>
      <c r="SNR54" s="76"/>
      <c r="SNS54" s="76"/>
      <c r="SNT54" s="76"/>
      <c r="SNU54" s="76"/>
      <c r="SNV54" s="76"/>
      <c r="SNW54" s="76"/>
      <c r="SNX54" s="76"/>
      <c r="SNY54" s="76"/>
      <c r="SNZ54" s="76"/>
      <c r="SOA54" s="76"/>
      <c r="SOB54" s="76"/>
      <c r="SOC54" s="76"/>
      <c r="SOD54" s="76"/>
      <c r="SOE54" s="76"/>
      <c r="SOF54" s="76"/>
      <c r="SOG54" s="76"/>
      <c r="SOH54" s="76"/>
      <c r="SOI54" s="76"/>
      <c r="SOJ54" s="76"/>
      <c r="SOK54" s="76"/>
      <c r="SOL54" s="76"/>
      <c r="SOM54" s="76"/>
      <c r="SON54" s="76"/>
      <c r="SOO54" s="76"/>
      <c r="SOP54" s="76"/>
      <c r="SOQ54" s="76"/>
      <c r="SOR54" s="76"/>
      <c r="SOS54" s="76"/>
      <c r="SOT54" s="76"/>
      <c r="SOU54" s="76"/>
      <c r="SOV54" s="76"/>
      <c r="SOW54" s="76"/>
      <c r="SOX54" s="76"/>
      <c r="SOY54" s="76"/>
      <c r="SOZ54" s="76"/>
      <c r="SPA54" s="76"/>
      <c r="SPB54" s="76"/>
      <c r="SPC54" s="76"/>
      <c r="SPD54" s="76"/>
      <c r="SPE54" s="76"/>
      <c r="SPF54" s="76"/>
      <c r="SPG54" s="76"/>
      <c r="SPH54" s="76"/>
      <c r="SPI54" s="76"/>
      <c r="SPJ54" s="76"/>
      <c r="SPK54" s="76"/>
      <c r="SPL54" s="76"/>
      <c r="SPM54" s="76"/>
      <c r="SPN54" s="76"/>
      <c r="SPO54" s="76"/>
      <c r="SPP54" s="76"/>
      <c r="SPQ54" s="76"/>
      <c r="SPR54" s="76"/>
      <c r="SPS54" s="76"/>
      <c r="SPT54" s="76"/>
      <c r="SPU54" s="76"/>
      <c r="SPV54" s="76"/>
      <c r="SPW54" s="76"/>
      <c r="SPX54" s="76"/>
      <c r="SPY54" s="76"/>
      <c r="SPZ54" s="76"/>
      <c r="SQA54" s="76"/>
      <c r="SQB54" s="76"/>
      <c r="SQC54" s="76"/>
      <c r="SQD54" s="76"/>
      <c r="SQE54" s="76"/>
      <c r="SQF54" s="76"/>
      <c r="SQG54" s="76"/>
      <c r="SQH54" s="76"/>
      <c r="SQI54" s="76"/>
      <c r="SQJ54" s="76"/>
      <c r="SQK54" s="76"/>
      <c r="SQL54" s="76"/>
      <c r="SQM54" s="76"/>
      <c r="SQN54" s="76"/>
      <c r="SQO54" s="76"/>
      <c r="SQP54" s="76"/>
      <c r="SQQ54" s="76"/>
      <c r="SQR54" s="76"/>
      <c r="SQS54" s="76"/>
      <c r="SQT54" s="76"/>
      <c r="SQU54" s="76"/>
      <c r="SQV54" s="76"/>
      <c r="SQW54" s="76"/>
      <c r="SQX54" s="76"/>
      <c r="SQY54" s="76"/>
      <c r="SQZ54" s="76"/>
      <c r="SRA54" s="76"/>
      <c r="SRB54" s="76"/>
      <c r="SRC54" s="76"/>
      <c r="SRD54" s="76"/>
      <c r="SRE54" s="76"/>
      <c r="SRF54" s="76"/>
      <c r="SRG54" s="76"/>
      <c r="SRH54" s="76"/>
      <c r="SRI54" s="76"/>
      <c r="SRJ54" s="76"/>
      <c r="SRK54" s="76"/>
      <c r="SRL54" s="76"/>
      <c r="SRM54" s="76"/>
      <c r="SRN54" s="76"/>
      <c r="SRO54" s="76"/>
      <c r="SRP54" s="76"/>
      <c r="SRQ54" s="76"/>
      <c r="SRR54" s="76"/>
      <c r="SRS54" s="76"/>
      <c r="SRT54" s="76"/>
      <c r="SRU54" s="76"/>
      <c r="SRV54" s="76"/>
      <c r="SRW54" s="76"/>
      <c r="SRX54" s="76"/>
      <c r="SRY54" s="76"/>
      <c r="SRZ54" s="76"/>
      <c r="SSA54" s="76"/>
      <c r="SSB54" s="76"/>
      <c r="SSC54" s="76"/>
      <c r="SSD54" s="76"/>
      <c r="SSE54" s="76"/>
      <c r="SSF54" s="76"/>
      <c r="SSG54" s="76"/>
      <c r="SSH54" s="76"/>
      <c r="SSI54" s="76"/>
      <c r="SSJ54" s="76"/>
      <c r="SSK54" s="76"/>
      <c r="SSL54" s="76"/>
      <c r="SSM54" s="76"/>
      <c r="SSN54" s="76"/>
      <c r="SSO54" s="76"/>
      <c r="SSP54" s="76"/>
      <c r="SSQ54" s="76"/>
      <c r="SSR54" s="76"/>
      <c r="SSS54" s="76"/>
      <c r="SST54" s="76"/>
      <c r="SSU54" s="76"/>
      <c r="SSV54" s="76"/>
      <c r="SSW54" s="76"/>
      <c r="SSX54" s="76"/>
      <c r="SSY54" s="76"/>
      <c r="SSZ54" s="76"/>
      <c r="STA54" s="76"/>
      <c r="STB54" s="76"/>
      <c r="STC54" s="76"/>
      <c r="STD54" s="76"/>
      <c r="STE54" s="76"/>
      <c r="STF54" s="76"/>
      <c r="STG54" s="76"/>
      <c r="STH54" s="76"/>
      <c r="STI54" s="76"/>
      <c r="STJ54" s="76"/>
      <c r="STK54" s="76"/>
      <c r="STL54" s="76"/>
      <c r="STM54" s="76"/>
      <c r="STN54" s="76"/>
      <c r="STO54" s="76"/>
      <c r="STP54" s="76"/>
      <c r="STQ54" s="76"/>
      <c r="STR54" s="76"/>
      <c r="STS54" s="76"/>
      <c r="STT54" s="76"/>
      <c r="STU54" s="76"/>
      <c r="STV54" s="76"/>
      <c r="STW54" s="76"/>
      <c r="STX54" s="76"/>
      <c r="STY54" s="76"/>
      <c r="STZ54" s="76"/>
      <c r="SUA54" s="76"/>
      <c r="SUB54" s="76"/>
      <c r="SUC54" s="76"/>
      <c r="SUD54" s="76"/>
      <c r="SUE54" s="76"/>
      <c r="SUF54" s="76"/>
      <c r="SUG54" s="76"/>
      <c r="SUH54" s="76"/>
      <c r="SUI54" s="76"/>
      <c r="SUJ54" s="76"/>
      <c r="SUK54" s="76"/>
      <c r="SUL54" s="76"/>
      <c r="SUM54" s="76"/>
      <c r="SUN54" s="76"/>
      <c r="SUO54" s="76"/>
      <c r="SUP54" s="76"/>
      <c r="SUQ54" s="76"/>
      <c r="SUR54" s="76"/>
      <c r="SUS54" s="76"/>
      <c r="SUT54" s="76"/>
      <c r="SUU54" s="76"/>
      <c r="SUV54" s="76"/>
      <c r="SUW54" s="76"/>
      <c r="SUX54" s="76"/>
      <c r="SUY54" s="76"/>
      <c r="SUZ54" s="76"/>
      <c r="SVA54" s="76"/>
      <c r="SVB54" s="76"/>
      <c r="SVC54" s="76"/>
      <c r="SVD54" s="76"/>
      <c r="SVE54" s="76"/>
      <c r="SVF54" s="76"/>
      <c r="SVG54" s="76"/>
      <c r="SVH54" s="76"/>
      <c r="SVI54" s="76"/>
      <c r="SVJ54" s="76"/>
      <c r="SVK54" s="76"/>
      <c r="SVL54" s="76"/>
      <c r="SVM54" s="76"/>
      <c r="SVN54" s="76"/>
      <c r="SVO54" s="76"/>
      <c r="SVP54" s="76"/>
      <c r="SVQ54" s="76"/>
      <c r="SVR54" s="76"/>
      <c r="SVS54" s="76"/>
      <c r="SVT54" s="76"/>
      <c r="SVU54" s="76"/>
      <c r="SVV54" s="76"/>
      <c r="SVW54" s="76"/>
      <c r="SVX54" s="76"/>
      <c r="SVY54" s="76"/>
      <c r="SVZ54" s="76"/>
      <c r="SWA54" s="76"/>
      <c r="SWB54" s="76"/>
      <c r="SWC54" s="76"/>
      <c r="SWD54" s="76"/>
      <c r="SWE54" s="76"/>
      <c r="SWF54" s="76"/>
      <c r="SWG54" s="76"/>
      <c r="SWH54" s="76"/>
      <c r="SWI54" s="76"/>
      <c r="SWJ54" s="76"/>
      <c r="SWK54" s="76"/>
      <c r="SWL54" s="76"/>
      <c r="SWM54" s="76"/>
      <c r="SWN54" s="76"/>
      <c r="SWO54" s="76"/>
      <c r="SWP54" s="76"/>
      <c r="SWQ54" s="76"/>
      <c r="SWR54" s="76"/>
      <c r="SWS54" s="76"/>
      <c r="SWT54" s="76"/>
      <c r="SWU54" s="76"/>
      <c r="SWV54" s="76"/>
      <c r="SWW54" s="76"/>
      <c r="SWX54" s="76"/>
      <c r="SWY54" s="76"/>
      <c r="SWZ54" s="76"/>
      <c r="SXA54" s="76"/>
      <c r="SXB54" s="76"/>
      <c r="SXC54" s="76"/>
      <c r="SXD54" s="76"/>
      <c r="SXE54" s="76"/>
      <c r="SXF54" s="76"/>
      <c r="SXG54" s="76"/>
      <c r="SXH54" s="76"/>
      <c r="SXI54" s="76"/>
      <c r="SXJ54" s="76"/>
      <c r="SXK54" s="76"/>
      <c r="SXL54" s="76"/>
      <c r="SXM54" s="76"/>
      <c r="SXN54" s="76"/>
      <c r="SXO54" s="76"/>
      <c r="SXP54" s="76"/>
      <c r="SXQ54" s="76"/>
      <c r="SXR54" s="76"/>
      <c r="SXS54" s="76"/>
      <c r="SXT54" s="76"/>
      <c r="SXU54" s="76"/>
      <c r="SXV54" s="76"/>
      <c r="SXW54" s="76"/>
      <c r="SXX54" s="76"/>
      <c r="SXY54" s="76"/>
      <c r="SXZ54" s="76"/>
      <c r="SYA54" s="76"/>
      <c r="SYB54" s="76"/>
      <c r="SYC54" s="76"/>
      <c r="SYD54" s="76"/>
      <c r="SYE54" s="76"/>
      <c r="SYF54" s="76"/>
      <c r="SYG54" s="76"/>
      <c r="SYH54" s="76"/>
      <c r="SYI54" s="76"/>
      <c r="SYJ54" s="76"/>
      <c r="SYK54" s="76"/>
      <c r="SYL54" s="76"/>
      <c r="SYM54" s="76"/>
      <c r="SYN54" s="76"/>
      <c r="SYO54" s="76"/>
      <c r="SYP54" s="76"/>
      <c r="SYQ54" s="76"/>
      <c r="SYR54" s="76"/>
      <c r="SYS54" s="76"/>
      <c r="SYT54" s="76"/>
      <c r="SYU54" s="76"/>
      <c r="SYV54" s="76"/>
      <c r="SYW54" s="76"/>
      <c r="SYX54" s="76"/>
      <c r="SYY54" s="76"/>
      <c r="SYZ54" s="76"/>
      <c r="SZA54" s="76"/>
      <c r="SZB54" s="76"/>
      <c r="SZC54" s="76"/>
      <c r="SZD54" s="76"/>
      <c r="SZE54" s="76"/>
      <c r="SZF54" s="76"/>
      <c r="SZG54" s="76"/>
      <c r="SZH54" s="76"/>
      <c r="SZI54" s="76"/>
      <c r="SZJ54" s="76"/>
      <c r="SZK54" s="76"/>
      <c r="SZL54" s="76"/>
      <c r="SZM54" s="76"/>
      <c r="SZN54" s="76"/>
      <c r="SZO54" s="76"/>
      <c r="SZP54" s="76"/>
      <c r="SZQ54" s="76"/>
      <c r="SZR54" s="76"/>
      <c r="SZS54" s="76"/>
      <c r="SZT54" s="76"/>
      <c r="SZU54" s="76"/>
      <c r="SZV54" s="76"/>
      <c r="SZW54" s="76"/>
      <c r="SZX54" s="76"/>
      <c r="SZY54" s="76"/>
      <c r="SZZ54" s="76"/>
      <c r="TAA54" s="76"/>
      <c r="TAB54" s="76"/>
      <c r="TAC54" s="76"/>
      <c r="TAD54" s="76"/>
      <c r="TAE54" s="76"/>
      <c r="TAF54" s="76"/>
      <c r="TAG54" s="76"/>
      <c r="TAH54" s="76"/>
      <c r="TAI54" s="76"/>
      <c r="TAJ54" s="76"/>
      <c r="TAK54" s="76"/>
      <c r="TAL54" s="76"/>
      <c r="TAM54" s="76"/>
      <c r="TAN54" s="76"/>
      <c r="TAO54" s="76"/>
      <c r="TAP54" s="76"/>
      <c r="TAQ54" s="76"/>
      <c r="TAR54" s="76"/>
      <c r="TAS54" s="76"/>
      <c r="TAT54" s="76"/>
      <c r="TAU54" s="76"/>
      <c r="TAV54" s="76"/>
      <c r="TAW54" s="76"/>
      <c r="TAX54" s="76"/>
      <c r="TAY54" s="76"/>
      <c r="TAZ54" s="76"/>
      <c r="TBA54" s="76"/>
      <c r="TBB54" s="76"/>
      <c r="TBC54" s="76"/>
      <c r="TBD54" s="76"/>
      <c r="TBE54" s="76"/>
      <c r="TBF54" s="76"/>
      <c r="TBG54" s="76"/>
      <c r="TBH54" s="76"/>
      <c r="TBI54" s="76"/>
      <c r="TBJ54" s="76"/>
      <c r="TBK54" s="76"/>
      <c r="TBL54" s="76"/>
      <c r="TBM54" s="76"/>
      <c r="TBN54" s="76"/>
      <c r="TBO54" s="76"/>
      <c r="TBP54" s="76"/>
      <c r="TBQ54" s="76"/>
      <c r="TBR54" s="76"/>
      <c r="TBS54" s="76"/>
      <c r="TBT54" s="76"/>
      <c r="TBU54" s="76"/>
      <c r="TBV54" s="76"/>
      <c r="TBW54" s="76"/>
      <c r="TBX54" s="76"/>
      <c r="TBY54" s="76"/>
      <c r="TBZ54" s="76"/>
      <c r="TCA54" s="76"/>
      <c r="TCB54" s="76"/>
      <c r="TCC54" s="76"/>
      <c r="TCD54" s="76"/>
      <c r="TCE54" s="76"/>
      <c r="TCF54" s="76"/>
      <c r="TCG54" s="76"/>
      <c r="TCH54" s="76"/>
      <c r="TCI54" s="76"/>
      <c r="TCJ54" s="76"/>
      <c r="TCK54" s="76"/>
      <c r="TCL54" s="76"/>
      <c r="TCM54" s="76"/>
      <c r="TCN54" s="76"/>
      <c r="TCO54" s="76"/>
      <c r="TCP54" s="76"/>
      <c r="TCQ54" s="76"/>
      <c r="TCR54" s="76"/>
      <c r="TCS54" s="76"/>
      <c r="TCT54" s="76"/>
      <c r="TCU54" s="76"/>
      <c r="TCV54" s="76"/>
      <c r="TCW54" s="76"/>
      <c r="TCX54" s="76"/>
      <c r="TCY54" s="76"/>
      <c r="TCZ54" s="76"/>
      <c r="TDA54" s="76"/>
      <c r="TDB54" s="76"/>
      <c r="TDC54" s="76"/>
      <c r="TDD54" s="76"/>
      <c r="TDE54" s="76"/>
      <c r="TDF54" s="76"/>
      <c r="TDG54" s="76"/>
      <c r="TDH54" s="76"/>
      <c r="TDI54" s="76"/>
      <c r="TDJ54" s="76"/>
      <c r="TDK54" s="76"/>
      <c r="TDL54" s="76"/>
      <c r="TDM54" s="76"/>
      <c r="TDN54" s="76"/>
      <c r="TDO54" s="76"/>
      <c r="TDP54" s="76"/>
      <c r="TDQ54" s="76"/>
      <c r="TDR54" s="76"/>
      <c r="TDS54" s="76"/>
      <c r="TDT54" s="76"/>
      <c r="TDU54" s="76"/>
      <c r="TDV54" s="76"/>
      <c r="TDW54" s="76"/>
      <c r="TDX54" s="76"/>
      <c r="TDY54" s="76"/>
      <c r="TDZ54" s="76"/>
      <c r="TEA54" s="76"/>
      <c r="TEB54" s="76"/>
      <c r="TEC54" s="76"/>
      <c r="TED54" s="76"/>
      <c r="TEE54" s="76"/>
      <c r="TEF54" s="76"/>
      <c r="TEG54" s="76"/>
      <c r="TEH54" s="76"/>
      <c r="TEI54" s="76"/>
      <c r="TEJ54" s="76"/>
      <c r="TEK54" s="76"/>
      <c r="TEL54" s="76"/>
      <c r="TEM54" s="76"/>
      <c r="TEN54" s="76"/>
      <c r="TEO54" s="76"/>
      <c r="TEP54" s="76"/>
      <c r="TEQ54" s="76"/>
      <c r="TER54" s="76"/>
      <c r="TES54" s="76"/>
      <c r="TET54" s="76"/>
      <c r="TEU54" s="76"/>
      <c r="TEV54" s="76"/>
      <c r="TEW54" s="76"/>
      <c r="TEX54" s="76"/>
      <c r="TEY54" s="76"/>
      <c r="TEZ54" s="76"/>
      <c r="TFA54" s="76"/>
      <c r="TFB54" s="76"/>
      <c r="TFC54" s="76"/>
      <c r="TFD54" s="76"/>
      <c r="TFE54" s="76"/>
      <c r="TFF54" s="76"/>
      <c r="TFG54" s="76"/>
      <c r="TFH54" s="76"/>
      <c r="TFI54" s="76"/>
      <c r="TFJ54" s="76"/>
      <c r="TFK54" s="76"/>
      <c r="TFL54" s="76"/>
      <c r="TFM54" s="76"/>
      <c r="TFN54" s="76"/>
      <c r="TFO54" s="76"/>
      <c r="TFP54" s="76"/>
      <c r="TFQ54" s="76"/>
      <c r="TFR54" s="76"/>
      <c r="TFS54" s="76"/>
      <c r="TFT54" s="76"/>
      <c r="TFU54" s="76"/>
      <c r="TFV54" s="76"/>
      <c r="TFW54" s="76"/>
      <c r="TFX54" s="76"/>
      <c r="TFY54" s="76"/>
      <c r="TFZ54" s="76"/>
      <c r="TGA54" s="76"/>
      <c r="TGB54" s="76"/>
      <c r="TGC54" s="76"/>
      <c r="TGD54" s="76"/>
      <c r="TGE54" s="76"/>
      <c r="TGF54" s="76"/>
      <c r="TGG54" s="76"/>
      <c r="TGH54" s="76"/>
      <c r="TGI54" s="76"/>
      <c r="TGJ54" s="76"/>
      <c r="TGK54" s="76"/>
      <c r="TGL54" s="76"/>
      <c r="TGM54" s="76"/>
      <c r="TGN54" s="76"/>
      <c r="TGO54" s="76"/>
      <c r="TGP54" s="76"/>
      <c r="TGQ54" s="76"/>
      <c r="TGR54" s="76"/>
      <c r="TGS54" s="76"/>
      <c r="TGT54" s="76"/>
      <c r="TGU54" s="76"/>
      <c r="TGV54" s="76"/>
      <c r="TGW54" s="76"/>
      <c r="TGX54" s="76"/>
      <c r="TGY54" s="76"/>
      <c r="TGZ54" s="76"/>
      <c r="THA54" s="76"/>
      <c r="THB54" s="76"/>
      <c r="THC54" s="76"/>
      <c r="THD54" s="76"/>
      <c r="THE54" s="76"/>
      <c r="THF54" s="76"/>
      <c r="THG54" s="76"/>
      <c r="THH54" s="76"/>
      <c r="THI54" s="76"/>
      <c r="THJ54" s="76"/>
      <c r="THK54" s="76"/>
      <c r="THL54" s="76"/>
      <c r="THM54" s="76"/>
      <c r="THN54" s="76"/>
      <c r="THO54" s="76"/>
      <c r="THP54" s="76"/>
      <c r="THQ54" s="76"/>
      <c r="THR54" s="76"/>
      <c r="THS54" s="76"/>
      <c r="THT54" s="76"/>
      <c r="THU54" s="76"/>
      <c r="THV54" s="76"/>
      <c r="THW54" s="76"/>
      <c r="THX54" s="76"/>
      <c r="THY54" s="76"/>
      <c r="THZ54" s="76"/>
      <c r="TIA54" s="76"/>
      <c r="TIB54" s="76"/>
      <c r="TIC54" s="76"/>
      <c r="TID54" s="76"/>
      <c r="TIE54" s="76"/>
      <c r="TIF54" s="76"/>
      <c r="TIG54" s="76"/>
      <c r="TIH54" s="76"/>
      <c r="TII54" s="76"/>
      <c r="TIJ54" s="76"/>
      <c r="TIK54" s="76"/>
      <c r="TIL54" s="76"/>
      <c r="TIM54" s="76"/>
      <c r="TIN54" s="76"/>
      <c r="TIO54" s="76"/>
      <c r="TIP54" s="76"/>
      <c r="TIQ54" s="76"/>
      <c r="TIR54" s="76"/>
      <c r="TIS54" s="76"/>
      <c r="TIT54" s="76"/>
      <c r="TIU54" s="76"/>
      <c r="TIV54" s="76"/>
      <c r="TIW54" s="76"/>
      <c r="TIX54" s="76"/>
      <c r="TIY54" s="76"/>
      <c r="TIZ54" s="76"/>
      <c r="TJA54" s="76"/>
      <c r="TJB54" s="76"/>
      <c r="TJC54" s="76"/>
      <c r="TJD54" s="76"/>
      <c r="TJE54" s="76"/>
      <c r="TJF54" s="76"/>
      <c r="TJG54" s="76"/>
      <c r="TJH54" s="76"/>
      <c r="TJI54" s="76"/>
      <c r="TJJ54" s="76"/>
      <c r="TJK54" s="76"/>
      <c r="TJL54" s="76"/>
      <c r="TJM54" s="76"/>
      <c r="TJN54" s="76"/>
      <c r="TJO54" s="76"/>
      <c r="TJP54" s="76"/>
      <c r="TJQ54" s="76"/>
      <c r="TJR54" s="76"/>
      <c r="TJS54" s="76"/>
      <c r="TJT54" s="76"/>
      <c r="TJU54" s="76"/>
      <c r="TJV54" s="76"/>
      <c r="TJW54" s="76"/>
      <c r="TJX54" s="76"/>
      <c r="TJY54" s="76"/>
      <c r="TJZ54" s="76"/>
      <c r="TKA54" s="76"/>
      <c r="TKB54" s="76"/>
      <c r="TKC54" s="76"/>
      <c r="TKD54" s="76"/>
      <c r="TKE54" s="76"/>
      <c r="TKF54" s="76"/>
      <c r="TKG54" s="76"/>
      <c r="TKH54" s="76"/>
      <c r="TKI54" s="76"/>
      <c r="TKJ54" s="76"/>
      <c r="TKK54" s="76"/>
      <c r="TKL54" s="76"/>
      <c r="TKM54" s="76"/>
      <c r="TKN54" s="76"/>
      <c r="TKO54" s="76"/>
      <c r="TKP54" s="76"/>
      <c r="TKQ54" s="76"/>
      <c r="TKR54" s="76"/>
      <c r="TKS54" s="76"/>
      <c r="TKT54" s="76"/>
      <c r="TKU54" s="76"/>
      <c r="TKV54" s="76"/>
      <c r="TKW54" s="76"/>
      <c r="TKX54" s="76"/>
      <c r="TKY54" s="76"/>
      <c r="TKZ54" s="76"/>
      <c r="TLA54" s="76"/>
      <c r="TLB54" s="76"/>
      <c r="TLC54" s="76"/>
      <c r="TLD54" s="76"/>
      <c r="TLE54" s="76"/>
      <c r="TLF54" s="76"/>
      <c r="TLG54" s="76"/>
      <c r="TLH54" s="76"/>
      <c r="TLI54" s="76"/>
      <c r="TLJ54" s="76"/>
      <c r="TLK54" s="76"/>
      <c r="TLL54" s="76"/>
      <c r="TLM54" s="76"/>
      <c r="TLN54" s="76"/>
      <c r="TLO54" s="76"/>
      <c r="TLP54" s="76"/>
      <c r="TLQ54" s="76"/>
      <c r="TLR54" s="76"/>
      <c r="TLS54" s="76"/>
      <c r="TLT54" s="76"/>
      <c r="TLU54" s="76"/>
      <c r="TLV54" s="76"/>
      <c r="TLW54" s="76"/>
      <c r="TLX54" s="76"/>
      <c r="TLY54" s="76"/>
      <c r="TLZ54" s="76"/>
      <c r="TMA54" s="76"/>
      <c r="TMB54" s="76"/>
      <c r="TMC54" s="76"/>
      <c r="TMD54" s="76"/>
      <c r="TME54" s="76"/>
      <c r="TMF54" s="76"/>
      <c r="TMG54" s="76"/>
      <c r="TMH54" s="76"/>
      <c r="TMI54" s="76"/>
      <c r="TMJ54" s="76"/>
      <c r="TMK54" s="76"/>
      <c r="TML54" s="76"/>
      <c r="TMM54" s="76"/>
      <c r="TMN54" s="76"/>
      <c r="TMO54" s="76"/>
      <c r="TMP54" s="76"/>
      <c r="TMQ54" s="76"/>
      <c r="TMR54" s="76"/>
      <c r="TMS54" s="76"/>
      <c r="TMT54" s="76"/>
      <c r="TMU54" s="76"/>
      <c r="TMV54" s="76"/>
      <c r="TMW54" s="76"/>
      <c r="TMX54" s="76"/>
      <c r="TMY54" s="76"/>
      <c r="TMZ54" s="76"/>
      <c r="TNA54" s="76"/>
      <c r="TNB54" s="76"/>
      <c r="TNC54" s="76"/>
      <c r="TND54" s="76"/>
      <c r="TNE54" s="76"/>
      <c r="TNF54" s="76"/>
      <c r="TNG54" s="76"/>
      <c r="TNH54" s="76"/>
      <c r="TNI54" s="76"/>
      <c r="TNJ54" s="76"/>
      <c r="TNK54" s="76"/>
      <c r="TNL54" s="76"/>
      <c r="TNM54" s="76"/>
      <c r="TNN54" s="76"/>
      <c r="TNO54" s="76"/>
      <c r="TNP54" s="76"/>
      <c r="TNQ54" s="76"/>
      <c r="TNR54" s="76"/>
      <c r="TNS54" s="76"/>
      <c r="TNT54" s="76"/>
      <c r="TNU54" s="76"/>
      <c r="TNV54" s="76"/>
      <c r="TNW54" s="76"/>
      <c r="TNX54" s="76"/>
      <c r="TNY54" s="76"/>
      <c r="TNZ54" s="76"/>
      <c r="TOA54" s="76"/>
      <c r="TOB54" s="76"/>
      <c r="TOC54" s="76"/>
      <c r="TOD54" s="76"/>
      <c r="TOE54" s="76"/>
      <c r="TOF54" s="76"/>
      <c r="TOG54" s="76"/>
      <c r="TOH54" s="76"/>
      <c r="TOI54" s="76"/>
      <c r="TOJ54" s="76"/>
      <c r="TOK54" s="76"/>
      <c r="TOL54" s="76"/>
      <c r="TOM54" s="76"/>
      <c r="TON54" s="76"/>
      <c r="TOO54" s="76"/>
      <c r="TOP54" s="76"/>
      <c r="TOQ54" s="76"/>
      <c r="TOR54" s="76"/>
      <c r="TOS54" s="76"/>
      <c r="TOT54" s="76"/>
      <c r="TOU54" s="76"/>
      <c r="TOV54" s="76"/>
      <c r="TOW54" s="76"/>
      <c r="TOX54" s="76"/>
      <c r="TOY54" s="76"/>
      <c r="TOZ54" s="76"/>
      <c r="TPA54" s="76"/>
      <c r="TPB54" s="76"/>
      <c r="TPC54" s="76"/>
      <c r="TPD54" s="76"/>
      <c r="TPE54" s="76"/>
      <c r="TPF54" s="76"/>
      <c r="TPG54" s="76"/>
      <c r="TPH54" s="76"/>
      <c r="TPI54" s="76"/>
      <c r="TPJ54" s="76"/>
      <c r="TPK54" s="76"/>
      <c r="TPL54" s="76"/>
      <c r="TPM54" s="76"/>
      <c r="TPN54" s="76"/>
      <c r="TPO54" s="76"/>
      <c r="TPP54" s="76"/>
      <c r="TPQ54" s="76"/>
      <c r="TPR54" s="76"/>
      <c r="TPS54" s="76"/>
      <c r="TPT54" s="76"/>
      <c r="TPU54" s="76"/>
      <c r="TPV54" s="76"/>
      <c r="TPW54" s="76"/>
      <c r="TPX54" s="76"/>
      <c r="TPY54" s="76"/>
      <c r="TPZ54" s="76"/>
      <c r="TQA54" s="76"/>
      <c r="TQB54" s="76"/>
      <c r="TQC54" s="76"/>
      <c r="TQD54" s="76"/>
      <c r="TQE54" s="76"/>
      <c r="TQF54" s="76"/>
      <c r="TQG54" s="76"/>
      <c r="TQH54" s="76"/>
      <c r="TQI54" s="76"/>
      <c r="TQJ54" s="76"/>
      <c r="TQK54" s="76"/>
      <c r="TQL54" s="76"/>
      <c r="TQM54" s="76"/>
      <c r="TQN54" s="76"/>
      <c r="TQO54" s="76"/>
      <c r="TQP54" s="76"/>
      <c r="TQQ54" s="76"/>
      <c r="TQR54" s="76"/>
      <c r="TQS54" s="76"/>
      <c r="TQT54" s="76"/>
      <c r="TQU54" s="76"/>
      <c r="TQV54" s="76"/>
      <c r="TQW54" s="76"/>
      <c r="TQX54" s="76"/>
      <c r="TQY54" s="76"/>
      <c r="TQZ54" s="76"/>
      <c r="TRA54" s="76"/>
      <c r="TRB54" s="76"/>
      <c r="TRC54" s="76"/>
      <c r="TRD54" s="76"/>
      <c r="TRE54" s="76"/>
      <c r="TRF54" s="76"/>
      <c r="TRG54" s="76"/>
      <c r="TRH54" s="76"/>
      <c r="TRI54" s="76"/>
      <c r="TRJ54" s="76"/>
      <c r="TRK54" s="76"/>
      <c r="TRL54" s="76"/>
      <c r="TRM54" s="76"/>
      <c r="TRN54" s="76"/>
      <c r="TRO54" s="76"/>
      <c r="TRP54" s="76"/>
      <c r="TRQ54" s="76"/>
      <c r="TRR54" s="76"/>
      <c r="TRS54" s="76"/>
      <c r="TRT54" s="76"/>
      <c r="TRU54" s="76"/>
      <c r="TRV54" s="76"/>
      <c r="TRW54" s="76"/>
      <c r="TRX54" s="76"/>
      <c r="TRY54" s="76"/>
      <c r="TRZ54" s="76"/>
      <c r="TSA54" s="76"/>
      <c r="TSB54" s="76"/>
      <c r="TSC54" s="76"/>
      <c r="TSD54" s="76"/>
      <c r="TSE54" s="76"/>
      <c r="TSF54" s="76"/>
      <c r="TSG54" s="76"/>
      <c r="TSH54" s="76"/>
      <c r="TSI54" s="76"/>
      <c r="TSJ54" s="76"/>
      <c r="TSK54" s="76"/>
      <c r="TSL54" s="76"/>
      <c r="TSM54" s="76"/>
      <c r="TSN54" s="76"/>
      <c r="TSO54" s="76"/>
      <c r="TSP54" s="76"/>
      <c r="TSQ54" s="76"/>
      <c r="TSR54" s="76"/>
      <c r="TSS54" s="76"/>
      <c r="TST54" s="76"/>
      <c r="TSU54" s="76"/>
      <c r="TSV54" s="76"/>
      <c r="TSW54" s="76"/>
      <c r="TSX54" s="76"/>
      <c r="TSY54" s="76"/>
      <c r="TSZ54" s="76"/>
      <c r="TTA54" s="76"/>
      <c r="TTB54" s="76"/>
      <c r="TTC54" s="76"/>
      <c r="TTD54" s="76"/>
      <c r="TTE54" s="76"/>
      <c r="TTF54" s="76"/>
      <c r="TTG54" s="76"/>
      <c r="TTH54" s="76"/>
      <c r="TTI54" s="76"/>
      <c r="TTJ54" s="76"/>
      <c r="TTK54" s="76"/>
      <c r="TTL54" s="76"/>
      <c r="TTM54" s="76"/>
      <c r="TTN54" s="76"/>
      <c r="TTO54" s="76"/>
      <c r="TTP54" s="76"/>
      <c r="TTQ54" s="76"/>
      <c r="TTR54" s="76"/>
      <c r="TTS54" s="76"/>
      <c r="TTT54" s="76"/>
      <c r="TTU54" s="76"/>
      <c r="TTV54" s="76"/>
      <c r="TTW54" s="76"/>
      <c r="TTX54" s="76"/>
      <c r="TTY54" s="76"/>
      <c r="TTZ54" s="76"/>
      <c r="TUA54" s="76"/>
      <c r="TUB54" s="76"/>
      <c r="TUC54" s="76"/>
      <c r="TUD54" s="76"/>
      <c r="TUE54" s="76"/>
      <c r="TUF54" s="76"/>
      <c r="TUG54" s="76"/>
      <c r="TUH54" s="76"/>
      <c r="TUI54" s="76"/>
      <c r="TUJ54" s="76"/>
      <c r="TUK54" s="76"/>
      <c r="TUL54" s="76"/>
      <c r="TUM54" s="76"/>
      <c r="TUN54" s="76"/>
      <c r="TUO54" s="76"/>
      <c r="TUP54" s="76"/>
      <c r="TUQ54" s="76"/>
      <c r="TUR54" s="76"/>
      <c r="TUS54" s="76"/>
      <c r="TUT54" s="76"/>
      <c r="TUU54" s="76"/>
      <c r="TUV54" s="76"/>
      <c r="TUW54" s="76"/>
      <c r="TUX54" s="76"/>
      <c r="TUY54" s="76"/>
      <c r="TUZ54" s="76"/>
      <c r="TVA54" s="76"/>
      <c r="TVB54" s="76"/>
      <c r="TVC54" s="76"/>
      <c r="TVD54" s="76"/>
      <c r="TVE54" s="76"/>
      <c r="TVF54" s="76"/>
      <c r="TVG54" s="76"/>
      <c r="TVH54" s="76"/>
      <c r="TVI54" s="76"/>
      <c r="TVJ54" s="76"/>
      <c r="TVK54" s="76"/>
      <c r="TVL54" s="76"/>
      <c r="TVM54" s="76"/>
      <c r="TVN54" s="76"/>
      <c r="TVO54" s="76"/>
      <c r="TVP54" s="76"/>
      <c r="TVQ54" s="76"/>
      <c r="TVR54" s="76"/>
      <c r="TVS54" s="76"/>
      <c r="TVT54" s="76"/>
      <c r="TVU54" s="76"/>
      <c r="TVV54" s="76"/>
      <c r="TVW54" s="76"/>
      <c r="TVX54" s="76"/>
      <c r="TVY54" s="76"/>
      <c r="TVZ54" s="76"/>
      <c r="TWA54" s="76"/>
      <c r="TWB54" s="76"/>
      <c r="TWC54" s="76"/>
      <c r="TWD54" s="76"/>
      <c r="TWE54" s="76"/>
      <c r="TWF54" s="76"/>
      <c r="TWG54" s="76"/>
      <c r="TWH54" s="76"/>
      <c r="TWI54" s="76"/>
      <c r="TWJ54" s="76"/>
      <c r="TWK54" s="76"/>
      <c r="TWL54" s="76"/>
      <c r="TWM54" s="76"/>
      <c r="TWN54" s="76"/>
      <c r="TWO54" s="76"/>
      <c r="TWP54" s="76"/>
      <c r="TWQ54" s="76"/>
      <c r="TWR54" s="76"/>
      <c r="TWS54" s="76"/>
      <c r="TWT54" s="76"/>
      <c r="TWU54" s="76"/>
      <c r="TWV54" s="76"/>
      <c r="TWW54" s="76"/>
      <c r="TWX54" s="76"/>
      <c r="TWY54" s="76"/>
      <c r="TWZ54" s="76"/>
      <c r="TXA54" s="76"/>
      <c r="TXB54" s="76"/>
      <c r="TXC54" s="76"/>
      <c r="TXD54" s="76"/>
      <c r="TXE54" s="76"/>
      <c r="TXF54" s="76"/>
      <c r="TXG54" s="76"/>
      <c r="TXH54" s="76"/>
      <c r="TXI54" s="76"/>
      <c r="TXJ54" s="76"/>
      <c r="TXK54" s="76"/>
      <c r="TXL54" s="76"/>
      <c r="TXM54" s="76"/>
      <c r="TXN54" s="76"/>
      <c r="TXO54" s="76"/>
      <c r="TXP54" s="76"/>
      <c r="TXQ54" s="76"/>
      <c r="TXR54" s="76"/>
      <c r="TXS54" s="76"/>
      <c r="TXT54" s="76"/>
      <c r="TXU54" s="76"/>
      <c r="TXV54" s="76"/>
      <c r="TXW54" s="76"/>
      <c r="TXX54" s="76"/>
      <c r="TXY54" s="76"/>
      <c r="TXZ54" s="76"/>
      <c r="TYA54" s="76"/>
      <c r="TYB54" s="76"/>
      <c r="TYC54" s="76"/>
      <c r="TYD54" s="76"/>
      <c r="TYE54" s="76"/>
      <c r="TYF54" s="76"/>
      <c r="TYG54" s="76"/>
      <c r="TYH54" s="76"/>
      <c r="TYI54" s="76"/>
      <c r="TYJ54" s="76"/>
      <c r="TYK54" s="76"/>
      <c r="TYL54" s="76"/>
      <c r="TYM54" s="76"/>
      <c r="TYN54" s="76"/>
      <c r="TYO54" s="76"/>
      <c r="TYP54" s="76"/>
      <c r="TYQ54" s="76"/>
      <c r="TYR54" s="76"/>
      <c r="TYS54" s="76"/>
      <c r="TYT54" s="76"/>
      <c r="TYU54" s="76"/>
      <c r="TYV54" s="76"/>
      <c r="TYW54" s="76"/>
      <c r="TYX54" s="76"/>
      <c r="TYY54" s="76"/>
      <c r="TYZ54" s="76"/>
      <c r="TZA54" s="76"/>
      <c r="TZB54" s="76"/>
      <c r="TZC54" s="76"/>
      <c r="TZD54" s="76"/>
      <c r="TZE54" s="76"/>
      <c r="TZF54" s="76"/>
      <c r="TZG54" s="76"/>
      <c r="TZH54" s="76"/>
      <c r="TZI54" s="76"/>
      <c r="TZJ54" s="76"/>
      <c r="TZK54" s="76"/>
      <c r="TZL54" s="76"/>
      <c r="TZM54" s="76"/>
      <c r="TZN54" s="76"/>
      <c r="TZO54" s="76"/>
      <c r="TZP54" s="76"/>
      <c r="TZQ54" s="76"/>
      <c r="TZR54" s="76"/>
      <c r="TZS54" s="76"/>
      <c r="TZT54" s="76"/>
      <c r="TZU54" s="76"/>
      <c r="TZV54" s="76"/>
      <c r="TZW54" s="76"/>
      <c r="TZX54" s="76"/>
      <c r="TZY54" s="76"/>
      <c r="TZZ54" s="76"/>
      <c r="UAA54" s="76"/>
      <c r="UAB54" s="76"/>
      <c r="UAC54" s="76"/>
      <c r="UAD54" s="76"/>
      <c r="UAE54" s="76"/>
      <c r="UAF54" s="76"/>
      <c r="UAG54" s="76"/>
      <c r="UAH54" s="76"/>
      <c r="UAI54" s="76"/>
      <c r="UAJ54" s="76"/>
      <c r="UAK54" s="76"/>
      <c r="UAL54" s="76"/>
      <c r="UAM54" s="76"/>
      <c r="UAN54" s="76"/>
      <c r="UAO54" s="76"/>
      <c r="UAP54" s="76"/>
      <c r="UAQ54" s="76"/>
      <c r="UAR54" s="76"/>
      <c r="UAS54" s="76"/>
      <c r="UAT54" s="76"/>
      <c r="UAU54" s="76"/>
      <c r="UAV54" s="76"/>
      <c r="UAW54" s="76"/>
      <c r="UAX54" s="76"/>
      <c r="UAY54" s="76"/>
      <c r="UAZ54" s="76"/>
      <c r="UBA54" s="76"/>
      <c r="UBB54" s="76"/>
      <c r="UBC54" s="76"/>
      <c r="UBD54" s="76"/>
      <c r="UBE54" s="76"/>
      <c r="UBF54" s="76"/>
      <c r="UBG54" s="76"/>
      <c r="UBH54" s="76"/>
      <c r="UBI54" s="76"/>
      <c r="UBJ54" s="76"/>
      <c r="UBK54" s="76"/>
      <c r="UBL54" s="76"/>
      <c r="UBM54" s="76"/>
      <c r="UBN54" s="76"/>
      <c r="UBO54" s="76"/>
      <c r="UBP54" s="76"/>
      <c r="UBQ54" s="76"/>
      <c r="UBR54" s="76"/>
      <c r="UBS54" s="76"/>
      <c r="UBT54" s="76"/>
      <c r="UBU54" s="76"/>
      <c r="UBV54" s="76"/>
      <c r="UBW54" s="76"/>
      <c r="UBX54" s="76"/>
      <c r="UBY54" s="76"/>
      <c r="UBZ54" s="76"/>
      <c r="UCA54" s="76"/>
      <c r="UCB54" s="76"/>
      <c r="UCC54" s="76"/>
      <c r="UCD54" s="76"/>
      <c r="UCE54" s="76"/>
      <c r="UCF54" s="76"/>
      <c r="UCG54" s="76"/>
      <c r="UCH54" s="76"/>
      <c r="UCI54" s="76"/>
      <c r="UCJ54" s="76"/>
      <c r="UCK54" s="76"/>
      <c r="UCL54" s="76"/>
      <c r="UCM54" s="76"/>
      <c r="UCN54" s="76"/>
      <c r="UCO54" s="76"/>
      <c r="UCP54" s="76"/>
      <c r="UCQ54" s="76"/>
      <c r="UCR54" s="76"/>
      <c r="UCS54" s="76"/>
      <c r="UCT54" s="76"/>
      <c r="UCU54" s="76"/>
      <c r="UCV54" s="76"/>
      <c r="UCW54" s="76"/>
      <c r="UCX54" s="76"/>
      <c r="UCY54" s="76"/>
      <c r="UCZ54" s="76"/>
      <c r="UDA54" s="76"/>
      <c r="UDB54" s="76"/>
      <c r="UDC54" s="76"/>
      <c r="UDD54" s="76"/>
      <c r="UDE54" s="76"/>
      <c r="UDF54" s="76"/>
      <c r="UDG54" s="76"/>
      <c r="UDH54" s="76"/>
      <c r="UDI54" s="76"/>
      <c r="UDJ54" s="76"/>
      <c r="UDK54" s="76"/>
      <c r="UDL54" s="76"/>
      <c r="UDM54" s="76"/>
      <c r="UDN54" s="76"/>
      <c r="UDO54" s="76"/>
      <c r="UDP54" s="76"/>
      <c r="UDQ54" s="76"/>
      <c r="UDR54" s="76"/>
      <c r="UDS54" s="76"/>
      <c r="UDT54" s="76"/>
      <c r="UDU54" s="76"/>
      <c r="UDV54" s="76"/>
      <c r="UDW54" s="76"/>
      <c r="UDX54" s="76"/>
      <c r="UDY54" s="76"/>
      <c r="UDZ54" s="76"/>
      <c r="UEA54" s="76"/>
      <c r="UEB54" s="76"/>
      <c r="UEC54" s="76"/>
      <c r="UED54" s="76"/>
      <c r="UEE54" s="76"/>
      <c r="UEF54" s="76"/>
      <c r="UEG54" s="76"/>
      <c r="UEH54" s="76"/>
      <c r="UEI54" s="76"/>
      <c r="UEJ54" s="76"/>
      <c r="UEK54" s="76"/>
      <c r="UEL54" s="76"/>
      <c r="UEM54" s="76"/>
      <c r="UEN54" s="76"/>
      <c r="UEO54" s="76"/>
      <c r="UEP54" s="76"/>
      <c r="UEQ54" s="76"/>
      <c r="UER54" s="76"/>
      <c r="UES54" s="76"/>
      <c r="UET54" s="76"/>
      <c r="UEU54" s="76"/>
      <c r="UEV54" s="76"/>
      <c r="UEW54" s="76"/>
      <c r="UEX54" s="76"/>
      <c r="UEY54" s="76"/>
      <c r="UEZ54" s="76"/>
      <c r="UFA54" s="76"/>
      <c r="UFB54" s="76"/>
      <c r="UFC54" s="76"/>
      <c r="UFD54" s="76"/>
      <c r="UFE54" s="76"/>
      <c r="UFF54" s="76"/>
      <c r="UFG54" s="76"/>
      <c r="UFH54" s="76"/>
      <c r="UFI54" s="76"/>
      <c r="UFJ54" s="76"/>
      <c r="UFK54" s="76"/>
      <c r="UFL54" s="76"/>
      <c r="UFM54" s="76"/>
      <c r="UFN54" s="76"/>
      <c r="UFO54" s="76"/>
      <c r="UFP54" s="76"/>
      <c r="UFQ54" s="76"/>
      <c r="UFR54" s="76"/>
      <c r="UFS54" s="76"/>
      <c r="UFT54" s="76"/>
      <c r="UFU54" s="76"/>
      <c r="UFV54" s="76"/>
      <c r="UFW54" s="76"/>
      <c r="UFX54" s="76"/>
      <c r="UFY54" s="76"/>
      <c r="UFZ54" s="76"/>
      <c r="UGA54" s="76"/>
      <c r="UGB54" s="76"/>
      <c r="UGC54" s="76"/>
      <c r="UGD54" s="76"/>
      <c r="UGE54" s="76"/>
      <c r="UGF54" s="76"/>
      <c r="UGG54" s="76"/>
      <c r="UGH54" s="76"/>
      <c r="UGI54" s="76"/>
      <c r="UGJ54" s="76"/>
      <c r="UGK54" s="76"/>
      <c r="UGL54" s="76"/>
      <c r="UGM54" s="76"/>
      <c r="UGN54" s="76"/>
      <c r="UGO54" s="76"/>
      <c r="UGP54" s="76"/>
      <c r="UGQ54" s="76"/>
      <c r="UGR54" s="76"/>
      <c r="UGS54" s="76"/>
      <c r="UGT54" s="76"/>
      <c r="UGU54" s="76"/>
      <c r="UGV54" s="76"/>
      <c r="UGW54" s="76"/>
      <c r="UGX54" s="76"/>
      <c r="UGY54" s="76"/>
      <c r="UGZ54" s="76"/>
      <c r="UHA54" s="76"/>
      <c r="UHB54" s="76"/>
      <c r="UHC54" s="76"/>
      <c r="UHD54" s="76"/>
      <c r="UHE54" s="76"/>
      <c r="UHF54" s="76"/>
      <c r="UHG54" s="76"/>
      <c r="UHH54" s="76"/>
      <c r="UHI54" s="76"/>
      <c r="UHJ54" s="76"/>
      <c r="UHK54" s="76"/>
      <c r="UHL54" s="76"/>
      <c r="UHM54" s="76"/>
      <c r="UHN54" s="76"/>
      <c r="UHO54" s="76"/>
      <c r="UHP54" s="76"/>
      <c r="UHQ54" s="76"/>
      <c r="UHR54" s="76"/>
      <c r="UHS54" s="76"/>
      <c r="UHT54" s="76"/>
      <c r="UHU54" s="76"/>
      <c r="UHV54" s="76"/>
      <c r="UHW54" s="76"/>
      <c r="UHX54" s="76"/>
      <c r="UHY54" s="76"/>
      <c r="UHZ54" s="76"/>
      <c r="UIA54" s="76"/>
      <c r="UIB54" s="76"/>
      <c r="UIC54" s="76"/>
      <c r="UID54" s="76"/>
      <c r="UIE54" s="76"/>
      <c r="UIF54" s="76"/>
      <c r="UIG54" s="76"/>
      <c r="UIH54" s="76"/>
      <c r="UII54" s="76"/>
      <c r="UIJ54" s="76"/>
      <c r="UIK54" s="76"/>
      <c r="UIL54" s="76"/>
      <c r="UIM54" s="76"/>
      <c r="UIN54" s="76"/>
      <c r="UIO54" s="76"/>
      <c r="UIP54" s="76"/>
      <c r="UIQ54" s="76"/>
      <c r="UIR54" s="76"/>
      <c r="UIS54" s="76"/>
      <c r="UIT54" s="76"/>
      <c r="UIU54" s="76"/>
      <c r="UIV54" s="76"/>
      <c r="UIW54" s="76"/>
      <c r="UIX54" s="76"/>
      <c r="UIY54" s="76"/>
      <c r="UIZ54" s="76"/>
      <c r="UJA54" s="76"/>
      <c r="UJB54" s="76"/>
      <c r="UJC54" s="76"/>
      <c r="UJD54" s="76"/>
      <c r="UJE54" s="76"/>
      <c r="UJF54" s="76"/>
      <c r="UJG54" s="76"/>
      <c r="UJH54" s="76"/>
      <c r="UJI54" s="76"/>
      <c r="UJJ54" s="76"/>
      <c r="UJK54" s="76"/>
      <c r="UJL54" s="76"/>
      <c r="UJM54" s="76"/>
      <c r="UJN54" s="76"/>
      <c r="UJO54" s="76"/>
      <c r="UJP54" s="76"/>
      <c r="UJQ54" s="76"/>
      <c r="UJR54" s="76"/>
      <c r="UJS54" s="76"/>
      <c r="UJT54" s="76"/>
      <c r="UJU54" s="76"/>
      <c r="UJV54" s="76"/>
      <c r="UJW54" s="76"/>
      <c r="UJX54" s="76"/>
      <c r="UJY54" s="76"/>
      <c r="UJZ54" s="76"/>
      <c r="UKA54" s="76"/>
      <c r="UKB54" s="76"/>
      <c r="UKC54" s="76"/>
      <c r="UKD54" s="76"/>
      <c r="UKE54" s="76"/>
      <c r="UKF54" s="76"/>
      <c r="UKG54" s="76"/>
      <c r="UKH54" s="76"/>
      <c r="UKI54" s="76"/>
      <c r="UKJ54" s="76"/>
      <c r="UKK54" s="76"/>
      <c r="UKL54" s="76"/>
      <c r="UKM54" s="76"/>
      <c r="UKN54" s="76"/>
      <c r="UKO54" s="76"/>
      <c r="UKP54" s="76"/>
      <c r="UKQ54" s="76"/>
      <c r="UKR54" s="76"/>
      <c r="UKS54" s="76"/>
      <c r="UKT54" s="76"/>
      <c r="UKU54" s="76"/>
      <c r="UKV54" s="76"/>
      <c r="UKW54" s="76"/>
      <c r="UKX54" s="76"/>
      <c r="UKY54" s="76"/>
      <c r="UKZ54" s="76"/>
      <c r="ULA54" s="76"/>
      <c r="ULB54" s="76"/>
      <c r="ULC54" s="76"/>
      <c r="ULD54" s="76"/>
      <c r="ULE54" s="76"/>
      <c r="ULF54" s="76"/>
      <c r="ULG54" s="76"/>
      <c r="ULH54" s="76"/>
      <c r="ULI54" s="76"/>
      <c r="ULJ54" s="76"/>
      <c r="ULK54" s="76"/>
      <c r="ULL54" s="76"/>
      <c r="ULM54" s="76"/>
      <c r="ULN54" s="76"/>
      <c r="ULO54" s="76"/>
      <c r="ULP54" s="76"/>
      <c r="ULQ54" s="76"/>
      <c r="ULR54" s="76"/>
      <c r="ULS54" s="76"/>
      <c r="ULT54" s="76"/>
      <c r="ULU54" s="76"/>
      <c r="ULV54" s="76"/>
      <c r="ULW54" s="76"/>
      <c r="ULX54" s="76"/>
      <c r="ULY54" s="76"/>
      <c r="ULZ54" s="76"/>
      <c r="UMA54" s="76"/>
      <c r="UMB54" s="76"/>
      <c r="UMC54" s="76"/>
      <c r="UMD54" s="76"/>
      <c r="UME54" s="76"/>
      <c r="UMF54" s="76"/>
      <c r="UMG54" s="76"/>
      <c r="UMH54" s="76"/>
      <c r="UMI54" s="76"/>
      <c r="UMJ54" s="76"/>
      <c r="UMK54" s="76"/>
      <c r="UML54" s="76"/>
      <c r="UMM54" s="76"/>
      <c r="UMN54" s="76"/>
      <c r="UMO54" s="76"/>
      <c r="UMP54" s="76"/>
      <c r="UMQ54" s="76"/>
      <c r="UMR54" s="76"/>
      <c r="UMS54" s="76"/>
      <c r="UMT54" s="76"/>
      <c r="UMU54" s="76"/>
      <c r="UMV54" s="76"/>
      <c r="UMW54" s="76"/>
      <c r="UMX54" s="76"/>
      <c r="UMY54" s="76"/>
      <c r="UMZ54" s="76"/>
      <c r="UNA54" s="76"/>
      <c r="UNB54" s="76"/>
      <c r="UNC54" s="76"/>
      <c r="UND54" s="76"/>
      <c r="UNE54" s="76"/>
      <c r="UNF54" s="76"/>
      <c r="UNG54" s="76"/>
      <c r="UNH54" s="76"/>
      <c r="UNI54" s="76"/>
      <c r="UNJ54" s="76"/>
      <c r="UNK54" s="76"/>
      <c r="UNL54" s="76"/>
      <c r="UNM54" s="76"/>
      <c r="UNN54" s="76"/>
      <c r="UNO54" s="76"/>
      <c r="UNP54" s="76"/>
      <c r="UNQ54" s="76"/>
      <c r="UNR54" s="76"/>
      <c r="UNS54" s="76"/>
      <c r="UNT54" s="76"/>
      <c r="UNU54" s="76"/>
      <c r="UNV54" s="76"/>
      <c r="UNW54" s="76"/>
      <c r="UNX54" s="76"/>
      <c r="UNY54" s="76"/>
      <c r="UNZ54" s="76"/>
      <c r="UOA54" s="76"/>
      <c r="UOB54" s="76"/>
      <c r="UOC54" s="76"/>
      <c r="UOD54" s="76"/>
      <c r="UOE54" s="76"/>
      <c r="UOF54" s="76"/>
      <c r="UOG54" s="76"/>
      <c r="UOH54" s="76"/>
      <c r="UOI54" s="76"/>
      <c r="UOJ54" s="76"/>
      <c r="UOK54" s="76"/>
      <c r="UOL54" s="76"/>
      <c r="UOM54" s="76"/>
      <c r="UON54" s="76"/>
      <c r="UOO54" s="76"/>
      <c r="UOP54" s="76"/>
      <c r="UOQ54" s="76"/>
      <c r="UOR54" s="76"/>
      <c r="UOS54" s="76"/>
      <c r="UOT54" s="76"/>
      <c r="UOU54" s="76"/>
      <c r="UOV54" s="76"/>
      <c r="UOW54" s="76"/>
      <c r="UOX54" s="76"/>
      <c r="UOY54" s="76"/>
      <c r="UOZ54" s="76"/>
      <c r="UPA54" s="76"/>
      <c r="UPB54" s="76"/>
      <c r="UPC54" s="76"/>
      <c r="UPD54" s="76"/>
      <c r="UPE54" s="76"/>
      <c r="UPF54" s="76"/>
      <c r="UPG54" s="76"/>
      <c r="UPH54" s="76"/>
      <c r="UPI54" s="76"/>
      <c r="UPJ54" s="76"/>
      <c r="UPK54" s="76"/>
      <c r="UPL54" s="76"/>
      <c r="UPM54" s="76"/>
      <c r="UPN54" s="76"/>
      <c r="UPO54" s="76"/>
      <c r="UPP54" s="76"/>
      <c r="UPQ54" s="76"/>
      <c r="UPR54" s="76"/>
      <c r="UPS54" s="76"/>
      <c r="UPT54" s="76"/>
      <c r="UPU54" s="76"/>
      <c r="UPV54" s="76"/>
      <c r="UPW54" s="76"/>
      <c r="UPX54" s="76"/>
      <c r="UPY54" s="76"/>
      <c r="UPZ54" s="76"/>
      <c r="UQA54" s="76"/>
      <c r="UQB54" s="76"/>
      <c r="UQC54" s="76"/>
      <c r="UQD54" s="76"/>
      <c r="UQE54" s="76"/>
      <c r="UQF54" s="76"/>
      <c r="UQG54" s="76"/>
      <c r="UQH54" s="76"/>
      <c r="UQI54" s="76"/>
      <c r="UQJ54" s="76"/>
      <c r="UQK54" s="76"/>
      <c r="UQL54" s="76"/>
      <c r="UQM54" s="76"/>
      <c r="UQN54" s="76"/>
      <c r="UQO54" s="76"/>
      <c r="UQP54" s="76"/>
      <c r="UQQ54" s="76"/>
      <c r="UQR54" s="76"/>
      <c r="UQS54" s="76"/>
      <c r="UQT54" s="76"/>
      <c r="UQU54" s="76"/>
      <c r="UQV54" s="76"/>
      <c r="UQW54" s="76"/>
      <c r="UQX54" s="76"/>
      <c r="UQY54" s="76"/>
      <c r="UQZ54" s="76"/>
      <c r="URA54" s="76"/>
      <c r="URB54" s="76"/>
      <c r="URC54" s="76"/>
      <c r="URD54" s="76"/>
      <c r="URE54" s="76"/>
      <c r="URF54" s="76"/>
      <c r="URG54" s="76"/>
      <c r="URH54" s="76"/>
      <c r="URI54" s="76"/>
      <c r="URJ54" s="76"/>
      <c r="URK54" s="76"/>
      <c r="URL54" s="76"/>
      <c r="URM54" s="76"/>
      <c r="URN54" s="76"/>
      <c r="URO54" s="76"/>
      <c r="URP54" s="76"/>
      <c r="URQ54" s="76"/>
      <c r="URR54" s="76"/>
      <c r="URS54" s="76"/>
      <c r="URT54" s="76"/>
      <c r="URU54" s="76"/>
      <c r="URV54" s="76"/>
      <c r="URW54" s="76"/>
      <c r="URX54" s="76"/>
      <c r="URY54" s="76"/>
      <c r="URZ54" s="76"/>
      <c r="USA54" s="76"/>
      <c r="USB54" s="76"/>
      <c r="USC54" s="76"/>
      <c r="USD54" s="76"/>
      <c r="USE54" s="76"/>
      <c r="USF54" s="76"/>
      <c r="USG54" s="76"/>
      <c r="USH54" s="76"/>
      <c r="USI54" s="76"/>
      <c r="USJ54" s="76"/>
      <c r="USK54" s="76"/>
      <c r="USL54" s="76"/>
      <c r="USM54" s="76"/>
      <c r="USN54" s="76"/>
      <c r="USO54" s="76"/>
      <c r="USP54" s="76"/>
      <c r="USQ54" s="76"/>
      <c r="USR54" s="76"/>
      <c r="USS54" s="76"/>
      <c r="UST54" s="76"/>
      <c r="USU54" s="76"/>
      <c r="USV54" s="76"/>
      <c r="USW54" s="76"/>
      <c r="USX54" s="76"/>
      <c r="USY54" s="76"/>
      <c r="USZ54" s="76"/>
      <c r="UTA54" s="76"/>
      <c r="UTB54" s="76"/>
      <c r="UTC54" s="76"/>
      <c r="UTD54" s="76"/>
      <c r="UTE54" s="76"/>
      <c r="UTF54" s="76"/>
      <c r="UTG54" s="76"/>
      <c r="UTH54" s="76"/>
      <c r="UTI54" s="76"/>
      <c r="UTJ54" s="76"/>
      <c r="UTK54" s="76"/>
      <c r="UTL54" s="76"/>
      <c r="UTM54" s="76"/>
      <c r="UTN54" s="76"/>
      <c r="UTO54" s="76"/>
      <c r="UTP54" s="76"/>
      <c r="UTQ54" s="76"/>
      <c r="UTR54" s="76"/>
      <c r="UTS54" s="76"/>
      <c r="UTT54" s="76"/>
      <c r="UTU54" s="76"/>
      <c r="UTV54" s="76"/>
      <c r="UTW54" s="76"/>
      <c r="UTX54" s="76"/>
      <c r="UTY54" s="76"/>
      <c r="UTZ54" s="76"/>
      <c r="UUA54" s="76"/>
      <c r="UUB54" s="76"/>
      <c r="UUC54" s="76"/>
      <c r="UUD54" s="76"/>
      <c r="UUE54" s="76"/>
      <c r="UUF54" s="76"/>
      <c r="UUG54" s="76"/>
      <c r="UUH54" s="76"/>
      <c r="UUI54" s="76"/>
      <c r="UUJ54" s="76"/>
      <c r="UUK54" s="76"/>
      <c r="UUL54" s="76"/>
      <c r="UUM54" s="76"/>
      <c r="UUN54" s="76"/>
      <c r="UUO54" s="76"/>
      <c r="UUP54" s="76"/>
      <c r="UUQ54" s="76"/>
      <c r="UUR54" s="76"/>
      <c r="UUS54" s="76"/>
      <c r="UUT54" s="76"/>
      <c r="UUU54" s="76"/>
      <c r="UUV54" s="76"/>
      <c r="UUW54" s="76"/>
      <c r="UUX54" s="76"/>
      <c r="UUY54" s="76"/>
      <c r="UUZ54" s="76"/>
      <c r="UVA54" s="76"/>
      <c r="UVB54" s="76"/>
      <c r="UVC54" s="76"/>
      <c r="UVD54" s="76"/>
      <c r="UVE54" s="76"/>
      <c r="UVF54" s="76"/>
      <c r="UVG54" s="76"/>
      <c r="UVH54" s="76"/>
      <c r="UVI54" s="76"/>
      <c r="UVJ54" s="76"/>
      <c r="UVK54" s="76"/>
      <c r="UVL54" s="76"/>
      <c r="UVM54" s="76"/>
      <c r="UVN54" s="76"/>
      <c r="UVO54" s="76"/>
      <c r="UVP54" s="76"/>
      <c r="UVQ54" s="76"/>
      <c r="UVR54" s="76"/>
      <c r="UVS54" s="76"/>
      <c r="UVT54" s="76"/>
      <c r="UVU54" s="76"/>
      <c r="UVV54" s="76"/>
      <c r="UVW54" s="76"/>
      <c r="UVX54" s="76"/>
      <c r="UVY54" s="76"/>
      <c r="UVZ54" s="76"/>
      <c r="UWA54" s="76"/>
      <c r="UWB54" s="76"/>
      <c r="UWC54" s="76"/>
      <c r="UWD54" s="76"/>
      <c r="UWE54" s="76"/>
      <c r="UWF54" s="76"/>
      <c r="UWG54" s="76"/>
      <c r="UWH54" s="76"/>
      <c r="UWI54" s="76"/>
      <c r="UWJ54" s="76"/>
      <c r="UWK54" s="76"/>
      <c r="UWL54" s="76"/>
      <c r="UWM54" s="76"/>
      <c r="UWN54" s="76"/>
      <c r="UWO54" s="76"/>
      <c r="UWP54" s="76"/>
      <c r="UWQ54" s="76"/>
      <c r="UWR54" s="76"/>
      <c r="UWS54" s="76"/>
      <c r="UWT54" s="76"/>
      <c r="UWU54" s="76"/>
      <c r="UWV54" s="76"/>
      <c r="UWW54" s="76"/>
      <c r="UWX54" s="76"/>
      <c r="UWY54" s="76"/>
      <c r="UWZ54" s="76"/>
      <c r="UXA54" s="76"/>
      <c r="UXB54" s="76"/>
      <c r="UXC54" s="76"/>
      <c r="UXD54" s="76"/>
      <c r="UXE54" s="76"/>
      <c r="UXF54" s="76"/>
      <c r="UXG54" s="76"/>
      <c r="UXH54" s="76"/>
      <c r="UXI54" s="76"/>
      <c r="UXJ54" s="76"/>
      <c r="UXK54" s="76"/>
      <c r="UXL54" s="76"/>
      <c r="UXM54" s="76"/>
      <c r="UXN54" s="76"/>
      <c r="UXO54" s="76"/>
      <c r="UXP54" s="76"/>
      <c r="UXQ54" s="76"/>
      <c r="UXR54" s="76"/>
      <c r="UXS54" s="76"/>
      <c r="UXT54" s="76"/>
      <c r="UXU54" s="76"/>
      <c r="UXV54" s="76"/>
      <c r="UXW54" s="76"/>
      <c r="UXX54" s="76"/>
      <c r="UXY54" s="76"/>
      <c r="UXZ54" s="76"/>
      <c r="UYA54" s="76"/>
      <c r="UYB54" s="76"/>
      <c r="UYC54" s="76"/>
      <c r="UYD54" s="76"/>
      <c r="UYE54" s="76"/>
      <c r="UYF54" s="76"/>
      <c r="UYG54" s="76"/>
      <c r="UYH54" s="76"/>
      <c r="UYI54" s="76"/>
      <c r="UYJ54" s="76"/>
      <c r="UYK54" s="76"/>
      <c r="UYL54" s="76"/>
      <c r="UYM54" s="76"/>
      <c r="UYN54" s="76"/>
      <c r="UYO54" s="76"/>
      <c r="UYP54" s="76"/>
      <c r="UYQ54" s="76"/>
      <c r="UYR54" s="76"/>
      <c r="UYS54" s="76"/>
      <c r="UYT54" s="76"/>
      <c r="UYU54" s="76"/>
      <c r="UYV54" s="76"/>
      <c r="UYW54" s="76"/>
      <c r="UYX54" s="76"/>
      <c r="UYY54" s="76"/>
      <c r="UYZ54" s="76"/>
      <c r="UZA54" s="76"/>
      <c r="UZB54" s="76"/>
      <c r="UZC54" s="76"/>
      <c r="UZD54" s="76"/>
      <c r="UZE54" s="76"/>
      <c r="UZF54" s="76"/>
      <c r="UZG54" s="76"/>
      <c r="UZH54" s="76"/>
      <c r="UZI54" s="76"/>
      <c r="UZJ54" s="76"/>
      <c r="UZK54" s="76"/>
      <c r="UZL54" s="76"/>
      <c r="UZM54" s="76"/>
      <c r="UZN54" s="76"/>
      <c r="UZO54" s="76"/>
      <c r="UZP54" s="76"/>
      <c r="UZQ54" s="76"/>
      <c r="UZR54" s="76"/>
      <c r="UZS54" s="76"/>
      <c r="UZT54" s="76"/>
      <c r="UZU54" s="76"/>
      <c r="UZV54" s="76"/>
      <c r="UZW54" s="76"/>
      <c r="UZX54" s="76"/>
      <c r="UZY54" s="76"/>
      <c r="UZZ54" s="76"/>
      <c r="VAA54" s="76"/>
      <c r="VAB54" s="76"/>
      <c r="VAC54" s="76"/>
      <c r="VAD54" s="76"/>
      <c r="VAE54" s="76"/>
      <c r="VAF54" s="76"/>
      <c r="VAG54" s="76"/>
      <c r="VAH54" s="76"/>
      <c r="VAI54" s="76"/>
      <c r="VAJ54" s="76"/>
      <c r="VAK54" s="76"/>
      <c r="VAL54" s="76"/>
      <c r="VAM54" s="76"/>
      <c r="VAN54" s="76"/>
      <c r="VAO54" s="76"/>
      <c r="VAP54" s="76"/>
      <c r="VAQ54" s="76"/>
      <c r="VAR54" s="76"/>
      <c r="VAS54" s="76"/>
      <c r="VAT54" s="76"/>
      <c r="VAU54" s="76"/>
      <c r="VAV54" s="76"/>
      <c r="VAW54" s="76"/>
      <c r="VAX54" s="76"/>
      <c r="VAY54" s="76"/>
      <c r="VAZ54" s="76"/>
      <c r="VBA54" s="76"/>
      <c r="VBB54" s="76"/>
      <c r="VBC54" s="76"/>
      <c r="VBD54" s="76"/>
      <c r="VBE54" s="76"/>
      <c r="VBF54" s="76"/>
      <c r="VBG54" s="76"/>
      <c r="VBH54" s="76"/>
      <c r="VBI54" s="76"/>
      <c r="VBJ54" s="76"/>
      <c r="VBK54" s="76"/>
      <c r="VBL54" s="76"/>
      <c r="VBM54" s="76"/>
      <c r="VBN54" s="76"/>
      <c r="VBO54" s="76"/>
      <c r="VBP54" s="76"/>
      <c r="VBQ54" s="76"/>
      <c r="VBR54" s="76"/>
      <c r="VBS54" s="76"/>
      <c r="VBT54" s="76"/>
      <c r="VBU54" s="76"/>
      <c r="VBV54" s="76"/>
      <c r="VBW54" s="76"/>
      <c r="VBX54" s="76"/>
      <c r="VBY54" s="76"/>
      <c r="VBZ54" s="76"/>
      <c r="VCA54" s="76"/>
      <c r="VCB54" s="76"/>
      <c r="VCC54" s="76"/>
      <c r="VCD54" s="76"/>
      <c r="VCE54" s="76"/>
      <c r="VCF54" s="76"/>
      <c r="VCG54" s="76"/>
      <c r="VCH54" s="76"/>
      <c r="VCI54" s="76"/>
      <c r="VCJ54" s="76"/>
      <c r="VCK54" s="76"/>
      <c r="VCL54" s="76"/>
      <c r="VCM54" s="76"/>
      <c r="VCN54" s="76"/>
      <c r="VCO54" s="76"/>
      <c r="VCP54" s="76"/>
      <c r="VCQ54" s="76"/>
      <c r="VCR54" s="76"/>
      <c r="VCS54" s="76"/>
      <c r="VCT54" s="76"/>
      <c r="VCU54" s="76"/>
      <c r="VCV54" s="76"/>
      <c r="VCW54" s="76"/>
      <c r="VCX54" s="76"/>
      <c r="VCY54" s="76"/>
      <c r="VCZ54" s="76"/>
      <c r="VDA54" s="76"/>
      <c r="VDB54" s="76"/>
      <c r="VDC54" s="76"/>
      <c r="VDD54" s="76"/>
      <c r="VDE54" s="76"/>
      <c r="VDF54" s="76"/>
      <c r="VDG54" s="76"/>
      <c r="VDH54" s="76"/>
      <c r="VDI54" s="76"/>
      <c r="VDJ54" s="76"/>
      <c r="VDK54" s="76"/>
      <c r="VDL54" s="76"/>
      <c r="VDM54" s="76"/>
      <c r="VDN54" s="76"/>
      <c r="VDO54" s="76"/>
      <c r="VDP54" s="76"/>
      <c r="VDQ54" s="76"/>
      <c r="VDR54" s="76"/>
      <c r="VDS54" s="76"/>
      <c r="VDT54" s="76"/>
      <c r="VDU54" s="76"/>
      <c r="VDV54" s="76"/>
      <c r="VDW54" s="76"/>
      <c r="VDX54" s="76"/>
      <c r="VDY54" s="76"/>
      <c r="VDZ54" s="76"/>
      <c r="VEA54" s="76"/>
      <c r="VEB54" s="76"/>
      <c r="VEC54" s="76"/>
      <c r="VED54" s="76"/>
      <c r="VEE54" s="76"/>
      <c r="VEF54" s="76"/>
      <c r="VEG54" s="76"/>
      <c r="VEH54" s="76"/>
      <c r="VEI54" s="76"/>
      <c r="VEJ54" s="76"/>
      <c r="VEK54" s="76"/>
      <c r="VEL54" s="76"/>
      <c r="VEM54" s="76"/>
      <c r="VEN54" s="76"/>
      <c r="VEO54" s="76"/>
      <c r="VEP54" s="76"/>
      <c r="VEQ54" s="76"/>
      <c r="VER54" s="76"/>
      <c r="VES54" s="76"/>
      <c r="VET54" s="76"/>
      <c r="VEU54" s="76"/>
      <c r="VEV54" s="76"/>
      <c r="VEW54" s="76"/>
      <c r="VEX54" s="76"/>
      <c r="VEY54" s="76"/>
      <c r="VEZ54" s="76"/>
      <c r="VFA54" s="76"/>
      <c r="VFB54" s="76"/>
      <c r="VFC54" s="76"/>
      <c r="VFD54" s="76"/>
      <c r="VFE54" s="76"/>
      <c r="VFF54" s="76"/>
      <c r="VFG54" s="76"/>
      <c r="VFH54" s="76"/>
      <c r="VFI54" s="76"/>
      <c r="VFJ54" s="76"/>
      <c r="VFK54" s="76"/>
      <c r="VFL54" s="76"/>
      <c r="VFM54" s="76"/>
      <c r="VFN54" s="76"/>
      <c r="VFO54" s="76"/>
      <c r="VFP54" s="76"/>
      <c r="VFQ54" s="76"/>
      <c r="VFR54" s="76"/>
      <c r="VFS54" s="76"/>
      <c r="VFT54" s="76"/>
      <c r="VFU54" s="76"/>
      <c r="VFV54" s="76"/>
      <c r="VFW54" s="76"/>
      <c r="VFX54" s="76"/>
      <c r="VFY54" s="76"/>
      <c r="VFZ54" s="76"/>
      <c r="VGA54" s="76"/>
      <c r="VGB54" s="76"/>
      <c r="VGC54" s="76"/>
      <c r="VGD54" s="76"/>
      <c r="VGE54" s="76"/>
      <c r="VGF54" s="76"/>
      <c r="VGG54" s="76"/>
      <c r="VGH54" s="76"/>
      <c r="VGI54" s="76"/>
      <c r="VGJ54" s="76"/>
      <c r="VGK54" s="76"/>
      <c r="VGL54" s="76"/>
      <c r="VGM54" s="76"/>
      <c r="VGN54" s="76"/>
      <c r="VGO54" s="76"/>
      <c r="VGP54" s="76"/>
      <c r="VGQ54" s="76"/>
      <c r="VGR54" s="76"/>
      <c r="VGS54" s="76"/>
      <c r="VGT54" s="76"/>
      <c r="VGU54" s="76"/>
      <c r="VGV54" s="76"/>
      <c r="VGW54" s="76"/>
      <c r="VGX54" s="76"/>
      <c r="VGY54" s="76"/>
      <c r="VGZ54" s="76"/>
      <c r="VHA54" s="76"/>
      <c r="VHB54" s="76"/>
      <c r="VHC54" s="76"/>
      <c r="VHD54" s="76"/>
      <c r="VHE54" s="76"/>
      <c r="VHF54" s="76"/>
      <c r="VHG54" s="76"/>
      <c r="VHH54" s="76"/>
      <c r="VHI54" s="76"/>
      <c r="VHJ54" s="76"/>
      <c r="VHK54" s="76"/>
      <c r="VHL54" s="76"/>
      <c r="VHM54" s="76"/>
      <c r="VHN54" s="76"/>
      <c r="VHO54" s="76"/>
      <c r="VHP54" s="76"/>
      <c r="VHQ54" s="76"/>
      <c r="VHR54" s="76"/>
      <c r="VHS54" s="76"/>
      <c r="VHT54" s="76"/>
      <c r="VHU54" s="76"/>
      <c r="VHV54" s="76"/>
      <c r="VHW54" s="76"/>
      <c r="VHX54" s="76"/>
      <c r="VHY54" s="76"/>
      <c r="VHZ54" s="76"/>
      <c r="VIA54" s="76"/>
      <c r="VIB54" s="76"/>
      <c r="VIC54" s="76"/>
      <c r="VID54" s="76"/>
      <c r="VIE54" s="76"/>
      <c r="VIF54" s="76"/>
      <c r="VIG54" s="76"/>
      <c r="VIH54" s="76"/>
      <c r="VII54" s="76"/>
      <c r="VIJ54" s="76"/>
      <c r="VIK54" s="76"/>
      <c r="VIL54" s="76"/>
      <c r="VIM54" s="76"/>
      <c r="VIN54" s="76"/>
      <c r="VIO54" s="76"/>
      <c r="VIP54" s="76"/>
      <c r="VIQ54" s="76"/>
      <c r="VIR54" s="76"/>
      <c r="VIS54" s="76"/>
      <c r="VIT54" s="76"/>
      <c r="VIU54" s="76"/>
      <c r="VIV54" s="76"/>
      <c r="VIW54" s="76"/>
      <c r="VIX54" s="76"/>
      <c r="VIY54" s="76"/>
      <c r="VIZ54" s="76"/>
      <c r="VJA54" s="76"/>
      <c r="VJB54" s="76"/>
      <c r="VJC54" s="76"/>
      <c r="VJD54" s="76"/>
      <c r="VJE54" s="76"/>
      <c r="VJF54" s="76"/>
      <c r="VJG54" s="76"/>
      <c r="VJH54" s="76"/>
      <c r="VJI54" s="76"/>
      <c r="VJJ54" s="76"/>
      <c r="VJK54" s="76"/>
      <c r="VJL54" s="76"/>
      <c r="VJM54" s="76"/>
      <c r="VJN54" s="76"/>
      <c r="VJO54" s="76"/>
      <c r="VJP54" s="76"/>
      <c r="VJQ54" s="76"/>
      <c r="VJR54" s="76"/>
      <c r="VJS54" s="76"/>
      <c r="VJT54" s="76"/>
      <c r="VJU54" s="76"/>
      <c r="VJV54" s="76"/>
      <c r="VJW54" s="76"/>
      <c r="VJX54" s="76"/>
      <c r="VJY54" s="76"/>
      <c r="VJZ54" s="76"/>
      <c r="VKA54" s="76"/>
      <c r="VKB54" s="76"/>
      <c r="VKC54" s="76"/>
      <c r="VKD54" s="76"/>
      <c r="VKE54" s="76"/>
      <c r="VKF54" s="76"/>
      <c r="VKG54" s="76"/>
      <c r="VKH54" s="76"/>
      <c r="VKI54" s="76"/>
      <c r="VKJ54" s="76"/>
      <c r="VKK54" s="76"/>
      <c r="VKL54" s="76"/>
      <c r="VKM54" s="76"/>
      <c r="VKN54" s="76"/>
      <c r="VKO54" s="76"/>
      <c r="VKP54" s="76"/>
      <c r="VKQ54" s="76"/>
      <c r="VKR54" s="76"/>
      <c r="VKS54" s="76"/>
      <c r="VKT54" s="76"/>
      <c r="VKU54" s="76"/>
      <c r="VKV54" s="76"/>
      <c r="VKW54" s="76"/>
      <c r="VKX54" s="76"/>
      <c r="VKY54" s="76"/>
      <c r="VKZ54" s="76"/>
      <c r="VLA54" s="76"/>
      <c r="VLB54" s="76"/>
      <c r="VLC54" s="76"/>
      <c r="VLD54" s="76"/>
      <c r="VLE54" s="76"/>
      <c r="VLF54" s="76"/>
      <c r="VLG54" s="76"/>
      <c r="VLH54" s="76"/>
      <c r="VLI54" s="76"/>
      <c r="VLJ54" s="76"/>
      <c r="VLK54" s="76"/>
      <c r="VLL54" s="76"/>
      <c r="VLM54" s="76"/>
      <c r="VLN54" s="76"/>
      <c r="VLO54" s="76"/>
      <c r="VLP54" s="76"/>
      <c r="VLQ54" s="76"/>
      <c r="VLR54" s="76"/>
      <c r="VLS54" s="76"/>
      <c r="VLT54" s="76"/>
      <c r="VLU54" s="76"/>
      <c r="VLV54" s="76"/>
      <c r="VLW54" s="76"/>
      <c r="VLX54" s="76"/>
      <c r="VLY54" s="76"/>
      <c r="VLZ54" s="76"/>
      <c r="VMA54" s="76"/>
      <c r="VMB54" s="76"/>
      <c r="VMC54" s="76"/>
      <c r="VMD54" s="76"/>
      <c r="VME54" s="76"/>
      <c r="VMF54" s="76"/>
      <c r="VMG54" s="76"/>
      <c r="VMH54" s="76"/>
      <c r="VMI54" s="76"/>
      <c r="VMJ54" s="76"/>
      <c r="VMK54" s="76"/>
      <c r="VML54" s="76"/>
      <c r="VMM54" s="76"/>
      <c r="VMN54" s="76"/>
      <c r="VMO54" s="76"/>
      <c r="VMP54" s="76"/>
      <c r="VMQ54" s="76"/>
      <c r="VMR54" s="76"/>
      <c r="VMS54" s="76"/>
      <c r="VMT54" s="76"/>
      <c r="VMU54" s="76"/>
      <c r="VMV54" s="76"/>
      <c r="VMW54" s="76"/>
      <c r="VMX54" s="76"/>
      <c r="VMY54" s="76"/>
      <c r="VMZ54" s="76"/>
      <c r="VNA54" s="76"/>
      <c r="VNB54" s="76"/>
      <c r="VNC54" s="76"/>
      <c r="VND54" s="76"/>
      <c r="VNE54" s="76"/>
      <c r="VNF54" s="76"/>
      <c r="VNG54" s="76"/>
      <c r="VNH54" s="76"/>
      <c r="VNI54" s="76"/>
      <c r="VNJ54" s="76"/>
      <c r="VNK54" s="76"/>
      <c r="VNL54" s="76"/>
      <c r="VNM54" s="76"/>
      <c r="VNN54" s="76"/>
      <c r="VNO54" s="76"/>
      <c r="VNP54" s="76"/>
      <c r="VNQ54" s="76"/>
      <c r="VNR54" s="76"/>
      <c r="VNS54" s="76"/>
      <c r="VNT54" s="76"/>
      <c r="VNU54" s="76"/>
      <c r="VNV54" s="76"/>
      <c r="VNW54" s="76"/>
      <c r="VNX54" s="76"/>
      <c r="VNY54" s="76"/>
      <c r="VNZ54" s="76"/>
      <c r="VOA54" s="76"/>
      <c r="VOB54" s="76"/>
      <c r="VOC54" s="76"/>
      <c r="VOD54" s="76"/>
      <c r="VOE54" s="76"/>
      <c r="VOF54" s="76"/>
      <c r="VOG54" s="76"/>
      <c r="VOH54" s="76"/>
      <c r="VOI54" s="76"/>
      <c r="VOJ54" s="76"/>
      <c r="VOK54" s="76"/>
      <c r="VOL54" s="76"/>
      <c r="VOM54" s="76"/>
      <c r="VON54" s="76"/>
      <c r="VOO54" s="76"/>
      <c r="VOP54" s="76"/>
      <c r="VOQ54" s="76"/>
      <c r="VOR54" s="76"/>
      <c r="VOS54" s="76"/>
      <c r="VOT54" s="76"/>
      <c r="VOU54" s="76"/>
      <c r="VOV54" s="76"/>
      <c r="VOW54" s="76"/>
      <c r="VOX54" s="76"/>
      <c r="VOY54" s="76"/>
      <c r="VOZ54" s="76"/>
      <c r="VPA54" s="76"/>
      <c r="VPB54" s="76"/>
      <c r="VPC54" s="76"/>
      <c r="VPD54" s="76"/>
      <c r="VPE54" s="76"/>
      <c r="VPF54" s="76"/>
      <c r="VPG54" s="76"/>
      <c r="VPH54" s="76"/>
      <c r="VPI54" s="76"/>
      <c r="VPJ54" s="76"/>
      <c r="VPK54" s="76"/>
      <c r="VPL54" s="76"/>
      <c r="VPM54" s="76"/>
      <c r="VPN54" s="76"/>
      <c r="VPO54" s="76"/>
      <c r="VPP54" s="76"/>
      <c r="VPQ54" s="76"/>
      <c r="VPR54" s="76"/>
      <c r="VPS54" s="76"/>
      <c r="VPT54" s="76"/>
      <c r="VPU54" s="76"/>
      <c r="VPV54" s="76"/>
      <c r="VPW54" s="76"/>
      <c r="VPX54" s="76"/>
      <c r="VPY54" s="76"/>
      <c r="VPZ54" s="76"/>
      <c r="VQA54" s="76"/>
      <c r="VQB54" s="76"/>
      <c r="VQC54" s="76"/>
      <c r="VQD54" s="76"/>
      <c r="VQE54" s="76"/>
      <c r="VQF54" s="76"/>
      <c r="VQG54" s="76"/>
      <c r="VQH54" s="76"/>
      <c r="VQI54" s="76"/>
      <c r="VQJ54" s="76"/>
      <c r="VQK54" s="76"/>
      <c r="VQL54" s="76"/>
      <c r="VQM54" s="76"/>
      <c r="VQN54" s="76"/>
      <c r="VQO54" s="76"/>
      <c r="VQP54" s="76"/>
      <c r="VQQ54" s="76"/>
      <c r="VQR54" s="76"/>
      <c r="VQS54" s="76"/>
      <c r="VQT54" s="76"/>
      <c r="VQU54" s="76"/>
      <c r="VQV54" s="76"/>
      <c r="VQW54" s="76"/>
      <c r="VQX54" s="76"/>
      <c r="VQY54" s="76"/>
      <c r="VQZ54" s="76"/>
      <c r="VRA54" s="76"/>
      <c r="VRB54" s="76"/>
      <c r="VRC54" s="76"/>
      <c r="VRD54" s="76"/>
      <c r="VRE54" s="76"/>
      <c r="VRF54" s="76"/>
      <c r="VRG54" s="76"/>
      <c r="VRH54" s="76"/>
      <c r="VRI54" s="76"/>
      <c r="VRJ54" s="76"/>
      <c r="VRK54" s="76"/>
      <c r="VRL54" s="76"/>
      <c r="VRM54" s="76"/>
      <c r="VRN54" s="76"/>
      <c r="VRO54" s="76"/>
      <c r="VRP54" s="76"/>
      <c r="VRQ54" s="76"/>
      <c r="VRR54" s="76"/>
      <c r="VRS54" s="76"/>
      <c r="VRT54" s="76"/>
      <c r="VRU54" s="76"/>
      <c r="VRV54" s="76"/>
      <c r="VRW54" s="76"/>
      <c r="VRX54" s="76"/>
      <c r="VRY54" s="76"/>
      <c r="VRZ54" s="76"/>
      <c r="VSA54" s="76"/>
      <c r="VSB54" s="76"/>
      <c r="VSC54" s="76"/>
      <c r="VSD54" s="76"/>
      <c r="VSE54" s="76"/>
      <c r="VSF54" s="76"/>
      <c r="VSG54" s="76"/>
      <c r="VSH54" s="76"/>
      <c r="VSI54" s="76"/>
      <c r="VSJ54" s="76"/>
      <c r="VSK54" s="76"/>
      <c r="VSL54" s="76"/>
      <c r="VSM54" s="76"/>
      <c r="VSN54" s="76"/>
      <c r="VSO54" s="76"/>
      <c r="VSP54" s="76"/>
      <c r="VSQ54" s="76"/>
      <c r="VSR54" s="76"/>
      <c r="VSS54" s="76"/>
      <c r="VST54" s="76"/>
      <c r="VSU54" s="76"/>
      <c r="VSV54" s="76"/>
      <c r="VSW54" s="76"/>
      <c r="VSX54" s="76"/>
      <c r="VSY54" s="76"/>
      <c r="VSZ54" s="76"/>
      <c r="VTA54" s="76"/>
      <c r="VTB54" s="76"/>
      <c r="VTC54" s="76"/>
      <c r="VTD54" s="76"/>
      <c r="VTE54" s="76"/>
      <c r="VTF54" s="76"/>
      <c r="VTG54" s="76"/>
      <c r="VTH54" s="76"/>
      <c r="VTI54" s="76"/>
      <c r="VTJ54" s="76"/>
      <c r="VTK54" s="76"/>
      <c r="VTL54" s="76"/>
      <c r="VTM54" s="76"/>
      <c r="VTN54" s="76"/>
      <c r="VTO54" s="76"/>
      <c r="VTP54" s="76"/>
      <c r="VTQ54" s="76"/>
      <c r="VTR54" s="76"/>
      <c r="VTS54" s="76"/>
      <c r="VTT54" s="76"/>
      <c r="VTU54" s="76"/>
      <c r="VTV54" s="76"/>
      <c r="VTW54" s="76"/>
      <c r="VTX54" s="76"/>
      <c r="VTY54" s="76"/>
      <c r="VTZ54" s="76"/>
      <c r="VUA54" s="76"/>
      <c r="VUB54" s="76"/>
      <c r="VUC54" s="76"/>
      <c r="VUD54" s="76"/>
      <c r="VUE54" s="76"/>
      <c r="VUF54" s="76"/>
      <c r="VUG54" s="76"/>
      <c r="VUH54" s="76"/>
      <c r="VUI54" s="76"/>
      <c r="VUJ54" s="76"/>
      <c r="VUK54" s="76"/>
      <c r="VUL54" s="76"/>
      <c r="VUM54" s="76"/>
      <c r="VUN54" s="76"/>
      <c r="VUO54" s="76"/>
      <c r="VUP54" s="76"/>
      <c r="VUQ54" s="76"/>
      <c r="VUR54" s="76"/>
      <c r="VUS54" s="76"/>
      <c r="VUT54" s="76"/>
      <c r="VUU54" s="76"/>
      <c r="VUV54" s="76"/>
      <c r="VUW54" s="76"/>
      <c r="VUX54" s="76"/>
      <c r="VUY54" s="76"/>
      <c r="VUZ54" s="76"/>
      <c r="VVA54" s="76"/>
      <c r="VVB54" s="76"/>
      <c r="VVC54" s="76"/>
      <c r="VVD54" s="76"/>
      <c r="VVE54" s="76"/>
      <c r="VVF54" s="76"/>
      <c r="VVG54" s="76"/>
      <c r="VVH54" s="76"/>
      <c r="VVI54" s="76"/>
      <c r="VVJ54" s="76"/>
      <c r="VVK54" s="76"/>
      <c r="VVL54" s="76"/>
      <c r="VVM54" s="76"/>
      <c r="VVN54" s="76"/>
      <c r="VVO54" s="76"/>
      <c r="VVP54" s="76"/>
      <c r="VVQ54" s="76"/>
      <c r="VVR54" s="76"/>
      <c r="VVS54" s="76"/>
      <c r="VVT54" s="76"/>
      <c r="VVU54" s="76"/>
      <c r="VVV54" s="76"/>
      <c r="VVW54" s="76"/>
      <c r="VVX54" s="76"/>
      <c r="VVY54" s="76"/>
      <c r="VVZ54" s="76"/>
      <c r="VWA54" s="76"/>
      <c r="VWB54" s="76"/>
      <c r="VWC54" s="76"/>
      <c r="VWD54" s="76"/>
      <c r="VWE54" s="76"/>
      <c r="VWF54" s="76"/>
      <c r="VWG54" s="76"/>
      <c r="VWH54" s="76"/>
      <c r="VWI54" s="76"/>
      <c r="VWJ54" s="76"/>
      <c r="VWK54" s="76"/>
      <c r="VWL54" s="76"/>
      <c r="VWM54" s="76"/>
      <c r="VWN54" s="76"/>
      <c r="VWO54" s="76"/>
      <c r="VWP54" s="76"/>
      <c r="VWQ54" s="76"/>
      <c r="VWR54" s="76"/>
      <c r="VWS54" s="76"/>
      <c r="VWT54" s="76"/>
      <c r="VWU54" s="76"/>
      <c r="VWV54" s="76"/>
      <c r="VWW54" s="76"/>
      <c r="VWX54" s="76"/>
      <c r="VWY54" s="76"/>
      <c r="VWZ54" s="76"/>
      <c r="VXA54" s="76"/>
      <c r="VXB54" s="76"/>
      <c r="VXC54" s="76"/>
      <c r="VXD54" s="76"/>
      <c r="VXE54" s="76"/>
      <c r="VXF54" s="76"/>
      <c r="VXG54" s="76"/>
      <c r="VXH54" s="76"/>
      <c r="VXI54" s="76"/>
      <c r="VXJ54" s="76"/>
      <c r="VXK54" s="76"/>
      <c r="VXL54" s="76"/>
      <c r="VXM54" s="76"/>
      <c r="VXN54" s="76"/>
      <c r="VXO54" s="76"/>
      <c r="VXP54" s="76"/>
      <c r="VXQ54" s="76"/>
      <c r="VXR54" s="76"/>
      <c r="VXS54" s="76"/>
      <c r="VXT54" s="76"/>
      <c r="VXU54" s="76"/>
      <c r="VXV54" s="76"/>
      <c r="VXW54" s="76"/>
      <c r="VXX54" s="76"/>
      <c r="VXY54" s="76"/>
      <c r="VXZ54" s="76"/>
      <c r="VYA54" s="76"/>
      <c r="VYB54" s="76"/>
      <c r="VYC54" s="76"/>
      <c r="VYD54" s="76"/>
      <c r="VYE54" s="76"/>
      <c r="VYF54" s="76"/>
      <c r="VYG54" s="76"/>
      <c r="VYH54" s="76"/>
      <c r="VYI54" s="76"/>
      <c r="VYJ54" s="76"/>
      <c r="VYK54" s="76"/>
      <c r="VYL54" s="76"/>
      <c r="VYM54" s="76"/>
      <c r="VYN54" s="76"/>
      <c r="VYO54" s="76"/>
      <c r="VYP54" s="76"/>
      <c r="VYQ54" s="76"/>
      <c r="VYR54" s="76"/>
      <c r="VYS54" s="76"/>
      <c r="VYT54" s="76"/>
      <c r="VYU54" s="76"/>
      <c r="VYV54" s="76"/>
      <c r="VYW54" s="76"/>
      <c r="VYX54" s="76"/>
      <c r="VYY54" s="76"/>
      <c r="VYZ54" s="76"/>
      <c r="VZA54" s="76"/>
      <c r="VZB54" s="76"/>
      <c r="VZC54" s="76"/>
      <c r="VZD54" s="76"/>
      <c r="VZE54" s="76"/>
      <c r="VZF54" s="76"/>
      <c r="VZG54" s="76"/>
      <c r="VZH54" s="76"/>
      <c r="VZI54" s="76"/>
      <c r="VZJ54" s="76"/>
      <c r="VZK54" s="76"/>
      <c r="VZL54" s="76"/>
      <c r="VZM54" s="76"/>
      <c r="VZN54" s="76"/>
      <c r="VZO54" s="76"/>
      <c r="VZP54" s="76"/>
      <c r="VZQ54" s="76"/>
      <c r="VZR54" s="76"/>
      <c r="VZS54" s="76"/>
      <c r="VZT54" s="76"/>
      <c r="VZU54" s="76"/>
      <c r="VZV54" s="76"/>
      <c r="VZW54" s="76"/>
      <c r="VZX54" s="76"/>
      <c r="VZY54" s="76"/>
      <c r="VZZ54" s="76"/>
      <c r="WAA54" s="76"/>
      <c r="WAB54" s="76"/>
      <c r="WAC54" s="76"/>
      <c r="WAD54" s="76"/>
      <c r="WAE54" s="76"/>
      <c r="WAF54" s="76"/>
      <c r="WAG54" s="76"/>
      <c r="WAH54" s="76"/>
      <c r="WAI54" s="76"/>
      <c r="WAJ54" s="76"/>
      <c r="WAK54" s="76"/>
      <c r="WAL54" s="76"/>
      <c r="WAM54" s="76"/>
      <c r="WAN54" s="76"/>
      <c r="WAO54" s="76"/>
      <c r="WAP54" s="76"/>
      <c r="WAQ54" s="76"/>
      <c r="WAR54" s="76"/>
      <c r="WAS54" s="76"/>
      <c r="WAT54" s="76"/>
      <c r="WAU54" s="76"/>
      <c r="WAV54" s="76"/>
      <c r="WAW54" s="76"/>
      <c r="WAX54" s="76"/>
      <c r="WAY54" s="76"/>
      <c r="WAZ54" s="76"/>
      <c r="WBA54" s="76"/>
      <c r="WBB54" s="76"/>
      <c r="WBC54" s="76"/>
      <c r="WBD54" s="76"/>
      <c r="WBE54" s="76"/>
      <c r="WBF54" s="76"/>
      <c r="WBG54" s="76"/>
      <c r="WBH54" s="76"/>
      <c r="WBI54" s="76"/>
      <c r="WBJ54" s="76"/>
      <c r="WBK54" s="76"/>
      <c r="WBL54" s="76"/>
      <c r="WBM54" s="76"/>
      <c r="WBN54" s="76"/>
      <c r="WBO54" s="76"/>
      <c r="WBP54" s="76"/>
      <c r="WBQ54" s="76"/>
      <c r="WBR54" s="76"/>
      <c r="WBS54" s="76"/>
      <c r="WBT54" s="76"/>
      <c r="WBU54" s="76"/>
      <c r="WBV54" s="76"/>
      <c r="WBW54" s="76"/>
      <c r="WBX54" s="76"/>
      <c r="WBY54" s="76"/>
      <c r="WBZ54" s="76"/>
      <c r="WCA54" s="76"/>
      <c r="WCB54" s="76"/>
      <c r="WCC54" s="76"/>
      <c r="WCD54" s="76"/>
      <c r="WCE54" s="76"/>
      <c r="WCF54" s="76"/>
      <c r="WCG54" s="76"/>
      <c r="WCH54" s="76"/>
      <c r="WCI54" s="76"/>
      <c r="WCJ54" s="76"/>
      <c r="WCK54" s="76"/>
      <c r="WCL54" s="76"/>
      <c r="WCM54" s="76"/>
      <c r="WCN54" s="76"/>
      <c r="WCO54" s="76"/>
      <c r="WCP54" s="76"/>
      <c r="WCQ54" s="76"/>
      <c r="WCR54" s="76"/>
      <c r="WCS54" s="76"/>
      <c r="WCT54" s="76"/>
      <c r="WCU54" s="76"/>
      <c r="WCV54" s="76"/>
      <c r="WCW54" s="76"/>
      <c r="WCX54" s="76"/>
      <c r="WCY54" s="76"/>
      <c r="WCZ54" s="76"/>
      <c r="WDA54" s="76"/>
      <c r="WDB54" s="76"/>
      <c r="WDC54" s="76"/>
      <c r="WDD54" s="76"/>
      <c r="WDE54" s="76"/>
      <c r="WDF54" s="76"/>
      <c r="WDG54" s="76"/>
      <c r="WDH54" s="76"/>
      <c r="WDI54" s="76"/>
      <c r="WDJ54" s="76"/>
      <c r="WDK54" s="76"/>
      <c r="WDL54" s="76"/>
      <c r="WDM54" s="76"/>
      <c r="WDN54" s="76"/>
      <c r="WDO54" s="76"/>
      <c r="WDP54" s="76"/>
      <c r="WDQ54" s="76"/>
      <c r="WDR54" s="76"/>
      <c r="WDS54" s="76"/>
      <c r="WDT54" s="76"/>
      <c r="WDU54" s="76"/>
      <c r="WDV54" s="76"/>
      <c r="WDW54" s="76"/>
      <c r="WDX54" s="76"/>
      <c r="WDY54" s="76"/>
      <c r="WDZ54" s="76"/>
      <c r="WEA54" s="76"/>
      <c r="WEB54" s="76"/>
      <c r="WEC54" s="76"/>
      <c r="WED54" s="76"/>
      <c r="WEE54" s="76"/>
      <c r="WEF54" s="76"/>
      <c r="WEG54" s="76"/>
      <c r="WEH54" s="76"/>
      <c r="WEI54" s="76"/>
      <c r="WEJ54" s="76"/>
      <c r="WEK54" s="76"/>
      <c r="WEL54" s="76"/>
      <c r="WEM54" s="76"/>
      <c r="WEN54" s="76"/>
      <c r="WEO54" s="76"/>
      <c r="WEP54" s="76"/>
      <c r="WEQ54" s="76"/>
      <c r="WER54" s="76"/>
      <c r="WES54" s="76"/>
      <c r="WET54" s="76"/>
      <c r="WEU54" s="76"/>
      <c r="WEV54" s="76"/>
      <c r="WEW54" s="76"/>
      <c r="WEX54" s="76"/>
      <c r="WEY54" s="76"/>
      <c r="WEZ54" s="76"/>
      <c r="WFA54" s="76"/>
      <c r="WFB54" s="76"/>
      <c r="WFC54" s="76"/>
      <c r="WFD54" s="76"/>
      <c r="WFE54" s="76"/>
      <c r="WFF54" s="76"/>
      <c r="WFG54" s="76"/>
      <c r="WFH54" s="76"/>
      <c r="WFI54" s="76"/>
      <c r="WFJ54" s="76"/>
      <c r="WFK54" s="76"/>
      <c r="WFL54" s="76"/>
      <c r="WFM54" s="76"/>
      <c r="WFN54" s="76"/>
      <c r="WFO54" s="76"/>
      <c r="WFP54" s="76"/>
      <c r="WFQ54" s="76"/>
      <c r="WFR54" s="76"/>
      <c r="WFS54" s="76"/>
      <c r="WFT54" s="76"/>
      <c r="WFU54" s="76"/>
      <c r="WFV54" s="76"/>
      <c r="WFW54" s="76"/>
      <c r="WFX54" s="76"/>
      <c r="WFY54" s="76"/>
      <c r="WFZ54" s="76"/>
      <c r="WGA54" s="76"/>
      <c r="WGB54" s="76"/>
      <c r="WGC54" s="76"/>
      <c r="WGD54" s="76"/>
      <c r="WGE54" s="76"/>
      <c r="WGF54" s="76"/>
      <c r="WGG54" s="76"/>
      <c r="WGH54" s="76"/>
      <c r="WGI54" s="76"/>
      <c r="WGJ54" s="76"/>
      <c r="WGK54" s="76"/>
      <c r="WGL54" s="76"/>
      <c r="WGM54" s="76"/>
      <c r="WGN54" s="76"/>
      <c r="WGO54" s="76"/>
      <c r="WGP54" s="76"/>
      <c r="WGQ54" s="76"/>
      <c r="WGR54" s="76"/>
      <c r="WGS54" s="76"/>
      <c r="WGT54" s="76"/>
      <c r="WGU54" s="76"/>
      <c r="WGV54" s="76"/>
      <c r="WGW54" s="76"/>
      <c r="WGX54" s="76"/>
      <c r="WGY54" s="76"/>
      <c r="WGZ54" s="76"/>
      <c r="WHA54" s="76"/>
      <c r="WHB54" s="76"/>
      <c r="WHC54" s="76"/>
      <c r="WHD54" s="76"/>
      <c r="WHE54" s="76"/>
      <c r="WHF54" s="76"/>
      <c r="WHG54" s="76"/>
      <c r="WHH54" s="76"/>
      <c r="WHI54" s="76"/>
      <c r="WHJ54" s="76"/>
      <c r="WHK54" s="76"/>
      <c r="WHL54" s="76"/>
      <c r="WHM54" s="76"/>
      <c r="WHN54" s="76"/>
      <c r="WHO54" s="76"/>
      <c r="WHP54" s="76"/>
      <c r="WHQ54" s="76"/>
      <c r="WHR54" s="76"/>
      <c r="WHS54" s="76"/>
      <c r="WHT54" s="76"/>
      <c r="WHU54" s="76"/>
      <c r="WHV54" s="76"/>
      <c r="WHW54" s="76"/>
      <c r="WHX54" s="76"/>
      <c r="WHY54" s="76"/>
      <c r="WHZ54" s="76"/>
      <c r="WIA54" s="76"/>
      <c r="WIB54" s="76"/>
      <c r="WIC54" s="76"/>
      <c r="WID54" s="76"/>
      <c r="WIE54" s="76"/>
      <c r="WIF54" s="76"/>
      <c r="WIG54" s="76"/>
      <c r="WIH54" s="76"/>
      <c r="WII54" s="76"/>
      <c r="WIJ54" s="76"/>
      <c r="WIK54" s="76"/>
      <c r="WIL54" s="76"/>
      <c r="WIM54" s="76"/>
      <c r="WIN54" s="76"/>
      <c r="WIO54" s="76"/>
      <c r="WIP54" s="76"/>
      <c r="WIQ54" s="76"/>
      <c r="WIR54" s="76"/>
      <c r="WIS54" s="76"/>
      <c r="WIT54" s="76"/>
      <c r="WIU54" s="76"/>
      <c r="WIV54" s="76"/>
      <c r="WIW54" s="76"/>
      <c r="WIX54" s="76"/>
      <c r="WIY54" s="76"/>
      <c r="WIZ54" s="76"/>
      <c r="WJA54" s="76"/>
      <c r="WJB54" s="76"/>
      <c r="WJC54" s="76"/>
      <c r="WJD54" s="76"/>
      <c r="WJE54" s="76"/>
      <c r="WJF54" s="76"/>
      <c r="WJG54" s="76"/>
      <c r="WJH54" s="76"/>
      <c r="WJI54" s="76"/>
      <c r="WJJ54" s="76"/>
      <c r="WJK54" s="76"/>
      <c r="WJL54" s="76"/>
      <c r="WJM54" s="76"/>
      <c r="WJN54" s="76"/>
      <c r="WJO54" s="76"/>
      <c r="WJP54" s="76"/>
      <c r="WJQ54" s="76"/>
      <c r="WJR54" s="76"/>
      <c r="WJS54" s="76"/>
      <c r="WJT54" s="76"/>
      <c r="WJU54" s="76"/>
      <c r="WJV54" s="76"/>
      <c r="WJW54" s="76"/>
      <c r="WJX54" s="76"/>
      <c r="WJY54" s="76"/>
      <c r="WJZ54" s="76"/>
      <c r="WKA54" s="76"/>
      <c r="WKB54" s="76"/>
      <c r="WKC54" s="76"/>
      <c r="WKD54" s="76"/>
      <c r="WKE54" s="76"/>
      <c r="WKF54" s="76"/>
      <c r="WKG54" s="76"/>
      <c r="WKH54" s="76"/>
      <c r="WKI54" s="76"/>
      <c r="WKJ54" s="76"/>
      <c r="WKK54" s="76"/>
      <c r="WKL54" s="76"/>
      <c r="WKM54" s="76"/>
      <c r="WKN54" s="76"/>
      <c r="WKO54" s="76"/>
      <c r="WKP54" s="76"/>
      <c r="WKQ54" s="76"/>
      <c r="WKR54" s="76"/>
      <c r="WKS54" s="76"/>
      <c r="WKT54" s="76"/>
      <c r="WKU54" s="76"/>
      <c r="WKV54" s="76"/>
      <c r="WKW54" s="76"/>
      <c r="WKX54" s="76"/>
      <c r="WKY54" s="76"/>
      <c r="WKZ54" s="76"/>
      <c r="WLA54" s="76"/>
      <c r="WLB54" s="76"/>
      <c r="WLC54" s="76"/>
      <c r="WLD54" s="76"/>
      <c r="WLE54" s="76"/>
      <c r="WLF54" s="76"/>
      <c r="WLG54" s="76"/>
      <c r="WLH54" s="76"/>
      <c r="WLI54" s="76"/>
      <c r="WLJ54" s="76"/>
      <c r="WLK54" s="76"/>
      <c r="WLL54" s="76"/>
      <c r="WLM54" s="76"/>
      <c r="WLN54" s="76"/>
      <c r="WLO54" s="76"/>
      <c r="WLP54" s="76"/>
      <c r="WLQ54" s="76"/>
      <c r="WLR54" s="76"/>
      <c r="WLS54" s="76"/>
      <c r="WLT54" s="76"/>
      <c r="WLU54" s="76"/>
      <c r="WLV54" s="76"/>
      <c r="WLW54" s="76"/>
      <c r="WLX54" s="76"/>
      <c r="WLY54" s="76"/>
      <c r="WLZ54" s="76"/>
      <c r="WMA54" s="76"/>
      <c r="WMB54" s="76"/>
      <c r="WMC54" s="76"/>
      <c r="WMD54" s="76"/>
      <c r="WME54" s="76"/>
      <c r="WMF54" s="76"/>
      <c r="WMG54" s="76"/>
      <c r="WMH54" s="76"/>
      <c r="WMI54" s="76"/>
      <c r="WMJ54" s="76"/>
      <c r="WMK54" s="76"/>
      <c r="WML54" s="76"/>
      <c r="WMM54" s="76"/>
      <c r="WMN54" s="76"/>
      <c r="WMO54" s="76"/>
      <c r="WMP54" s="76"/>
      <c r="WMQ54" s="76"/>
      <c r="WMR54" s="76"/>
      <c r="WMS54" s="76"/>
      <c r="WMT54" s="76"/>
      <c r="WMU54" s="76"/>
      <c r="WMV54" s="76"/>
      <c r="WMW54" s="76"/>
      <c r="WMX54" s="76"/>
      <c r="WMY54" s="76"/>
      <c r="WMZ54" s="76"/>
      <c r="WNA54" s="76"/>
      <c r="WNB54" s="76"/>
      <c r="WNC54" s="76"/>
      <c r="WND54" s="76"/>
      <c r="WNE54" s="76"/>
      <c r="WNF54" s="76"/>
      <c r="WNG54" s="76"/>
      <c r="WNH54" s="76"/>
      <c r="WNI54" s="76"/>
      <c r="WNJ54" s="76"/>
      <c r="WNK54" s="76"/>
      <c r="WNL54" s="76"/>
      <c r="WNM54" s="76"/>
      <c r="WNN54" s="76"/>
      <c r="WNO54" s="76"/>
      <c r="WNP54" s="76"/>
      <c r="WNQ54" s="76"/>
      <c r="WNR54" s="76"/>
      <c r="WNS54" s="76"/>
      <c r="WNT54" s="76"/>
      <c r="WNU54" s="76"/>
      <c r="WNV54" s="76"/>
      <c r="WNW54" s="76"/>
      <c r="WNX54" s="76"/>
      <c r="WNY54" s="76"/>
      <c r="WNZ54" s="76"/>
      <c r="WOA54" s="76"/>
      <c r="WOB54" s="76"/>
      <c r="WOC54" s="76"/>
      <c r="WOD54" s="76"/>
      <c r="WOE54" s="76"/>
      <c r="WOF54" s="76"/>
      <c r="WOG54" s="76"/>
      <c r="WOH54" s="76"/>
      <c r="WOI54" s="76"/>
      <c r="WOJ54" s="76"/>
      <c r="WOK54" s="76"/>
      <c r="WOL54" s="76"/>
      <c r="WOM54" s="76"/>
      <c r="WON54" s="76"/>
      <c r="WOO54" s="76"/>
      <c r="WOP54" s="76"/>
      <c r="WOQ54" s="76"/>
      <c r="WOR54" s="76"/>
      <c r="WOS54" s="76"/>
      <c r="WOT54" s="76"/>
      <c r="WOU54" s="76"/>
      <c r="WOV54" s="76"/>
      <c r="WOW54" s="76"/>
      <c r="WOX54" s="76"/>
      <c r="WOY54" s="76"/>
      <c r="WOZ54" s="76"/>
      <c r="WPA54" s="76"/>
      <c r="WPB54" s="76"/>
      <c r="WPC54" s="76"/>
      <c r="WPD54" s="76"/>
      <c r="WPE54" s="76"/>
      <c r="WPF54" s="76"/>
      <c r="WPG54" s="76"/>
      <c r="WPH54" s="76"/>
      <c r="WPI54" s="76"/>
      <c r="WPJ54" s="76"/>
      <c r="WPK54" s="76"/>
      <c r="WPL54" s="76"/>
      <c r="WPM54" s="76"/>
      <c r="WPN54" s="76"/>
      <c r="WPO54" s="76"/>
      <c r="WPP54" s="76"/>
      <c r="WPQ54" s="76"/>
      <c r="WPR54" s="76"/>
      <c r="WPS54" s="76"/>
      <c r="WPT54" s="76"/>
      <c r="WPU54" s="76"/>
      <c r="WPV54" s="76"/>
      <c r="WPW54" s="76"/>
      <c r="WPX54" s="76"/>
      <c r="WPY54" s="76"/>
      <c r="WPZ54" s="76"/>
      <c r="WQA54" s="76"/>
      <c r="WQB54" s="76"/>
      <c r="WQC54" s="76"/>
      <c r="WQD54" s="76"/>
      <c r="WQE54" s="76"/>
      <c r="WQF54" s="76"/>
      <c r="WQG54" s="76"/>
      <c r="WQH54" s="76"/>
      <c r="WQI54" s="76"/>
      <c r="WQJ54" s="76"/>
      <c r="WQK54" s="76"/>
      <c r="WQL54" s="76"/>
      <c r="WQM54" s="76"/>
      <c r="WQN54" s="76"/>
      <c r="WQO54" s="76"/>
      <c r="WQP54" s="76"/>
      <c r="WQQ54" s="76"/>
      <c r="WQR54" s="76"/>
      <c r="WQS54" s="76"/>
      <c r="WQT54" s="76"/>
      <c r="WQU54" s="76"/>
      <c r="WQV54" s="76"/>
      <c r="WQW54" s="76"/>
      <c r="WQX54" s="76"/>
      <c r="WQY54" s="76"/>
      <c r="WQZ54" s="76"/>
      <c r="WRA54" s="76"/>
      <c r="WRB54" s="76"/>
      <c r="WRC54" s="76"/>
      <c r="WRD54" s="76"/>
      <c r="WRE54" s="76"/>
      <c r="WRF54" s="76"/>
      <c r="WRG54" s="76"/>
      <c r="WRH54" s="76"/>
      <c r="WRI54" s="76"/>
      <c r="WRJ54" s="76"/>
      <c r="WRK54" s="76"/>
      <c r="WRL54" s="76"/>
      <c r="WRM54" s="76"/>
      <c r="WRN54" s="76"/>
      <c r="WRO54" s="76"/>
      <c r="WRP54" s="76"/>
      <c r="WRQ54" s="76"/>
      <c r="WRR54" s="76"/>
      <c r="WRS54" s="76"/>
      <c r="WRT54" s="76"/>
      <c r="WRU54" s="76"/>
      <c r="WRV54" s="76"/>
      <c r="WRW54" s="76"/>
      <c r="WRX54" s="76"/>
      <c r="WRY54" s="76"/>
      <c r="WRZ54" s="76"/>
      <c r="WSA54" s="76"/>
      <c r="WSB54" s="76"/>
      <c r="WSC54" s="76"/>
      <c r="WSD54" s="76"/>
      <c r="WSE54" s="76"/>
      <c r="WSF54" s="76"/>
      <c r="WSG54" s="76"/>
      <c r="WSH54" s="76"/>
      <c r="WSI54" s="76"/>
      <c r="WSJ54" s="76"/>
      <c r="WSK54" s="76"/>
      <c r="WSL54" s="76"/>
      <c r="WSM54" s="76"/>
      <c r="WSN54" s="76"/>
      <c r="WSO54" s="76"/>
      <c r="WSP54" s="76"/>
      <c r="WSQ54" s="76"/>
      <c r="WSR54" s="76"/>
      <c r="WSS54" s="76"/>
      <c r="WST54" s="76"/>
      <c r="WSU54" s="76"/>
      <c r="WSV54" s="76"/>
      <c r="WSW54" s="76"/>
      <c r="WSX54" s="76"/>
      <c r="WSY54" s="76"/>
      <c r="WSZ54" s="76"/>
      <c r="WTA54" s="76"/>
      <c r="WTB54" s="76"/>
      <c r="WTC54" s="76"/>
      <c r="WTD54" s="76"/>
      <c r="WTE54" s="76"/>
      <c r="WTF54" s="76"/>
      <c r="WTG54" s="76"/>
      <c r="WTH54" s="76"/>
      <c r="WTI54" s="76"/>
      <c r="WTJ54" s="76"/>
      <c r="WTK54" s="76"/>
      <c r="WTL54" s="76"/>
      <c r="WTM54" s="76"/>
      <c r="WTN54" s="76"/>
      <c r="WTO54" s="76"/>
      <c r="WTP54" s="76"/>
      <c r="WTQ54" s="76"/>
      <c r="WTR54" s="76"/>
      <c r="WTS54" s="76"/>
      <c r="WTT54" s="76"/>
      <c r="WTU54" s="76"/>
      <c r="WTV54" s="76"/>
      <c r="WTW54" s="76"/>
      <c r="WTX54" s="76"/>
      <c r="WTY54" s="76"/>
      <c r="WTZ54" s="76"/>
      <c r="WUA54" s="76"/>
      <c r="WUB54" s="76"/>
      <c r="WUC54" s="76"/>
      <c r="WUD54" s="76"/>
      <c r="WUE54" s="76"/>
      <c r="WUF54" s="76"/>
      <c r="WUG54" s="76"/>
      <c r="WUH54" s="76"/>
      <c r="WUI54" s="76"/>
      <c r="WUJ54" s="76"/>
      <c r="WUK54" s="76"/>
      <c r="WUL54" s="76"/>
      <c r="WUM54" s="76"/>
      <c r="WUN54" s="76"/>
      <c r="WUO54" s="76"/>
      <c r="WUP54" s="76"/>
      <c r="WUQ54" s="76"/>
      <c r="WUR54" s="76"/>
      <c r="WUS54" s="76"/>
      <c r="WUT54" s="76"/>
      <c r="WUU54" s="76"/>
      <c r="WUV54" s="76"/>
      <c r="WUW54" s="76"/>
      <c r="WUX54" s="76"/>
      <c r="WUY54" s="76"/>
      <c r="WUZ54" s="76"/>
      <c r="WVA54" s="76"/>
      <c r="WVB54" s="76"/>
      <c r="WVC54" s="76"/>
      <c r="WVD54" s="76"/>
      <c r="WVE54" s="76"/>
      <c r="WVF54" s="76"/>
      <c r="WVG54" s="76"/>
      <c r="WVH54" s="76"/>
      <c r="WVI54" s="76"/>
      <c r="WVJ54" s="76"/>
      <c r="WVK54" s="76"/>
      <c r="WVL54" s="76"/>
      <c r="WVM54" s="76"/>
      <c r="WVN54" s="76"/>
      <c r="WVO54" s="76"/>
      <c r="WVP54" s="76"/>
      <c r="WVQ54" s="76"/>
      <c r="WVR54" s="76"/>
      <c r="WVS54" s="76"/>
      <c r="WVT54" s="76"/>
      <c r="WVU54" s="76"/>
      <c r="WVV54" s="76"/>
      <c r="WVW54" s="76"/>
      <c r="WVX54" s="76"/>
      <c r="WVY54" s="76"/>
      <c r="WVZ54" s="76"/>
      <c r="WWA54" s="76"/>
      <c r="WWB54" s="76"/>
      <c r="WWC54" s="76"/>
      <c r="WWD54" s="76"/>
      <c r="WWE54" s="76"/>
      <c r="WWF54" s="76"/>
      <c r="WWG54" s="76"/>
      <c r="WWH54" s="76"/>
      <c r="WWI54" s="76"/>
      <c r="WWJ54" s="76"/>
      <c r="WWK54" s="76"/>
      <c r="WWL54" s="76"/>
      <c r="WWM54" s="76"/>
      <c r="WWN54" s="76"/>
      <c r="WWO54" s="76"/>
      <c r="WWP54" s="76"/>
      <c r="WWQ54" s="76"/>
      <c r="WWR54" s="76"/>
      <c r="WWS54" s="76"/>
      <c r="WWT54" s="76"/>
      <c r="WWU54" s="76"/>
      <c r="WWV54" s="76"/>
      <c r="WWW54" s="76"/>
      <c r="WWX54" s="76"/>
      <c r="WWY54" s="76"/>
      <c r="WWZ54" s="76"/>
      <c r="WXA54" s="76"/>
    </row>
    <row r="55" spans="1:16173" s="77" customFormat="1" ht="34" customHeight="1" x14ac:dyDescent="0.55000000000000004">
      <c r="A55" s="76"/>
      <c r="B55" s="76"/>
      <c r="C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  <c r="CC55" s="76"/>
      <c r="CD55" s="76"/>
      <c r="CE55" s="76"/>
      <c r="CF55" s="76"/>
      <c r="CG55" s="76"/>
      <c r="CH55" s="76"/>
      <c r="CI55" s="76"/>
      <c r="CJ55" s="76"/>
      <c r="CK55" s="76"/>
      <c r="CL55" s="76"/>
      <c r="CM55" s="76"/>
      <c r="CN55" s="76"/>
      <c r="CO55" s="76"/>
      <c r="CP55" s="76"/>
      <c r="CQ55" s="76"/>
      <c r="CR55" s="76"/>
      <c r="CS55" s="76"/>
      <c r="CT55" s="76"/>
      <c r="CU55" s="76"/>
      <c r="CV55" s="76"/>
      <c r="CW55" s="76"/>
      <c r="CX55" s="76"/>
      <c r="CY55" s="76"/>
      <c r="CZ55" s="76"/>
      <c r="DA55" s="76"/>
      <c r="DB55" s="76"/>
      <c r="DC55" s="76"/>
      <c r="DD55" s="76"/>
      <c r="DE55" s="76"/>
      <c r="DF55" s="76"/>
      <c r="DG55" s="76"/>
      <c r="DH55" s="76"/>
      <c r="DI55" s="76"/>
      <c r="DJ55" s="76"/>
      <c r="DK55" s="76"/>
      <c r="DL55" s="76"/>
      <c r="DM55" s="76"/>
      <c r="DN55" s="76"/>
      <c r="DO55" s="76"/>
      <c r="DP55" s="76"/>
      <c r="DQ55" s="76"/>
      <c r="DR55" s="76"/>
      <c r="DS55" s="76"/>
      <c r="DT55" s="76"/>
      <c r="DU55" s="76"/>
      <c r="DV55" s="76"/>
      <c r="DW55" s="76"/>
      <c r="DX55" s="76"/>
      <c r="DY55" s="76"/>
      <c r="DZ55" s="76"/>
      <c r="EA55" s="76"/>
      <c r="EB55" s="76"/>
      <c r="EC55" s="76"/>
      <c r="ED55" s="76"/>
      <c r="EE55" s="76"/>
      <c r="EF55" s="76"/>
      <c r="EG55" s="76"/>
      <c r="EH55" s="76"/>
      <c r="EI55" s="76"/>
      <c r="EJ55" s="76"/>
      <c r="EK55" s="76"/>
      <c r="EL55" s="76"/>
      <c r="EM55" s="76"/>
      <c r="EN55" s="76"/>
      <c r="EO55" s="76"/>
      <c r="EP55" s="76"/>
      <c r="EQ55" s="76"/>
      <c r="ER55" s="76"/>
      <c r="ES55" s="76"/>
      <c r="ET55" s="76"/>
      <c r="EU55" s="76"/>
      <c r="EV55" s="76"/>
      <c r="EW55" s="76"/>
      <c r="EX55" s="76"/>
      <c r="EY55" s="76"/>
      <c r="EZ55" s="76"/>
      <c r="FA55" s="76"/>
      <c r="FB55" s="76"/>
      <c r="FC55" s="76"/>
      <c r="FD55" s="76"/>
      <c r="FE55" s="76"/>
      <c r="FF55" s="76"/>
      <c r="FG55" s="76"/>
      <c r="FH55" s="76"/>
      <c r="FI55" s="76"/>
      <c r="FJ55" s="76"/>
      <c r="FK55" s="76"/>
      <c r="FL55" s="76"/>
      <c r="FM55" s="76"/>
      <c r="FN55" s="76"/>
      <c r="FO55" s="76"/>
      <c r="FP55" s="76"/>
      <c r="FQ55" s="76"/>
      <c r="FR55" s="76"/>
      <c r="FS55" s="76"/>
      <c r="FT55" s="76"/>
      <c r="FU55" s="76"/>
      <c r="FV55" s="76"/>
      <c r="FW55" s="76"/>
      <c r="FX55" s="76"/>
      <c r="FY55" s="76"/>
      <c r="FZ55" s="76"/>
      <c r="GA55" s="76"/>
      <c r="GB55" s="76"/>
      <c r="GC55" s="76"/>
      <c r="GD55" s="76"/>
      <c r="GE55" s="76"/>
      <c r="GF55" s="76"/>
      <c r="GG55" s="76"/>
      <c r="GH55" s="76"/>
      <c r="GI55" s="76"/>
      <c r="GJ55" s="76"/>
      <c r="GK55" s="76"/>
      <c r="GL55" s="76"/>
      <c r="GM55" s="76"/>
      <c r="GN55" s="76"/>
      <c r="GO55" s="76"/>
      <c r="GP55" s="76"/>
      <c r="GQ55" s="76"/>
      <c r="GR55" s="76"/>
      <c r="GS55" s="76"/>
      <c r="GT55" s="76"/>
      <c r="GU55" s="76"/>
      <c r="GV55" s="76"/>
      <c r="GW55" s="76"/>
      <c r="GX55" s="76"/>
      <c r="GY55" s="76"/>
      <c r="GZ55" s="76"/>
      <c r="HA55" s="76"/>
      <c r="HB55" s="76"/>
      <c r="HC55" s="76"/>
      <c r="HD55" s="76"/>
      <c r="HE55" s="76"/>
      <c r="HF55" s="76"/>
      <c r="HG55" s="76"/>
      <c r="HH55" s="76"/>
      <c r="HI55" s="76"/>
      <c r="HJ55" s="76"/>
      <c r="HK55" s="76"/>
      <c r="HL55" s="76"/>
      <c r="HM55" s="76"/>
      <c r="HN55" s="76"/>
      <c r="HO55" s="76"/>
      <c r="HP55" s="76"/>
      <c r="HQ55" s="76"/>
      <c r="HR55" s="76"/>
      <c r="HS55" s="76"/>
      <c r="HT55" s="76"/>
      <c r="HU55" s="76"/>
      <c r="HV55" s="76"/>
      <c r="HW55" s="76"/>
      <c r="HX55" s="76"/>
      <c r="HY55" s="76"/>
      <c r="HZ55" s="76"/>
      <c r="IA55" s="76"/>
      <c r="IB55" s="76"/>
      <c r="IC55" s="76"/>
      <c r="ID55" s="76"/>
      <c r="IE55" s="76"/>
      <c r="IF55" s="76"/>
      <c r="IG55" s="76"/>
      <c r="IH55" s="76"/>
      <c r="II55" s="76"/>
      <c r="IJ55" s="76"/>
      <c r="IK55" s="76"/>
      <c r="IL55" s="76"/>
      <c r="IM55" s="76"/>
      <c r="IN55" s="76"/>
      <c r="IO55" s="76"/>
      <c r="IP55" s="76"/>
      <c r="IQ55" s="76"/>
      <c r="IR55" s="76"/>
      <c r="IS55" s="76"/>
      <c r="IT55" s="76"/>
      <c r="IU55" s="76"/>
      <c r="IV55" s="76"/>
      <c r="IW55" s="76"/>
      <c r="IX55" s="76"/>
      <c r="IY55" s="76"/>
      <c r="IZ55" s="76"/>
      <c r="JA55" s="76"/>
      <c r="JB55" s="76"/>
      <c r="JC55" s="76"/>
      <c r="JD55" s="76"/>
      <c r="JE55" s="76"/>
      <c r="JF55" s="76"/>
      <c r="JG55" s="76"/>
      <c r="JH55" s="76"/>
      <c r="JI55" s="76"/>
      <c r="JJ55" s="76"/>
      <c r="JK55" s="76"/>
      <c r="JL55" s="76"/>
      <c r="JM55" s="76"/>
      <c r="JN55" s="76"/>
      <c r="JO55" s="76"/>
      <c r="JP55" s="76"/>
      <c r="JQ55" s="76"/>
      <c r="JR55" s="76"/>
      <c r="JS55" s="76"/>
      <c r="JT55" s="76"/>
      <c r="JU55" s="76"/>
      <c r="JV55" s="76"/>
      <c r="JW55" s="76"/>
      <c r="JX55" s="76"/>
      <c r="JY55" s="76"/>
      <c r="JZ55" s="76"/>
      <c r="KA55" s="76"/>
      <c r="KB55" s="76"/>
      <c r="KC55" s="76"/>
      <c r="KD55" s="76"/>
      <c r="KE55" s="76"/>
      <c r="KF55" s="76"/>
      <c r="KG55" s="76"/>
      <c r="KH55" s="76"/>
      <c r="KI55" s="76"/>
      <c r="KJ55" s="76"/>
      <c r="KK55" s="76"/>
      <c r="KL55" s="76"/>
      <c r="KM55" s="76"/>
      <c r="KN55" s="76"/>
      <c r="KO55" s="76"/>
      <c r="KP55" s="76"/>
      <c r="KQ55" s="76"/>
      <c r="KR55" s="76"/>
      <c r="KS55" s="76"/>
      <c r="KT55" s="76"/>
      <c r="KU55" s="76"/>
      <c r="KV55" s="76"/>
      <c r="KW55" s="76"/>
      <c r="KX55" s="76"/>
      <c r="KY55" s="76"/>
      <c r="KZ55" s="76"/>
      <c r="LA55" s="76"/>
      <c r="LB55" s="76"/>
      <c r="LC55" s="76"/>
      <c r="LD55" s="76"/>
      <c r="LE55" s="76"/>
      <c r="LF55" s="76"/>
      <c r="LG55" s="76"/>
      <c r="LH55" s="76"/>
      <c r="LI55" s="76"/>
      <c r="LJ55" s="76"/>
      <c r="LK55" s="76"/>
      <c r="LL55" s="76"/>
      <c r="LM55" s="76"/>
      <c r="LN55" s="76"/>
      <c r="LO55" s="76"/>
      <c r="LP55" s="76"/>
      <c r="LQ55" s="76"/>
      <c r="LR55" s="76"/>
      <c r="LS55" s="76"/>
      <c r="LT55" s="76"/>
      <c r="LU55" s="76"/>
      <c r="LV55" s="76"/>
      <c r="LW55" s="76"/>
      <c r="LX55" s="76"/>
      <c r="LY55" s="76"/>
      <c r="LZ55" s="76"/>
      <c r="MA55" s="76"/>
      <c r="MB55" s="76"/>
      <c r="MC55" s="76"/>
      <c r="MD55" s="76"/>
      <c r="ME55" s="76"/>
      <c r="MF55" s="76"/>
      <c r="MG55" s="76"/>
      <c r="MH55" s="76"/>
      <c r="MI55" s="76"/>
      <c r="MJ55" s="76"/>
      <c r="MK55" s="76"/>
      <c r="ML55" s="76"/>
      <c r="MM55" s="76"/>
      <c r="MN55" s="76"/>
      <c r="MO55" s="76"/>
      <c r="MP55" s="76"/>
      <c r="MQ55" s="76"/>
      <c r="MR55" s="76"/>
      <c r="MS55" s="76"/>
      <c r="MT55" s="76"/>
      <c r="MU55" s="76"/>
      <c r="MV55" s="76"/>
      <c r="MW55" s="76"/>
      <c r="MX55" s="76"/>
      <c r="MY55" s="76"/>
      <c r="MZ55" s="76"/>
      <c r="NA55" s="76"/>
      <c r="NB55" s="76"/>
      <c r="NC55" s="76"/>
      <c r="ND55" s="76"/>
      <c r="NE55" s="76"/>
      <c r="NF55" s="76"/>
      <c r="NG55" s="76"/>
      <c r="NH55" s="76"/>
      <c r="NI55" s="76"/>
      <c r="NJ55" s="76"/>
      <c r="NK55" s="76"/>
      <c r="NL55" s="76"/>
      <c r="NM55" s="76"/>
      <c r="NN55" s="76"/>
      <c r="NO55" s="76"/>
      <c r="NP55" s="76"/>
      <c r="NQ55" s="76"/>
      <c r="NR55" s="76"/>
      <c r="NS55" s="76"/>
      <c r="NT55" s="76"/>
      <c r="NU55" s="76"/>
      <c r="NV55" s="76"/>
      <c r="NW55" s="76"/>
      <c r="NX55" s="76"/>
      <c r="NY55" s="76"/>
      <c r="NZ55" s="76"/>
      <c r="OA55" s="76"/>
      <c r="OB55" s="76"/>
      <c r="OC55" s="76"/>
      <c r="OD55" s="76"/>
      <c r="OE55" s="76"/>
      <c r="OF55" s="76"/>
      <c r="OG55" s="76"/>
      <c r="OH55" s="76"/>
      <c r="OI55" s="76"/>
      <c r="OJ55" s="76"/>
      <c r="OK55" s="76"/>
      <c r="OL55" s="76"/>
      <c r="OM55" s="76"/>
      <c r="ON55" s="76"/>
      <c r="OO55" s="76"/>
      <c r="OP55" s="76"/>
      <c r="OQ55" s="76"/>
      <c r="OR55" s="76"/>
      <c r="OS55" s="76"/>
      <c r="OT55" s="76"/>
      <c r="OU55" s="76"/>
      <c r="OV55" s="76"/>
      <c r="OW55" s="76"/>
      <c r="OX55" s="76"/>
      <c r="OY55" s="76"/>
      <c r="OZ55" s="76"/>
      <c r="PA55" s="76"/>
      <c r="PB55" s="76"/>
      <c r="PC55" s="76"/>
      <c r="PD55" s="76"/>
      <c r="PE55" s="76"/>
      <c r="PF55" s="76"/>
      <c r="PG55" s="76"/>
      <c r="PH55" s="76"/>
      <c r="PI55" s="76"/>
      <c r="PJ55" s="76"/>
      <c r="PK55" s="76"/>
      <c r="PL55" s="76"/>
      <c r="PM55" s="76"/>
      <c r="PN55" s="76"/>
      <c r="PO55" s="76"/>
      <c r="PP55" s="76"/>
      <c r="PQ55" s="76"/>
      <c r="PR55" s="76"/>
      <c r="PS55" s="76"/>
      <c r="PT55" s="76"/>
      <c r="PU55" s="76"/>
      <c r="PV55" s="76"/>
      <c r="PW55" s="76"/>
      <c r="PX55" s="76"/>
      <c r="PY55" s="76"/>
      <c r="PZ55" s="76"/>
      <c r="QA55" s="76"/>
      <c r="QB55" s="76"/>
      <c r="QC55" s="76"/>
      <c r="QD55" s="76"/>
      <c r="QE55" s="76"/>
      <c r="QF55" s="76"/>
      <c r="QG55" s="76"/>
      <c r="QH55" s="76"/>
      <c r="QI55" s="76"/>
      <c r="QJ55" s="76"/>
      <c r="QK55" s="76"/>
      <c r="QL55" s="76"/>
      <c r="QM55" s="76"/>
      <c r="QN55" s="76"/>
      <c r="QO55" s="76"/>
      <c r="QP55" s="76"/>
      <c r="QQ55" s="76"/>
      <c r="QR55" s="76"/>
      <c r="QS55" s="76"/>
      <c r="QT55" s="76"/>
      <c r="QU55" s="76"/>
      <c r="QV55" s="76"/>
      <c r="QW55" s="76"/>
      <c r="QX55" s="76"/>
      <c r="QY55" s="76"/>
      <c r="QZ55" s="76"/>
      <c r="RA55" s="76"/>
      <c r="RB55" s="76"/>
      <c r="RC55" s="76"/>
      <c r="RD55" s="76"/>
      <c r="RE55" s="76"/>
      <c r="RF55" s="76"/>
      <c r="RG55" s="76"/>
      <c r="RH55" s="76"/>
      <c r="RI55" s="76"/>
      <c r="RJ55" s="76"/>
      <c r="RK55" s="76"/>
      <c r="RL55" s="76"/>
      <c r="RM55" s="76"/>
      <c r="RN55" s="76"/>
      <c r="RO55" s="76"/>
      <c r="RP55" s="76"/>
      <c r="RQ55" s="76"/>
      <c r="RR55" s="76"/>
      <c r="RS55" s="76"/>
      <c r="RT55" s="76"/>
      <c r="RU55" s="76"/>
      <c r="RV55" s="76"/>
      <c r="RW55" s="76"/>
      <c r="RX55" s="76"/>
      <c r="RY55" s="76"/>
      <c r="RZ55" s="76"/>
      <c r="SA55" s="76"/>
      <c r="SB55" s="76"/>
      <c r="SC55" s="76"/>
      <c r="SD55" s="76"/>
      <c r="SE55" s="76"/>
      <c r="SF55" s="76"/>
      <c r="SG55" s="76"/>
      <c r="SH55" s="76"/>
      <c r="SI55" s="76"/>
      <c r="SJ55" s="76"/>
      <c r="SK55" s="76"/>
      <c r="SL55" s="76"/>
      <c r="SM55" s="76"/>
      <c r="SN55" s="76"/>
      <c r="SO55" s="76"/>
      <c r="SP55" s="76"/>
      <c r="SQ55" s="76"/>
      <c r="SR55" s="76"/>
      <c r="SS55" s="76"/>
      <c r="ST55" s="76"/>
      <c r="SU55" s="76"/>
      <c r="SV55" s="76"/>
      <c r="SW55" s="76"/>
      <c r="SX55" s="76"/>
      <c r="SY55" s="76"/>
      <c r="SZ55" s="76"/>
      <c r="TA55" s="76"/>
      <c r="TB55" s="76"/>
      <c r="TC55" s="76"/>
      <c r="TD55" s="76"/>
      <c r="TE55" s="76"/>
      <c r="TF55" s="76"/>
      <c r="TG55" s="76"/>
      <c r="TH55" s="76"/>
      <c r="TI55" s="76"/>
      <c r="TJ55" s="76"/>
      <c r="TK55" s="76"/>
      <c r="TL55" s="76"/>
      <c r="TM55" s="76"/>
      <c r="TN55" s="76"/>
      <c r="TO55" s="76"/>
      <c r="TP55" s="76"/>
      <c r="TQ55" s="76"/>
      <c r="TR55" s="76"/>
      <c r="TS55" s="76"/>
      <c r="TT55" s="76"/>
      <c r="TU55" s="76"/>
      <c r="TV55" s="76"/>
      <c r="TW55" s="76"/>
      <c r="TX55" s="76"/>
      <c r="TY55" s="76"/>
      <c r="TZ55" s="76"/>
      <c r="UA55" s="76"/>
      <c r="UB55" s="76"/>
      <c r="UC55" s="76"/>
      <c r="UD55" s="76"/>
      <c r="UE55" s="76"/>
      <c r="UF55" s="76"/>
      <c r="UG55" s="76"/>
      <c r="UH55" s="76"/>
      <c r="UI55" s="76"/>
      <c r="UJ55" s="76"/>
      <c r="UK55" s="76"/>
      <c r="UL55" s="76"/>
      <c r="UM55" s="76"/>
      <c r="UN55" s="76"/>
      <c r="UO55" s="76"/>
      <c r="UP55" s="76"/>
      <c r="UQ55" s="76"/>
      <c r="UR55" s="76"/>
      <c r="US55" s="76"/>
      <c r="UT55" s="76"/>
      <c r="UU55" s="76"/>
      <c r="UV55" s="76"/>
      <c r="UW55" s="76"/>
      <c r="UX55" s="76"/>
      <c r="UY55" s="76"/>
      <c r="UZ55" s="76"/>
      <c r="VA55" s="76"/>
      <c r="VB55" s="76"/>
      <c r="VC55" s="76"/>
      <c r="VD55" s="76"/>
      <c r="VE55" s="76"/>
      <c r="VF55" s="76"/>
      <c r="VG55" s="76"/>
      <c r="VH55" s="76"/>
      <c r="VI55" s="76"/>
      <c r="VJ55" s="76"/>
      <c r="VK55" s="76"/>
      <c r="VL55" s="76"/>
      <c r="VM55" s="76"/>
      <c r="VN55" s="76"/>
      <c r="VO55" s="76"/>
      <c r="VP55" s="76"/>
      <c r="VQ55" s="76"/>
      <c r="VR55" s="76"/>
      <c r="VS55" s="76"/>
      <c r="VT55" s="76"/>
      <c r="VU55" s="76"/>
      <c r="VV55" s="76"/>
      <c r="VW55" s="76"/>
      <c r="VX55" s="76"/>
      <c r="VY55" s="76"/>
      <c r="VZ55" s="76"/>
      <c r="WA55" s="76"/>
      <c r="WB55" s="76"/>
      <c r="WC55" s="76"/>
      <c r="WD55" s="76"/>
      <c r="WE55" s="76"/>
      <c r="WF55" s="76"/>
      <c r="WG55" s="76"/>
      <c r="WH55" s="76"/>
      <c r="WI55" s="76"/>
      <c r="WJ55" s="76"/>
      <c r="WK55" s="76"/>
      <c r="WL55" s="76"/>
      <c r="WM55" s="76"/>
      <c r="WN55" s="76"/>
      <c r="WO55" s="76"/>
      <c r="WP55" s="76"/>
      <c r="WQ55" s="76"/>
      <c r="WR55" s="76"/>
      <c r="WS55" s="76"/>
      <c r="WT55" s="76"/>
      <c r="WU55" s="76"/>
      <c r="WV55" s="76"/>
      <c r="WW55" s="76"/>
      <c r="WX55" s="76"/>
      <c r="WY55" s="76"/>
      <c r="WZ55" s="76"/>
      <c r="XA55" s="76"/>
      <c r="XB55" s="76"/>
      <c r="XC55" s="76"/>
      <c r="XD55" s="76"/>
      <c r="XE55" s="76"/>
      <c r="XF55" s="76"/>
      <c r="XG55" s="76"/>
      <c r="XH55" s="76"/>
      <c r="XI55" s="76"/>
      <c r="XJ55" s="76"/>
      <c r="XK55" s="76"/>
      <c r="XL55" s="76"/>
      <c r="XM55" s="76"/>
      <c r="XN55" s="76"/>
      <c r="XO55" s="76"/>
      <c r="XP55" s="76"/>
      <c r="XQ55" s="76"/>
      <c r="XR55" s="76"/>
      <c r="XS55" s="76"/>
      <c r="XT55" s="76"/>
      <c r="XU55" s="76"/>
      <c r="XV55" s="76"/>
      <c r="XW55" s="76"/>
      <c r="XX55" s="76"/>
      <c r="XY55" s="76"/>
      <c r="XZ55" s="76"/>
      <c r="YA55" s="76"/>
      <c r="YB55" s="76"/>
      <c r="YC55" s="76"/>
      <c r="YD55" s="76"/>
      <c r="YE55" s="76"/>
      <c r="YF55" s="76"/>
      <c r="YG55" s="76"/>
      <c r="YH55" s="76"/>
      <c r="YI55" s="76"/>
      <c r="YJ55" s="76"/>
      <c r="YK55" s="76"/>
      <c r="YL55" s="76"/>
      <c r="YM55" s="76"/>
      <c r="YN55" s="76"/>
      <c r="YO55" s="76"/>
      <c r="YP55" s="76"/>
      <c r="YQ55" s="76"/>
      <c r="YR55" s="76"/>
      <c r="YS55" s="76"/>
      <c r="YT55" s="76"/>
      <c r="YU55" s="76"/>
      <c r="YV55" s="76"/>
      <c r="YW55" s="76"/>
      <c r="YX55" s="76"/>
      <c r="YY55" s="76"/>
      <c r="YZ55" s="76"/>
      <c r="ZA55" s="76"/>
      <c r="ZB55" s="76"/>
      <c r="ZC55" s="76"/>
      <c r="ZD55" s="76"/>
      <c r="ZE55" s="76"/>
      <c r="ZF55" s="76"/>
      <c r="ZG55" s="76"/>
      <c r="ZH55" s="76"/>
      <c r="ZI55" s="76"/>
      <c r="ZJ55" s="76"/>
      <c r="ZK55" s="76"/>
      <c r="ZL55" s="76"/>
      <c r="ZM55" s="76"/>
      <c r="ZN55" s="76"/>
      <c r="ZO55" s="76"/>
      <c r="ZP55" s="76"/>
      <c r="ZQ55" s="76"/>
      <c r="ZR55" s="76"/>
      <c r="ZS55" s="76"/>
      <c r="ZT55" s="76"/>
      <c r="ZU55" s="76"/>
      <c r="ZV55" s="76"/>
      <c r="ZW55" s="76"/>
      <c r="ZX55" s="76"/>
      <c r="ZY55" s="76"/>
      <c r="ZZ55" s="76"/>
      <c r="AAA55" s="76"/>
      <c r="AAB55" s="76"/>
      <c r="AAC55" s="76"/>
      <c r="AAD55" s="76"/>
      <c r="AAE55" s="76"/>
      <c r="AAF55" s="76"/>
      <c r="AAG55" s="76"/>
      <c r="AAH55" s="76"/>
      <c r="AAI55" s="76"/>
      <c r="AAJ55" s="76"/>
      <c r="AAK55" s="76"/>
      <c r="AAL55" s="76"/>
      <c r="AAM55" s="76"/>
      <c r="AAN55" s="76"/>
      <c r="AAO55" s="76"/>
      <c r="AAP55" s="76"/>
      <c r="AAQ55" s="76"/>
      <c r="AAR55" s="76"/>
      <c r="AAS55" s="76"/>
      <c r="AAT55" s="76"/>
      <c r="AAU55" s="76"/>
      <c r="AAV55" s="76"/>
      <c r="AAW55" s="76"/>
      <c r="AAX55" s="76"/>
      <c r="AAY55" s="76"/>
      <c r="AAZ55" s="76"/>
      <c r="ABA55" s="76"/>
      <c r="ABB55" s="76"/>
      <c r="ABC55" s="76"/>
      <c r="ABD55" s="76"/>
      <c r="ABE55" s="76"/>
      <c r="ABF55" s="76"/>
      <c r="ABG55" s="76"/>
      <c r="ABH55" s="76"/>
      <c r="ABI55" s="76"/>
      <c r="ABJ55" s="76"/>
      <c r="ABK55" s="76"/>
      <c r="ABL55" s="76"/>
      <c r="ABM55" s="76"/>
      <c r="ABN55" s="76"/>
      <c r="ABO55" s="76"/>
      <c r="ABP55" s="76"/>
      <c r="ABQ55" s="76"/>
      <c r="ABR55" s="76"/>
      <c r="ABS55" s="76"/>
      <c r="ABT55" s="76"/>
      <c r="ABU55" s="76"/>
      <c r="ABV55" s="76"/>
      <c r="ABW55" s="76"/>
      <c r="ABX55" s="76"/>
      <c r="ABY55" s="76"/>
      <c r="ABZ55" s="76"/>
      <c r="ACA55" s="76"/>
      <c r="ACB55" s="76"/>
      <c r="ACC55" s="76"/>
      <c r="ACD55" s="76"/>
      <c r="ACE55" s="76"/>
      <c r="ACF55" s="76"/>
      <c r="ACG55" s="76"/>
      <c r="ACH55" s="76"/>
      <c r="ACI55" s="76"/>
      <c r="ACJ55" s="76"/>
      <c r="ACK55" s="76"/>
      <c r="ACL55" s="76"/>
      <c r="ACM55" s="76"/>
      <c r="ACN55" s="76"/>
      <c r="ACO55" s="76"/>
      <c r="ACP55" s="76"/>
      <c r="ACQ55" s="76"/>
      <c r="ACR55" s="76"/>
      <c r="ACS55" s="76"/>
      <c r="ACT55" s="76"/>
      <c r="ACU55" s="76"/>
      <c r="ACV55" s="76"/>
      <c r="ACW55" s="76"/>
      <c r="ACX55" s="76"/>
      <c r="ACY55" s="76"/>
      <c r="ACZ55" s="76"/>
      <c r="ADA55" s="76"/>
      <c r="ADB55" s="76"/>
      <c r="ADC55" s="76"/>
      <c r="ADD55" s="76"/>
      <c r="ADE55" s="76"/>
      <c r="ADF55" s="76"/>
      <c r="ADG55" s="76"/>
      <c r="ADH55" s="76"/>
      <c r="ADI55" s="76"/>
      <c r="ADJ55" s="76"/>
      <c r="ADK55" s="76"/>
      <c r="ADL55" s="76"/>
      <c r="ADM55" s="76"/>
      <c r="ADN55" s="76"/>
      <c r="ADO55" s="76"/>
      <c r="ADP55" s="76"/>
      <c r="ADQ55" s="76"/>
      <c r="ADR55" s="76"/>
      <c r="ADS55" s="76"/>
      <c r="ADT55" s="76"/>
      <c r="ADU55" s="76"/>
      <c r="ADV55" s="76"/>
      <c r="ADW55" s="76"/>
      <c r="ADX55" s="76"/>
      <c r="ADY55" s="76"/>
      <c r="ADZ55" s="76"/>
      <c r="AEA55" s="76"/>
      <c r="AEB55" s="76"/>
      <c r="AEC55" s="76"/>
      <c r="AED55" s="76"/>
      <c r="AEE55" s="76"/>
      <c r="AEF55" s="76"/>
      <c r="AEG55" s="76"/>
      <c r="AEH55" s="76"/>
      <c r="AEI55" s="76"/>
      <c r="AEJ55" s="76"/>
      <c r="AEK55" s="76"/>
      <c r="AEL55" s="76"/>
      <c r="AEM55" s="76"/>
      <c r="AEN55" s="76"/>
      <c r="AEO55" s="76"/>
      <c r="AEP55" s="76"/>
      <c r="AEQ55" s="76"/>
      <c r="AER55" s="76"/>
      <c r="AES55" s="76"/>
      <c r="AET55" s="76"/>
      <c r="AEU55" s="76"/>
      <c r="AEV55" s="76"/>
      <c r="AEW55" s="76"/>
      <c r="AEX55" s="76"/>
      <c r="AEY55" s="76"/>
      <c r="AEZ55" s="76"/>
      <c r="AFA55" s="76"/>
      <c r="AFB55" s="76"/>
      <c r="AFC55" s="76"/>
      <c r="AFD55" s="76"/>
      <c r="AFE55" s="76"/>
      <c r="AFF55" s="76"/>
      <c r="AFG55" s="76"/>
      <c r="AFH55" s="76"/>
      <c r="AFI55" s="76"/>
      <c r="AFJ55" s="76"/>
      <c r="AFK55" s="76"/>
      <c r="AFL55" s="76"/>
      <c r="AFM55" s="76"/>
      <c r="AFN55" s="76"/>
      <c r="AFO55" s="76"/>
      <c r="AFP55" s="76"/>
      <c r="AFQ55" s="76"/>
      <c r="AFR55" s="76"/>
      <c r="AFS55" s="76"/>
      <c r="AFT55" s="76"/>
      <c r="AFU55" s="76"/>
      <c r="AFV55" s="76"/>
      <c r="AFW55" s="76"/>
      <c r="AFX55" s="76"/>
      <c r="AFY55" s="76"/>
      <c r="AFZ55" s="76"/>
      <c r="AGA55" s="76"/>
      <c r="AGB55" s="76"/>
      <c r="AGC55" s="76"/>
      <c r="AGD55" s="76"/>
      <c r="AGE55" s="76"/>
      <c r="AGF55" s="76"/>
      <c r="AGG55" s="76"/>
      <c r="AGH55" s="76"/>
      <c r="AGI55" s="76"/>
      <c r="AGJ55" s="76"/>
      <c r="AGK55" s="76"/>
      <c r="AGL55" s="76"/>
      <c r="AGM55" s="76"/>
      <c r="AGN55" s="76"/>
      <c r="AGO55" s="76"/>
      <c r="AGP55" s="76"/>
      <c r="AGQ55" s="76"/>
      <c r="AGR55" s="76"/>
      <c r="AGS55" s="76"/>
      <c r="AGT55" s="76"/>
      <c r="AGU55" s="76"/>
      <c r="AGV55" s="76"/>
      <c r="AGW55" s="76"/>
      <c r="AGX55" s="76"/>
      <c r="AGY55" s="76"/>
      <c r="AGZ55" s="76"/>
      <c r="AHA55" s="76"/>
      <c r="AHB55" s="76"/>
      <c r="AHC55" s="76"/>
      <c r="AHD55" s="76"/>
      <c r="AHE55" s="76"/>
      <c r="AHF55" s="76"/>
      <c r="AHG55" s="76"/>
      <c r="AHH55" s="76"/>
      <c r="AHI55" s="76"/>
      <c r="AHJ55" s="76"/>
      <c r="AHK55" s="76"/>
      <c r="AHL55" s="76"/>
      <c r="AHM55" s="76"/>
      <c r="AHN55" s="76"/>
      <c r="AHO55" s="76"/>
      <c r="AHP55" s="76"/>
      <c r="AHQ55" s="76"/>
      <c r="AHR55" s="76"/>
      <c r="AHS55" s="76"/>
      <c r="AHT55" s="76"/>
      <c r="AHU55" s="76"/>
      <c r="AHV55" s="76"/>
      <c r="AHW55" s="76"/>
      <c r="AHX55" s="76"/>
      <c r="AHY55" s="76"/>
      <c r="AHZ55" s="76"/>
      <c r="AIA55" s="76"/>
      <c r="AIB55" s="76"/>
      <c r="AIC55" s="76"/>
      <c r="AID55" s="76"/>
      <c r="AIE55" s="76"/>
      <c r="AIF55" s="76"/>
      <c r="AIG55" s="76"/>
      <c r="AIH55" s="76"/>
      <c r="AII55" s="76"/>
      <c r="AIJ55" s="76"/>
      <c r="AIK55" s="76"/>
      <c r="AIL55" s="76"/>
      <c r="AIM55" s="76"/>
      <c r="AIN55" s="76"/>
      <c r="AIO55" s="76"/>
      <c r="AIP55" s="76"/>
      <c r="AIQ55" s="76"/>
      <c r="AIR55" s="76"/>
      <c r="AIS55" s="76"/>
      <c r="AIT55" s="76"/>
      <c r="AIU55" s="76"/>
      <c r="AIV55" s="76"/>
      <c r="AIW55" s="76"/>
      <c r="AIX55" s="76"/>
      <c r="AIY55" s="76"/>
      <c r="AIZ55" s="76"/>
      <c r="AJA55" s="76"/>
      <c r="AJB55" s="76"/>
      <c r="AJC55" s="76"/>
      <c r="AJD55" s="76"/>
      <c r="AJE55" s="76"/>
      <c r="AJF55" s="76"/>
      <c r="AJG55" s="76"/>
      <c r="AJH55" s="76"/>
      <c r="AJI55" s="76"/>
      <c r="AJJ55" s="76"/>
      <c r="AJK55" s="76"/>
      <c r="AJL55" s="76"/>
      <c r="AJM55" s="76"/>
      <c r="AJN55" s="76"/>
      <c r="AJO55" s="76"/>
      <c r="AJP55" s="76"/>
      <c r="AJQ55" s="76"/>
      <c r="AJR55" s="76"/>
      <c r="AJS55" s="76"/>
      <c r="AJT55" s="76"/>
      <c r="AJU55" s="76"/>
      <c r="AJV55" s="76"/>
      <c r="AJW55" s="76"/>
      <c r="AJX55" s="76"/>
      <c r="AJY55" s="76"/>
      <c r="AJZ55" s="76"/>
      <c r="AKA55" s="76"/>
      <c r="AKB55" s="76"/>
      <c r="AKC55" s="76"/>
      <c r="AKD55" s="76"/>
      <c r="AKE55" s="76"/>
      <c r="AKF55" s="76"/>
      <c r="AKG55" s="76"/>
      <c r="AKH55" s="76"/>
      <c r="AKI55" s="76"/>
      <c r="AKJ55" s="76"/>
      <c r="AKK55" s="76"/>
      <c r="AKL55" s="76"/>
      <c r="AKM55" s="76"/>
      <c r="AKN55" s="76"/>
      <c r="AKO55" s="76"/>
      <c r="AKP55" s="76"/>
      <c r="AKQ55" s="76"/>
      <c r="AKR55" s="76"/>
      <c r="AKS55" s="76"/>
      <c r="AKT55" s="76"/>
      <c r="AKU55" s="76"/>
      <c r="AKV55" s="76"/>
      <c r="AKW55" s="76"/>
      <c r="AKX55" s="76"/>
      <c r="AKY55" s="76"/>
      <c r="AKZ55" s="76"/>
      <c r="ALA55" s="76"/>
      <c r="ALB55" s="76"/>
      <c r="ALC55" s="76"/>
      <c r="ALD55" s="76"/>
      <c r="ALE55" s="76"/>
      <c r="ALF55" s="76"/>
      <c r="ALG55" s="76"/>
      <c r="ALH55" s="76"/>
      <c r="ALI55" s="76"/>
      <c r="ALJ55" s="76"/>
      <c r="ALK55" s="76"/>
      <c r="ALL55" s="76"/>
      <c r="ALM55" s="76"/>
      <c r="ALN55" s="76"/>
      <c r="ALO55" s="76"/>
      <c r="ALP55" s="76"/>
      <c r="ALQ55" s="76"/>
      <c r="ALR55" s="76"/>
      <c r="ALS55" s="76"/>
      <c r="ALT55" s="76"/>
      <c r="ALU55" s="76"/>
      <c r="ALV55" s="76"/>
      <c r="ALW55" s="76"/>
      <c r="ALX55" s="76"/>
      <c r="ALY55" s="76"/>
      <c r="ALZ55" s="76"/>
      <c r="AMA55" s="76"/>
      <c r="AMB55" s="76"/>
      <c r="AMC55" s="76"/>
      <c r="AMD55" s="76"/>
      <c r="AME55" s="76"/>
      <c r="AMF55" s="76"/>
      <c r="AMG55" s="76"/>
      <c r="AMH55" s="76"/>
      <c r="AMI55" s="76"/>
      <c r="AMJ55" s="76"/>
      <c r="AMK55" s="76"/>
      <c r="AML55" s="76"/>
      <c r="AMM55" s="76"/>
      <c r="AMN55" s="76"/>
      <c r="AMO55" s="76"/>
      <c r="AMP55" s="76"/>
      <c r="AMQ55" s="76"/>
      <c r="AMR55" s="76"/>
      <c r="AMS55" s="76"/>
      <c r="AMT55" s="76"/>
      <c r="AMU55" s="76"/>
      <c r="AMV55" s="76"/>
      <c r="AMW55" s="76"/>
      <c r="AMX55" s="76"/>
      <c r="AMY55" s="76"/>
      <c r="AMZ55" s="76"/>
      <c r="ANA55" s="76"/>
      <c r="ANB55" s="76"/>
      <c r="ANC55" s="76"/>
      <c r="AND55" s="76"/>
      <c r="ANE55" s="76"/>
      <c r="ANF55" s="76"/>
      <c r="ANG55" s="76"/>
      <c r="ANH55" s="76"/>
      <c r="ANI55" s="76"/>
      <c r="ANJ55" s="76"/>
      <c r="ANK55" s="76"/>
      <c r="ANL55" s="76"/>
      <c r="ANM55" s="76"/>
      <c r="ANN55" s="76"/>
      <c r="ANO55" s="76"/>
      <c r="ANP55" s="76"/>
      <c r="ANQ55" s="76"/>
      <c r="ANR55" s="76"/>
      <c r="ANS55" s="76"/>
      <c r="ANT55" s="76"/>
      <c r="ANU55" s="76"/>
      <c r="ANV55" s="76"/>
      <c r="ANW55" s="76"/>
      <c r="ANX55" s="76"/>
      <c r="ANY55" s="76"/>
      <c r="ANZ55" s="76"/>
      <c r="AOA55" s="76"/>
      <c r="AOB55" s="76"/>
      <c r="AOC55" s="76"/>
      <c r="AOD55" s="76"/>
      <c r="AOE55" s="76"/>
      <c r="AOF55" s="76"/>
      <c r="AOG55" s="76"/>
      <c r="AOH55" s="76"/>
      <c r="AOI55" s="76"/>
      <c r="AOJ55" s="76"/>
      <c r="AOK55" s="76"/>
      <c r="AOL55" s="76"/>
      <c r="AOM55" s="76"/>
      <c r="AON55" s="76"/>
      <c r="AOO55" s="76"/>
      <c r="AOP55" s="76"/>
      <c r="AOQ55" s="76"/>
      <c r="AOR55" s="76"/>
      <c r="AOS55" s="76"/>
      <c r="AOT55" s="76"/>
      <c r="AOU55" s="76"/>
      <c r="AOV55" s="76"/>
      <c r="AOW55" s="76"/>
      <c r="AOX55" s="76"/>
      <c r="AOY55" s="76"/>
      <c r="AOZ55" s="76"/>
      <c r="APA55" s="76"/>
      <c r="APB55" s="76"/>
      <c r="APC55" s="76"/>
      <c r="APD55" s="76"/>
      <c r="APE55" s="76"/>
      <c r="APF55" s="76"/>
      <c r="APG55" s="76"/>
      <c r="APH55" s="76"/>
      <c r="API55" s="76"/>
      <c r="APJ55" s="76"/>
      <c r="APK55" s="76"/>
      <c r="APL55" s="76"/>
      <c r="APM55" s="76"/>
      <c r="APN55" s="76"/>
      <c r="APO55" s="76"/>
      <c r="APP55" s="76"/>
      <c r="APQ55" s="76"/>
      <c r="APR55" s="76"/>
      <c r="APS55" s="76"/>
      <c r="APT55" s="76"/>
      <c r="APU55" s="76"/>
      <c r="APV55" s="76"/>
      <c r="APW55" s="76"/>
      <c r="APX55" s="76"/>
      <c r="APY55" s="76"/>
      <c r="APZ55" s="76"/>
      <c r="AQA55" s="76"/>
      <c r="AQB55" s="76"/>
      <c r="AQC55" s="76"/>
      <c r="AQD55" s="76"/>
      <c r="AQE55" s="76"/>
      <c r="AQF55" s="76"/>
      <c r="AQG55" s="76"/>
      <c r="AQH55" s="76"/>
      <c r="AQI55" s="76"/>
      <c r="AQJ55" s="76"/>
      <c r="AQK55" s="76"/>
      <c r="AQL55" s="76"/>
      <c r="AQM55" s="76"/>
      <c r="AQN55" s="76"/>
      <c r="AQO55" s="76"/>
      <c r="AQP55" s="76"/>
      <c r="AQQ55" s="76"/>
      <c r="AQR55" s="76"/>
      <c r="AQS55" s="76"/>
      <c r="AQT55" s="76"/>
      <c r="AQU55" s="76"/>
      <c r="AQV55" s="76"/>
      <c r="AQW55" s="76"/>
      <c r="AQX55" s="76"/>
      <c r="AQY55" s="76"/>
      <c r="AQZ55" s="76"/>
      <c r="ARA55" s="76"/>
      <c r="ARB55" s="76"/>
      <c r="ARC55" s="76"/>
      <c r="ARD55" s="76"/>
      <c r="ARE55" s="76"/>
      <c r="ARF55" s="76"/>
      <c r="ARG55" s="76"/>
      <c r="ARH55" s="76"/>
      <c r="ARI55" s="76"/>
      <c r="ARJ55" s="76"/>
      <c r="ARK55" s="76"/>
      <c r="ARL55" s="76"/>
      <c r="ARM55" s="76"/>
      <c r="ARN55" s="76"/>
      <c r="ARO55" s="76"/>
      <c r="ARP55" s="76"/>
      <c r="ARQ55" s="76"/>
      <c r="ARR55" s="76"/>
      <c r="ARS55" s="76"/>
      <c r="ART55" s="76"/>
      <c r="ARU55" s="76"/>
      <c r="ARV55" s="76"/>
      <c r="ARW55" s="76"/>
      <c r="ARX55" s="76"/>
      <c r="ARY55" s="76"/>
      <c r="ARZ55" s="76"/>
      <c r="ASA55" s="76"/>
      <c r="ASB55" s="76"/>
      <c r="ASC55" s="76"/>
      <c r="ASD55" s="76"/>
      <c r="ASE55" s="76"/>
      <c r="ASF55" s="76"/>
      <c r="ASG55" s="76"/>
      <c r="ASH55" s="76"/>
      <c r="ASI55" s="76"/>
      <c r="ASJ55" s="76"/>
      <c r="ASK55" s="76"/>
      <c r="ASL55" s="76"/>
      <c r="ASM55" s="76"/>
      <c r="ASN55" s="76"/>
      <c r="ASO55" s="76"/>
      <c r="ASP55" s="76"/>
      <c r="ASQ55" s="76"/>
      <c r="ASR55" s="76"/>
      <c r="ASS55" s="76"/>
      <c r="AST55" s="76"/>
      <c r="ASU55" s="76"/>
      <c r="ASV55" s="76"/>
      <c r="ASW55" s="76"/>
      <c r="ASX55" s="76"/>
      <c r="ASY55" s="76"/>
      <c r="ASZ55" s="76"/>
      <c r="ATA55" s="76"/>
      <c r="ATB55" s="76"/>
      <c r="ATC55" s="76"/>
      <c r="ATD55" s="76"/>
      <c r="ATE55" s="76"/>
      <c r="ATF55" s="76"/>
      <c r="ATG55" s="76"/>
      <c r="ATH55" s="76"/>
      <c r="ATI55" s="76"/>
      <c r="ATJ55" s="76"/>
      <c r="ATK55" s="76"/>
      <c r="ATL55" s="76"/>
      <c r="ATM55" s="76"/>
      <c r="ATN55" s="76"/>
      <c r="ATO55" s="76"/>
      <c r="ATP55" s="76"/>
      <c r="ATQ55" s="76"/>
      <c r="ATR55" s="76"/>
      <c r="ATS55" s="76"/>
      <c r="ATT55" s="76"/>
      <c r="ATU55" s="76"/>
      <c r="ATV55" s="76"/>
      <c r="ATW55" s="76"/>
      <c r="ATX55" s="76"/>
      <c r="ATY55" s="76"/>
      <c r="ATZ55" s="76"/>
      <c r="AUA55" s="76"/>
      <c r="AUB55" s="76"/>
      <c r="AUC55" s="76"/>
      <c r="AUD55" s="76"/>
      <c r="AUE55" s="76"/>
      <c r="AUF55" s="76"/>
      <c r="AUG55" s="76"/>
      <c r="AUH55" s="76"/>
      <c r="AUI55" s="76"/>
      <c r="AUJ55" s="76"/>
      <c r="AUK55" s="76"/>
      <c r="AUL55" s="76"/>
      <c r="AUM55" s="76"/>
      <c r="AUN55" s="76"/>
      <c r="AUO55" s="76"/>
      <c r="AUP55" s="76"/>
      <c r="AUQ55" s="76"/>
      <c r="AUR55" s="76"/>
      <c r="AUS55" s="76"/>
      <c r="AUT55" s="76"/>
      <c r="AUU55" s="76"/>
      <c r="AUV55" s="76"/>
      <c r="AUW55" s="76"/>
      <c r="AUX55" s="76"/>
      <c r="AUY55" s="76"/>
      <c r="AUZ55" s="76"/>
      <c r="AVA55" s="76"/>
      <c r="AVB55" s="76"/>
      <c r="AVC55" s="76"/>
      <c r="AVD55" s="76"/>
      <c r="AVE55" s="76"/>
      <c r="AVF55" s="76"/>
      <c r="AVG55" s="76"/>
      <c r="AVH55" s="76"/>
      <c r="AVI55" s="76"/>
      <c r="AVJ55" s="76"/>
      <c r="AVK55" s="76"/>
      <c r="AVL55" s="76"/>
      <c r="AVM55" s="76"/>
      <c r="AVN55" s="76"/>
      <c r="AVO55" s="76"/>
      <c r="AVP55" s="76"/>
      <c r="AVQ55" s="76"/>
      <c r="AVR55" s="76"/>
      <c r="AVS55" s="76"/>
      <c r="AVT55" s="76"/>
      <c r="AVU55" s="76"/>
      <c r="AVV55" s="76"/>
      <c r="AVW55" s="76"/>
      <c r="AVX55" s="76"/>
      <c r="AVY55" s="76"/>
      <c r="AVZ55" s="76"/>
      <c r="AWA55" s="76"/>
      <c r="AWB55" s="76"/>
      <c r="AWC55" s="76"/>
      <c r="AWD55" s="76"/>
      <c r="AWE55" s="76"/>
      <c r="AWF55" s="76"/>
      <c r="AWG55" s="76"/>
      <c r="AWH55" s="76"/>
      <c r="AWI55" s="76"/>
      <c r="AWJ55" s="76"/>
      <c r="AWK55" s="76"/>
      <c r="AWL55" s="76"/>
      <c r="AWM55" s="76"/>
      <c r="AWN55" s="76"/>
      <c r="AWO55" s="76"/>
      <c r="AWP55" s="76"/>
      <c r="AWQ55" s="76"/>
      <c r="AWR55" s="76"/>
      <c r="AWS55" s="76"/>
      <c r="AWT55" s="76"/>
      <c r="AWU55" s="76"/>
      <c r="AWV55" s="76"/>
      <c r="AWW55" s="76"/>
      <c r="AWX55" s="76"/>
      <c r="AWY55" s="76"/>
      <c r="AWZ55" s="76"/>
      <c r="AXA55" s="76"/>
      <c r="AXB55" s="76"/>
      <c r="AXC55" s="76"/>
      <c r="AXD55" s="76"/>
      <c r="AXE55" s="76"/>
      <c r="AXF55" s="76"/>
      <c r="AXG55" s="76"/>
      <c r="AXH55" s="76"/>
      <c r="AXI55" s="76"/>
      <c r="AXJ55" s="76"/>
      <c r="AXK55" s="76"/>
      <c r="AXL55" s="76"/>
      <c r="AXM55" s="76"/>
      <c r="AXN55" s="76"/>
      <c r="AXO55" s="76"/>
      <c r="AXP55" s="76"/>
      <c r="AXQ55" s="76"/>
      <c r="AXR55" s="76"/>
      <c r="AXS55" s="76"/>
      <c r="AXT55" s="76"/>
      <c r="AXU55" s="76"/>
      <c r="AXV55" s="76"/>
      <c r="AXW55" s="76"/>
      <c r="AXX55" s="76"/>
      <c r="AXY55" s="76"/>
      <c r="AXZ55" s="76"/>
      <c r="AYA55" s="76"/>
      <c r="AYB55" s="76"/>
      <c r="AYC55" s="76"/>
      <c r="AYD55" s="76"/>
      <c r="AYE55" s="76"/>
      <c r="AYF55" s="76"/>
      <c r="AYG55" s="76"/>
      <c r="AYH55" s="76"/>
      <c r="AYI55" s="76"/>
      <c r="AYJ55" s="76"/>
      <c r="AYK55" s="76"/>
      <c r="AYL55" s="76"/>
      <c r="AYM55" s="76"/>
      <c r="AYN55" s="76"/>
      <c r="AYO55" s="76"/>
      <c r="AYP55" s="76"/>
      <c r="AYQ55" s="76"/>
      <c r="AYR55" s="76"/>
      <c r="AYS55" s="76"/>
      <c r="AYT55" s="76"/>
      <c r="AYU55" s="76"/>
      <c r="AYV55" s="76"/>
      <c r="AYW55" s="76"/>
      <c r="AYX55" s="76"/>
      <c r="AYY55" s="76"/>
      <c r="AYZ55" s="76"/>
      <c r="AZA55" s="76"/>
      <c r="AZB55" s="76"/>
      <c r="AZC55" s="76"/>
      <c r="AZD55" s="76"/>
      <c r="AZE55" s="76"/>
      <c r="AZF55" s="76"/>
      <c r="AZG55" s="76"/>
      <c r="AZH55" s="76"/>
      <c r="AZI55" s="76"/>
      <c r="AZJ55" s="76"/>
      <c r="AZK55" s="76"/>
      <c r="AZL55" s="76"/>
      <c r="AZM55" s="76"/>
      <c r="AZN55" s="76"/>
      <c r="AZO55" s="76"/>
      <c r="AZP55" s="76"/>
      <c r="AZQ55" s="76"/>
      <c r="AZR55" s="76"/>
      <c r="AZS55" s="76"/>
      <c r="AZT55" s="76"/>
      <c r="AZU55" s="76"/>
      <c r="AZV55" s="76"/>
      <c r="AZW55" s="76"/>
      <c r="AZX55" s="76"/>
      <c r="AZY55" s="76"/>
      <c r="AZZ55" s="76"/>
      <c r="BAA55" s="76"/>
      <c r="BAB55" s="76"/>
      <c r="BAC55" s="76"/>
      <c r="BAD55" s="76"/>
      <c r="BAE55" s="76"/>
      <c r="BAF55" s="76"/>
      <c r="BAG55" s="76"/>
      <c r="BAH55" s="76"/>
      <c r="BAI55" s="76"/>
      <c r="BAJ55" s="76"/>
      <c r="BAK55" s="76"/>
      <c r="BAL55" s="76"/>
      <c r="BAM55" s="76"/>
      <c r="BAN55" s="76"/>
      <c r="BAO55" s="76"/>
      <c r="BAP55" s="76"/>
      <c r="BAQ55" s="76"/>
      <c r="BAR55" s="76"/>
      <c r="BAS55" s="76"/>
      <c r="BAT55" s="76"/>
      <c r="BAU55" s="76"/>
      <c r="BAV55" s="76"/>
      <c r="BAW55" s="76"/>
      <c r="BAX55" s="76"/>
      <c r="BAY55" s="76"/>
      <c r="BAZ55" s="76"/>
      <c r="BBA55" s="76"/>
      <c r="BBB55" s="76"/>
      <c r="BBC55" s="76"/>
      <c r="BBD55" s="76"/>
      <c r="BBE55" s="76"/>
      <c r="BBF55" s="76"/>
      <c r="BBG55" s="76"/>
      <c r="BBH55" s="76"/>
      <c r="BBI55" s="76"/>
      <c r="BBJ55" s="76"/>
      <c r="BBK55" s="76"/>
      <c r="BBL55" s="76"/>
      <c r="BBM55" s="76"/>
      <c r="BBN55" s="76"/>
      <c r="BBO55" s="76"/>
      <c r="BBP55" s="76"/>
      <c r="BBQ55" s="76"/>
      <c r="BBR55" s="76"/>
      <c r="BBS55" s="76"/>
      <c r="BBT55" s="76"/>
      <c r="BBU55" s="76"/>
      <c r="BBV55" s="76"/>
      <c r="BBW55" s="76"/>
      <c r="BBX55" s="76"/>
      <c r="BBY55" s="76"/>
      <c r="BBZ55" s="76"/>
      <c r="BCA55" s="76"/>
      <c r="BCB55" s="76"/>
      <c r="BCC55" s="76"/>
      <c r="BCD55" s="76"/>
      <c r="BCE55" s="76"/>
      <c r="BCF55" s="76"/>
      <c r="BCG55" s="76"/>
      <c r="BCH55" s="76"/>
      <c r="BCI55" s="76"/>
      <c r="BCJ55" s="76"/>
      <c r="BCK55" s="76"/>
      <c r="BCL55" s="76"/>
      <c r="BCM55" s="76"/>
      <c r="BCN55" s="76"/>
      <c r="BCO55" s="76"/>
      <c r="BCP55" s="76"/>
      <c r="BCQ55" s="76"/>
      <c r="BCR55" s="76"/>
      <c r="BCS55" s="76"/>
      <c r="BCT55" s="76"/>
      <c r="BCU55" s="76"/>
      <c r="BCV55" s="76"/>
      <c r="BCW55" s="76"/>
      <c r="BCX55" s="76"/>
      <c r="BCY55" s="76"/>
      <c r="BCZ55" s="76"/>
      <c r="BDA55" s="76"/>
      <c r="BDB55" s="76"/>
      <c r="BDC55" s="76"/>
      <c r="BDD55" s="76"/>
      <c r="BDE55" s="76"/>
      <c r="BDF55" s="76"/>
      <c r="BDG55" s="76"/>
      <c r="BDH55" s="76"/>
      <c r="BDI55" s="76"/>
      <c r="BDJ55" s="76"/>
      <c r="BDK55" s="76"/>
      <c r="BDL55" s="76"/>
      <c r="BDM55" s="76"/>
      <c r="BDN55" s="76"/>
      <c r="BDO55" s="76"/>
      <c r="BDP55" s="76"/>
      <c r="BDQ55" s="76"/>
      <c r="BDR55" s="76"/>
      <c r="BDS55" s="76"/>
      <c r="BDT55" s="76"/>
      <c r="BDU55" s="76"/>
      <c r="BDV55" s="76"/>
      <c r="BDW55" s="76"/>
      <c r="BDX55" s="76"/>
      <c r="BDY55" s="76"/>
      <c r="BDZ55" s="76"/>
      <c r="BEA55" s="76"/>
      <c r="BEB55" s="76"/>
      <c r="BEC55" s="76"/>
      <c r="BED55" s="76"/>
      <c r="BEE55" s="76"/>
      <c r="BEF55" s="76"/>
      <c r="BEG55" s="76"/>
      <c r="BEH55" s="76"/>
      <c r="BEI55" s="76"/>
      <c r="BEJ55" s="76"/>
      <c r="BEK55" s="76"/>
      <c r="BEL55" s="76"/>
      <c r="BEM55" s="76"/>
      <c r="BEN55" s="76"/>
      <c r="BEO55" s="76"/>
      <c r="BEP55" s="76"/>
      <c r="BEQ55" s="76"/>
      <c r="BER55" s="76"/>
      <c r="BES55" s="76"/>
      <c r="BET55" s="76"/>
      <c r="BEU55" s="76"/>
      <c r="BEV55" s="76"/>
      <c r="BEW55" s="76"/>
      <c r="BEX55" s="76"/>
      <c r="BEY55" s="76"/>
      <c r="BEZ55" s="76"/>
      <c r="BFA55" s="76"/>
      <c r="BFB55" s="76"/>
      <c r="BFC55" s="76"/>
      <c r="BFD55" s="76"/>
      <c r="BFE55" s="76"/>
      <c r="BFF55" s="76"/>
      <c r="BFG55" s="76"/>
      <c r="BFH55" s="76"/>
      <c r="BFI55" s="76"/>
      <c r="BFJ55" s="76"/>
      <c r="BFK55" s="76"/>
      <c r="BFL55" s="76"/>
      <c r="BFM55" s="76"/>
      <c r="BFN55" s="76"/>
      <c r="BFO55" s="76"/>
      <c r="BFP55" s="76"/>
      <c r="BFQ55" s="76"/>
      <c r="BFR55" s="76"/>
      <c r="BFS55" s="76"/>
      <c r="BFT55" s="76"/>
      <c r="BFU55" s="76"/>
      <c r="BFV55" s="76"/>
      <c r="BFW55" s="76"/>
      <c r="BFX55" s="76"/>
      <c r="BFY55" s="76"/>
      <c r="BFZ55" s="76"/>
      <c r="BGA55" s="76"/>
      <c r="BGB55" s="76"/>
      <c r="BGC55" s="76"/>
      <c r="BGD55" s="76"/>
      <c r="BGE55" s="76"/>
      <c r="BGF55" s="76"/>
      <c r="BGG55" s="76"/>
      <c r="BGH55" s="76"/>
      <c r="BGI55" s="76"/>
      <c r="BGJ55" s="76"/>
      <c r="BGK55" s="76"/>
      <c r="BGL55" s="76"/>
      <c r="BGM55" s="76"/>
      <c r="BGN55" s="76"/>
      <c r="BGO55" s="76"/>
      <c r="BGP55" s="76"/>
      <c r="BGQ55" s="76"/>
      <c r="BGR55" s="76"/>
      <c r="BGS55" s="76"/>
      <c r="BGT55" s="76"/>
      <c r="BGU55" s="76"/>
      <c r="BGV55" s="76"/>
      <c r="BGW55" s="76"/>
      <c r="BGX55" s="76"/>
      <c r="BGY55" s="76"/>
      <c r="BGZ55" s="76"/>
      <c r="BHA55" s="76"/>
      <c r="BHB55" s="76"/>
      <c r="BHC55" s="76"/>
      <c r="BHD55" s="76"/>
      <c r="BHE55" s="76"/>
      <c r="BHF55" s="76"/>
      <c r="BHG55" s="76"/>
      <c r="BHH55" s="76"/>
      <c r="BHI55" s="76"/>
      <c r="BHJ55" s="76"/>
      <c r="BHK55" s="76"/>
      <c r="BHL55" s="76"/>
      <c r="BHM55" s="76"/>
      <c r="BHN55" s="76"/>
      <c r="BHO55" s="76"/>
      <c r="BHP55" s="76"/>
      <c r="BHQ55" s="76"/>
      <c r="BHR55" s="76"/>
      <c r="BHS55" s="76"/>
      <c r="BHT55" s="76"/>
      <c r="BHU55" s="76"/>
      <c r="BHV55" s="76"/>
      <c r="BHW55" s="76"/>
      <c r="BHX55" s="76"/>
      <c r="BHY55" s="76"/>
      <c r="BHZ55" s="76"/>
      <c r="BIA55" s="76"/>
      <c r="BIB55" s="76"/>
      <c r="BIC55" s="76"/>
      <c r="BID55" s="76"/>
      <c r="BIE55" s="76"/>
      <c r="BIF55" s="76"/>
      <c r="BIG55" s="76"/>
      <c r="BIH55" s="76"/>
      <c r="BII55" s="76"/>
      <c r="BIJ55" s="76"/>
      <c r="BIK55" s="76"/>
      <c r="BIL55" s="76"/>
      <c r="BIM55" s="76"/>
      <c r="BIN55" s="76"/>
      <c r="BIO55" s="76"/>
      <c r="BIP55" s="76"/>
      <c r="BIQ55" s="76"/>
      <c r="BIR55" s="76"/>
      <c r="BIS55" s="76"/>
      <c r="BIT55" s="76"/>
      <c r="BIU55" s="76"/>
      <c r="BIV55" s="76"/>
      <c r="BIW55" s="76"/>
      <c r="BIX55" s="76"/>
      <c r="BIY55" s="76"/>
      <c r="BIZ55" s="76"/>
      <c r="BJA55" s="76"/>
      <c r="BJB55" s="76"/>
      <c r="BJC55" s="76"/>
      <c r="BJD55" s="76"/>
      <c r="BJE55" s="76"/>
      <c r="BJF55" s="76"/>
      <c r="BJG55" s="76"/>
      <c r="BJH55" s="76"/>
      <c r="BJI55" s="76"/>
      <c r="BJJ55" s="76"/>
      <c r="BJK55" s="76"/>
      <c r="BJL55" s="76"/>
      <c r="BJM55" s="76"/>
      <c r="BJN55" s="76"/>
      <c r="BJO55" s="76"/>
      <c r="BJP55" s="76"/>
      <c r="BJQ55" s="76"/>
      <c r="BJR55" s="76"/>
      <c r="BJS55" s="76"/>
      <c r="BJT55" s="76"/>
      <c r="BJU55" s="76"/>
      <c r="BJV55" s="76"/>
      <c r="BJW55" s="76"/>
      <c r="BJX55" s="76"/>
      <c r="BJY55" s="76"/>
      <c r="BJZ55" s="76"/>
      <c r="BKA55" s="76"/>
      <c r="BKB55" s="76"/>
      <c r="BKC55" s="76"/>
      <c r="BKD55" s="76"/>
      <c r="BKE55" s="76"/>
      <c r="BKF55" s="76"/>
      <c r="BKG55" s="76"/>
      <c r="BKH55" s="76"/>
      <c r="BKI55" s="76"/>
      <c r="BKJ55" s="76"/>
      <c r="BKK55" s="76"/>
      <c r="BKL55" s="76"/>
      <c r="BKM55" s="76"/>
      <c r="BKN55" s="76"/>
      <c r="BKO55" s="76"/>
      <c r="BKP55" s="76"/>
      <c r="BKQ55" s="76"/>
      <c r="BKR55" s="76"/>
      <c r="BKS55" s="76"/>
      <c r="BKT55" s="76"/>
      <c r="BKU55" s="76"/>
      <c r="BKV55" s="76"/>
      <c r="BKW55" s="76"/>
      <c r="BKX55" s="76"/>
      <c r="BKY55" s="76"/>
      <c r="BKZ55" s="76"/>
      <c r="BLA55" s="76"/>
      <c r="BLB55" s="76"/>
      <c r="BLC55" s="76"/>
      <c r="BLD55" s="76"/>
      <c r="BLE55" s="76"/>
      <c r="BLF55" s="76"/>
      <c r="BLG55" s="76"/>
      <c r="BLH55" s="76"/>
      <c r="BLI55" s="76"/>
      <c r="BLJ55" s="76"/>
      <c r="BLK55" s="76"/>
      <c r="BLL55" s="76"/>
      <c r="BLM55" s="76"/>
      <c r="BLN55" s="76"/>
      <c r="BLO55" s="76"/>
      <c r="BLP55" s="76"/>
      <c r="BLQ55" s="76"/>
      <c r="BLR55" s="76"/>
      <c r="BLS55" s="76"/>
      <c r="BLT55" s="76"/>
      <c r="BLU55" s="76"/>
      <c r="BLV55" s="76"/>
      <c r="BLW55" s="76"/>
      <c r="BLX55" s="76"/>
      <c r="BLY55" s="76"/>
      <c r="BLZ55" s="76"/>
      <c r="BMA55" s="76"/>
      <c r="BMB55" s="76"/>
      <c r="BMC55" s="76"/>
      <c r="BMD55" s="76"/>
      <c r="BME55" s="76"/>
      <c r="BMF55" s="76"/>
      <c r="BMG55" s="76"/>
      <c r="BMH55" s="76"/>
      <c r="BMI55" s="76"/>
      <c r="BMJ55" s="76"/>
      <c r="BMK55" s="76"/>
      <c r="BML55" s="76"/>
      <c r="BMM55" s="76"/>
      <c r="BMN55" s="76"/>
      <c r="BMO55" s="76"/>
      <c r="BMP55" s="76"/>
      <c r="BMQ55" s="76"/>
      <c r="BMR55" s="76"/>
      <c r="BMS55" s="76"/>
      <c r="BMT55" s="76"/>
      <c r="BMU55" s="76"/>
      <c r="BMV55" s="76"/>
      <c r="BMW55" s="76"/>
      <c r="BMX55" s="76"/>
      <c r="BMY55" s="76"/>
      <c r="BMZ55" s="76"/>
      <c r="BNA55" s="76"/>
      <c r="BNB55" s="76"/>
      <c r="BNC55" s="76"/>
      <c r="BND55" s="76"/>
      <c r="BNE55" s="76"/>
      <c r="BNF55" s="76"/>
      <c r="BNG55" s="76"/>
      <c r="BNH55" s="76"/>
      <c r="BNI55" s="76"/>
      <c r="BNJ55" s="76"/>
      <c r="BNK55" s="76"/>
      <c r="BNL55" s="76"/>
      <c r="BNM55" s="76"/>
      <c r="BNN55" s="76"/>
      <c r="BNO55" s="76"/>
      <c r="BNP55" s="76"/>
      <c r="BNQ55" s="76"/>
      <c r="BNR55" s="76"/>
      <c r="BNS55" s="76"/>
      <c r="BNT55" s="76"/>
      <c r="BNU55" s="76"/>
      <c r="BNV55" s="76"/>
      <c r="BNW55" s="76"/>
      <c r="BNX55" s="76"/>
      <c r="BNY55" s="76"/>
      <c r="BNZ55" s="76"/>
      <c r="BOA55" s="76"/>
      <c r="BOB55" s="76"/>
      <c r="BOC55" s="76"/>
      <c r="BOD55" s="76"/>
      <c r="BOE55" s="76"/>
      <c r="BOF55" s="76"/>
      <c r="BOG55" s="76"/>
      <c r="BOH55" s="76"/>
      <c r="BOI55" s="76"/>
      <c r="BOJ55" s="76"/>
      <c r="BOK55" s="76"/>
      <c r="BOL55" s="76"/>
      <c r="BOM55" s="76"/>
      <c r="BON55" s="76"/>
      <c r="BOO55" s="76"/>
      <c r="BOP55" s="76"/>
      <c r="BOQ55" s="76"/>
      <c r="BOR55" s="76"/>
      <c r="BOS55" s="76"/>
      <c r="BOT55" s="76"/>
      <c r="BOU55" s="76"/>
      <c r="BOV55" s="76"/>
      <c r="BOW55" s="76"/>
      <c r="BOX55" s="76"/>
      <c r="BOY55" s="76"/>
      <c r="BOZ55" s="76"/>
      <c r="BPA55" s="76"/>
      <c r="BPB55" s="76"/>
      <c r="BPC55" s="76"/>
      <c r="BPD55" s="76"/>
      <c r="BPE55" s="76"/>
      <c r="BPF55" s="76"/>
      <c r="BPG55" s="76"/>
      <c r="BPH55" s="76"/>
      <c r="BPI55" s="76"/>
      <c r="BPJ55" s="76"/>
      <c r="BPK55" s="76"/>
      <c r="BPL55" s="76"/>
      <c r="BPM55" s="76"/>
      <c r="BPN55" s="76"/>
      <c r="BPO55" s="76"/>
      <c r="BPP55" s="76"/>
      <c r="BPQ55" s="76"/>
      <c r="BPR55" s="76"/>
      <c r="BPS55" s="76"/>
      <c r="BPT55" s="76"/>
      <c r="BPU55" s="76"/>
      <c r="BPV55" s="76"/>
      <c r="BPW55" s="76"/>
      <c r="BPX55" s="76"/>
      <c r="BPY55" s="76"/>
      <c r="BPZ55" s="76"/>
      <c r="BQA55" s="76"/>
      <c r="BQB55" s="76"/>
      <c r="BQC55" s="76"/>
      <c r="BQD55" s="76"/>
      <c r="BQE55" s="76"/>
      <c r="BQF55" s="76"/>
      <c r="BQG55" s="76"/>
      <c r="BQH55" s="76"/>
      <c r="BQI55" s="76"/>
      <c r="BQJ55" s="76"/>
      <c r="BQK55" s="76"/>
      <c r="BQL55" s="76"/>
      <c r="BQM55" s="76"/>
      <c r="BQN55" s="76"/>
      <c r="BQO55" s="76"/>
      <c r="BQP55" s="76"/>
      <c r="BQQ55" s="76"/>
      <c r="BQR55" s="76"/>
      <c r="BQS55" s="76"/>
      <c r="BQT55" s="76"/>
      <c r="BQU55" s="76"/>
      <c r="BQV55" s="76"/>
      <c r="BQW55" s="76"/>
      <c r="BQX55" s="76"/>
      <c r="BQY55" s="76"/>
      <c r="BQZ55" s="76"/>
      <c r="BRA55" s="76"/>
      <c r="BRB55" s="76"/>
      <c r="BRC55" s="76"/>
      <c r="BRD55" s="76"/>
      <c r="BRE55" s="76"/>
      <c r="BRF55" s="76"/>
      <c r="BRG55" s="76"/>
      <c r="BRH55" s="76"/>
      <c r="BRI55" s="76"/>
      <c r="BRJ55" s="76"/>
      <c r="BRK55" s="76"/>
      <c r="BRL55" s="76"/>
      <c r="BRM55" s="76"/>
      <c r="BRN55" s="76"/>
      <c r="BRO55" s="76"/>
      <c r="BRP55" s="76"/>
      <c r="BRQ55" s="76"/>
      <c r="BRR55" s="76"/>
      <c r="BRS55" s="76"/>
      <c r="BRT55" s="76"/>
      <c r="BRU55" s="76"/>
      <c r="BRV55" s="76"/>
      <c r="BRW55" s="76"/>
      <c r="BRX55" s="76"/>
      <c r="BRY55" s="76"/>
      <c r="BRZ55" s="76"/>
      <c r="BSA55" s="76"/>
      <c r="BSB55" s="76"/>
      <c r="BSC55" s="76"/>
      <c r="BSD55" s="76"/>
      <c r="BSE55" s="76"/>
      <c r="BSF55" s="76"/>
      <c r="BSG55" s="76"/>
      <c r="BSH55" s="76"/>
      <c r="BSI55" s="76"/>
      <c r="BSJ55" s="76"/>
      <c r="BSK55" s="76"/>
      <c r="BSL55" s="76"/>
      <c r="BSM55" s="76"/>
      <c r="BSN55" s="76"/>
      <c r="BSO55" s="76"/>
      <c r="BSP55" s="76"/>
      <c r="BSQ55" s="76"/>
      <c r="BSR55" s="76"/>
      <c r="BSS55" s="76"/>
      <c r="BST55" s="76"/>
      <c r="BSU55" s="76"/>
      <c r="BSV55" s="76"/>
      <c r="BSW55" s="76"/>
      <c r="BSX55" s="76"/>
      <c r="BSY55" s="76"/>
      <c r="BSZ55" s="76"/>
      <c r="BTA55" s="76"/>
      <c r="BTB55" s="76"/>
      <c r="BTC55" s="76"/>
      <c r="BTD55" s="76"/>
      <c r="BTE55" s="76"/>
      <c r="BTF55" s="76"/>
      <c r="BTG55" s="76"/>
      <c r="BTH55" s="76"/>
      <c r="BTI55" s="76"/>
      <c r="BTJ55" s="76"/>
      <c r="BTK55" s="76"/>
      <c r="BTL55" s="76"/>
      <c r="BTM55" s="76"/>
      <c r="BTN55" s="76"/>
      <c r="BTO55" s="76"/>
      <c r="BTP55" s="76"/>
      <c r="BTQ55" s="76"/>
      <c r="BTR55" s="76"/>
      <c r="BTS55" s="76"/>
      <c r="BTT55" s="76"/>
      <c r="BTU55" s="76"/>
      <c r="BTV55" s="76"/>
      <c r="BTW55" s="76"/>
      <c r="BTX55" s="76"/>
      <c r="BTY55" s="76"/>
      <c r="BTZ55" s="76"/>
      <c r="BUA55" s="76"/>
      <c r="BUB55" s="76"/>
      <c r="BUC55" s="76"/>
      <c r="BUD55" s="76"/>
      <c r="BUE55" s="76"/>
      <c r="BUF55" s="76"/>
      <c r="BUG55" s="76"/>
      <c r="BUH55" s="76"/>
      <c r="BUI55" s="76"/>
      <c r="BUJ55" s="76"/>
      <c r="BUK55" s="76"/>
      <c r="BUL55" s="76"/>
      <c r="BUM55" s="76"/>
      <c r="BUN55" s="76"/>
      <c r="BUO55" s="76"/>
      <c r="BUP55" s="76"/>
      <c r="BUQ55" s="76"/>
      <c r="BUR55" s="76"/>
      <c r="BUS55" s="76"/>
      <c r="BUT55" s="76"/>
      <c r="BUU55" s="76"/>
      <c r="BUV55" s="76"/>
      <c r="BUW55" s="76"/>
      <c r="BUX55" s="76"/>
      <c r="BUY55" s="76"/>
      <c r="BUZ55" s="76"/>
      <c r="BVA55" s="76"/>
      <c r="BVB55" s="76"/>
      <c r="BVC55" s="76"/>
      <c r="BVD55" s="76"/>
      <c r="BVE55" s="76"/>
      <c r="BVF55" s="76"/>
      <c r="BVG55" s="76"/>
      <c r="BVH55" s="76"/>
      <c r="BVI55" s="76"/>
      <c r="BVJ55" s="76"/>
      <c r="BVK55" s="76"/>
      <c r="BVL55" s="76"/>
      <c r="BVM55" s="76"/>
      <c r="BVN55" s="76"/>
      <c r="BVO55" s="76"/>
      <c r="BVP55" s="76"/>
      <c r="BVQ55" s="76"/>
      <c r="BVR55" s="76"/>
      <c r="BVS55" s="76"/>
      <c r="BVT55" s="76"/>
      <c r="BVU55" s="76"/>
      <c r="BVV55" s="76"/>
      <c r="BVW55" s="76"/>
      <c r="BVX55" s="76"/>
      <c r="BVY55" s="76"/>
      <c r="BVZ55" s="76"/>
      <c r="BWA55" s="76"/>
      <c r="BWB55" s="76"/>
      <c r="BWC55" s="76"/>
      <c r="BWD55" s="76"/>
      <c r="BWE55" s="76"/>
      <c r="BWF55" s="76"/>
      <c r="BWG55" s="76"/>
      <c r="BWH55" s="76"/>
      <c r="BWI55" s="76"/>
      <c r="BWJ55" s="76"/>
      <c r="BWK55" s="76"/>
      <c r="BWL55" s="76"/>
      <c r="BWM55" s="76"/>
      <c r="BWN55" s="76"/>
      <c r="BWO55" s="76"/>
      <c r="BWP55" s="76"/>
      <c r="BWQ55" s="76"/>
      <c r="BWR55" s="76"/>
      <c r="BWS55" s="76"/>
      <c r="BWT55" s="76"/>
      <c r="BWU55" s="76"/>
      <c r="BWV55" s="76"/>
      <c r="BWW55" s="76"/>
      <c r="BWX55" s="76"/>
      <c r="BWY55" s="76"/>
      <c r="BWZ55" s="76"/>
      <c r="BXA55" s="76"/>
      <c r="BXB55" s="76"/>
      <c r="BXC55" s="76"/>
      <c r="BXD55" s="76"/>
      <c r="BXE55" s="76"/>
      <c r="BXF55" s="76"/>
      <c r="BXG55" s="76"/>
      <c r="BXH55" s="76"/>
      <c r="BXI55" s="76"/>
      <c r="BXJ55" s="76"/>
      <c r="BXK55" s="76"/>
      <c r="BXL55" s="76"/>
      <c r="BXM55" s="76"/>
      <c r="BXN55" s="76"/>
      <c r="BXO55" s="76"/>
      <c r="BXP55" s="76"/>
      <c r="BXQ55" s="76"/>
      <c r="BXR55" s="76"/>
      <c r="BXS55" s="76"/>
      <c r="BXT55" s="76"/>
      <c r="BXU55" s="76"/>
      <c r="BXV55" s="76"/>
      <c r="BXW55" s="76"/>
      <c r="BXX55" s="76"/>
      <c r="BXY55" s="76"/>
      <c r="BXZ55" s="76"/>
      <c r="BYA55" s="76"/>
      <c r="BYB55" s="76"/>
      <c r="BYC55" s="76"/>
      <c r="BYD55" s="76"/>
      <c r="BYE55" s="76"/>
      <c r="BYF55" s="76"/>
      <c r="BYG55" s="76"/>
      <c r="BYH55" s="76"/>
      <c r="BYI55" s="76"/>
      <c r="BYJ55" s="76"/>
      <c r="BYK55" s="76"/>
      <c r="BYL55" s="76"/>
      <c r="BYM55" s="76"/>
      <c r="BYN55" s="76"/>
      <c r="BYO55" s="76"/>
      <c r="BYP55" s="76"/>
      <c r="BYQ55" s="76"/>
      <c r="BYR55" s="76"/>
      <c r="BYS55" s="76"/>
      <c r="BYT55" s="76"/>
      <c r="BYU55" s="76"/>
      <c r="BYV55" s="76"/>
      <c r="BYW55" s="76"/>
      <c r="BYX55" s="76"/>
      <c r="BYY55" s="76"/>
      <c r="BYZ55" s="76"/>
      <c r="BZA55" s="76"/>
      <c r="BZB55" s="76"/>
      <c r="BZC55" s="76"/>
      <c r="BZD55" s="76"/>
      <c r="BZE55" s="76"/>
      <c r="BZF55" s="76"/>
      <c r="BZG55" s="76"/>
      <c r="BZH55" s="76"/>
      <c r="BZI55" s="76"/>
      <c r="BZJ55" s="76"/>
      <c r="BZK55" s="76"/>
      <c r="BZL55" s="76"/>
      <c r="BZM55" s="76"/>
      <c r="BZN55" s="76"/>
      <c r="BZO55" s="76"/>
      <c r="BZP55" s="76"/>
      <c r="BZQ55" s="76"/>
      <c r="BZR55" s="76"/>
      <c r="BZS55" s="76"/>
      <c r="BZT55" s="76"/>
      <c r="BZU55" s="76"/>
      <c r="BZV55" s="76"/>
      <c r="BZW55" s="76"/>
      <c r="BZX55" s="76"/>
      <c r="BZY55" s="76"/>
      <c r="BZZ55" s="76"/>
      <c r="CAA55" s="76"/>
      <c r="CAB55" s="76"/>
      <c r="CAC55" s="76"/>
      <c r="CAD55" s="76"/>
      <c r="CAE55" s="76"/>
      <c r="CAF55" s="76"/>
      <c r="CAG55" s="76"/>
      <c r="CAH55" s="76"/>
      <c r="CAI55" s="76"/>
      <c r="CAJ55" s="76"/>
      <c r="CAK55" s="76"/>
      <c r="CAL55" s="76"/>
      <c r="CAM55" s="76"/>
      <c r="CAN55" s="76"/>
      <c r="CAO55" s="76"/>
      <c r="CAP55" s="76"/>
      <c r="CAQ55" s="76"/>
      <c r="CAR55" s="76"/>
      <c r="CAS55" s="76"/>
      <c r="CAT55" s="76"/>
      <c r="CAU55" s="76"/>
      <c r="CAV55" s="76"/>
      <c r="CAW55" s="76"/>
      <c r="CAX55" s="76"/>
      <c r="CAY55" s="76"/>
      <c r="CAZ55" s="76"/>
      <c r="CBA55" s="76"/>
      <c r="CBB55" s="76"/>
      <c r="CBC55" s="76"/>
      <c r="CBD55" s="76"/>
      <c r="CBE55" s="76"/>
      <c r="CBF55" s="76"/>
      <c r="CBG55" s="76"/>
      <c r="CBH55" s="76"/>
      <c r="CBI55" s="76"/>
      <c r="CBJ55" s="76"/>
      <c r="CBK55" s="76"/>
      <c r="CBL55" s="76"/>
      <c r="CBM55" s="76"/>
      <c r="CBN55" s="76"/>
      <c r="CBO55" s="76"/>
      <c r="CBP55" s="76"/>
      <c r="CBQ55" s="76"/>
      <c r="CBR55" s="76"/>
      <c r="CBS55" s="76"/>
      <c r="CBT55" s="76"/>
      <c r="CBU55" s="76"/>
      <c r="CBV55" s="76"/>
      <c r="CBW55" s="76"/>
      <c r="CBX55" s="76"/>
      <c r="CBY55" s="76"/>
      <c r="CBZ55" s="76"/>
      <c r="CCA55" s="76"/>
      <c r="CCB55" s="76"/>
      <c r="CCC55" s="76"/>
      <c r="CCD55" s="76"/>
      <c r="CCE55" s="76"/>
      <c r="CCF55" s="76"/>
      <c r="CCG55" s="76"/>
      <c r="CCH55" s="76"/>
      <c r="CCI55" s="76"/>
      <c r="CCJ55" s="76"/>
      <c r="CCK55" s="76"/>
      <c r="CCL55" s="76"/>
      <c r="CCM55" s="76"/>
      <c r="CCN55" s="76"/>
      <c r="CCO55" s="76"/>
      <c r="CCP55" s="76"/>
      <c r="CCQ55" s="76"/>
      <c r="CCR55" s="76"/>
      <c r="CCS55" s="76"/>
      <c r="CCT55" s="76"/>
      <c r="CCU55" s="76"/>
      <c r="CCV55" s="76"/>
      <c r="CCW55" s="76"/>
      <c r="CCX55" s="76"/>
      <c r="CCY55" s="76"/>
      <c r="CCZ55" s="76"/>
      <c r="CDA55" s="76"/>
      <c r="CDB55" s="76"/>
      <c r="CDC55" s="76"/>
      <c r="CDD55" s="76"/>
      <c r="CDE55" s="76"/>
      <c r="CDF55" s="76"/>
      <c r="CDG55" s="76"/>
      <c r="CDH55" s="76"/>
      <c r="CDI55" s="76"/>
      <c r="CDJ55" s="76"/>
      <c r="CDK55" s="76"/>
      <c r="CDL55" s="76"/>
      <c r="CDM55" s="76"/>
      <c r="CDN55" s="76"/>
      <c r="CDO55" s="76"/>
      <c r="CDP55" s="76"/>
      <c r="CDQ55" s="76"/>
      <c r="CDR55" s="76"/>
      <c r="CDS55" s="76"/>
      <c r="CDT55" s="76"/>
      <c r="CDU55" s="76"/>
      <c r="CDV55" s="76"/>
      <c r="CDW55" s="76"/>
      <c r="CDX55" s="76"/>
      <c r="CDY55" s="76"/>
      <c r="CDZ55" s="76"/>
      <c r="CEA55" s="76"/>
      <c r="CEB55" s="76"/>
      <c r="CEC55" s="76"/>
      <c r="CED55" s="76"/>
      <c r="CEE55" s="76"/>
      <c r="CEF55" s="76"/>
      <c r="CEG55" s="76"/>
      <c r="CEH55" s="76"/>
      <c r="CEI55" s="76"/>
      <c r="CEJ55" s="76"/>
      <c r="CEK55" s="76"/>
      <c r="CEL55" s="76"/>
      <c r="CEM55" s="76"/>
      <c r="CEN55" s="76"/>
      <c r="CEO55" s="76"/>
      <c r="CEP55" s="76"/>
      <c r="CEQ55" s="76"/>
      <c r="CER55" s="76"/>
      <c r="CES55" s="76"/>
      <c r="CET55" s="76"/>
      <c r="CEU55" s="76"/>
      <c r="CEV55" s="76"/>
      <c r="CEW55" s="76"/>
      <c r="CEX55" s="76"/>
      <c r="CEY55" s="76"/>
      <c r="CEZ55" s="76"/>
      <c r="CFA55" s="76"/>
      <c r="CFB55" s="76"/>
      <c r="CFC55" s="76"/>
      <c r="CFD55" s="76"/>
      <c r="CFE55" s="76"/>
      <c r="CFF55" s="76"/>
      <c r="CFG55" s="76"/>
      <c r="CFH55" s="76"/>
      <c r="CFI55" s="76"/>
      <c r="CFJ55" s="76"/>
      <c r="CFK55" s="76"/>
      <c r="CFL55" s="76"/>
      <c r="CFM55" s="76"/>
      <c r="CFN55" s="76"/>
      <c r="CFO55" s="76"/>
      <c r="CFP55" s="76"/>
      <c r="CFQ55" s="76"/>
      <c r="CFR55" s="76"/>
      <c r="CFS55" s="76"/>
      <c r="CFT55" s="76"/>
      <c r="CFU55" s="76"/>
      <c r="CFV55" s="76"/>
      <c r="CFW55" s="76"/>
      <c r="CFX55" s="76"/>
      <c r="CFY55" s="76"/>
      <c r="CFZ55" s="76"/>
      <c r="CGA55" s="76"/>
      <c r="CGB55" s="76"/>
      <c r="CGC55" s="76"/>
      <c r="CGD55" s="76"/>
      <c r="CGE55" s="76"/>
      <c r="CGF55" s="76"/>
      <c r="CGG55" s="76"/>
      <c r="CGH55" s="76"/>
      <c r="CGI55" s="76"/>
      <c r="CGJ55" s="76"/>
      <c r="CGK55" s="76"/>
      <c r="CGL55" s="76"/>
      <c r="CGM55" s="76"/>
      <c r="CGN55" s="76"/>
      <c r="CGO55" s="76"/>
      <c r="CGP55" s="76"/>
      <c r="CGQ55" s="76"/>
      <c r="CGR55" s="76"/>
      <c r="CGS55" s="76"/>
      <c r="CGT55" s="76"/>
      <c r="CGU55" s="76"/>
      <c r="CGV55" s="76"/>
      <c r="CGW55" s="76"/>
      <c r="CGX55" s="76"/>
      <c r="CGY55" s="76"/>
      <c r="CGZ55" s="76"/>
      <c r="CHA55" s="76"/>
      <c r="CHB55" s="76"/>
      <c r="CHC55" s="76"/>
      <c r="CHD55" s="76"/>
      <c r="CHE55" s="76"/>
      <c r="CHF55" s="76"/>
      <c r="CHG55" s="76"/>
      <c r="CHH55" s="76"/>
      <c r="CHI55" s="76"/>
      <c r="CHJ55" s="76"/>
      <c r="CHK55" s="76"/>
      <c r="CHL55" s="76"/>
      <c r="CHM55" s="76"/>
      <c r="CHN55" s="76"/>
      <c r="CHO55" s="76"/>
      <c r="CHP55" s="76"/>
      <c r="CHQ55" s="76"/>
      <c r="CHR55" s="76"/>
      <c r="CHS55" s="76"/>
      <c r="CHT55" s="76"/>
      <c r="CHU55" s="76"/>
      <c r="CHV55" s="76"/>
      <c r="CHW55" s="76"/>
      <c r="CHX55" s="76"/>
      <c r="CHY55" s="76"/>
      <c r="CHZ55" s="76"/>
      <c r="CIA55" s="76"/>
      <c r="CIB55" s="76"/>
      <c r="CIC55" s="76"/>
      <c r="CID55" s="76"/>
      <c r="CIE55" s="76"/>
      <c r="CIF55" s="76"/>
      <c r="CIG55" s="76"/>
      <c r="CIH55" s="76"/>
      <c r="CII55" s="76"/>
      <c r="CIJ55" s="76"/>
      <c r="CIK55" s="76"/>
      <c r="CIL55" s="76"/>
      <c r="CIM55" s="76"/>
      <c r="CIN55" s="76"/>
      <c r="CIO55" s="76"/>
      <c r="CIP55" s="76"/>
      <c r="CIQ55" s="76"/>
      <c r="CIR55" s="76"/>
      <c r="CIS55" s="76"/>
      <c r="CIT55" s="76"/>
      <c r="CIU55" s="76"/>
      <c r="CIV55" s="76"/>
      <c r="CIW55" s="76"/>
      <c r="CIX55" s="76"/>
      <c r="CIY55" s="76"/>
      <c r="CIZ55" s="76"/>
      <c r="CJA55" s="76"/>
      <c r="CJB55" s="76"/>
      <c r="CJC55" s="76"/>
      <c r="CJD55" s="76"/>
      <c r="CJE55" s="76"/>
      <c r="CJF55" s="76"/>
      <c r="CJG55" s="76"/>
      <c r="CJH55" s="76"/>
      <c r="CJI55" s="76"/>
      <c r="CJJ55" s="76"/>
      <c r="CJK55" s="76"/>
      <c r="CJL55" s="76"/>
      <c r="CJM55" s="76"/>
      <c r="CJN55" s="76"/>
      <c r="CJO55" s="76"/>
      <c r="CJP55" s="76"/>
      <c r="CJQ55" s="76"/>
      <c r="CJR55" s="76"/>
      <c r="CJS55" s="76"/>
      <c r="CJT55" s="76"/>
      <c r="CJU55" s="76"/>
      <c r="CJV55" s="76"/>
      <c r="CJW55" s="76"/>
      <c r="CJX55" s="76"/>
      <c r="CJY55" s="76"/>
      <c r="CJZ55" s="76"/>
      <c r="CKA55" s="76"/>
      <c r="CKB55" s="76"/>
      <c r="CKC55" s="76"/>
      <c r="CKD55" s="76"/>
      <c r="CKE55" s="76"/>
      <c r="CKF55" s="76"/>
      <c r="CKG55" s="76"/>
      <c r="CKH55" s="76"/>
      <c r="CKI55" s="76"/>
      <c r="CKJ55" s="76"/>
      <c r="CKK55" s="76"/>
      <c r="CKL55" s="76"/>
      <c r="CKM55" s="76"/>
      <c r="CKN55" s="76"/>
      <c r="CKO55" s="76"/>
      <c r="CKP55" s="76"/>
      <c r="CKQ55" s="76"/>
      <c r="CKR55" s="76"/>
      <c r="CKS55" s="76"/>
      <c r="CKT55" s="76"/>
      <c r="CKU55" s="76"/>
      <c r="CKV55" s="76"/>
      <c r="CKW55" s="76"/>
      <c r="CKX55" s="76"/>
      <c r="CKY55" s="76"/>
      <c r="CKZ55" s="76"/>
      <c r="CLA55" s="76"/>
      <c r="CLB55" s="76"/>
      <c r="CLC55" s="76"/>
      <c r="CLD55" s="76"/>
      <c r="CLE55" s="76"/>
      <c r="CLF55" s="76"/>
      <c r="CLG55" s="76"/>
      <c r="CLH55" s="76"/>
      <c r="CLI55" s="76"/>
      <c r="CLJ55" s="76"/>
      <c r="CLK55" s="76"/>
      <c r="CLL55" s="76"/>
      <c r="CLM55" s="76"/>
      <c r="CLN55" s="76"/>
      <c r="CLO55" s="76"/>
      <c r="CLP55" s="76"/>
      <c r="CLQ55" s="76"/>
      <c r="CLR55" s="76"/>
      <c r="CLS55" s="76"/>
      <c r="CLT55" s="76"/>
      <c r="CLU55" s="76"/>
      <c r="CLV55" s="76"/>
      <c r="CLW55" s="76"/>
      <c r="CLX55" s="76"/>
      <c r="CLY55" s="76"/>
      <c r="CLZ55" s="76"/>
      <c r="CMA55" s="76"/>
      <c r="CMB55" s="76"/>
      <c r="CMC55" s="76"/>
      <c r="CMD55" s="76"/>
      <c r="CME55" s="76"/>
      <c r="CMF55" s="76"/>
      <c r="CMG55" s="76"/>
      <c r="CMH55" s="76"/>
      <c r="CMI55" s="76"/>
      <c r="CMJ55" s="76"/>
      <c r="CMK55" s="76"/>
      <c r="CML55" s="76"/>
      <c r="CMM55" s="76"/>
      <c r="CMN55" s="76"/>
      <c r="CMO55" s="76"/>
      <c r="CMP55" s="76"/>
      <c r="CMQ55" s="76"/>
      <c r="CMR55" s="76"/>
      <c r="CMS55" s="76"/>
      <c r="CMT55" s="76"/>
      <c r="CMU55" s="76"/>
      <c r="CMV55" s="76"/>
      <c r="CMW55" s="76"/>
      <c r="CMX55" s="76"/>
      <c r="CMY55" s="76"/>
      <c r="CMZ55" s="76"/>
      <c r="CNA55" s="76"/>
      <c r="CNB55" s="76"/>
      <c r="CNC55" s="76"/>
      <c r="CND55" s="76"/>
      <c r="CNE55" s="76"/>
      <c r="CNF55" s="76"/>
      <c r="CNG55" s="76"/>
      <c r="CNH55" s="76"/>
      <c r="CNI55" s="76"/>
      <c r="CNJ55" s="76"/>
      <c r="CNK55" s="76"/>
      <c r="CNL55" s="76"/>
      <c r="CNM55" s="76"/>
      <c r="CNN55" s="76"/>
      <c r="CNO55" s="76"/>
      <c r="CNP55" s="76"/>
      <c r="CNQ55" s="76"/>
      <c r="CNR55" s="76"/>
      <c r="CNS55" s="76"/>
      <c r="CNT55" s="76"/>
      <c r="CNU55" s="76"/>
      <c r="CNV55" s="76"/>
      <c r="CNW55" s="76"/>
      <c r="CNX55" s="76"/>
      <c r="CNY55" s="76"/>
      <c r="CNZ55" s="76"/>
      <c r="COA55" s="76"/>
      <c r="COB55" s="76"/>
      <c r="COC55" s="76"/>
      <c r="COD55" s="76"/>
      <c r="COE55" s="76"/>
      <c r="COF55" s="76"/>
      <c r="COG55" s="76"/>
      <c r="COH55" s="76"/>
      <c r="COI55" s="76"/>
      <c r="COJ55" s="76"/>
      <c r="COK55" s="76"/>
      <c r="COL55" s="76"/>
      <c r="COM55" s="76"/>
      <c r="CON55" s="76"/>
      <c r="COO55" s="76"/>
      <c r="COP55" s="76"/>
      <c r="COQ55" s="76"/>
      <c r="COR55" s="76"/>
      <c r="COS55" s="76"/>
      <c r="COT55" s="76"/>
      <c r="COU55" s="76"/>
      <c r="COV55" s="76"/>
      <c r="COW55" s="76"/>
      <c r="COX55" s="76"/>
      <c r="COY55" s="76"/>
      <c r="COZ55" s="76"/>
      <c r="CPA55" s="76"/>
      <c r="CPB55" s="76"/>
      <c r="CPC55" s="76"/>
      <c r="CPD55" s="76"/>
      <c r="CPE55" s="76"/>
      <c r="CPF55" s="76"/>
      <c r="CPG55" s="76"/>
      <c r="CPH55" s="76"/>
      <c r="CPI55" s="76"/>
      <c r="CPJ55" s="76"/>
      <c r="CPK55" s="76"/>
      <c r="CPL55" s="76"/>
      <c r="CPM55" s="76"/>
      <c r="CPN55" s="76"/>
      <c r="CPO55" s="76"/>
      <c r="CPP55" s="76"/>
      <c r="CPQ55" s="76"/>
      <c r="CPR55" s="76"/>
      <c r="CPS55" s="76"/>
      <c r="CPT55" s="76"/>
      <c r="CPU55" s="76"/>
      <c r="CPV55" s="76"/>
      <c r="CPW55" s="76"/>
      <c r="CPX55" s="76"/>
      <c r="CPY55" s="76"/>
      <c r="CPZ55" s="76"/>
      <c r="CQA55" s="76"/>
      <c r="CQB55" s="76"/>
      <c r="CQC55" s="76"/>
      <c r="CQD55" s="76"/>
      <c r="CQE55" s="76"/>
      <c r="CQF55" s="76"/>
      <c r="CQG55" s="76"/>
      <c r="CQH55" s="76"/>
      <c r="CQI55" s="76"/>
      <c r="CQJ55" s="76"/>
      <c r="CQK55" s="76"/>
      <c r="CQL55" s="76"/>
      <c r="CQM55" s="76"/>
      <c r="CQN55" s="76"/>
      <c r="CQO55" s="76"/>
      <c r="CQP55" s="76"/>
      <c r="CQQ55" s="76"/>
      <c r="CQR55" s="76"/>
      <c r="CQS55" s="76"/>
      <c r="CQT55" s="76"/>
      <c r="CQU55" s="76"/>
      <c r="CQV55" s="76"/>
      <c r="CQW55" s="76"/>
      <c r="CQX55" s="76"/>
      <c r="CQY55" s="76"/>
      <c r="CQZ55" s="76"/>
      <c r="CRA55" s="76"/>
      <c r="CRB55" s="76"/>
      <c r="CRC55" s="76"/>
      <c r="CRD55" s="76"/>
      <c r="CRE55" s="76"/>
      <c r="CRF55" s="76"/>
      <c r="CRG55" s="76"/>
      <c r="CRH55" s="76"/>
      <c r="CRI55" s="76"/>
      <c r="CRJ55" s="76"/>
      <c r="CRK55" s="76"/>
      <c r="CRL55" s="76"/>
      <c r="CRM55" s="76"/>
      <c r="CRN55" s="76"/>
      <c r="CRO55" s="76"/>
      <c r="CRP55" s="76"/>
      <c r="CRQ55" s="76"/>
      <c r="CRR55" s="76"/>
      <c r="CRS55" s="76"/>
      <c r="CRT55" s="76"/>
      <c r="CRU55" s="76"/>
      <c r="CRV55" s="76"/>
      <c r="CRW55" s="76"/>
      <c r="CRX55" s="76"/>
      <c r="CRY55" s="76"/>
      <c r="CRZ55" s="76"/>
      <c r="CSA55" s="76"/>
      <c r="CSB55" s="76"/>
      <c r="CSC55" s="76"/>
      <c r="CSD55" s="76"/>
      <c r="CSE55" s="76"/>
      <c r="CSF55" s="76"/>
      <c r="CSG55" s="76"/>
      <c r="CSH55" s="76"/>
      <c r="CSI55" s="76"/>
      <c r="CSJ55" s="76"/>
      <c r="CSK55" s="76"/>
      <c r="CSL55" s="76"/>
      <c r="CSM55" s="76"/>
      <c r="CSN55" s="76"/>
      <c r="CSO55" s="76"/>
      <c r="CSP55" s="76"/>
      <c r="CSQ55" s="76"/>
      <c r="CSR55" s="76"/>
      <c r="CSS55" s="76"/>
      <c r="CST55" s="76"/>
      <c r="CSU55" s="76"/>
      <c r="CSV55" s="76"/>
      <c r="CSW55" s="76"/>
      <c r="CSX55" s="76"/>
      <c r="CSY55" s="76"/>
      <c r="CSZ55" s="76"/>
      <c r="CTA55" s="76"/>
      <c r="CTB55" s="76"/>
      <c r="CTC55" s="76"/>
      <c r="CTD55" s="76"/>
      <c r="CTE55" s="76"/>
      <c r="CTF55" s="76"/>
      <c r="CTG55" s="76"/>
      <c r="CTH55" s="76"/>
      <c r="CTI55" s="76"/>
      <c r="CTJ55" s="76"/>
      <c r="CTK55" s="76"/>
      <c r="CTL55" s="76"/>
      <c r="CTM55" s="76"/>
      <c r="CTN55" s="76"/>
      <c r="CTO55" s="76"/>
      <c r="CTP55" s="76"/>
      <c r="CTQ55" s="76"/>
      <c r="CTR55" s="76"/>
      <c r="CTS55" s="76"/>
      <c r="CTT55" s="76"/>
      <c r="CTU55" s="76"/>
      <c r="CTV55" s="76"/>
      <c r="CTW55" s="76"/>
      <c r="CTX55" s="76"/>
      <c r="CTY55" s="76"/>
      <c r="CTZ55" s="76"/>
      <c r="CUA55" s="76"/>
      <c r="CUB55" s="76"/>
      <c r="CUC55" s="76"/>
      <c r="CUD55" s="76"/>
      <c r="CUE55" s="76"/>
      <c r="CUF55" s="76"/>
      <c r="CUG55" s="76"/>
      <c r="CUH55" s="76"/>
      <c r="CUI55" s="76"/>
      <c r="CUJ55" s="76"/>
      <c r="CUK55" s="76"/>
      <c r="CUL55" s="76"/>
      <c r="CUM55" s="76"/>
      <c r="CUN55" s="76"/>
      <c r="CUO55" s="76"/>
      <c r="CUP55" s="76"/>
      <c r="CUQ55" s="76"/>
      <c r="CUR55" s="76"/>
      <c r="CUS55" s="76"/>
      <c r="CUT55" s="76"/>
      <c r="CUU55" s="76"/>
      <c r="CUV55" s="76"/>
      <c r="CUW55" s="76"/>
      <c r="CUX55" s="76"/>
      <c r="CUY55" s="76"/>
      <c r="CUZ55" s="76"/>
      <c r="CVA55" s="76"/>
      <c r="CVB55" s="76"/>
      <c r="CVC55" s="76"/>
      <c r="CVD55" s="76"/>
      <c r="CVE55" s="76"/>
      <c r="CVF55" s="76"/>
      <c r="CVG55" s="76"/>
      <c r="CVH55" s="76"/>
      <c r="CVI55" s="76"/>
      <c r="CVJ55" s="76"/>
      <c r="CVK55" s="76"/>
      <c r="CVL55" s="76"/>
      <c r="CVM55" s="76"/>
      <c r="CVN55" s="76"/>
      <c r="CVO55" s="76"/>
      <c r="CVP55" s="76"/>
      <c r="CVQ55" s="76"/>
      <c r="CVR55" s="76"/>
      <c r="CVS55" s="76"/>
      <c r="CVT55" s="76"/>
      <c r="CVU55" s="76"/>
      <c r="CVV55" s="76"/>
      <c r="CVW55" s="76"/>
      <c r="CVX55" s="76"/>
      <c r="CVY55" s="76"/>
      <c r="CVZ55" s="76"/>
      <c r="CWA55" s="76"/>
      <c r="CWB55" s="76"/>
      <c r="CWC55" s="76"/>
      <c r="CWD55" s="76"/>
      <c r="CWE55" s="76"/>
      <c r="CWF55" s="76"/>
      <c r="CWG55" s="76"/>
      <c r="CWH55" s="76"/>
      <c r="CWI55" s="76"/>
      <c r="CWJ55" s="76"/>
      <c r="CWK55" s="76"/>
      <c r="CWL55" s="76"/>
      <c r="CWM55" s="76"/>
      <c r="CWN55" s="76"/>
      <c r="CWO55" s="76"/>
      <c r="CWP55" s="76"/>
      <c r="CWQ55" s="76"/>
      <c r="CWR55" s="76"/>
      <c r="CWS55" s="76"/>
      <c r="CWT55" s="76"/>
      <c r="CWU55" s="76"/>
      <c r="CWV55" s="76"/>
      <c r="CWW55" s="76"/>
      <c r="CWX55" s="76"/>
      <c r="CWY55" s="76"/>
      <c r="CWZ55" s="76"/>
      <c r="CXA55" s="76"/>
      <c r="CXB55" s="76"/>
      <c r="CXC55" s="76"/>
      <c r="CXD55" s="76"/>
      <c r="CXE55" s="76"/>
      <c r="CXF55" s="76"/>
      <c r="CXG55" s="76"/>
      <c r="CXH55" s="76"/>
      <c r="CXI55" s="76"/>
      <c r="CXJ55" s="76"/>
      <c r="CXK55" s="76"/>
      <c r="CXL55" s="76"/>
      <c r="CXM55" s="76"/>
      <c r="CXN55" s="76"/>
      <c r="CXO55" s="76"/>
      <c r="CXP55" s="76"/>
      <c r="CXQ55" s="76"/>
      <c r="CXR55" s="76"/>
      <c r="CXS55" s="76"/>
      <c r="CXT55" s="76"/>
      <c r="CXU55" s="76"/>
      <c r="CXV55" s="76"/>
      <c r="CXW55" s="76"/>
      <c r="CXX55" s="76"/>
      <c r="CXY55" s="76"/>
      <c r="CXZ55" s="76"/>
      <c r="CYA55" s="76"/>
      <c r="CYB55" s="76"/>
      <c r="CYC55" s="76"/>
      <c r="CYD55" s="76"/>
      <c r="CYE55" s="76"/>
      <c r="CYF55" s="76"/>
      <c r="CYG55" s="76"/>
      <c r="CYH55" s="76"/>
      <c r="CYI55" s="76"/>
      <c r="CYJ55" s="76"/>
      <c r="CYK55" s="76"/>
      <c r="CYL55" s="76"/>
      <c r="CYM55" s="76"/>
      <c r="CYN55" s="76"/>
      <c r="CYO55" s="76"/>
      <c r="CYP55" s="76"/>
      <c r="CYQ55" s="76"/>
      <c r="CYR55" s="76"/>
      <c r="CYS55" s="76"/>
      <c r="CYT55" s="76"/>
      <c r="CYU55" s="76"/>
      <c r="CYV55" s="76"/>
      <c r="CYW55" s="76"/>
      <c r="CYX55" s="76"/>
      <c r="CYY55" s="76"/>
      <c r="CYZ55" s="76"/>
      <c r="CZA55" s="76"/>
      <c r="CZB55" s="76"/>
      <c r="CZC55" s="76"/>
      <c r="CZD55" s="76"/>
      <c r="CZE55" s="76"/>
      <c r="CZF55" s="76"/>
      <c r="CZG55" s="76"/>
      <c r="CZH55" s="76"/>
      <c r="CZI55" s="76"/>
      <c r="CZJ55" s="76"/>
      <c r="CZK55" s="76"/>
      <c r="CZL55" s="76"/>
      <c r="CZM55" s="76"/>
      <c r="CZN55" s="76"/>
      <c r="CZO55" s="76"/>
      <c r="CZP55" s="76"/>
      <c r="CZQ55" s="76"/>
      <c r="CZR55" s="76"/>
      <c r="CZS55" s="76"/>
      <c r="CZT55" s="76"/>
      <c r="CZU55" s="76"/>
      <c r="CZV55" s="76"/>
      <c r="CZW55" s="76"/>
      <c r="CZX55" s="76"/>
      <c r="CZY55" s="76"/>
      <c r="CZZ55" s="76"/>
      <c r="DAA55" s="76"/>
      <c r="DAB55" s="76"/>
      <c r="DAC55" s="76"/>
      <c r="DAD55" s="76"/>
      <c r="DAE55" s="76"/>
      <c r="DAF55" s="76"/>
      <c r="DAG55" s="76"/>
      <c r="DAH55" s="76"/>
      <c r="DAI55" s="76"/>
      <c r="DAJ55" s="76"/>
      <c r="DAK55" s="76"/>
      <c r="DAL55" s="76"/>
      <c r="DAM55" s="76"/>
      <c r="DAN55" s="76"/>
      <c r="DAO55" s="76"/>
      <c r="DAP55" s="76"/>
      <c r="DAQ55" s="76"/>
      <c r="DAR55" s="76"/>
      <c r="DAS55" s="76"/>
      <c r="DAT55" s="76"/>
      <c r="DAU55" s="76"/>
      <c r="DAV55" s="76"/>
      <c r="DAW55" s="76"/>
      <c r="DAX55" s="76"/>
      <c r="DAY55" s="76"/>
      <c r="DAZ55" s="76"/>
      <c r="DBA55" s="76"/>
      <c r="DBB55" s="76"/>
      <c r="DBC55" s="76"/>
      <c r="DBD55" s="76"/>
      <c r="DBE55" s="76"/>
      <c r="DBF55" s="76"/>
      <c r="DBG55" s="76"/>
      <c r="DBH55" s="76"/>
      <c r="DBI55" s="76"/>
      <c r="DBJ55" s="76"/>
      <c r="DBK55" s="76"/>
      <c r="DBL55" s="76"/>
      <c r="DBM55" s="76"/>
      <c r="DBN55" s="76"/>
      <c r="DBO55" s="76"/>
      <c r="DBP55" s="76"/>
      <c r="DBQ55" s="76"/>
      <c r="DBR55" s="76"/>
      <c r="DBS55" s="76"/>
      <c r="DBT55" s="76"/>
      <c r="DBU55" s="76"/>
      <c r="DBV55" s="76"/>
      <c r="DBW55" s="76"/>
      <c r="DBX55" s="76"/>
      <c r="DBY55" s="76"/>
      <c r="DBZ55" s="76"/>
      <c r="DCA55" s="76"/>
      <c r="DCB55" s="76"/>
      <c r="DCC55" s="76"/>
      <c r="DCD55" s="76"/>
      <c r="DCE55" s="76"/>
      <c r="DCF55" s="76"/>
      <c r="DCG55" s="76"/>
      <c r="DCH55" s="76"/>
      <c r="DCI55" s="76"/>
      <c r="DCJ55" s="76"/>
      <c r="DCK55" s="76"/>
      <c r="DCL55" s="76"/>
      <c r="DCM55" s="76"/>
      <c r="DCN55" s="76"/>
      <c r="DCO55" s="76"/>
      <c r="DCP55" s="76"/>
      <c r="DCQ55" s="76"/>
      <c r="DCR55" s="76"/>
      <c r="DCS55" s="76"/>
      <c r="DCT55" s="76"/>
      <c r="DCU55" s="76"/>
      <c r="DCV55" s="76"/>
      <c r="DCW55" s="76"/>
      <c r="DCX55" s="76"/>
      <c r="DCY55" s="76"/>
      <c r="DCZ55" s="76"/>
      <c r="DDA55" s="76"/>
      <c r="DDB55" s="76"/>
      <c r="DDC55" s="76"/>
      <c r="DDD55" s="76"/>
      <c r="DDE55" s="76"/>
      <c r="DDF55" s="76"/>
      <c r="DDG55" s="76"/>
      <c r="DDH55" s="76"/>
      <c r="DDI55" s="76"/>
      <c r="DDJ55" s="76"/>
      <c r="DDK55" s="76"/>
      <c r="DDL55" s="76"/>
      <c r="DDM55" s="76"/>
      <c r="DDN55" s="76"/>
      <c r="DDO55" s="76"/>
      <c r="DDP55" s="76"/>
      <c r="DDQ55" s="76"/>
      <c r="DDR55" s="76"/>
      <c r="DDS55" s="76"/>
      <c r="DDT55" s="76"/>
      <c r="DDU55" s="76"/>
      <c r="DDV55" s="76"/>
      <c r="DDW55" s="76"/>
      <c r="DDX55" s="76"/>
      <c r="DDY55" s="76"/>
      <c r="DDZ55" s="76"/>
      <c r="DEA55" s="76"/>
      <c r="DEB55" s="76"/>
      <c r="DEC55" s="76"/>
      <c r="DED55" s="76"/>
      <c r="DEE55" s="76"/>
      <c r="DEF55" s="76"/>
      <c r="DEG55" s="76"/>
      <c r="DEH55" s="76"/>
      <c r="DEI55" s="76"/>
      <c r="DEJ55" s="76"/>
      <c r="DEK55" s="76"/>
      <c r="DEL55" s="76"/>
      <c r="DEM55" s="76"/>
      <c r="DEN55" s="76"/>
      <c r="DEO55" s="76"/>
      <c r="DEP55" s="76"/>
      <c r="DEQ55" s="76"/>
      <c r="DER55" s="76"/>
      <c r="DES55" s="76"/>
      <c r="DET55" s="76"/>
      <c r="DEU55" s="76"/>
      <c r="DEV55" s="76"/>
      <c r="DEW55" s="76"/>
      <c r="DEX55" s="76"/>
      <c r="DEY55" s="76"/>
      <c r="DEZ55" s="76"/>
      <c r="DFA55" s="76"/>
      <c r="DFB55" s="76"/>
      <c r="DFC55" s="76"/>
      <c r="DFD55" s="76"/>
      <c r="DFE55" s="76"/>
      <c r="DFF55" s="76"/>
      <c r="DFG55" s="76"/>
      <c r="DFH55" s="76"/>
      <c r="DFI55" s="76"/>
      <c r="DFJ55" s="76"/>
      <c r="DFK55" s="76"/>
      <c r="DFL55" s="76"/>
      <c r="DFM55" s="76"/>
      <c r="DFN55" s="76"/>
      <c r="DFO55" s="76"/>
      <c r="DFP55" s="76"/>
      <c r="DFQ55" s="76"/>
      <c r="DFR55" s="76"/>
      <c r="DFS55" s="76"/>
      <c r="DFT55" s="76"/>
      <c r="DFU55" s="76"/>
      <c r="DFV55" s="76"/>
      <c r="DFW55" s="76"/>
      <c r="DFX55" s="76"/>
      <c r="DFY55" s="76"/>
      <c r="DFZ55" s="76"/>
      <c r="DGA55" s="76"/>
      <c r="DGB55" s="76"/>
      <c r="DGC55" s="76"/>
      <c r="DGD55" s="76"/>
      <c r="DGE55" s="76"/>
      <c r="DGF55" s="76"/>
      <c r="DGG55" s="76"/>
      <c r="DGH55" s="76"/>
      <c r="DGI55" s="76"/>
      <c r="DGJ55" s="76"/>
      <c r="DGK55" s="76"/>
      <c r="DGL55" s="76"/>
      <c r="DGM55" s="76"/>
      <c r="DGN55" s="76"/>
      <c r="DGO55" s="76"/>
      <c r="DGP55" s="76"/>
      <c r="DGQ55" s="76"/>
      <c r="DGR55" s="76"/>
      <c r="DGS55" s="76"/>
      <c r="DGT55" s="76"/>
      <c r="DGU55" s="76"/>
      <c r="DGV55" s="76"/>
      <c r="DGW55" s="76"/>
      <c r="DGX55" s="76"/>
      <c r="DGY55" s="76"/>
      <c r="DGZ55" s="76"/>
      <c r="DHA55" s="76"/>
      <c r="DHB55" s="76"/>
      <c r="DHC55" s="76"/>
      <c r="DHD55" s="76"/>
      <c r="DHE55" s="76"/>
      <c r="DHF55" s="76"/>
      <c r="DHG55" s="76"/>
      <c r="DHH55" s="76"/>
      <c r="DHI55" s="76"/>
      <c r="DHJ55" s="76"/>
      <c r="DHK55" s="76"/>
      <c r="DHL55" s="76"/>
      <c r="DHM55" s="76"/>
      <c r="DHN55" s="76"/>
      <c r="DHO55" s="76"/>
      <c r="DHP55" s="76"/>
      <c r="DHQ55" s="76"/>
      <c r="DHR55" s="76"/>
      <c r="DHS55" s="76"/>
      <c r="DHT55" s="76"/>
      <c r="DHU55" s="76"/>
      <c r="DHV55" s="76"/>
      <c r="DHW55" s="76"/>
      <c r="DHX55" s="76"/>
      <c r="DHY55" s="76"/>
      <c r="DHZ55" s="76"/>
      <c r="DIA55" s="76"/>
      <c r="DIB55" s="76"/>
      <c r="DIC55" s="76"/>
      <c r="DID55" s="76"/>
      <c r="DIE55" s="76"/>
      <c r="DIF55" s="76"/>
      <c r="DIG55" s="76"/>
      <c r="DIH55" s="76"/>
      <c r="DII55" s="76"/>
      <c r="DIJ55" s="76"/>
      <c r="DIK55" s="76"/>
      <c r="DIL55" s="76"/>
      <c r="DIM55" s="76"/>
      <c r="DIN55" s="76"/>
      <c r="DIO55" s="76"/>
      <c r="DIP55" s="76"/>
      <c r="DIQ55" s="76"/>
      <c r="DIR55" s="76"/>
      <c r="DIS55" s="76"/>
      <c r="DIT55" s="76"/>
      <c r="DIU55" s="76"/>
      <c r="DIV55" s="76"/>
      <c r="DIW55" s="76"/>
      <c r="DIX55" s="76"/>
      <c r="DIY55" s="76"/>
      <c r="DIZ55" s="76"/>
      <c r="DJA55" s="76"/>
      <c r="DJB55" s="76"/>
      <c r="DJC55" s="76"/>
      <c r="DJD55" s="76"/>
      <c r="DJE55" s="76"/>
      <c r="DJF55" s="76"/>
      <c r="DJG55" s="76"/>
      <c r="DJH55" s="76"/>
      <c r="DJI55" s="76"/>
      <c r="DJJ55" s="76"/>
      <c r="DJK55" s="76"/>
      <c r="DJL55" s="76"/>
      <c r="DJM55" s="76"/>
      <c r="DJN55" s="76"/>
      <c r="DJO55" s="76"/>
      <c r="DJP55" s="76"/>
      <c r="DJQ55" s="76"/>
      <c r="DJR55" s="76"/>
      <c r="DJS55" s="76"/>
      <c r="DJT55" s="76"/>
      <c r="DJU55" s="76"/>
      <c r="DJV55" s="76"/>
      <c r="DJW55" s="76"/>
      <c r="DJX55" s="76"/>
      <c r="DJY55" s="76"/>
      <c r="DJZ55" s="76"/>
      <c r="DKA55" s="76"/>
      <c r="DKB55" s="76"/>
      <c r="DKC55" s="76"/>
      <c r="DKD55" s="76"/>
      <c r="DKE55" s="76"/>
      <c r="DKF55" s="76"/>
      <c r="DKG55" s="76"/>
      <c r="DKH55" s="76"/>
      <c r="DKI55" s="76"/>
      <c r="DKJ55" s="76"/>
      <c r="DKK55" s="76"/>
      <c r="DKL55" s="76"/>
      <c r="DKM55" s="76"/>
      <c r="DKN55" s="76"/>
      <c r="DKO55" s="76"/>
      <c r="DKP55" s="76"/>
      <c r="DKQ55" s="76"/>
      <c r="DKR55" s="76"/>
      <c r="DKS55" s="76"/>
      <c r="DKT55" s="76"/>
      <c r="DKU55" s="76"/>
      <c r="DKV55" s="76"/>
      <c r="DKW55" s="76"/>
      <c r="DKX55" s="76"/>
      <c r="DKY55" s="76"/>
      <c r="DKZ55" s="76"/>
      <c r="DLA55" s="76"/>
      <c r="DLB55" s="76"/>
      <c r="DLC55" s="76"/>
      <c r="DLD55" s="76"/>
      <c r="DLE55" s="76"/>
      <c r="DLF55" s="76"/>
      <c r="DLG55" s="76"/>
      <c r="DLH55" s="76"/>
      <c r="DLI55" s="76"/>
      <c r="DLJ55" s="76"/>
      <c r="DLK55" s="76"/>
      <c r="DLL55" s="76"/>
      <c r="DLM55" s="76"/>
      <c r="DLN55" s="76"/>
      <c r="DLO55" s="76"/>
      <c r="DLP55" s="76"/>
      <c r="DLQ55" s="76"/>
      <c r="DLR55" s="76"/>
      <c r="DLS55" s="76"/>
      <c r="DLT55" s="76"/>
      <c r="DLU55" s="76"/>
      <c r="DLV55" s="76"/>
      <c r="DLW55" s="76"/>
      <c r="DLX55" s="76"/>
      <c r="DLY55" s="76"/>
      <c r="DLZ55" s="76"/>
      <c r="DMA55" s="76"/>
      <c r="DMB55" s="76"/>
      <c r="DMC55" s="76"/>
      <c r="DMD55" s="76"/>
      <c r="DME55" s="76"/>
      <c r="DMF55" s="76"/>
      <c r="DMG55" s="76"/>
      <c r="DMH55" s="76"/>
      <c r="DMI55" s="76"/>
      <c r="DMJ55" s="76"/>
      <c r="DMK55" s="76"/>
      <c r="DML55" s="76"/>
      <c r="DMM55" s="76"/>
      <c r="DMN55" s="76"/>
      <c r="DMO55" s="76"/>
      <c r="DMP55" s="76"/>
      <c r="DMQ55" s="76"/>
      <c r="DMR55" s="76"/>
      <c r="DMS55" s="76"/>
      <c r="DMT55" s="76"/>
      <c r="DMU55" s="76"/>
      <c r="DMV55" s="76"/>
      <c r="DMW55" s="76"/>
      <c r="DMX55" s="76"/>
      <c r="DMY55" s="76"/>
      <c r="DMZ55" s="76"/>
      <c r="DNA55" s="76"/>
      <c r="DNB55" s="76"/>
      <c r="DNC55" s="76"/>
      <c r="DND55" s="76"/>
      <c r="DNE55" s="76"/>
      <c r="DNF55" s="76"/>
      <c r="DNG55" s="76"/>
      <c r="DNH55" s="76"/>
      <c r="DNI55" s="76"/>
      <c r="DNJ55" s="76"/>
      <c r="DNK55" s="76"/>
      <c r="DNL55" s="76"/>
      <c r="DNM55" s="76"/>
      <c r="DNN55" s="76"/>
      <c r="DNO55" s="76"/>
      <c r="DNP55" s="76"/>
      <c r="DNQ55" s="76"/>
      <c r="DNR55" s="76"/>
      <c r="DNS55" s="76"/>
      <c r="DNT55" s="76"/>
      <c r="DNU55" s="76"/>
      <c r="DNV55" s="76"/>
      <c r="DNW55" s="76"/>
      <c r="DNX55" s="76"/>
      <c r="DNY55" s="76"/>
      <c r="DNZ55" s="76"/>
      <c r="DOA55" s="76"/>
      <c r="DOB55" s="76"/>
      <c r="DOC55" s="76"/>
      <c r="DOD55" s="76"/>
      <c r="DOE55" s="76"/>
      <c r="DOF55" s="76"/>
      <c r="DOG55" s="76"/>
      <c r="DOH55" s="76"/>
      <c r="DOI55" s="76"/>
      <c r="DOJ55" s="76"/>
      <c r="DOK55" s="76"/>
      <c r="DOL55" s="76"/>
      <c r="DOM55" s="76"/>
      <c r="DON55" s="76"/>
      <c r="DOO55" s="76"/>
      <c r="DOP55" s="76"/>
      <c r="DOQ55" s="76"/>
      <c r="DOR55" s="76"/>
      <c r="DOS55" s="76"/>
      <c r="DOT55" s="76"/>
      <c r="DOU55" s="76"/>
      <c r="DOV55" s="76"/>
      <c r="DOW55" s="76"/>
      <c r="DOX55" s="76"/>
      <c r="DOY55" s="76"/>
      <c r="DOZ55" s="76"/>
      <c r="DPA55" s="76"/>
      <c r="DPB55" s="76"/>
      <c r="DPC55" s="76"/>
      <c r="DPD55" s="76"/>
      <c r="DPE55" s="76"/>
      <c r="DPF55" s="76"/>
      <c r="DPG55" s="76"/>
      <c r="DPH55" s="76"/>
      <c r="DPI55" s="76"/>
      <c r="DPJ55" s="76"/>
      <c r="DPK55" s="76"/>
      <c r="DPL55" s="76"/>
      <c r="DPM55" s="76"/>
      <c r="DPN55" s="76"/>
      <c r="DPO55" s="76"/>
      <c r="DPP55" s="76"/>
      <c r="DPQ55" s="76"/>
      <c r="DPR55" s="76"/>
      <c r="DPS55" s="76"/>
      <c r="DPT55" s="76"/>
      <c r="DPU55" s="76"/>
      <c r="DPV55" s="76"/>
      <c r="DPW55" s="76"/>
      <c r="DPX55" s="76"/>
      <c r="DPY55" s="76"/>
      <c r="DPZ55" s="76"/>
      <c r="DQA55" s="76"/>
      <c r="DQB55" s="76"/>
      <c r="DQC55" s="76"/>
      <c r="DQD55" s="76"/>
      <c r="DQE55" s="76"/>
      <c r="DQF55" s="76"/>
      <c r="DQG55" s="76"/>
      <c r="DQH55" s="76"/>
      <c r="DQI55" s="76"/>
      <c r="DQJ55" s="76"/>
      <c r="DQK55" s="76"/>
      <c r="DQL55" s="76"/>
      <c r="DQM55" s="76"/>
      <c r="DQN55" s="76"/>
      <c r="DQO55" s="76"/>
      <c r="DQP55" s="76"/>
      <c r="DQQ55" s="76"/>
      <c r="DQR55" s="76"/>
      <c r="DQS55" s="76"/>
      <c r="DQT55" s="76"/>
      <c r="DQU55" s="76"/>
      <c r="DQV55" s="76"/>
      <c r="DQW55" s="76"/>
      <c r="DQX55" s="76"/>
      <c r="DQY55" s="76"/>
      <c r="DQZ55" s="76"/>
      <c r="DRA55" s="76"/>
      <c r="DRB55" s="76"/>
      <c r="DRC55" s="76"/>
      <c r="DRD55" s="76"/>
      <c r="DRE55" s="76"/>
      <c r="DRF55" s="76"/>
      <c r="DRG55" s="76"/>
      <c r="DRH55" s="76"/>
      <c r="DRI55" s="76"/>
      <c r="DRJ55" s="76"/>
      <c r="DRK55" s="76"/>
      <c r="DRL55" s="76"/>
      <c r="DRM55" s="76"/>
      <c r="DRN55" s="76"/>
      <c r="DRO55" s="76"/>
      <c r="DRP55" s="76"/>
      <c r="DRQ55" s="76"/>
      <c r="DRR55" s="76"/>
      <c r="DRS55" s="76"/>
      <c r="DRT55" s="76"/>
      <c r="DRU55" s="76"/>
      <c r="DRV55" s="76"/>
      <c r="DRW55" s="76"/>
      <c r="DRX55" s="76"/>
      <c r="DRY55" s="76"/>
      <c r="DRZ55" s="76"/>
      <c r="DSA55" s="76"/>
      <c r="DSB55" s="76"/>
      <c r="DSC55" s="76"/>
      <c r="DSD55" s="76"/>
      <c r="DSE55" s="76"/>
      <c r="DSF55" s="76"/>
      <c r="DSG55" s="76"/>
      <c r="DSH55" s="76"/>
      <c r="DSI55" s="76"/>
      <c r="DSJ55" s="76"/>
      <c r="DSK55" s="76"/>
      <c r="DSL55" s="76"/>
      <c r="DSM55" s="76"/>
      <c r="DSN55" s="76"/>
      <c r="DSO55" s="76"/>
      <c r="DSP55" s="76"/>
      <c r="DSQ55" s="76"/>
      <c r="DSR55" s="76"/>
      <c r="DSS55" s="76"/>
      <c r="DST55" s="76"/>
      <c r="DSU55" s="76"/>
      <c r="DSV55" s="76"/>
      <c r="DSW55" s="76"/>
      <c r="DSX55" s="76"/>
      <c r="DSY55" s="76"/>
      <c r="DSZ55" s="76"/>
      <c r="DTA55" s="76"/>
      <c r="DTB55" s="76"/>
      <c r="DTC55" s="76"/>
      <c r="DTD55" s="76"/>
      <c r="DTE55" s="76"/>
      <c r="DTF55" s="76"/>
      <c r="DTG55" s="76"/>
      <c r="DTH55" s="76"/>
      <c r="DTI55" s="76"/>
      <c r="DTJ55" s="76"/>
      <c r="DTK55" s="76"/>
      <c r="DTL55" s="76"/>
      <c r="DTM55" s="76"/>
      <c r="DTN55" s="76"/>
      <c r="DTO55" s="76"/>
      <c r="DTP55" s="76"/>
      <c r="DTQ55" s="76"/>
      <c r="DTR55" s="76"/>
      <c r="DTS55" s="76"/>
      <c r="DTT55" s="76"/>
      <c r="DTU55" s="76"/>
      <c r="DTV55" s="76"/>
      <c r="DTW55" s="76"/>
      <c r="DTX55" s="76"/>
      <c r="DTY55" s="76"/>
      <c r="DTZ55" s="76"/>
      <c r="DUA55" s="76"/>
      <c r="DUB55" s="76"/>
      <c r="DUC55" s="76"/>
      <c r="DUD55" s="76"/>
      <c r="DUE55" s="76"/>
      <c r="DUF55" s="76"/>
      <c r="DUG55" s="76"/>
      <c r="DUH55" s="76"/>
      <c r="DUI55" s="76"/>
      <c r="DUJ55" s="76"/>
      <c r="DUK55" s="76"/>
      <c r="DUL55" s="76"/>
      <c r="DUM55" s="76"/>
      <c r="DUN55" s="76"/>
      <c r="DUO55" s="76"/>
      <c r="DUP55" s="76"/>
      <c r="DUQ55" s="76"/>
      <c r="DUR55" s="76"/>
      <c r="DUS55" s="76"/>
      <c r="DUT55" s="76"/>
      <c r="DUU55" s="76"/>
      <c r="DUV55" s="76"/>
      <c r="DUW55" s="76"/>
      <c r="DUX55" s="76"/>
      <c r="DUY55" s="76"/>
      <c r="DUZ55" s="76"/>
      <c r="DVA55" s="76"/>
      <c r="DVB55" s="76"/>
      <c r="DVC55" s="76"/>
      <c r="DVD55" s="76"/>
      <c r="DVE55" s="76"/>
      <c r="DVF55" s="76"/>
      <c r="DVG55" s="76"/>
      <c r="DVH55" s="76"/>
      <c r="DVI55" s="76"/>
      <c r="DVJ55" s="76"/>
      <c r="DVK55" s="76"/>
      <c r="DVL55" s="76"/>
      <c r="DVM55" s="76"/>
      <c r="DVN55" s="76"/>
      <c r="DVO55" s="76"/>
      <c r="DVP55" s="76"/>
      <c r="DVQ55" s="76"/>
      <c r="DVR55" s="76"/>
      <c r="DVS55" s="76"/>
      <c r="DVT55" s="76"/>
      <c r="DVU55" s="76"/>
      <c r="DVV55" s="76"/>
      <c r="DVW55" s="76"/>
      <c r="DVX55" s="76"/>
      <c r="DVY55" s="76"/>
      <c r="DVZ55" s="76"/>
      <c r="DWA55" s="76"/>
      <c r="DWB55" s="76"/>
      <c r="DWC55" s="76"/>
      <c r="DWD55" s="76"/>
      <c r="DWE55" s="76"/>
      <c r="DWF55" s="76"/>
      <c r="DWG55" s="76"/>
      <c r="DWH55" s="76"/>
      <c r="DWI55" s="76"/>
      <c r="DWJ55" s="76"/>
      <c r="DWK55" s="76"/>
      <c r="DWL55" s="76"/>
      <c r="DWM55" s="76"/>
      <c r="DWN55" s="76"/>
      <c r="DWO55" s="76"/>
      <c r="DWP55" s="76"/>
      <c r="DWQ55" s="76"/>
      <c r="DWR55" s="76"/>
      <c r="DWS55" s="76"/>
      <c r="DWT55" s="76"/>
      <c r="DWU55" s="76"/>
      <c r="DWV55" s="76"/>
      <c r="DWW55" s="76"/>
      <c r="DWX55" s="76"/>
      <c r="DWY55" s="76"/>
      <c r="DWZ55" s="76"/>
      <c r="DXA55" s="76"/>
      <c r="DXB55" s="76"/>
      <c r="DXC55" s="76"/>
      <c r="DXD55" s="76"/>
      <c r="DXE55" s="76"/>
      <c r="DXF55" s="76"/>
      <c r="DXG55" s="76"/>
      <c r="DXH55" s="76"/>
      <c r="DXI55" s="76"/>
      <c r="DXJ55" s="76"/>
      <c r="DXK55" s="76"/>
      <c r="DXL55" s="76"/>
      <c r="DXM55" s="76"/>
      <c r="DXN55" s="76"/>
      <c r="DXO55" s="76"/>
      <c r="DXP55" s="76"/>
      <c r="DXQ55" s="76"/>
      <c r="DXR55" s="76"/>
      <c r="DXS55" s="76"/>
      <c r="DXT55" s="76"/>
      <c r="DXU55" s="76"/>
      <c r="DXV55" s="76"/>
      <c r="DXW55" s="76"/>
      <c r="DXX55" s="76"/>
      <c r="DXY55" s="76"/>
      <c r="DXZ55" s="76"/>
      <c r="DYA55" s="76"/>
      <c r="DYB55" s="76"/>
      <c r="DYC55" s="76"/>
      <c r="DYD55" s="76"/>
      <c r="DYE55" s="76"/>
      <c r="DYF55" s="76"/>
      <c r="DYG55" s="76"/>
      <c r="DYH55" s="76"/>
      <c r="DYI55" s="76"/>
      <c r="DYJ55" s="76"/>
      <c r="DYK55" s="76"/>
      <c r="DYL55" s="76"/>
      <c r="DYM55" s="76"/>
      <c r="DYN55" s="76"/>
      <c r="DYO55" s="76"/>
      <c r="DYP55" s="76"/>
      <c r="DYQ55" s="76"/>
      <c r="DYR55" s="76"/>
      <c r="DYS55" s="76"/>
      <c r="DYT55" s="76"/>
      <c r="DYU55" s="76"/>
      <c r="DYV55" s="76"/>
      <c r="DYW55" s="76"/>
      <c r="DYX55" s="76"/>
      <c r="DYY55" s="76"/>
      <c r="DYZ55" s="76"/>
      <c r="DZA55" s="76"/>
      <c r="DZB55" s="76"/>
      <c r="DZC55" s="76"/>
      <c r="DZD55" s="76"/>
      <c r="DZE55" s="76"/>
      <c r="DZF55" s="76"/>
      <c r="DZG55" s="76"/>
      <c r="DZH55" s="76"/>
      <c r="DZI55" s="76"/>
      <c r="DZJ55" s="76"/>
      <c r="DZK55" s="76"/>
      <c r="DZL55" s="76"/>
      <c r="DZM55" s="76"/>
      <c r="DZN55" s="76"/>
      <c r="DZO55" s="76"/>
      <c r="DZP55" s="76"/>
      <c r="DZQ55" s="76"/>
      <c r="DZR55" s="76"/>
      <c r="DZS55" s="76"/>
      <c r="DZT55" s="76"/>
      <c r="DZU55" s="76"/>
      <c r="DZV55" s="76"/>
      <c r="DZW55" s="76"/>
      <c r="DZX55" s="76"/>
      <c r="DZY55" s="76"/>
      <c r="DZZ55" s="76"/>
      <c r="EAA55" s="76"/>
      <c r="EAB55" s="76"/>
      <c r="EAC55" s="76"/>
      <c r="EAD55" s="76"/>
      <c r="EAE55" s="76"/>
      <c r="EAF55" s="76"/>
      <c r="EAG55" s="76"/>
      <c r="EAH55" s="76"/>
      <c r="EAI55" s="76"/>
      <c r="EAJ55" s="76"/>
      <c r="EAK55" s="76"/>
      <c r="EAL55" s="76"/>
      <c r="EAM55" s="76"/>
      <c r="EAN55" s="76"/>
      <c r="EAO55" s="76"/>
      <c r="EAP55" s="76"/>
      <c r="EAQ55" s="76"/>
      <c r="EAR55" s="76"/>
      <c r="EAS55" s="76"/>
      <c r="EAT55" s="76"/>
      <c r="EAU55" s="76"/>
      <c r="EAV55" s="76"/>
      <c r="EAW55" s="76"/>
      <c r="EAX55" s="76"/>
      <c r="EAY55" s="76"/>
      <c r="EAZ55" s="76"/>
      <c r="EBA55" s="76"/>
      <c r="EBB55" s="76"/>
      <c r="EBC55" s="76"/>
      <c r="EBD55" s="76"/>
      <c r="EBE55" s="76"/>
      <c r="EBF55" s="76"/>
      <c r="EBG55" s="76"/>
      <c r="EBH55" s="76"/>
      <c r="EBI55" s="76"/>
      <c r="EBJ55" s="76"/>
      <c r="EBK55" s="76"/>
      <c r="EBL55" s="76"/>
      <c r="EBM55" s="76"/>
      <c r="EBN55" s="76"/>
      <c r="EBO55" s="76"/>
      <c r="EBP55" s="76"/>
      <c r="EBQ55" s="76"/>
      <c r="EBR55" s="76"/>
      <c r="EBS55" s="76"/>
      <c r="EBT55" s="76"/>
      <c r="EBU55" s="76"/>
      <c r="EBV55" s="76"/>
      <c r="EBW55" s="76"/>
      <c r="EBX55" s="76"/>
      <c r="EBY55" s="76"/>
      <c r="EBZ55" s="76"/>
      <c r="ECA55" s="76"/>
      <c r="ECB55" s="76"/>
      <c r="ECC55" s="76"/>
      <c r="ECD55" s="76"/>
      <c r="ECE55" s="76"/>
      <c r="ECF55" s="76"/>
      <c r="ECG55" s="76"/>
      <c r="ECH55" s="76"/>
      <c r="ECI55" s="76"/>
      <c r="ECJ55" s="76"/>
      <c r="ECK55" s="76"/>
      <c r="ECL55" s="76"/>
      <c r="ECM55" s="76"/>
      <c r="ECN55" s="76"/>
      <c r="ECO55" s="76"/>
      <c r="ECP55" s="76"/>
      <c r="ECQ55" s="76"/>
      <c r="ECR55" s="76"/>
      <c r="ECS55" s="76"/>
      <c r="ECT55" s="76"/>
      <c r="ECU55" s="76"/>
      <c r="ECV55" s="76"/>
      <c r="ECW55" s="76"/>
      <c r="ECX55" s="76"/>
      <c r="ECY55" s="76"/>
      <c r="ECZ55" s="76"/>
      <c r="EDA55" s="76"/>
      <c r="EDB55" s="76"/>
      <c r="EDC55" s="76"/>
      <c r="EDD55" s="76"/>
      <c r="EDE55" s="76"/>
      <c r="EDF55" s="76"/>
      <c r="EDG55" s="76"/>
      <c r="EDH55" s="76"/>
      <c r="EDI55" s="76"/>
      <c r="EDJ55" s="76"/>
      <c r="EDK55" s="76"/>
      <c r="EDL55" s="76"/>
      <c r="EDM55" s="76"/>
      <c r="EDN55" s="76"/>
      <c r="EDO55" s="76"/>
      <c r="EDP55" s="76"/>
      <c r="EDQ55" s="76"/>
      <c r="EDR55" s="76"/>
      <c r="EDS55" s="76"/>
      <c r="EDT55" s="76"/>
      <c r="EDU55" s="76"/>
      <c r="EDV55" s="76"/>
      <c r="EDW55" s="76"/>
      <c r="EDX55" s="76"/>
      <c r="EDY55" s="76"/>
      <c r="EDZ55" s="76"/>
      <c r="EEA55" s="76"/>
      <c r="EEB55" s="76"/>
      <c r="EEC55" s="76"/>
      <c r="EED55" s="76"/>
      <c r="EEE55" s="76"/>
      <c r="EEF55" s="76"/>
      <c r="EEG55" s="76"/>
      <c r="EEH55" s="76"/>
      <c r="EEI55" s="76"/>
      <c r="EEJ55" s="76"/>
      <c r="EEK55" s="76"/>
      <c r="EEL55" s="76"/>
      <c r="EEM55" s="76"/>
      <c r="EEN55" s="76"/>
      <c r="EEO55" s="76"/>
      <c r="EEP55" s="76"/>
      <c r="EEQ55" s="76"/>
      <c r="EER55" s="76"/>
      <c r="EES55" s="76"/>
      <c r="EET55" s="76"/>
      <c r="EEU55" s="76"/>
      <c r="EEV55" s="76"/>
      <c r="EEW55" s="76"/>
      <c r="EEX55" s="76"/>
      <c r="EEY55" s="76"/>
      <c r="EEZ55" s="76"/>
      <c r="EFA55" s="76"/>
      <c r="EFB55" s="76"/>
      <c r="EFC55" s="76"/>
      <c r="EFD55" s="76"/>
      <c r="EFE55" s="76"/>
      <c r="EFF55" s="76"/>
      <c r="EFG55" s="76"/>
      <c r="EFH55" s="76"/>
      <c r="EFI55" s="76"/>
      <c r="EFJ55" s="76"/>
      <c r="EFK55" s="76"/>
      <c r="EFL55" s="76"/>
      <c r="EFM55" s="76"/>
      <c r="EFN55" s="76"/>
      <c r="EFO55" s="76"/>
      <c r="EFP55" s="76"/>
      <c r="EFQ55" s="76"/>
      <c r="EFR55" s="76"/>
      <c r="EFS55" s="76"/>
      <c r="EFT55" s="76"/>
      <c r="EFU55" s="76"/>
      <c r="EFV55" s="76"/>
      <c r="EFW55" s="76"/>
      <c r="EFX55" s="76"/>
      <c r="EFY55" s="76"/>
      <c r="EFZ55" s="76"/>
      <c r="EGA55" s="76"/>
      <c r="EGB55" s="76"/>
      <c r="EGC55" s="76"/>
      <c r="EGD55" s="76"/>
      <c r="EGE55" s="76"/>
      <c r="EGF55" s="76"/>
      <c r="EGG55" s="76"/>
      <c r="EGH55" s="76"/>
      <c r="EGI55" s="76"/>
      <c r="EGJ55" s="76"/>
      <c r="EGK55" s="76"/>
      <c r="EGL55" s="76"/>
      <c r="EGM55" s="76"/>
      <c r="EGN55" s="76"/>
      <c r="EGO55" s="76"/>
      <c r="EGP55" s="76"/>
      <c r="EGQ55" s="76"/>
      <c r="EGR55" s="76"/>
      <c r="EGS55" s="76"/>
      <c r="EGT55" s="76"/>
      <c r="EGU55" s="76"/>
      <c r="EGV55" s="76"/>
      <c r="EGW55" s="76"/>
      <c r="EGX55" s="76"/>
      <c r="EGY55" s="76"/>
      <c r="EGZ55" s="76"/>
      <c r="EHA55" s="76"/>
      <c r="EHB55" s="76"/>
      <c r="EHC55" s="76"/>
      <c r="EHD55" s="76"/>
      <c r="EHE55" s="76"/>
      <c r="EHF55" s="76"/>
      <c r="EHG55" s="76"/>
      <c r="EHH55" s="76"/>
      <c r="EHI55" s="76"/>
      <c r="EHJ55" s="76"/>
      <c r="EHK55" s="76"/>
      <c r="EHL55" s="76"/>
      <c r="EHM55" s="76"/>
      <c r="EHN55" s="76"/>
      <c r="EHO55" s="76"/>
      <c r="EHP55" s="76"/>
      <c r="EHQ55" s="76"/>
      <c r="EHR55" s="76"/>
      <c r="EHS55" s="76"/>
      <c r="EHT55" s="76"/>
      <c r="EHU55" s="76"/>
      <c r="EHV55" s="76"/>
      <c r="EHW55" s="76"/>
      <c r="EHX55" s="76"/>
      <c r="EHY55" s="76"/>
      <c r="EHZ55" s="76"/>
      <c r="EIA55" s="76"/>
      <c r="EIB55" s="76"/>
      <c r="EIC55" s="76"/>
      <c r="EID55" s="76"/>
      <c r="EIE55" s="76"/>
      <c r="EIF55" s="76"/>
      <c r="EIG55" s="76"/>
      <c r="EIH55" s="76"/>
      <c r="EII55" s="76"/>
      <c r="EIJ55" s="76"/>
      <c r="EIK55" s="76"/>
      <c r="EIL55" s="76"/>
      <c r="EIM55" s="76"/>
      <c r="EIN55" s="76"/>
      <c r="EIO55" s="76"/>
      <c r="EIP55" s="76"/>
      <c r="EIQ55" s="76"/>
      <c r="EIR55" s="76"/>
      <c r="EIS55" s="76"/>
      <c r="EIT55" s="76"/>
      <c r="EIU55" s="76"/>
      <c r="EIV55" s="76"/>
      <c r="EIW55" s="76"/>
      <c r="EIX55" s="76"/>
      <c r="EIY55" s="76"/>
      <c r="EIZ55" s="76"/>
      <c r="EJA55" s="76"/>
      <c r="EJB55" s="76"/>
      <c r="EJC55" s="76"/>
      <c r="EJD55" s="76"/>
      <c r="EJE55" s="76"/>
      <c r="EJF55" s="76"/>
      <c r="EJG55" s="76"/>
      <c r="EJH55" s="76"/>
      <c r="EJI55" s="76"/>
      <c r="EJJ55" s="76"/>
      <c r="EJK55" s="76"/>
      <c r="EJL55" s="76"/>
      <c r="EJM55" s="76"/>
      <c r="EJN55" s="76"/>
      <c r="EJO55" s="76"/>
      <c r="EJP55" s="76"/>
      <c r="EJQ55" s="76"/>
      <c r="EJR55" s="76"/>
      <c r="EJS55" s="76"/>
      <c r="EJT55" s="76"/>
      <c r="EJU55" s="76"/>
      <c r="EJV55" s="76"/>
      <c r="EJW55" s="76"/>
      <c r="EJX55" s="76"/>
      <c r="EJY55" s="76"/>
      <c r="EJZ55" s="76"/>
      <c r="EKA55" s="76"/>
      <c r="EKB55" s="76"/>
      <c r="EKC55" s="76"/>
      <c r="EKD55" s="76"/>
      <c r="EKE55" s="76"/>
      <c r="EKF55" s="76"/>
      <c r="EKG55" s="76"/>
      <c r="EKH55" s="76"/>
      <c r="EKI55" s="76"/>
      <c r="EKJ55" s="76"/>
      <c r="EKK55" s="76"/>
      <c r="EKL55" s="76"/>
      <c r="EKM55" s="76"/>
      <c r="EKN55" s="76"/>
      <c r="EKO55" s="76"/>
      <c r="EKP55" s="76"/>
      <c r="EKQ55" s="76"/>
      <c r="EKR55" s="76"/>
      <c r="EKS55" s="76"/>
      <c r="EKT55" s="76"/>
      <c r="EKU55" s="76"/>
      <c r="EKV55" s="76"/>
      <c r="EKW55" s="76"/>
      <c r="EKX55" s="76"/>
      <c r="EKY55" s="76"/>
      <c r="EKZ55" s="76"/>
      <c r="ELA55" s="76"/>
      <c r="ELB55" s="76"/>
      <c r="ELC55" s="76"/>
      <c r="ELD55" s="76"/>
      <c r="ELE55" s="76"/>
      <c r="ELF55" s="76"/>
      <c r="ELG55" s="76"/>
      <c r="ELH55" s="76"/>
      <c r="ELI55" s="76"/>
      <c r="ELJ55" s="76"/>
      <c r="ELK55" s="76"/>
      <c r="ELL55" s="76"/>
      <c r="ELM55" s="76"/>
      <c r="ELN55" s="76"/>
      <c r="ELO55" s="76"/>
      <c r="ELP55" s="76"/>
      <c r="ELQ55" s="76"/>
      <c r="ELR55" s="76"/>
      <c r="ELS55" s="76"/>
      <c r="ELT55" s="76"/>
      <c r="ELU55" s="76"/>
      <c r="ELV55" s="76"/>
      <c r="ELW55" s="76"/>
      <c r="ELX55" s="76"/>
      <c r="ELY55" s="76"/>
      <c r="ELZ55" s="76"/>
      <c r="EMA55" s="76"/>
      <c r="EMB55" s="76"/>
      <c r="EMC55" s="76"/>
      <c r="EMD55" s="76"/>
      <c r="EME55" s="76"/>
      <c r="EMF55" s="76"/>
      <c r="EMG55" s="76"/>
      <c r="EMH55" s="76"/>
      <c r="EMI55" s="76"/>
      <c r="EMJ55" s="76"/>
      <c r="EMK55" s="76"/>
      <c r="EML55" s="76"/>
      <c r="EMM55" s="76"/>
      <c r="EMN55" s="76"/>
      <c r="EMO55" s="76"/>
      <c r="EMP55" s="76"/>
      <c r="EMQ55" s="76"/>
      <c r="EMR55" s="76"/>
      <c r="EMS55" s="76"/>
      <c r="EMT55" s="76"/>
      <c r="EMU55" s="76"/>
      <c r="EMV55" s="76"/>
      <c r="EMW55" s="76"/>
      <c r="EMX55" s="76"/>
      <c r="EMY55" s="76"/>
      <c r="EMZ55" s="76"/>
      <c r="ENA55" s="76"/>
      <c r="ENB55" s="76"/>
      <c r="ENC55" s="76"/>
      <c r="END55" s="76"/>
      <c r="ENE55" s="76"/>
      <c r="ENF55" s="76"/>
      <c r="ENG55" s="76"/>
      <c r="ENH55" s="76"/>
      <c r="ENI55" s="76"/>
      <c r="ENJ55" s="76"/>
      <c r="ENK55" s="76"/>
      <c r="ENL55" s="76"/>
      <c r="ENM55" s="76"/>
      <c r="ENN55" s="76"/>
      <c r="ENO55" s="76"/>
      <c r="ENP55" s="76"/>
      <c r="ENQ55" s="76"/>
      <c r="ENR55" s="76"/>
      <c r="ENS55" s="76"/>
      <c r="ENT55" s="76"/>
      <c r="ENU55" s="76"/>
      <c r="ENV55" s="76"/>
      <c r="ENW55" s="76"/>
      <c r="ENX55" s="76"/>
      <c r="ENY55" s="76"/>
      <c r="ENZ55" s="76"/>
      <c r="EOA55" s="76"/>
      <c r="EOB55" s="76"/>
      <c r="EOC55" s="76"/>
      <c r="EOD55" s="76"/>
      <c r="EOE55" s="76"/>
      <c r="EOF55" s="76"/>
      <c r="EOG55" s="76"/>
      <c r="EOH55" s="76"/>
      <c r="EOI55" s="76"/>
      <c r="EOJ55" s="76"/>
      <c r="EOK55" s="76"/>
      <c r="EOL55" s="76"/>
      <c r="EOM55" s="76"/>
      <c r="EON55" s="76"/>
      <c r="EOO55" s="76"/>
      <c r="EOP55" s="76"/>
      <c r="EOQ55" s="76"/>
      <c r="EOR55" s="76"/>
      <c r="EOS55" s="76"/>
      <c r="EOT55" s="76"/>
      <c r="EOU55" s="76"/>
      <c r="EOV55" s="76"/>
      <c r="EOW55" s="76"/>
      <c r="EOX55" s="76"/>
      <c r="EOY55" s="76"/>
      <c r="EOZ55" s="76"/>
      <c r="EPA55" s="76"/>
      <c r="EPB55" s="76"/>
      <c r="EPC55" s="76"/>
      <c r="EPD55" s="76"/>
      <c r="EPE55" s="76"/>
      <c r="EPF55" s="76"/>
      <c r="EPG55" s="76"/>
      <c r="EPH55" s="76"/>
      <c r="EPI55" s="76"/>
      <c r="EPJ55" s="76"/>
      <c r="EPK55" s="76"/>
      <c r="EPL55" s="76"/>
      <c r="EPM55" s="76"/>
      <c r="EPN55" s="76"/>
      <c r="EPO55" s="76"/>
      <c r="EPP55" s="76"/>
      <c r="EPQ55" s="76"/>
      <c r="EPR55" s="76"/>
      <c r="EPS55" s="76"/>
      <c r="EPT55" s="76"/>
      <c r="EPU55" s="76"/>
      <c r="EPV55" s="76"/>
      <c r="EPW55" s="76"/>
      <c r="EPX55" s="76"/>
      <c r="EPY55" s="76"/>
      <c r="EPZ55" s="76"/>
      <c r="EQA55" s="76"/>
      <c r="EQB55" s="76"/>
      <c r="EQC55" s="76"/>
      <c r="EQD55" s="76"/>
      <c r="EQE55" s="76"/>
      <c r="EQF55" s="76"/>
      <c r="EQG55" s="76"/>
      <c r="EQH55" s="76"/>
      <c r="EQI55" s="76"/>
      <c r="EQJ55" s="76"/>
      <c r="EQK55" s="76"/>
      <c r="EQL55" s="76"/>
      <c r="EQM55" s="76"/>
      <c r="EQN55" s="76"/>
      <c r="EQO55" s="76"/>
      <c r="EQP55" s="76"/>
      <c r="EQQ55" s="76"/>
      <c r="EQR55" s="76"/>
      <c r="EQS55" s="76"/>
      <c r="EQT55" s="76"/>
      <c r="EQU55" s="76"/>
      <c r="EQV55" s="76"/>
      <c r="EQW55" s="76"/>
      <c r="EQX55" s="76"/>
      <c r="EQY55" s="76"/>
      <c r="EQZ55" s="76"/>
      <c r="ERA55" s="76"/>
      <c r="ERB55" s="76"/>
      <c r="ERC55" s="76"/>
      <c r="ERD55" s="76"/>
      <c r="ERE55" s="76"/>
      <c r="ERF55" s="76"/>
      <c r="ERG55" s="76"/>
      <c r="ERH55" s="76"/>
      <c r="ERI55" s="76"/>
      <c r="ERJ55" s="76"/>
      <c r="ERK55" s="76"/>
      <c r="ERL55" s="76"/>
      <c r="ERM55" s="76"/>
      <c r="ERN55" s="76"/>
      <c r="ERO55" s="76"/>
      <c r="ERP55" s="76"/>
      <c r="ERQ55" s="76"/>
      <c r="ERR55" s="76"/>
      <c r="ERS55" s="76"/>
      <c r="ERT55" s="76"/>
      <c r="ERU55" s="76"/>
      <c r="ERV55" s="76"/>
      <c r="ERW55" s="76"/>
      <c r="ERX55" s="76"/>
      <c r="ERY55" s="76"/>
      <c r="ERZ55" s="76"/>
      <c r="ESA55" s="76"/>
      <c r="ESB55" s="76"/>
      <c r="ESC55" s="76"/>
      <c r="ESD55" s="76"/>
      <c r="ESE55" s="76"/>
      <c r="ESF55" s="76"/>
      <c r="ESG55" s="76"/>
      <c r="ESH55" s="76"/>
      <c r="ESI55" s="76"/>
      <c r="ESJ55" s="76"/>
      <c r="ESK55" s="76"/>
      <c r="ESL55" s="76"/>
      <c r="ESM55" s="76"/>
      <c r="ESN55" s="76"/>
      <c r="ESO55" s="76"/>
      <c r="ESP55" s="76"/>
      <c r="ESQ55" s="76"/>
      <c r="ESR55" s="76"/>
      <c r="ESS55" s="76"/>
      <c r="EST55" s="76"/>
      <c r="ESU55" s="76"/>
      <c r="ESV55" s="76"/>
      <c r="ESW55" s="76"/>
      <c r="ESX55" s="76"/>
      <c r="ESY55" s="76"/>
      <c r="ESZ55" s="76"/>
      <c r="ETA55" s="76"/>
      <c r="ETB55" s="76"/>
      <c r="ETC55" s="76"/>
      <c r="ETD55" s="76"/>
      <c r="ETE55" s="76"/>
      <c r="ETF55" s="76"/>
      <c r="ETG55" s="76"/>
      <c r="ETH55" s="76"/>
      <c r="ETI55" s="76"/>
      <c r="ETJ55" s="76"/>
      <c r="ETK55" s="76"/>
      <c r="ETL55" s="76"/>
      <c r="ETM55" s="76"/>
      <c r="ETN55" s="76"/>
      <c r="ETO55" s="76"/>
      <c r="ETP55" s="76"/>
      <c r="ETQ55" s="76"/>
      <c r="ETR55" s="76"/>
      <c r="ETS55" s="76"/>
      <c r="ETT55" s="76"/>
      <c r="ETU55" s="76"/>
      <c r="ETV55" s="76"/>
      <c r="ETW55" s="76"/>
      <c r="ETX55" s="76"/>
      <c r="ETY55" s="76"/>
      <c r="ETZ55" s="76"/>
      <c r="EUA55" s="76"/>
      <c r="EUB55" s="76"/>
      <c r="EUC55" s="76"/>
      <c r="EUD55" s="76"/>
      <c r="EUE55" s="76"/>
      <c r="EUF55" s="76"/>
      <c r="EUG55" s="76"/>
      <c r="EUH55" s="76"/>
      <c r="EUI55" s="76"/>
      <c r="EUJ55" s="76"/>
      <c r="EUK55" s="76"/>
      <c r="EUL55" s="76"/>
      <c r="EUM55" s="76"/>
      <c r="EUN55" s="76"/>
      <c r="EUO55" s="76"/>
      <c r="EUP55" s="76"/>
      <c r="EUQ55" s="76"/>
      <c r="EUR55" s="76"/>
      <c r="EUS55" s="76"/>
      <c r="EUT55" s="76"/>
      <c r="EUU55" s="76"/>
      <c r="EUV55" s="76"/>
      <c r="EUW55" s="76"/>
      <c r="EUX55" s="76"/>
      <c r="EUY55" s="76"/>
      <c r="EUZ55" s="76"/>
      <c r="EVA55" s="76"/>
      <c r="EVB55" s="76"/>
      <c r="EVC55" s="76"/>
      <c r="EVD55" s="76"/>
      <c r="EVE55" s="76"/>
      <c r="EVF55" s="76"/>
      <c r="EVG55" s="76"/>
      <c r="EVH55" s="76"/>
      <c r="EVI55" s="76"/>
      <c r="EVJ55" s="76"/>
      <c r="EVK55" s="76"/>
      <c r="EVL55" s="76"/>
      <c r="EVM55" s="76"/>
      <c r="EVN55" s="76"/>
      <c r="EVO55" s="76"/>
      <c r="EVP55" s="76"/>
      <c r="EVQ55" s="76"/>
      <c r="EVR55" s="76"/>
      <c r="EVS55" s="76"/>
      <c r="EVT55" s="76"/>
      <c r="EVU55" s="76"/>
      <c r="EVV55" s="76"/>
      <c r="EVW55" s="76"/>
      <c r="EVX55" s="76"/>
      <c r="EVY55" s="76"/>
      <c r="EVZ55" s="76"/>
      <c r="EWA55" s="76"/>
      <c r="EWB55" s="76"/>
      <c r="EWC55" s="76"/>
      <c r="EWD55" s="76"/>
      <c r="EWE55" s="76"/>
      <c r="EWF55" s="76"/>
      <c r="EWG55" s="76"/>
      <c r="EWH55" s="76"/>
      <c r="EWI55" s="76"/>
      <c r="EWJ55" s="76"/>
      <c r="EWK55" s="76"/>
      <c r="EWL55" s="76"/>
      <c r="EWM55" s="76"/>
      <c r="EWN55" s="76"/>
      <c r="EWO55" s="76"/>
      <c r="EWP55" s="76"/>
      <c r="EWQ55" s="76"/>
      <c r="EWR55" s="76"/>
      <c r="EWS55" s="76"/>
      <c r="EWT55" s="76"/>
      <c r="EWU55" s="76"/>
      <c r="EWV55" s="76"/>
      <c r="EWW55" s="76"/>
      <c r="EWX55" s="76"/>
      <c r="EWY55" s="76"/>
      <c r="EWZ55" s="76"/>
      <c r="EXA55" s="76"/>
      <c r="EXB55" s="76"/>
      <c r="EXC55" s="76"/>
      <c r="EXD55" s="76"/>
      <c r="EXE55" s="76"/>
      <c r="EXF55" s="76"/>
      <c r="EXG55" s="76"/>
      <c r="EXH55" s="76"/>
      <c r="EXI55" s="76"/>
      <c r="EXJ55" s="76"/>
      <c r="EXK55" s="76"/>
      <c r="EXL55" s="76"/>
      <c r="EXM55" s="76"/>
      <c r="EXN55" s="76"/>
      <c r="EXO55" s="76"/>
      <c r="EXP55" s="76"/>
      <c r="EXQ55" s="76"/>
      <c r="EXR55" s="76"/>
      <c r="EXS55" s="76"/>
      <c r="EXT55" s="76"/>
      <c r="EXU55" s="76"/>
      <c r="EXV55" s="76"/>
      <c r="EXW55" s="76"/>
      <c r="EXX55" s="76"/>
      <c r="EXY55" s="76"/>
      <c r="EXZ55" s="76"/>
      <c r="EYA55" s="76"/>
      <c r="EYB55" s="76"/>
      <c r="EYC55" s="76"/>
      <c r="EYD55" s="76"/>
      <c r="EYE55" s="76"/>
      <c r="EYF55" s="76"/>
      <c r="EYG55" s="76"/>
      <c r="EYH55" s="76"/>
      <c r="EYI55" s="76"/>
      <c r="EYJ55" s="76"/>
      <c r="EYK55" s="76"/>
      <c r="EYL55" s="76"/>
      <c r="EYM55" s="76"/>
      <c r="EYN55" s="76"/>
      <c r="EYO55" s="76"/>
      <c r="EYP55" s="76"/>
      <c r="EYQ55" s="76"/>
      <c r="EYR55" s="76"/>
      <c r="EYS55" s="76"/>
      <c r="EYT55" s="76"/>
      <c r="EYU55" s="76"/>
      <c r="EYV55" s="76"/>
      <c r="EYW55" s="76"/>
      <c r="EYX55" s="76"/>
      <c r="EYY55" s="76"/>
      <c r="EYZ55" s="76"/>
      <c r="EZA55" s="76"/>
      <c r="EZB55" s="76"/>
      <c r="EZC55" s="76"/>
      <c r="EZD55" s="76"/>
      <c r="EZE55" s="76"/>
      <c r="EZF55" s="76"/>
      <c r="EZG55" s="76"/>
      <c r="EZH55" s="76"/>
      <c r="EZI55" s="76"/>
      <c r="EZJ55" s="76"/>
      <c r="EZK55" s="76"/>
      <c r="EZL55" s="76"/>
      <c r="EZM55" s="76"/>
      <c r="EZN55" s="76"/>
      <c r="EZO55" s="76"/>
      <c r="EZP55" s="76"/>
      <c r="EZQ55" s="76"/>
      <c r="EZR55" s="76"/>
      <c r="EZS55" s="76"/>
      <c r="EZT55" s="76"/>
      <c r="EZU55" s="76"/>
      <c r="EZV55" s="76"/>
      <c r="EZW55" s="76"/>
      <c r="EZX55" s="76"/>
      <c r="EZY55" s="76"/>
      <c r="EZZ55" s="76"/>
      <c r="FAA55" s="76"/>
      <c r="FAB55" s="76"/>
      <c r="FAC55" s="76"/>
      <c r="FAD55" s="76"/>
      <c r="FAE55" s="76"/>
      <c r="FAF55" s="76"/>
      <c r="FAG55" s="76"/>
      <c r="FAH55" s="76"/>
      <c r="FAI55" s="76"/>
      <c r="FAJ55" s="76"/>
      <c r="FAK55" s="76"/>
      <c r="FAL55" s="76"/>
      <c r="FAM55" s="76"/>
      <c r="FAN55" s="76"/>
      <c r="FAO55" s="76"/>
      <c r="FAP55" s="76"/>
      <c r="FAQ55" s="76"/>
      <c r="FAR55" s="76"/>
      <c r="FAS55" s="76"/>
      <c r="FAT55" s="76"/>
      <c r="FAU55" s="76"/>
      <c r="FAV55" s="76"/>
      <c r="FAW55" s="76"/>
      <c r="FAX55" s="76"/>
      <c r="FAY55" s="76"/>
      <c r="FAZ55" s="76"/>
      <c r="FBA55" s="76"/>
      <c r="FBB55" s="76"/>
      <c r="FBC55" s="76"/>
      <c r="FBD55" s="76"/>
      <c r="FBE55" s="76"/>
      <c r="FBF55" s="76"/>
      <c r="FBG55" s="76"/>
      <c r="FBH55" s="76"/>
      <c r="FBI55" s="76"/>
      <c r="FBJ55" s="76"/>
      <c r="FBK55" s="76"/>
      <c r="FBL55" s="76"/>
      <c r="FBM55" s="76"/>
      <c r="FBN55" s="76"/>
      <c r="FBO55" s="76"/>
      <c r="FBP55" s="76"/>
      <c r="FBQ55" s="76"/>
      <c r="FBR55" s="76"/>
      <c r="FBS55" s="76"/>
      <c r="FBT55" s="76"/>
      <c r="FBU55" s="76"/>
      <c r="FBV55" s="76"/>
      <c r="FBW55" s="76"/>
      <c r="FBX55" s="76"/>
      <c r="FBY55" s="76"/>
      <c r="FBZ55" s="76"/>
      <c r="FCA55" s="76"/>
      <c r="FCB55" s="76"/>
      <c r="FCC55" s="76"/>
      <c r="FCD55" s="76"/>
      <c r="FCE55" s="76"/>
      <c r="FCF55" s="76"/>
      <c r="FCG55" s="76"/>
      <c r="FCH55" s="76"/>
      <c r="FCI55" s="76"/>
      <c r="FCJ55" s="76"/>
      <c r="FCK55" s="76"/>
      <c r="FCL55" s="76"/>
      <c r="FCM55" s="76"/>
      <c r="FCN55" s="76"/>
      <c r="FCO55" s="76"/>
      <c r="FCP55" s="76"/>
      <c r="FCQ55" s="76"/>
      <c r="FCR55" s="76"/>
      <c r="FCS55" s="76"/>
      <c r="FCT55" s="76"/>
      <c r="FCU55" s="76"/>
      <c r="FCV55" s="76"/>
      <c r="FCW55" s="76"/>
      <c r="FCX55" s="76"/>
      <c r="FCY55" s="76"/>
      <c r="FCZ55" s="76"/>
      <c r="FDA55" s="76"/>
      <c r="FDB55" s="76"/>
      <c r="FDC55" s="76"/>
      <c r="FDD55" s="76"/>
      <c r="FDE55" s="76"/>
      <c r="FDF55" s="76"/>
      <c r="FDG55" s="76"/>
      <c r="FDH55" s="76"/>
      <c r="FDI55" s="76"/>
      <c r="FDJ55" s="76"/>
      <c r="FDK55" s="76"/>
      <c r="FDL55" s="76"/>
      <c r="FDM55" s="76"/>
      <c r="FDN55" s="76"/>
      <c r="FDO55" s="76"/>
      <c r="FDP55" s="76"/>
      <c r="FDQ55" s="76"/>
      <c r="FDR55" s="76"/>
      <c r="FDS55" s="76"/>
      <c r="FDT55" s="76"/>
      <c r="FDU55" s="76"/>
      <c r="FDV55" s="76"/>
      <c r="FDW55" s="76"/>
      <c r="FDX55" s="76"/>
      <c r="FDY55" s="76"/>
      <c r="FDZ55" s="76"/>
      <c r="FEA55" s="76"/>
      <c r="FEB55" s="76"/>
      <c r="FEC55" s="76"/>
      <c r="FED55" s="76"/>
      <c r="FEE55" s="76"/>
      <c r="FEF55" s="76"/>
      <c r="FEG55" s="76"/>
      <c r="FEH55" s="76"/>
      <c r="FEI55" s="76"/>
      <c r="FEJ55" s="76"/>
      <c r="FEK55" s="76"/>
      <c r="FEL55" s="76"/>
      <c r="FEM55" s="76"/>
      <c r="FEN55" s="76"/>
      <c r="FEO55" s="76"/>
      <c r="FEP55" s="76"/>
      <c r="FEQ55" s="76"/>
      <c r="FER55" s="76"/>
      <c r="FES55" s="76"/>
      <c r="FET55" s="76"/>
      <c r="FEU55" s="76"/>
      <c r="FEV55" s="76"/>
      <c r="FEW55" s="76"/>
      <c r="FEX55" s="76"/>
      <c r="FEY55" s="76"/>
      <c r="FEZ55" s="76"/>
      <c r="FFA55" s="76"/>
      <c r="FFB55" s="76"/>
      <c r="FFC55" s="76"/>
      <c r="FFD55" s="76"/>
      <c r="FFE55" s="76"/>
      <c r="FFF55" s="76"/>
      <c r="FFG55" s="76"/>
      <c r="FFH55" s="76"/>
      <c r="FFI55" s="76"/>
      <c r="FFJ55" s="76"/>
      <c r="FFK55" s="76"/>
      <c r="FFL55" s="76"/>
      <c r="FFM55" s="76"/>
      <c r="FFN55" s="76"/>
      <c r="FFO55" s="76"/>
      <c r="FFP55" s="76"/>
      <c r="FFQ55" s="76"/>
      <c r="FFR55" s="76"/>
      <c r="FFS55" s="76"/>
      <c r="FFT55" s="76"/>
      <c r="FFU55" s="76"/>
      <c r="FFV55" s="76"/>
      <c r="FFW55" s="76"/>
      <c r="FFX55" s="76"/>
      <c r="FFY55" s="76"/>
      <c r="FFZ55" s="76"/>
      <c r="FGA55" s="76"/>
      <c r="FGB55" s="76"/>
      <c r="FGC55" s="76"/>
      <c r="FGD55" s="76"/>
      <c r="FGE55" s="76"/>
      <c r="FGF55" s="76"/>
      <c r="FGG55" s="76"/>
      <c r="FGH55" s="76"/>
      <c r="FGI55" s="76"/>
      <c r="FGJ55" s="76"/>
      <c r="FGK55" s="76"/>
      <c r="FGL55" s="76"/>
      <c r="FGM55" s="76"/>
      <c r="FGN55" s="76"/>
      <c r="FGO55" s="76"/>
      <c r="FGP55" s="76"/>
      <c r="FGQ55" s="76"/>
      <c r="FGR55" s="76"/>
      <c r="FGS55" s="76"/>
      <c r="FGT55" s="76"/>
      <c r="FGU55" s="76"/>
      <c r="FGV55" s="76"/>
      <c r="FGW55" s="76"/>
      <c r="FGX55" s="76"/>
      <c r="FGY55" s="76"/>
      <c r="FGZ55" s="76"/>
      <c r="FHA55" s="76"/>
      <c r="FHB55" s="76"/>
      <c r="FHC55" s="76"/>
      <c r="FHD55" s="76"/>
      <c r="FHE55" s="76"/>
      <c r="FHF55" s="76"/>
      <c r="FHG55" s="76"/>
      <c r="FHH55" s="76"/>
      <c r="FHI55" s="76"/>
      <c r="FHJ55" s="76"/>
      <c r="FHK55" s="76"/>
      <c r="FHL55" s="76"/>
      <c r="FHM55" s="76"/>
      <c r="FHN55" s="76"/>
      <c r="FHO55" s="76"/>
      <c r="FHP55" s="76"/>
      <c r="FHQ55" s="76"/>
      <c r="FHR55" s="76"/>
      <c r="FHS55" s="76"/>
      <c r="FHT55" s="76"/>
      <c r="FHU55" s="76"/>
      <c r="FHV55" s="76"/>
      <c r="FHW55" s="76"/>
      <c r="FHX55" s="76"/>
      <c r="FHY55" s="76"/>
      <c r="FHZ55" s="76"/>
      <c r="FIA55" s="76"/>
      <c r="FIB55" s="76"/>
      <c r="FIC55" s="76"/>
      <c r="FID55" s="76"/>
      <c r="FIE55" s="76"/>
      <c r="FIF55" s="76"/>
      <c r="FIG55" s="76"/>
      <c r="FIH55" s="76"/>
      <c r="FII55" s="76"/>
      <c r="FIJ55" s="76"/>
      <c r="FIK55" s="76"/>
      <c r="FIL55" s="76"/>
      <c r="FIM55" s="76"/>
      <c r="FIN55" s="76"/>
      <c r="FIO55" s="76"/>
      <c r="FIP55" s="76"/>
      <c r="FIQ55" s="76"/>
      <c r="FIR55" s="76"/>
      <c r="FIS55" s="76"/>
      <c r="FIT55" s="76"/>
      <c r="FIU55" s="76"/>
      <c r="FIV55" s="76"/>
      <c r="FIW55" s="76"/>
      <c r="FIX55" s="76"/>
      <c r="FIY55" s="76"/>
      <c r="FIZ55" s="76"/>
      <c r="FJA55" s="76"/>
      <c r="FJB55" s="76"/>
      <c r="FJC55" s="76"/>
      <c r="FJD55" s="76"/>
      <c r="FJE55" s="76"/>
      <c r="FJF55" s="76"/>
      <c r="FJG55" s="76"/>
      <c r="FJH55" s="76"/>
      <c r="FJI55" s="76"/>
      <c r="FJJ55" s="76"/>
      <c r="FJK55" s="76"/>
      <c r="FJL55" s="76"/>
      <c r="FJM55" s="76"/>
      <c r="FJN55" s="76"/>
      <c r="FJO55" s="76"/>
      <c r="FJP55" s="76"/>
      <c r="FJQ55" s="76"/>
      <c r="FJR55" s="76"/>
      <c r="FJS55" s="76"/>
      <c r="FJT55" s="76"/>
      <c r="FJU55" s="76"/>
      <c r="FJV55" s="76"/>
      <c r="FJW55" s="76"/>
      <c r="FJX55" s="76"/>
      <c r="FJY55" s="76"/>
      <c r="FJZ55" s="76"/>
      <c r="FKA55" s="76"/>
      <c r="FKB55" s="76"/>
      <c r="FKC55" s="76"/>
      <c r="FKD55" s="76"/>
      <c r="FKE55" s="76"/>
      <c r="FKF55" s="76"/>
      <c r="FKG55" s="76"/>
      <c r="FKH55" s="76"/>
      <c r="FKI55" s="76"/>
      <c r="FKJ55" s="76"/>
      <c r="FKK55" s="76"/>
      <c r="FKL55" s="76"/>
      <c r="FKM55" s="76"/>
      <c r="FKN55" s="76"/>
      <c r="FKO55" s="76"/>
      <c r="FKP55" s="76"/>
      <c r="FKQ55" s="76"/>
      <c r="FKR55" s="76"/>
      <c r="FKS55" s="76"/>
      <c r="FKT55" s="76"/>
      <c r="FKU55" s="76"/>
      <c r="FKV55" s="76"/>
      <c r="FKW55" s="76"/>
      <c r="FKX55" s="76"/>
      <c r="FKY55" s="76"/>
      <c r="FKZ55" s="76"/>
      <c r="FLA55" s="76"/>
      <c r="FLB55" s="76"/>
      <c r="FLC55" s="76"/>
      <c r="FLD55" s="76"/>
      <c r="FLE55" s="76"/>
      <c r="FLF55" s="76"/>
      <c r="FLG55" s="76"/>
      <c r="FLH55" s="76"/>
      <c r="FLI55" s="76"/>
      <c r="FLJ55" s="76"/>
      <c r="FLK55" s="76"/>
      <c r="FLL55" s="76"/>
      <c r="FLM55" s="76"/>
      <c r="FLN55" s="76"/>
      <c r="FLO55" s="76"/>
      <c r="FLP55" s="76"/>
      <c r="FLQ55" s="76"/>
      <c r="FLR55" s="76"/>
      <c r="FLS55" s="76"/>
      <c r="FLT55" s="76"/>
      <c r="FLU55" s="76"/>
      <c r="FLV55" s="76"/>
      <c r="FLW55" s="76"/>
      <c r="FLX55" s="76"/>
      <c r="FLY55" s="76"/>
      <c r="FLZ55" s="76"/>
      <c r="FMA55" s="76"/>
      <c r="FMB55" s="76"/>
      <c r="FMC55" s="76"/>
      <c r="FMD55" s="76"/>
      <c r="FME55" s="76"/>
      <c r="FMF55" s="76"/>
      <c r="FMG55" s="76"/>
      <c r="FMH55" s="76"/>
      <c r="FMI55" s="76"/>
      <c r="FMJ55" s="76"/>
      <c r="FMK55" s="76"/>
      <c r="FML55" s="76"/>
      <c r="FMM55" s="76"/>
      <c r="FMN55" s="76"/>
      <c r="FMO55" s="76"/>
      <c r="FMP55" s="76"/>
      <c r="FMQ55" s="76"/>
      <c r="FMR55" s="76"/>
      <c r="FMS55" s="76"/>
      <c r="FMT55" s="76"/>
      <c r="FMU55" s="76"/>
      <c r="FMV55" s="76"/>
      <c r="FMW55" s="76"/>
      <c r="FMX55" s="76"/>
      <c r="FMY55" s="76"/>
      <c r="FMZ55" s="76"/>
      <c r="FNA55" s="76"/>
      <c r="FNB55" s="76"/>
      <c r="FNC55" s="76"/>
      <c r="FND55" s="76"/>
      <c r="FNE55" s="76"/>
      <c r="FNF55" s="76"/>
      <c r="FNG55" s="76"/>
      <c r="FNH55" s="76"/>
      <c r="FNI55" s="76"/>
      <c r="FNJ55" s="76"/>
      <c r="FNK55" s="76"/>
      <c r="FNL55" s="76"/>
      <c r="FNM55" s="76"/>
      <c r="FNN55" s="76"/>
      <c r="FNO55" s="76"/>
      <c r="FNP55" s="76"/>
      <c r="FNQ55" s="76"/>
      <c r="FNR55" s="76"/>
      <c r="FNS55" s="76"/>
      <c r="FNT55" s="76"/>
      <c r="FNU55" s="76"/>
      <c r="FNV55" s="76"/>
      <c r="FNW55" s="76"/>
      <c r="FNX55" s="76"/>
      <c r="FNY55" s="76"/>
      <c r="FNZ55" s="76"/>
      <c r="FOA55" s="76"/>
      <c r="FOB55" s="76"/>
      <c r="FOC55" s="76"/>
      <c r="FOD55" s="76"/>
      <c r="FOE55" s="76"/>
      <c r="FOF55" s="76"/>
      <c r="FOG55" s="76"/>
      <c r="FOH55" s="76"/>
      <c r="FOI55" s="76"/>
      <c r="FOJ55" s="76"/>
      <c r="FOK55" s="76"/>
      <c r="FOL55" s="76"/>
      <c r="FOM55" s="76"/>
      <c r="FON55" s="76"/>
      <c r="FOO55" s="76"/>
      <c r="FOP55" s="76"/>
      <c r="FOQ55" s="76"/>
      <c r="FOR55" s="76"/>
      <c r="FOS55" s="76"/>
      <c r="FOT55" s="76"/>
      <c r="FOU55" s="76"/>
      <c r="FOV55" s="76"/>
      <c r="FOW55" s="76"/>
      <c r="FOX55" s="76"/>
      <c r="FOY55" s="76"/>
      <c r="FOZ55" s="76"/>
      <c r="FPA55" s="76"/>
      <c r="FPB55" s="76"/>
      <c r="FPC55" s="76"/>
      <c r="FPD55" s="76"/>
      <c r="FPE55" s="76"/>
      <c r="FPF55" s="76"/>
      <c r="FPG55" s="76"/>
      <c r="FPH55" s="76"/>
      <c r="FPI55" s="76"/>
      <c r="FPJ55" s="76"/>
      <c r="FPK55" s="76"/>
      <c r="FPL55" s="76"/>
      <c r="FPM55" s="76"/>
      <c r="FPN55" s="76"/>
      <c r="FPO55" s="76"/>
      <c r="FPP55" s="76"/>
      <c r="FPQ55" s="76"/>
      <c r="FPR55" s="76"/>
      <c r="FPS55" s="76"/>
      <c r="FPT55" s="76"/>
      <c r="FPU55" s="76"/>
      <c r="FPV55" s="76"/>
      <c r="FPW55" s="76"/>
      <c r="FPX55" s="76"/>
      <c r="FPY55" s="76"/>
      <c r="FPZ55" s="76"/>
      <c r="FQA55" s="76"/>
      <c r="FQB55" s="76"/>
      <c r="FQC55" s="76"/>
      <c r="FQD55" s="76"/>
      <c r="FQE55" s="76"/>
      <c r="FQF55" s="76"/>
      <c r="FQG55" s="76"/>
      <c r="FQH55" s="76"/>
      <c r="FQI55" s="76"/>
      <c r="FQJ55" s="76"/>
      <c r="FQK55" s="76"/>
      <c r="FQL55" s="76"/>
      <c r="FQM55" s="76"/>
      <c r="FQN55" s="76"/>
      <c r="FQO55" s="76"/>
      <c r="FQP55" s="76"/>
      <c r="FQQ55" s="76"/>
      <c r="FQR55" s="76"/>
      <c r="FQS55" s="76"/>
      <c r="FQT55" s="76"/>
      <c r="FQU55" s="76"/>
      <c r="FQV55" s="76"/>
      <c r="FQW55" s="76"/>
      <c r="FQX55" s="76"/>
      <c r="FQY55" s="76"/>
      <c r="FQZ55" s="76"/>
      <c r="FRA55" s="76"/>
      <c r="FRB55" s="76"/>
      <c r="FRC55" s="76"/>
      <c r="FRD55" s="76"/>
      <c r="FRE55" s="76"/>
      <c r="FRF55" s="76"/>
      <c r="FRG55" s="76"/>
      <c r="FRH55" s="76"/>
      <c r="FRI55" s="76"/>
      <c r="FRJ55" s="76"/>
      <c r="FRK55" s="76"/>
      <c r="FRL55" s="76"/>
      <c r="FRM55" s="76"/>
      <c r="FRN55" s="76"/>
      <c r="FRO55" s="76"/>
      <c r="FRP55" s="76"/>
      <c r="FRQ55" s="76"/>
      <c r="FRR55" s="76"/>
      <c r="FRS55" s="76"/>
      <c r="FRT55" s="76"/>
      <c r="FRU55" s="76"/>
      <c r="FRV55" s="76"/>
      <c r="FRW55" s="76"/>
      <c r="FRX55" s="76"/>
      <c r="FRY55" s="76"/>
      <c r="FRZ55" s="76"/>
      <c r="FSA55" s="76"/>
      <c r="FSB55" s="76"/>
      <c r="FSC55" s="76"/>
      <c r="FSD55" s="76"/>
      <c r="FSE55" s="76"/>
      <c r="FSF55" s="76"/>
      <c r="FSG55" s="76"/>
      <c r="FSH55" s="76"/>
      <c r="FSI55" s="76"/>
      <c r="FSJ55" s="76"/>
      <c r="FSK55" s="76"/>
      <c r="FSL55" s="76"/>
      <c r="FSM55" s="76"/>
      <c r="FSN55" s="76"/>
      <c r="FSO55" s="76"/>
      <c r="FSP55" s="76"/>
      <c r="FSQ55" s="76"/>
      <c r="FSR55" s="76"/>
      <c r="FSS55" s="76"/>
      <c r="FST55" s="76"/>
      <c r="FSU55" s="76"/>
      <c r="FSV55" s="76"/>
      <c r="FSW55" s="76"/>
      <c r="FSX55" s="76"/>
      <c r="FSY55" s="76"/>
      <c r="FSZ55" s="76"/>
      <c r="FTA55" s="76"/>
      <c r="FTB55" s="76"/>
      <c r="FTC55" s="76"/>
      <c r="FTD55" s="76"/>
      <c r="FTE55" s="76"/>
      <c r="FTF55" s="76"/>
      <c r="FTG55" s="76"/>
      <c r="FTH55" s="76"/>
      <c r="FTI55" s="76"/>
      <c r="FTJ55" s="76"/>
      <c r="FTK55" s="76"/>
      <c r="FTL55" s="76"/>
      <c r="FTM55" s="76"/>
      <c r="FTN55" s="76"/>
      <c r="FTO55" s="76"/>
      <c r="FTP55" s="76"/>
      <c r="FTQ55" s="76"/>
      <c r="FTR55" s="76"/>
      <c r="FTS55" s="76"/>
      <c r="FTT55" s="76"/>
      <c r="FTU55" s="76"/>
      <c r="FTV55" s="76"/>
      <c r="FTW55" s="76"/>
      <c r="FTX55" s="76"/>
      <c r="FTY55" s="76"/>
      <c r="FTZ55" s="76"/>
      <c r="FUA55" s="76"/>
      <c r="FUB55" s="76"/>
      <c r="FUC55" s="76"/>
      <c r="FUD55" s="76"/>
      <c r="FUE55" s="76"/>
      <c r="FUF55" s="76"/>
      <c r="FUG55" s="76"/>
      <c r="FUH55" s="76"/>
      <c r="FUI55" s="76"/>
      <c r="FUJ55" s="76"/>
      <c r="FUK55" s="76"/>
      <c r="FUL55" s="76"/>
      <c r="FUM55" s="76"/>
      <c r="FUN55" s="76"/>
      <c r="FUO55" s="76"/>
      <c r="FUP55" s="76"/>
      <c r="FUQ55" s="76"/>
      <c r="FUR55" s="76"/>
      <c r="FUS55" s="76"/>
      <c r="FUT55" s="76"/>
      <c r="FUU55" s="76"/>
      <c r="FUV55" s="76"/>
      <c r="FUW55" s="76"/>
      <c r="FUX55" s="76"/>
      <c r="FUY55" s="76"/>
      <c r="FUZ55" s="76"/>
      <c r="FVA55" s="76"/>
      <c r="FVB55" s="76"/>
      <c r="FVC55" s="76"/>
      <c r="FVD55" s="76"/>
      <c r="FVE55" s="76"/>
      <c r="FVF55" s="76"/>
      <c r="FVG55" s="76"/>
      <c r="FVH55" s="76"/>
      <c r="FVI55" s="76"/>
      <c r="FVJ55" s="76"/>
      <c r="FVK55" s="76"/>
      <c r="FVL55" s="76"/>
      <c r="FVM55" s="76"/>
      <c r="FVN55" s="76"/>
      <c r="FVO55" s="76"/>
      <c r="FVP55" s="76"/>
      <c r="FVQ55" s="76"/>
      <c r="FVR55" s="76"/>
      <c r="FVS55" s="76"/>
      <c r="FVT55" s="76"/>
      <c r="FVU55" s="76"/>
      <c r="FVV55" s="76"/>
      <c r="FVW55" s="76"/>
      <c r="FVX55" s="76"/>
      <c r="FVY55" s="76"/>
      <c r="FVZ55" s="76"/>
      <c r="FWA55" s="76"/>
      <c r="FWB55" s="76"/>
      <c r="FWC55" s="76"/>
      <c r="FWD55" s="76"/>
      <c r="FWE55" s="76"/>
      <c r="FWF55" s="76"/>
      <c r="FWG55" s="76"/>
      <c r="FWH55" s="76"/>
      <c r="FWI55" s="76"/>
      <c r="FWJ55" s="76"/>
      <c r="FWK55" s="76"/>
      <c r="FWL55" s="76"/>
      <c r="FWM55" s="76"/>
      <c r="FWN55" s="76"/>
      <c r="FWO55" s="76"/>
      <c r="FWP55" s="76"/>
      <c r="FWQ55" s="76"/>
      <c r="FWR55" s="76"/>
      <c r="FWS55" s="76"/>
      <c r="FWT55" s="76"/>
      <c r="FWU55" s="76"/>
      <c r="FWV55" s="76"/>
      <c r="FWW55" s="76"/>
      <c r="FWX55" s="76"/>
      <c r="FWY55" s="76"/>
      <c r="FWZ55" s="76"/>
      <c r="FXA55" s="76"/>
      <c r="FXB55" s="76"/>
      <c r="FXC55" s="76"/>
      <c r="FXD55" s="76"/>
      <c r="FXE55" s="76"/>
      <c r="FXF55" s="76"/>
      <c r="FXG55" s="76"/>
      <c r="FXH55" s="76"/>
      <c r="FXI55" s="76"/>
      <c r="FXJ55" s="76"/>
      <c r="FXK55" s="76"/>
      <c r="FXL55" s="76"/>
      <c r="FXM55" s="76"/>
      <c r="FXN55" s="76"/>
      <c r="FXO55" s="76"/>
      <c r="FXP55" s="76"/>
      <c r="FXQ55" s="76"/>
      <c r="FXR55" s="76"/>
      <c r="FXS55" s="76"/>
      <c r="FXT55" s="76"/>
      <c r="FXU55" s="76"/>
      <c r="FXV55" s="76"/>
      <c r="FXW55" s="76"/>
      <c r="FXX55" s="76"/>
      <c r="FXY55" s="76"/>
      <c r="FXZ55" s="76"/>
      <c r="FYA55" s="76"/>
      <c r="FYB55" s="76"/>
      <c r="FYC55" s="76"/>
      <c r="FYD55" s="76"/>
      <c r="FYE55" s="76"/>
      <c r="FYF55" s="76"/>
      <c r="FYG55" s="76"/>
      <c r="FYH55" s="76"/>
      <c r="FYI55" s="76"/>
      <c r="FYJ55" s="76"/>
      <c r="FYK55" s="76"/>
      <c r="FYL55" s="76"/>
      <c r="FYM55" s="76"/>
      <c r="FYN55" s="76"/>
      <c r="FYO55" s="76"/>
      <c r="FYP55" s="76"/>
      <c r="FYQ55" s="76"/>
      <c r="FYR55" s="76"/>
      <c r="FYS55" s="76"/>
      <c r="FYT55" s="76"/>
      <c r="FYU55" s="76"/>
      <c r="FYV55" s="76"/>
      <c r="FYW55" s="76"/>
      <c r="FYX55" s="76"/>
      <c r="FYY55" s="76"/>
      <c r="FYZ55" s="76"/>
      <c r="FZA55" s="76"/>
      <c r="FZB55" s="76"/>
      <c r="FZC55" s="76"/>
      <c r="FZD55" s="76"/>
      <c r="FZE55" s="76"/>
      <c r="FZF55" s="76"/>
      <c r="FZG55" s="76"/>
      <c r="FZH55" s="76"/>
      <c r="FZI55" s="76"/>
      <c r="FZJ55" s="76"/>
      <c r="FZK55" s="76"/>
      <c r="FZL55" s="76"/>
      <c r="FZM55" s="76"/>
      <c r="FZN55" s="76"/>
      <c r="FZO55" s="76"/>
      <c r="FZP55" s="76"/>
      <c r="FZQ55" s="76"/>
      <c r="FZR55" s="76"/>
      <c r="FZS55" s="76"/>
      <c r="FZT55" s="76"/>
      <c r="FZU55" s="76"/>
      <c r="FZV55" s="76"/>
      <c r="FZW55" s="76"/>
      <c r="FZX55" s="76"/>
      <c r="FZY55" s="76"/>
      <c r="FZZ55" s="76"/>
      <c r="GAA55" s="76"/>
      <c r="GAB55" s="76"/>
      <c r="GAC55" s="76"/>
      <c r="GAD55" s="76"/>
      <c r="GAE55" s="76"/>
      <c r="GAF55" s="76"/>
      <c r="GAG55" s="76"/>
      <c r="GAH55" s="76"/>
      <c r="GAI55" s="76"/>
      <c r="GAJ55" s="76"/>
      <c r="GAK55" s="76"/>
      <c r="GAL55" s="76"/>
      <c r="GAM55" s="76"/>
      <c r="GAN55" s="76"/>
      <c r="GAO55" s="76"/>
      <c r="GAP55" s="76"/>
      <c r="GAQ55" s="76"/>
      <c r="GAR55" s="76"/>
      <c r="GAS55" s="76"/>
      <c r="GAT55" s="76"/>
      <c r="GAU55" s="76"/>
      <c r="GAV55" s="76"/>
      <c r="GAW55" s="76"/>
      <c r="GAX55" s="76"/>
      <c r="GAY55" s="76"/>
      <c r="GAZ55" s="76"/>
      <c r="GBA55" s="76"/>
      <c r="GBB55" s="76"/>
      <c r="GBC55" s="76"/>
      <c r="GBD55" s="76"/>
      <c r="GBE55" s="76"/>
      <c r="GBF55" s="76"/>
      <c r="GBG55" s="76"/>
      <c r="GBH55" s="76"/>
      <c r="GBI55" s="76"/>
      <c r="GBJ55" s="76"/>
      <c r="GBK55" s="76"/>
      <c r="GBL55" s="76"/>
      <c r="GBM55" s="76"/>
      <c r="GBN55" s="76"/>
      <c r="GBO55" s="76"/>
      <c r="GBP55" s="76"/>
      <c r="GBQ55" s="76"/>
      <c r="GBR55" s="76"/>
      <c r="GBS55" s="76"/>
      <c r="GBT55" s="76"/>
      <c r="GBU55" s="76"/>
      <c r="GBV55" s="76"/>
      <c r="GBW55" s="76"/>
      <c r="GBX55" s="76"/>
      <c r="GBY55" s="76"/>
      <c r="GBZ55" s="76"/>
      <c r="GCA55" s="76"/>
      <c r="GCB55" s="76"/>
      <c r="GCC55" s="76"/>
      <c r="GCD55" s="76"/>
      <c r="GCE55" s="76"/>
      <c r="GCF55" s="76"/>
      <c r="GCG55" s="76"/>
      <c r="GCH55" s="76"/>
      <c r="GCI55" s="76"/>
      <c r="GCJ55" s="76"/>
      <c r="GCK55" s="76"/>
      <c r="GCL55" s="76"/>
      <c r="GCM55" s="76"/>
      <c r="GCN55" s="76"/>
      <c r="GCO55" s="76"/>
      <c r="GCP55" s="76"/>
      <c r="GCQ55" s="76"/>
      <c r="GCR55" s="76"/>
      <c r="GCS55" s="76"/>
      <c r="GCT55" s="76"/>
      <c r="GCU55" s="76"/>
      <c r="GCV55" s="76"/>
      <c r="GCW55" s="76"/>
      <c r="GCX55" s="76"/>
      <c r="GCY55" s="76"/>
      <c r="GCZ55" s="76"/>
      <c r="GDA55" s="76"/>
      <c r="GDB55" s="76"/>
      <c r="GDC55" s="76"/>
      <c r="GDD55" s="76"/>
      <c r="GDE55" s="76"/>
      <c r="GDF55" s="76"/>
      <c r="GDG55" s="76"/>
      <c r="GDH55" s="76"/>
      <c r="GDI55" s="76"/>
      <c r="GDJ55" s="76"/>
      <c r="GDK55" s="76"/>
      <c r="GDL55" s="76"/>
      <c r="GDM55" s="76"/>
      <c r="GDN55" s="76"/>
      <c r="GDO55" s="76"/>
      <c r="GDP55" s="76"/>
      <c r="GDQ55" s="76"/>
      <c r="GDR55" s="76"/>
      <c r="GDS55" s="76"/>
      <c r="GDT55" s="76"/>
      <c r="GDU55" s="76"/>
      <c r="GDV55" s="76"/>
      <c r="GDW55" s="76"/>
      <c r="GDX55" s="76"/>
      <c r="GDY55" s="76"/>
      <c r="GDZ55" s="76"/>
      <c r="GEA55" s="76"/>
      <c r="GEB55" s="76"/>
      <c r="GEC55" s="76"/>
      <c r="GED55" s="76"/>
      <c r="GEE55" s="76"/>
      <c r="GEF55" s="76"/>
      <c r="GEG55" s="76"/>
      <c r="GEH55" s="76"/>
      <c r="GEI55" s="76"/>
      <c r="GEJ55" s="76"/>
      <c r="GEK55" s="76"/>
      <c r="GEL55" s="76"/>
      <c r="GEM55" s="76"/>
      <c r="GEN55" s="76"/>
      <c r="GEO55" s="76"/>
      <c r="GEP55" s="76"/>
      <c r="GEQ55" s="76"/>
      <c r="GER55" s="76"/>
      <c r="GES55" s="76"/>
      <c r="GET55" s="76"/>
      <c r="GEU55" s="76"/>
      <c r="GEV55" s="76"/>
      <c r="GEW55" s="76"/>
      <c r="GEX55" s="76"/>
      <c r="GEY55" s="76"/>
      <c r="GEZ55" s="76"/>
      <c r="GFA55" s="76"/>
      <c r="GFB55" s="76"/>
      <c r="GFC55" s="76"/>
      <c r="GFD55" s="76"/>
      <c r="GFE55" s="76"/>
      <c r="GFF55" s="76"/>
      <c r="GFG55" s="76"/>
      <c r="GFH55" s="76"/>
      <c r="GFI55" s="76"/>
      <c r="GFJ55" s="76"/>
      <c r="GFK55" s="76"/>
      <c r="GFL55" s="76"/>
      <c r="GFM55" s="76"/>
      <c r="GFN55" s="76"/>
      <c r="GFO55" s="76"/>
      <c r="GFP55" s="76"/>
      <c r="GFQ55" s="76"/>
      <c r="GFR55" s="76"/>
      <c r="GFS55" s="76"/>
      <c r="GFT55" s="76"/>
      <c r="GFU55" s="76"/>
      <c r="GFV55" s="76"/>
      <c r="GFW55" s="76"/>
      <c r="GFX55" s="76"/>
      <c r="GFY55" s="76"/>
      <c r="GFZ55" s="76"/>
      <c r="GGA55" s="76"/>
      <c r="GGB55" s="76"/>
      <c r="GGC55" s="76"/>
      <c r="GGD55" s="76"/>
      <c r="GGE55" s="76"/>
      <c r="GGF55" s="76"/>
      <c r="GGG55" s="76"/>
      <c r="GGH55" s="76"/>
      <c r="GGI55" s="76"/>
      <c r="GGJ55" s="76"/>
      <c r="GGK55" s="76"/>
      <c r="GGL55" s="76"/>
      <c r="GGM55" s="76"/>
      <c r="GGN55" s="76"/>
      <c r="GGO55" s="76"/>
      <c r="GGP55" s="76"/>
      <c r="GGQ55" s="76"/>
      <c r="GGR55" s="76"/>
      <c r="GGS55" s="76"/>
      <c r="GGT55" s="76"/>
      <c r="GGU55" s="76"/>
      <c r="GGV55" s="76"/>
      <c r="GGW55" s="76"/>
      <c r="GGX55" s="76"/>
      <c r="GGY55" s="76"/>
      <c r="GGZ55" s="76"/>
      <c r="GHA55" s="76"/>
      <c r="GHB55" s="76"/>
      <c r="GHC55" s="76"/>
      <c r="GHD55" s="76"/>
      <c r="GHE55" s="76"/>
      <c r="GHF55" s="76"/>
      <c r="GHG55" s="76"/>
      <c r="GHH55" s="76"/>
      <c r="GHI55" s="76"/>
      <c r="GHJ55" s="76"/>
      <c r="GHK55" s="76"/>
      <c r="GHL55" s="76"/>
      <c r="GHM55" s="76"/>
      <c r="GHN55" s="76"/>
      <c r="GHO55" s="76"/>
      <c r="GHP55" s="76"/>
      <c r="GHQ55" s="76"/>
      <c r="GHR55" s="76"/>
      <c r="GHS55" s="76"/>
      <c r="GHT55" s="76"/>
      <c r="GHU55" s="76"/>
      <c r="GHV55" s="76"/>
      <c r="GHW55" s="76"/>
      <c r="GHX55" s="76"/>
      <c r="GHY55" s="76"/>
      <c r="GHZ55" s="76"/>
      <c r="GIA55" s="76"/>
      <c r="GIB55" s="76"/>
      <c r="GIC55" s="76"/>
      <c r="GID55" s="76"/>
      <c r="GIE55" s="76"/>
      <c r="GIF55" s="76"/>
      <c r="GIG55" s="76"/>
      <c r="GIH55" s="76"/>
      <c r="GII55" s="76"/>
      <c r="GIJ55" s="76"/>
      <c r="GIK55" s="76"/>
      <c r="GIL55" s="76"/>
      <c r="GIM55" s="76"/>
      <c r="GIN55" s="76"/>
      <c r="GIO55" s="76"/>
      <c r="GIP55" s="76"/>
      <c r="GIQ55" s="76"/>
      <c r="GIR55" s="76"/>
      <c r="GIS55" s="76"/>
      <c r="GIT55" s="76"/>
      <c r="GIU55" s="76"/>
      <c r="GIV55" s="76"/>
      <c r="GIW55" s="76"/>
      <c r="GIX55" s="76"/>
      <c r="GIY55" s="76"/>
      <c r="GIZ55" s="76"/>
      <c r="GJA55" s="76"/>
      <c r="GJB55" s="76"/>
      <c r="GJC55" s="76"/>
      <c r="GJD55" s="76"/>
      <c r="GJE55" s="76"/>
      <c r="GJF55" s="76"/>
      <c r="GJG55" s="76"/>
      <c r="GJH55" s="76"/>
      <c r="GJI55" s="76"/>
      <c r="GJJ55" s="76"/>
      <c r="GJK55" s="76"/>
      <c r="GJL55" s="76"/>
      <c r="GJM55" s="76"/>
      <c r="GJN55" s="76"/>
      <c r="GJO55" s="76"/>
      <c r="GJP55" s="76"/>
      <c r="GJQ55" s="76"/>
      <c r="GJR55" s="76"/>
      <c r="GJS55" s="76"/>
      <c r="GJT55" s="76"/>
      <c r="GJU55" s="76"/>
      <c r="GJV55" s="76"/>
      <c r="GJW55" s="76"/>
      <c r="GJX55" s="76"/>
      <c r="GJY55" s="76"/>
      <c r="GJZ55" s="76"/>
      <c r="GKA55" s="76"/>
      <c r="GKB55" s="76"/>
      <c r="GKC55" s="76"/>
      <c r="GKD55" s="76"/>
      <c r="GKE55" s="76"/>
      <c r="GKF55" s="76"/>
      <c r="GKG55" s="76"/>
      <c r="GKH55" s="76"/>
      <c r="GKI55" s="76"/>
      <c r="GKJ55" s="76"/>
      <c r="GKK55" s="76"/>
      <c r="GKL55" s="76"/>
      <c r="GKM55" s="76"/>
      <c r="GKN55" s="76"/>
      <c r="GKO55" s="76"/>
      <c r="GKP55" s="76"/>
      <c r="GKQ55" s="76"/>
      <c r="GKR55" s="76"/>
      <c r="GKS55" s="76"/>
      <c r="GKT55" s="76"/>
      <c r="GKU55" s="76"/>
      <c r="GKV55" s="76"/>
      <c r="GKW55" s="76"/>
      <c r="GKX55" s="76"/>
      <c r="GKY55" s="76"/>
      <c r="GKZ55" s="76"/>
      <c r="GLA55" s="76"/>
      <c r="GLB55" s="76"/>
      <c r="GLC55" s="76"/>
      <c r="GLD55" s="76"/>
      <c r="GLE55" s="76"/>
      <c r="GLF55" s="76"/>
      <c r="GLG55" s="76"/>
      <c r="GLH55" s="76"/>
      <c r="GLI55" s="76"/>
      <c r="GLJ55" s="76"/>
      <c r="GLK55" s="76"/>
      <c r="GLL55" s="76"/>
      <c r="GLM55" s="76"/>
      <c r="GLN55" s="76"/>
      <c r="GLO55" s="76"/>
      <c r="GLP55" s="76"/>
      <c r="GLQ55" s="76"/>
      <c r="GLR55" s="76"/>
      <c r="GLS55" s="76"/>
      <c r="GLT55" s="76"/>
      <c r="GLU55" s="76"/>
      <c r="GLV55" s="76"/>
      <c r="GLW55" s="76"/>
      <c r="GLX55" s="76"/>
      <c r="GLY55" s="76"/>
      <c r="GLZ55" s="76"/>
      <c r="GMA55" s="76"/>
      <c r="GMB55" s="76"/>
      <c r="GMC55" s="76"/>
      <c r="GMD55" s="76"/>
      <c r="GME55" s="76"/>
      <c r="GMF55" s="76"/>
      <c r="GMG55" s="76"/>
      <c r="GMH55" s="76"/>
      <c r="GMI55" s="76"/>
      <c r="GMJ55" s="76"/>
      <c r="GMK55" s="76"/>
      <c r="GML55" s="76"/>
      <c r="GMM55" s="76"/>
      <c r="GMN55" s="76"/>
      <c r="GMO55" s="76"/>
      <c r="GMP55" s="76"/>
      <c r="GMQ55" s="76"/>
      <c r="GMR55" s="76"/>
      <c r="GMS55" s="76"/>
      <c r="GMT55" s="76"/>
      <c r="GMU55" s="76"/>
      <c r="GMV55" s="76"/>
      <c r="GMW55" s="76"/>
      <c r="GMX55" s="76"/>
      <c r="GMY55" s="76"/>
      <c r="GMZ55" s="76"/>
      <c r="GNA55" s="76"/>
      <c r="GNB55" s="76"/>
      <c r="GNC55" s="76"/>
      <c r="GND55" s="76"/>
      <c r="GNE55" s="76"/>
      <c r="GNF55" s="76"/>
      <c r="GNG55" s="76"/>
      <c r="GNH55" s="76"/>
      <c r="GNI55" s="76"/>
      <c r="GNJ55" s="76"/>
      <c r="GNK55" s="76"/>
      <c r="GNL55" s="76"/>
      <c r="GNM55" s="76"/>
      <c r="GNN55" s="76"/>
      <c r="GNO55" s="76"/>
      <c r="GNP55" s="76"/>
      <c r="GNQ55" s="76"/>
      <c r="GNR55" s="76"/>
      <c r="GNS55" s="76"/>
      <c r="GNT55" s="76"/>
      <c r="GNU55" s="76"/>
      <c r="GNV55" s="76"/>
      <c r="GNW55" s="76"/>
      <c r="GNX55" s="76"/>
      <c r="GNY55" s="76"/>
      <c r="GNZ55" s="76"/>
      <c r="GOA55" s="76"/>
      <c r="GOB55" s="76"/>
      <c r="GOC55" s="76"/>
      <c r="GOD55" s="76"/>
      <c r="GOE55" s="76"/>
      <c r="GOF55" s="76"/>
      <c r="GOG55" s="76"/>
      <c r="GOH55" s="76"/>
      <c r="GOI55" s="76"/>
      <c r="GOJ55" s="76"/>
      <c r="GOK55" s="76"/>
      <c r="GOL55" s="76"/>
      <c r="GOM55" s="76"/>
      <c r="GON55" s="76"/>
      <c r="GOO55" s="76"/>
      <c r="GOP55" s="76"/>
      <c r="GOQ55" s="76"/>
      <c r="GOR55" s="76"/>
      <c r="GOS55" s="76"/>
      <c r="GOT55" s="76"/>
      <c r="GOU55" s="76"/>
      <c r="GOV55" s="76"/>
      <c r="GOW55" s="76"/>
      <c r="GOX55" s="76"/>
      <c r="GOY55" s="76"/>
      <c r="GOZ55" s="76"/>
      <c r="GPA55" s="76"/>
      <c r="GPB55" s="76"/>
      <c r="GPC55" s="76"/>
      <c r="GPD55" s="76"/>
      <c r="GPE55" s="76"/>
      <c r="GPF55" s="76"/>
      <c r="GPG55" s="76"/>
      <c r="GPH55" s="76"/>
      <c r="GPI55" s="76"/>
      <c r="GPJ55" s="76"/>
      <c r="GPK55" s="76"/>
      <c r="GPL55" s="76"/>
      <c r="GPM55" s="76"/>
      <c r="GPN55" s="76"/>
      <c r="GPO55" s="76"/>
      <c r="GPP55" s="76"/>
      <c r="GPQ55" s="76"/>
      <c r="GPR55" s="76"/>
      <c r="GPS55" s="76"/>
      <c r="GPT55" s="76"/>
      <c r="GPU55" s="76"/>
      <c r="GPV55" s="76"/>
      <c r="GPW55" s="76"/>
      <c r="GPX55" s="76"/>
      <c r="GPY55" s="76"/>
      <c r="GPZ55" s="76"/>
      <c r="GQA55" s="76"/>
      <c r="GQB55" s="76"/>
      <c r="GQC55" s="76"/>
      <c r="GQD55" s="76"/>
      <c r="GQE55" s="76"/>
      <c r="GQF55" s="76"/>
      <c r="GQG55" s="76"/>
      <c r="GQH55" s="76"/>
      <c r="GQI55" s="76"/>
      <c r="GQJ55" s="76"/>
      <c r="GQK55" s="76"/>
      <c r="GQL55" s="76"/>
      <c r="GQM55" s="76"/>
      <c r="GQN55" s="76"/>
      <c r="GQO55" s="76"/>
      <c r="GQP55" s="76"/>
      <c r="GQQ55" s="76"/>
      <c r="GQR55" s="76"/>
      <c r="GQS55" s="76"/>
      <c r="GQT55" s="76"/>
      <c r="GQU55" s="76"/>
      <c r="GQV55" s="76"/>
      <c r="GQW55" s="76"/>
      <c r="GQX55" s="76"/>
      <c r="GQY55" s="76"/>
      <c r="GQZ55" s="76"/>
      <c r="GRA55" s="76"/>
      <c r="GRB55" s="76"/>
      <c r="GRC55" s="76"/>
      <c r="GRD55" s="76"/>
      <c r="GRE55" s="76"/>
      <c r="GRF55" s="76"/>
      <c r="GRG55" s="76"/>
      <c r="GRH55" s="76"/>
      <c r="GRI55" s="76"/>
      <c r="GRJ55" s="76"/>
      <c r="GRK55" s="76"/>
      <c r="GRL55" s="76"/>
      <c r="GRM55" s="76"/>
      <c r="GRN55" s="76"/>
      <c r="GRO55" s="76"/>
      <c r="GRP55" s="76"/>
      <c r="GRQ55" s="76"/>
      <c r="GRR55" s="76"/>
      <c r="GRS55" s="76"/>
      <c r="GRT55" s="76"/>
      <c r="GRU55" s="76"/>
      <c r="GRV55" s="76"/>
      <c r="GRW55" s="76"/>
      <c r="GRX55" s="76"/>
      <c r="GRY55" s="76"/>
      <c r="GRZ55" s="76"/>
      <c r="GSA55" s="76"/>
      <c r="GSB55" s="76"/>
      <c r="GSC55" s="76"/>
      <c r="GSD55" s="76"/>
      <c r="GSE55" s="76"/>
      <c r="GSF55" s="76"/>
      <c r="GSG55" s="76"/>
      <c r="GSH55" s="76"/>
      <c r="GSI55" s="76"/>
      <c r="GSJ55" s="76"/>
      <c r="GSK55" s="76"/>
      <c r="GSL55" s="76"/>
      <c r="GSM55" s="76"/>
      <c r="GSN55" s="76"/>
      <c r="GSO55" s="76"/>
      <c r="GSP55" s="76"/>
      <c r="GSQ55" s="76"/>
      <c r="GSR55" s="76"/>
      <c r="GSS55" s="76"/>
      <c r="GST55" s="76"/>
      <c r="GSU55" s="76"/>
      <c r="GSV55" s="76"/>
      <c r="GSW55" s="76"/>
      <c r="GSX55" s="76"/>
      <c r="GSY55" s="76"/>
      <c r="GSZ55" s="76"/>
      <c r="GTA55" s="76"/>
      <c r="GTB55" s="76"/>
      <c r="GTC55" s="76"/>
      <c r="GTD55" s="76"/>
      <c r="GTE55" s="76"/>
      <c r="GTF55" s="76"/>
      <c r="GTG55" s="76"/>
      <c r="GTH55" s="76"/>
      <c r="GTI55" s="76"/>
      <c r="GTJ55" s="76"/>
      <c r="GTK55" s="76"/>
      <c r="GTL55" s="76"/>
      <c r="GTM55" s="76"/>
      <c r="GTN55" s="76"/>
      <c r="GTO55" s="76"/>
      <c r="GTP55" s="76"/>
      <c r="GTQ55" s="76"/>
      <c r="GTR55" s="76"/>
      <c r="GTS55" s="76"/>
      <c r="GTT55" s="76"/>
      <c r="GTU55" s="76"/>
      <c r="GTV55" s="76"/>
      <c r="GTW55" s="76"/>
      <c r="GTX55" s="76"/>
      <c r="GTY55" s="76"/>
      <c r="GTZ55" s="76"/>
      <c r="GUA55" s="76"/>
      <c r="GUB55" s="76"/>
      <c r="GUC55" s="76"/>
      <c r="GUD55" s="76"/>
      <c r="GUE55" s="76"/>
      <c r="GUF55" s="76"/>
      <c r="GUG55" s="76"/>
      <c r="GUH55" s="76"/>
      <c r="GUI55" s="76"/>
      <c r="GUJ55" s="76"/>
      <c r="GUK55" s="76"/>
      <c r="GUL55" s="76"/>
      <c r="GUM55" s="76"/>
      <c r="GUN55" s="76"/>
      <c r="GUO55" s="76"/>
      <c r="GUP55" s="76"/>
      <c r="GUQ55" s="76"/>
      <c r="GUR55" s="76"/>
      <c r="GUS55" s="76"/>
      <c r="GUT55" s="76"/>
      <c r="GUU55" s="76"/>
      <c r="GUV55" s="76"/>
      <c r="GUW55" s="76"/>
      <c r="GUX55" s="76"/>
      <c r="GUY55" s="76"/>
      <c r="GUZ55" s="76"/>
      <c r="GVA55" s="76"/>
      <c r="GVB55" s="76"/>
      <c r="GVC55" s="76"/>
      <c r="GVD55" s="76"/>
      <c r="GVE55" s="76"/>
      <c r="GVF55" s="76"/>
      <c r="GVG55" s="76"/>
      <c r="GVH55" s="76"/>
      <c r="GVI55" s="76"/>
      <c r="GVJ55" s="76"/>
      <c r="GVK55" s="76"/>
      <c r="GVL55" s="76"/>
      <c r="GVM55" s="76"/>
      <c r="GVN55" s="76"/>
      <c r="GVO55" s="76"/>
      <c r="GVP55" s="76"/>
      <c r="GVQ55" s="76"/>
      <c r="GVR55" s="76"/>
      <c r="GVS55" s="76"/>
      <c r="GVT55" s="76"/>
      <c r="GVU55" s="76"/>
      <c r="GVV55" s="76"/>
      <c r="GVW55" s="76"/>
      <c r="GVX55" s="76"/>
      <c r="GVY55" s="76"/>
      <c r="GVZ55" s="76"/>
      <c r="GWA55" s="76"/>
      <c r="GWB55" s="76"/>
      <c r="GWC55" s="76"/>
      <c r="GWD55" s="76"/>
      <c r="GWE55" s="76"/>
      <c r="GWF55" s="76"/>
      <c r="GWG55" s="76"/>
      <c r="GWH55" s="76"/>
      <c r="GWI55" s="76"/>
      <c r="GWJ55" s="76"/>
      <c r="GWK55" s="76"/>
      <c r="GWL55" s="76"/>
      <c r="GWM55" s="76"/>
      <c r="GWN55" s="76"/>
      <c r="GWO55" s="76"/>
      <c r="GWP55" s="76"/>
      <c r="GWQ55" s="76"/>
      <c r="GWR55" s="76"/>
      <c r="GWS55" s="76"/>
      <c r="GWT55" s="76"/>
      <c r="GWU55" s="76"/>
      <c r="GWV55" s="76"/>
      <c r="GWW55" s="76"/>
      <c r="GWX55" s="76"/>
      <c r="GWY55" s="76"/>
      <c r="GWZ55" s="76"/>
      <c r="GXA55" s="76"/>
      <c r="GXB55" s="76"/>
      <c r="GXC55" s="76"/>
      <c r="GXD55" s="76"/>
      <c r="GXE55" s="76"/>
      <c r="GXF55" s="76"/>
      <c r="GXG55" s="76"/>
      <c r="GXH55" s="76"/>
      <c r="GXI55" s="76"/>
      <c r="GXJ55" s="76"/>
      <c r="GXK55" s="76"/>
      <c r="GXL55" s="76"/>
      <c r="GXM55" s="76"/>
      <c r="GXN55" s="76"/>
      <c r="GXO55" s="76"/>
      <c r="GXP55" s="76"/>
      <c r="GXQ55" s="76"/>
      <c r="GXR55" s="76"/>
      <c r="GXS55" s="76"/>
      <c r="GXT55" s="76"/>
      <c r="GXU55" s="76"/>
      <c r="GXV55" s="76"/>
      <c r="GXW55" s="76"/>
      <c r="GXX55" s="76"/>
      <c r="GXY55" s="76"/>
      <c r="GXZ55" s="76"/>
      <c r="GYA55" s="76"/>
      <c r="GYB55" s="76"/>
      <c r="GYC55" s="76"/>
      <c r="GYD55" s="76"/>
      <c r="GYE55" s="76"/>
      <c r="GYF55" s="76"/>
      <c r="GYG55" s="76"/>
      <c r="GYH55" s="76"/>
      <c r="GYI55" s="76"/>
      <c r="GYJ55" s="76"/>
      <c r="GYK55" s="76"/>
      <c r="GYL55" s="76"/>
      <c r="GYM55" s="76"/>
      <c r="GYN55" s="76"/>
      <c r="GYO55" s="76"/>
      <c r="GYP55" s="76"/>
      <c r="GYQ55" s="76"/>
      <c r="GYR55" s="76"/>
      <c r="GYS55" s="76"/>
      <c r="GYT55" s="76"/>
      <c r="GYU55" s="76"/>
      <c r="GYV55" s="76"/>
      <c r="GYW55" s="76"/>
      <c r="GYX55" s="76"/>
      <c r="GYY55" s="76"/>
      <c r="GYZ55" s="76"/>
      <c r="GZA55" s="76"/>
      <c r="GZB55" s="76"/>
      <c r="GZC55" s="76"/>
      <c r="GZD55" s="76"/>
      <c r="GZE55" s="76"/>
      <c r="GZF55" s="76"/>
      <c r="GZG55" s="76"/>
      <c r="GZH55" s="76"/>
      <c r="GZI55" s="76"/>
      <c r="GZJ55" s="76"/>
      <c r="GZK55" s="76"/>
      <c r="GZL55" s="76"/>
      <c r="GZM55" s="76"/>
      <c r="GZN55" s="76"/>
      <c r="GZO55" s="76"/>
      <c r="GZP55" s="76"/>
      <c r="GZQ55" s="76"/>
      <c r="GZR55" s="76"/>
      <c r="GZS55" s="76"/>
      <c r="GZT55" s="76"/>
      <c r="GZU55" s="76"/>
      <c r="GZV55" s="76"/>
      <c r="GZW55" s="76"/>
      <c r="GZX55" s="76"/>
      <c r="GZY55" s="76"/>
      <c r="GZZ55" s="76"/>
      <c r="HAA55" s="76"/>
      <c r="HAB55" s="76"/>
      <c r="HAC55" s="76"/>
      <c r="HAD55" s="76"/>
      <c r="HAE55" s="76"/>
      <c r="HAF55" s="76"/>
      <c r="HAG55" s="76"/>
      <c r="HAH55" s="76"/>
      <c r="HAI55" s="76"/>
      <c r="HAJ55" s="76"/>
      <c r="HAK55" s="76"/>
      <c r="HAL55" s="76"/>
      <c r="HAM55" s="76"/>
      <c r="HAN55" s="76"/>
      <c r="HAO55" s="76"/>
      <c r="HAP55" s="76"/>
      <c r="HAQ55" s="76"/>
      <c r="HAR55" s="76"/>
      <c r="HAS55" s="76"/>
      <c r="HAT55" s="76"/>
      <c r="HAU55" s="76"/>
      <c r="HAV55" s="76"/>
      <c r="HAW55" s="76"/>
      <c r="HAX55" s="76"/>
      <c r="HAY55" s="76"/>
      <c r="HAZ55" s="76"/>
      <c r="HBA55" s="76"/>
      <c r="HBB55" s="76"/>
      <c r="HBC55" s="76"/>
      <c r="HBD55" s="76"/>
      <c r="HBE55" s="76"/>
      <c r="HBF55" s="76"/>
      <c r="HBG55" s="76"/>
      <c r="HBH55" s="76"/>
      <c r="HBI55" s="76"/>
      <c r="HBJ55" s="76"/>
      <c r="HBK55" s="76"/>
      <c r="HBL55" s="76"/>
      <c r="HBM55" s="76"/>
      <c r="HBN55" s="76"/>
      <c r="HBO55" s="76"/>
      <c r="HBP55" s="76"/>
      <c r="HBQ55" s="76"/>
      <c r="HBR55" s="76"/>
      <c r="HBS55" s="76"/>
      <c r="HBT55" s="76"/>
      <c r="HBU55" s="76"/>
      <c r="HBV55" s="76"/>
      <c r="HBW55" s="76"/>
      <c r="HBX55" s="76"/>
      <c r="HBY55" s="76"/>
      <c r="HBZ55" s="76"/>
      <c r="HCA55" s="76"/>
      <c r="HCB55" s="76"/>
      <c r="HCC55" s="76"/>
      <c r="HCD55" s="76"/>
      <c r="HCE55" s="76"/>
      <c r="HCF55" s="76"/>
      <c r="HCG55" s="76"/>
      <c r="HCH55" s="76"/>
      <c r="HCI55" s="76"/>
      <c r="HCJ55" s="76"/>
      <c r="HCK55" s="76"/>
      <c r="HCL55" s="76"/>
      <c r="HCM55" s="76"/>
      <c r="HCN55" s="76"/>
      <c r="HCO55" s="76"/>
      <c r="HCP55" s="76"/>
      <c r="HCQ55" s="76"/>
      <c r="HCR55" s="76"/>
      <c r="HCS55" s="76"/>
      <c r="HCT55" s="76"/>
      <c r="HCU55" s="76"/>
      <c r="HCV55" s="76"/>
      <c r="HCW55" s="76"/>
      <c r="HCX55" s="76"/>
      <c r="HCY55" s="76"/>
      <c r="HCZ55" s="76"/>
      <c r="HDA55" s="76"/>
      <c r="HDB55" s="76"/>
      <c r="HDC55" s="76"/>
      <c r="HDD55" s="76"/>
      <c r="HDE55" s="76"/>
      <c r="HDF55" s="76"/>
      <c r="HDG55" s="76"/>
      <c r="HDH55" s="76"/>
      <c r="HDI55" s="76"/>
      <c r="HDJ55" s="76"/>
      <c r="HDK55" s="76"/>
      <c r="HDL55" s="76"/>
      <c r="HDM55" s="76"/>
      <c r="HDN55" s="76"/>
      <c r="HDO55" s="76"/>
      <c r="HDP55" s="76"/>
      <c r="HDQ55" s="76"/>
      <c r="HDR55" s="76"/>
      <c r="HDS55" s="76"/>
      <c r="HDT55" s="76"/>
      <c r="HDU55" s="76"/>
      <c r="HDV55" s="76"/>
      <c r="HDW55" s="76"/>
      <c r="HDX55" s="76"/>
      <c r="HDY55" s="76"/>
      <c r="HDZ55" s="76"/>
      <c r="HEA55" s="76"/>
      <c r="HEB55" s="76"/>
      <c r="HEC55" s="76"/>
      <c r="HED55" s="76"/>
      <c r="HEE55" s="76"/>
      <c r="HEF55" s="76"/>
      <c r="HEG55" s="76"/>
      <c r="HEH55" s="76"/>
      <c r="HEI55" s="76"/>
      <c r="HEJ55" s="76"/>
      <c r="HEK55" s="76"/>
      <c r="HEL55" s="76"/>
      <c r="HEM55" s="76"/>
      <c r="HEN55" s="76"/>
      <c r="HEO55" s="76"/>
      <c r="HEP55" s="76"/>
      <c r="HEQ55" s="76"/>
      <c r="HER55" s="76"/>
      <c r="HES55" s="76"/>
      <c r="HET55" s="76"/>
      <c r="HEU55" s="76"/>
      <c r="HEV55" s="76"/>
      <c r="HEW55" s="76"/>
      <c r="HEX55" s="76"/>
      <c r="HEY55" s="76"/>
      <c r="HEZ55" s="76"/>
      <c r="HFA55" s="76"/>
      <c r="HFB55" s="76"/>
      <c r="HFC55" s="76"/>
      <c r="HFD55" s="76"/>
      <c r="HFE55" s="76"/>
      <c r="HFF55" s="76"/>
      <c r="HFG55" s="76"/>
      <c r="HFH55" s="76"/>
      <c r="HFI55" s="76"/>
      <c r="HFJ55" s="76"/>
      <c r="HFK55" s="76"/>
      <c r="HFL55" s="76"/>
      <c r="HFM55" s="76"/>
      <c r="HFN55" s="76"/>
      <c r="HFO55" s="76"/>
      <c r="HFP55" s="76"/>
      <c r="HFQ55" s="76"/>
      <c r="HFR55" s="76"/>
      <c r="HFS55" s="76"/>
      <c r="HFT55" s="76"/>
      <c r="HFU55" s="76"/>
      <c r="HFV55" s="76"/>
      <c r="HFW55" s="76"/>
      <c r="HFX55" s="76"/>
      <c r="HFY55" s="76"/>
      <c r="HFZ55" s="76"/>
      <c r="HGA55" s="76"/>
      <c r="HGB55" s="76"/>
      <c r="HGC55" s="76"/>
      <c r="HGD55" s="76"/>
      <c r="HGE55" s="76"/>
      <c r="HGF55" s="76"/>
      <c r="HGG55" s="76"/>
      <c r="HGH55" s="76"/>
      <c r="HGI55" s="76"/>
      <c r="HGJ55" s="76"/>
      <c r="HGK55" s="76"/>
      <c r="HGL55" s="76"/>
      <c r="HGM55" s="76"/>
      <c r="HGN55" s="76"/>
      <c r="HGO55" s="76"/>
      <c r="HGP55" s="76"/>
      <c r="HGQ55" s="76"/>
      <c r="HGR55" s="76"/>
      <c r="HGS55" s="76"/>
      <c r="HGT55" s="76"/>
      <c r="HGU55" s="76"/>
      <c r="HGV55" s="76"/>
      <c r="HGW55" s="76"/>
      <c r="HGX55" s="76"/>
      <c r="HGY55" s="76"/>
      <c r="HGZ55" s="76"/>
      <c r="HHA55" s="76"/>
      <c r="HHB55" s="76"/>
      <c r="HHC55" s="76"/>
      <c r="HHD55" s="76"/>
      <c r="HHE55" s="76"/>
      <c r="HHF55" s="76"/>
      <c r="HHG55" s="76"/>
      <c r="HHH55" s="76"/>
      <c r="HHI55" s="76"/>
      <c r="HHJ55" s="76"/>
      <c r="HHK55" s="76"/>
      <c r="HHL55" s="76"/>
      <c r="HHM55" s="76"/>
      <c r="HHN55" s="76"/>
      <c r="HHO55" s="76"/>
      <c r="HHP55" s="76"/>
      <c r="HHQ55" s="76"/>
      <c r="HHR55" s="76"/>
      <c r="HHS55" s="76"/>
      <c r="HHT55" s="76"/>
      <c r="HHU55" s="76"/>
      <c r="HHV55" s="76"/>
      <c r="HHW55" s="76"/>
      <c r="HHX55" s="76"/>
      <c r="HHY55" s="76"/>
      <c r="HHZ55" s="76"/>
      <c r="HIA55" s="76"/>
      <c r="HIB55" s="76"/>
      <c r="HIC55" s="76"/>
      <c r="HID55" s="76"/>
      <c r="HIE55" s="76"/>
      <c r="HIF55" s="76"/>
      <c r="HIG55" s="76"/>
      <c r="HIH55" s="76"/>
      <c r="HII55" s="76"/>
      <c r="HIJ55" s="76"/>
      <c r="HIK55" s="76"/>
      <c r="HIL55" s="76"/>
      <c r="HIM55" s="76"/>
      <c r="HIN55" s="76"/>
      <c r="HIO55" s="76"/>
      <c r="HIP55" s="76"/>
      <c r="HIQ55" s="76"/>
      <c r="HIR55" s="76"/>
      <c r="HIS55" s="76"/>
      <c r="HIT55" s="76"/>
      <c r="HIU55" s="76"/>
      <c r="HIV55" s="76"/>
      <c r="HIW55" s="76"/>
      <c r="HIX55" s="76"/>
      <c r="HIY55" s="76"/>
      <c r="HIZ55" s="76"/>
      <c r="HJA55" s="76"/>
      <c r="HJB55" s="76"/>
      <c r="HJC55" s="76"/>
      <c r="HJD55" s="76"/>
      <c r="HJE55" s="76"/>
      <c r="HJF55" s="76"/>
      <c r="HJG55" s="76"/>
      <c r="HJH55" s="76"/>
      <c r="HJI55" s="76"/>
      <c r="HJJ55" s="76"/>
      <c r="HJK55" s="76"/>
      <c r="HJL55" s="76"/>
      <c r="HJM55" s="76"/>
      <c r="HJN55" s="76"/>
      <c r="HJO55" s="76"/>
      <c r="HJP55" s="76"/>
      <c r="HJQ55" s="76"/>
      <c r="HJR55" s="76"/>
      <c r="HJS55" s="76"/>
      <c r="HJT55" s="76"/>
      <c r="HJU55" s="76"/>
      <c r="HJV55" s="76"/>
      <c r="HJW55" s="76"/>
      <c r="HJX55" s="76"/>
      <c r="HJY55" s="76"/>
      <c r="HJZ55" s="76"/>
      <c r="HKA55" s="76"/>
      <c r="HKB55" s="76"/>
      <c r="HKC55" s="76"/>
      <c r="HKD55" s="76"/>
      <c r="HKE55" s="76"/>
      <c r="HKF55" s="76"/>
      <c r="HKG55" s="76"/>
      <c r="HKH55" s="76"/>
      <c r="HKI55" s="76"/>
      <c r="HKJ55" s="76"/>
      <c r="HKK55" s="76"/>
      <c r="HKL55" s="76"/>
      <c r="HKM55" s="76"/>
      <c r="HKN55" s="76"/>
      <c r="HKO55" s="76"/>
      <c r="HKP55" s="76"/>
      <c r="HKQ55" s="76"/>
      <c r="HKR55" s="76"/>
      <c r="HKS55" s="76"/>
      <c r="HKT55" s="76"/>
      <c r="HKU55" s="76"/>
      <c r="HKV55" s="76"/>
      <c r="HKW55" s="76"/>
      <c r="HKX55" s="76"/>
      <c r="HKY55" s="76"/>
      <c r="HKZ55" s="76"/>
      <c r="HLA55" s="76"/>
      <c r="HLB55" s="76"/>
      <c r="HLC55" s="76"/>
      <c r="HLD55" s="76"/>
      <c r="HLE55" s="76"/>
      <c r="HLF55" s="76"/>
      <c r="HLG55" s="76"/>
      <c r="HLH55" s="76"/>
      <c r="HLI55" s="76"/>
      <c r="HLJ55" s="76"/>
      <c r="HLK55" s="76"/>
      <c r="HLL55" s="76"/>
      <c r="HLM55" s="76"/>
      <c r="HLN55" s="76"/>
      <c r="HLO55" s="76"/>
      <c r="HLP55" s="76"/>
      <c r="HLQ55" s="76"/>
      <c r="HLR55" s="76"/>
      <c r="HLS55" s="76"/>
      <c r="HLT55" s="76"/>
      <c r="HLU55" s="76"/>
      <c r="HLV55" s="76"/>
      <c r="HLW55" s="76"/>
      <c r="HLX55" s="76"/>
      <c r="HLY55" s="76"/>
      <c r="HLZ55" s="76"/>
      <c r="HMA55" s="76"/>
      <c r="HMB55" s="76"/>
      <c r="HMC55" s="76"/>
      <c r="HMD55" s="76"/>
      <c r="HME55" s="76"/>
      <c r="HMF55" s="76"/>
      <c r="HMG55" s="76"/>
      <c r="HMH55" s="76"/>
      <c r="HMI55" s="76"/>
      <c r="HMJ55" s="76"/>
      <c r="HMK55" s="76"/>
      <c r="HML55" s="76"/>
      <c r="HMM55" s="76"/>
      <c r="HMN55" s="76"/>
      <c r="HMO55" s="76"/>
      <c r="HMP55" s="76"/>
      <c r="HMQ55" s="76"/>
      <c r="HMR55" s="76"/>
      <c r="HMS55" s="76"/>
      <c r="HMT55" s="76"/>
      <c r="HMU55" s="76"/>
      <c r="HMV55" s="76"/>
      <c r="HMW55" s="76"/>
      <c r="HMX55" s="76"/>
      <c r="HMY55" s="76"/>
      <c r="HMZ55" s="76"/>
      <c r="HNA55" s="76"/>
      <c r="HNB55" s="76"/>
      <c r="HNC55" s="76"/>
      <c r="HND55" s="76"/>
      <c r="HNE55" s="76"/>
      <c r="HNF55" s="76"/>
      <c r="HNG55" s="76"/>
      <c r="HNH55" s="76"/>
      <c r="HNI55" s="76"/>
      <c r="HNJ55" s="76"/>
      <c r="HNK55" s="76"/>
      <c r="HNL55" s="76"/>
      <c r="HNM55" s="76"/>
      <c r="HNN55" s="76"/>
      <c r="HNO55" s="76"/>
      <c r="HNP55" s="76"/>
      <c r="HNQ55" s="76"/>
      <c r="HNR55" s="76"/>
      <c r="HNS55" s="76"/>
      <c r="HNT55" s="76"/>
      <c r="HNU55" s="76"/>
      <c r="HNV55" s="76"/>
      <c r="HNW55" s="76"/>
      <c r="HNX55" s="76"/>
      <c r="HNY55" s="76"/>
      <c r="HNZ55" s="76"/>
      <c r="HOA55" s="76"/>
      <c r="HOB55" s="76"/>
      <c r="HOC55" s="76"/>
      <c r="HOD55" s="76"/>
      <c r="HOE55" s="76"/>
      <c r="HOF55" s="76"/>
      <c r="HOG55" s="76"/>
      <c r="HOH55" s="76"/>
      <c r="HOI55" s="76"/>
      <c r="HOJ55" s="76"/>
      <c r="HOK55" s="76"/>
      <c r="HOL55" s="76"/>
      <c r="HOM55" s="76"/>
      <c r="HON55" s="76"/>
      <c r="HOO55" s="76"/>
      <c r="HOP55" s="76"/>
      <c r="HOQ55" s="76"/>
      <c r="HOR55" s="76"/>
      <c r="HOS55" s="76"/>
      <c r="HOT55" s="76"/>
      <c r="HOU55" s="76"/>
      <c r="HOV55" s="76"/>
      <c r="HOW55" s="76"/>
      <c r="HOX55" s="76"/>
      <c r="HOY55" s="76"/>
      <c r="HOZ55" s="76"/>
      <c r="HPA55" s="76"/>
      <c r="HPB55" s="76"/>
      <c r="HPC55" s="76"/>
      <c r="HPD55" s="76"/>
      <c r="HPE55" s="76"/>
      <c r="HPF55" s="76"/>
      <c r="HPG55" s="76"/>
      <c r="HPH55" s="76"/>
      <c r="HPI55" s="76"/>
      <c r="HPJ55" s="76"/>
      <c r="HPK55" s="76"/>
      <c r="HPL55" s="76"/>
      <c r="HPM55" s="76"/>
      <c r="HPN55" s="76"/>
      <c r="HPO55" s="76"/>
      <c r="HPP55" s="76"/>
      <c r="HPQ55" s="76"/>
      <c r="HPR55" s="76"/>
      <c r="HPS55" s="76"/>
      <c r="HPT55" s="76"/>
      <c r="HPU55" s="76"/>
      <c r="HPV55" s="76"/>
      <c r="HPW55" s="76"/>
      <c r="HPX55" s="76"/>
      <c r="HPY55" s="76"/>
      <c r="HPZ55" s="76"/>
      <c r="HQA55" s="76"/>
      <c r="HQB55" s="76"/>
      <c r="HQC55" s="76"/>
      <c r="HQD55" s="76"/>
      <c r="HQE55" s="76"/>
      <c r="HQF55" s="76"/>
      <c r="HQG55" s="76"/>
      <c r="HQH55" s="76"/>
      <c r="HQI55" s="76"/>
      <c r="HQJ55" s="76"/>
      <c r="HQK55" s="76"/>
      <c r="HQL55" s="76"/>
      <c r="HQM55" s="76"/>
      <c r="HQN55" s="76"/>
      <c r="HQO55" s="76"/>
      <c r="HQP55" s="76"/>
      <c r="HQQ55" s="76"/>
      <c r="HQR55" s="76"/>
      <c r="HQS55" s="76"/>
      <c r="HQT55" s="76"/>
      <c r="HQU55" s="76"/>
      <c r="HQV55" s="76"/>
      <c r="HQW55" s="76"/>
      <c r="HQX55" s="76"/>
      <c r="HQY55" s="76"/>
      <c r="HQZ55" s="76"/>
      <c r="HRA55" s="76"/>
      <c r="HRB55" s="76"/>
      <c r="HRC55" s="76"/>
      <c r="HRD55" s="76"/>
      <c r="HRE55" s="76"/>
      <c r="HRF55" s="76"/>
      <c r="HRG55" s="76"/>
      <c r="HRH55" s="76"/>
      <c r="HRI55" s="76"/>
      <c r="HRJ55" s="76"/>
      <c r="HRK55" s="76"/>
      <c r="HRL55" s="76"/>
      <c r="HRM55" s="76"/>
      <c r="HRN55" s="76"/>
      <c r="HRO55" s="76"/>
      <c r="HRP55" s="76"/>
      <c r="HRQ55" s="76"/>
      <c r="HRR55" s="76"/>
      <c r="HRS55" s="76"/>
      <c r="HRT55" s="76"/>
      <c r="HRU55" s="76"/>
      <c r="HRV55" s="76"/>
      <c r="HRW55" s="76"/>
      <c r="HRX55" s="76"/>
      <c r="HRY55" s="76"/>
      <c r="HRZ55" s="76"/>
      <c r="HSA55" s="76"/>
      <c r="HSB55" s="76"/>
      <c r="HSC55" s="76"/>
      <c r="HSD55" s="76"/>
      <c r="HSE55" s="76"/>
      <c r="HSF55" s="76"/>
      <c r="HSG55" s="76"/>
      <c r="HSH55" s="76"/>
      <c r="HSI55" s="76"/>
      <c r="HSJ55" s="76"/>
      <c r="HSK55" s="76"/>
      <c r="HSL55" s="76"/>
      <c r="HSM55" s="76"/>
      <c r="HSN55" s="76"/>
      <c r="HSO55" s="76"/>
      <c r="HSP55" s="76"/>
      <c r="HSQ55" s="76"/>
      <c r="HSR55" s="76"/>
      <c r="HSS55" s="76"/>
      <c r="HST55" s="76"/>
      <c r="HSU55" s="76"/>
      <c r="HSV55" s="76"/>
      <c r="HSW55" s="76"/>
      <c r="HSX55" s="76"/>
      <c r="HSY55" s="76"/>
      <c r="HSZ55" s="76"/>
      <c r="HTA55" s="76"/>
      <c r="HTB55" s="76"/>
      <c r="HTC55" s="76"/>
      <c r="HTD55" s="76"/>
      <c r="HTE55" s="76"/>
      <c r="HTF55" s="76"/>
      <c r="HTG55" s="76"/>
      <c r="HTH55" s="76"/>
      <c r="HTI55" s="76"/>
      <c r="HTJ55" s="76"/>
      <c r="HTK55" s="76"/>
      <c r="HTL55" s="76"/>
      <c r="HTM55" s="76"/>
      <c r="HTN55" s="76"/>
      <c r="HTO55" s="76"/>
      <c r="HTP55" s="76"/>
      <c r="HTQ55" s="76"/>
      <c r="HTR55" s="76"/>
      <c r="HTS55" s="76"/>
      <c r="HTT55" s="76"/>
      <c r="HTU55" s="76"/>
      <c r="HTV55" s="76"/>
      <c r="HTW55" s="76"/>
      <c r="HTX55" s="76"/>
      <c r="HTY55" s="76"/>
      <c r="HTZ55" s="76"/>
      <c r="HUA55" s="76"/>
      <c r="HUB55" s="76"/>
      <c r="HUC55" s="76"/>
      <c r="HUD55" s="76"/>
      <c r="HUE55" s="76"/>
      <c r="HUF55" s="76"/>
      <c r="HUG55" s="76"/>
      <c r="HUH55" s="76"/>
      <c r="HUI55" s="76"/>
      <c r="HUJ55" s="76"/>
      <c r="HUK55" s="76"/>
      <c r="HUL55" s="76"/>
      <c r="HUM55" s="76"/>
      <c r="HUN55" s="76"/>
      <c r="HUO55" s="76"/>
      <c r="HUP55" s="76"/>
      <c r="HUQ55" s="76"/>
      <c r="HUR55" s="76"/>
      <c r="HUS55" s="76"/>
      <c r="HUT55" s="76"/>
      <c r="HUU55" s="76"/>
      <c r="HUV55" s="76"/>
      <c r="HUW55" s="76"/>
      <c r="HUX55" s="76"/>
      <c r="HUY55" s="76"/>
      <c r="HUZ55" s="76"/>
      <c r="HVA55" s="76"/>
      <c r="HVB55" s="76"/>
      <c r="HVC55" s="76"/>
      <c r="HVD55" s="76"/>
      <c r="HVE55" s="76"/>
      <c r="HVF55" s="76"/>
      <c r="HVG55" s="76"/>
      <c r="HVH55" s="76"/>
      <c r="HVI55" s="76"/>
      <c r="HVJ55" s="76"/>
      <c r="HVK55" s="76"/>
      <c r="HVL55" s="76"/>
      <c r="HVM55" s="76"/>
      <c r="HVN55" s="76"/>
      <c r="HVO55" s="76"/>
      <c r="HVP55" s="76"/>
      <c r="HVQ55" s="76"/>
      <c r="HVR55" s="76"/>
      <c r="HVS55" s="76"/>
      <c r="HVT55" s="76"/>
      <c r="HVU55" s="76"/>
      <c r="HVV55" s="76"/>
      <c r="HVW55" s="76"/>
      <c r="HVX55" s="76"/>
      <c r="HVY55" s="76"/>
      <c r="HVZ55" s="76"/>
      <c r="HWA55" s="76"/>
      <c r="HWB55" s="76"/>
      <c r="HWC55" s="76"/>
      <c r="HWD55" s="76"/>
      <c r="HWE55" s="76"/>
      <c r="HWF55" s="76"/>
      <c r="HWG55" s="76"/>
      <c r="HWH55" s="76"/>
      <c r="HWI55" s="76"/>
      <c r="HWJ55" s="76"/>
      <c r="HWK55" s="76"/>
      <c r="HWL55" s="76"/>
      <c r="HWM55" s="76"/>
      <c r="HWN55" s="76"/>
      <c r="HWO55" s="76"/>
      <c r="HWP55" s="76"/>
      <c r="HWQ55" s="76"/>
      <c r="HWR55" s="76"/>
      <c r="HWS55" s="76"/>
      <c r="HWT55" s="76"/>
      <c r="HWU55" s="76"/>
      <c r="HWV55" s="76"/>
      <c r="HWW55" s="76"/>
      <c r="HWX55" s="76"/>
      <c r="HWY55" s="76"/>
      <c r="HWZ55" s="76"/>
      <c r="HXA55" s="76"/>
      <c r="HXB55" s="76"/>
      <c r="HXC55" s="76"/>
      <c r="HXD55" s="76"/>
      <c r="HXE55" s="76"/>
      <c r="HXF55" s="76"/>
      <c r="HXG55" s="76"/>
      <c r="HXH55" s="76"/>
      <c r="HXI55" s="76"/>
      <c r="HXJ55" s="76"/>
      <c r="HXK55" s="76"/>
      <c r="HXL55" s="76"/>
      <c r="HXM55" s="76"/>
      <c r="HXN55" s="76"/>
      <c r="HXO55" s="76"/>
      <c r="HXP55" s="76"/>
      <c r="HXQ55" s="76"/>
      <c r="HXR55" s="76"/>
      <c r="HXS55" s="76"/>
      <c r="HXT55" s="76"/>
      <c r="HXU55" s="76"/>
      <c r="HXV55" s="76"/>
      <c r="HXW55" s="76"/>
      <c r="HXX55" s="76"/>
      <c r="HXY55" s="76"/>
      <c r="HXZ55" s="76"/>
      <c r="HYA55" s="76"/>
      <c r="HYB55" s="76"/>
      <c r="HYC55" s="76"/>
      <c r="HYD55" s="76"/>
      <c r="HYE55" s="76"/>
      <c r="HYF55" s="76"/>
      <c r="HYG55" s="76"/>
      <c r="HYH55" s="76"/>
      <c r="HYI55" s="76"/>
      <c r="HYJ55" s="76"/>
      <c r="HYK55" s="76"/>
      <c r="HYL55" s="76"/>
      <c r="HYM55" s="76"/>
      <c r="HYN55" s="76"/>
      <c r="HYO55" s="76"/>
      <c r="HYP55" s="76"/>
      <c r="HYQ55" s="76"/>
      <c r="HYR55" s="76"/>
      <c r="HYS55" s="76"/>
      <c r="HYT55" s="76"/>
      <c r="HYU55" s="76"/>
      <c r="HYV55" s="76"/>
      <c r="HYW55" s="76"/>
      <c r="HYX55" s="76"/>
      <c r="HYY55" s="76"/>
      <c r="HYZ55" s="76"/>
      <c r="HZA55" s="76"/>
      <c r="HZB55" s="76"/>
      <c r="HZC55" s="76"/>
      <c r="HZD55" s="76"/>
      <c r="HZE55" s="76"/>
      <c r="HZF55" s="76"/>
      <c r="HZG55" s="76"/>
      <c r="HZH55" s="76"/>
      <c r="HZI55" s="76"/>
      <c r="HZJ55" s="76"/>
      <c r="HZK55" s="76"/>
      <c r="HZL55" s="76"/>
      <c r="HZM55" s="76"/>
      <c r="HZN55" s="76"/>
      <c r="HZO55" s="76"/>
      <c r="HZP55" s="76"/>
      <c r="HZQ55" s="76"/>
      <c r="HZR55" s="76"/>
      <c r="HZS55" s="76"/>
      <c r="HZT55" s="76"/>
      <c r="HZU55" s="76"/>
      <c r="HZV55" s="76"/>
      <c r="HZW55" s="76"/>
      <c r="HZX55" s="76"/>
      <c r="HZY55" s="76"/>
      <c r="HZZ55" s="76"/>
      <c r="IAA55" s="76"/>
      <c r="IAB55" s="76"/>
      <c r="IAC55" s="76"/>
      <c r="IAD55" s="76"/>
      <c r="IAE55" s="76"/>
      <c r="IAF55" s="76"/>
      <c r="IAG55" s="76"/>
      <c r="IAH55" s="76"/>
      <c r="IAI55" s="76"/>
      <c r="IAJ55" s="76"/>
      <c r="IAK55" s="76"/>
      <c r="IAL55" s="76"/>
      <c r="IAM55" s="76"/>
      <c r="IAN55" s="76"/>
      <c r="IAO55" s="76"/>
      <c r="IAP55" s="76"/>
      <c r="IAQ55" s="76"/>
      <c r="IAR55" s="76"/>
      <c r="IAS55" s="76"/>
      <c r="IAT55" s="76"/>
      <c r="IAU55" s="76"/>
      <c r="IAV55" s="76"/>
      <c r="IAW55" s="76"/>
      <c r="IAX55" s="76"/>
      <c r="IAY55" s="76"/>
      <c r="IAZ55" s="76"/>
      <c r="IBA55" s="76"/>
      <c r="IBB55" s="76"/>
      <c r="IBC55" s="76"/>
      <c r="IBD55" s="76"/>
      <c r="IBE55" s="76"/>
      <c r="IBF55" s="76"/>
      <c r="IBG55" s="76"/>
      <c r="IBH55" s="76"/>
      <c r="IBI55" s="76"/>
      <c r="IBJ55" s="76"/>
      <c r="IBK55" s="76"/>
      <c r="IBL55" s="76"/>
      <c r="IBM55" s="76"/>
      <c r="IBN55" s="76"/>
      <c r="IBO55" s="76"/>
      <c r="IBP55" s="76"/>
      <c r="IBQ55" s="76"/>
      <c r="IBR55" s="76"/>
      <c r="IBS55" s="76"/>
      <c r="IBT55" s="76"/>
      <c r="IBU55" s="76"/>
      <c r="IBV55" s="76"/>
      <c r="IBW55" s="76"/>
      <c r="IBX55" s="76"/>
      <c r="IBY55" s="76"/>
      <c r="IBZ55" s="76"/>
      <c r="ICA55" s="76"/>
      <c r="ICB55" s="76"/>
      <c r="ICC55" s="76"/>
      <c r="ICD55" s="76"/>
      <c r="ICE55" s="76"/>
      <c r="ICF55" s="76"/>
      <c r="ICG55" s="76"/>
      <c r="ICH55" s="76"/>
      <c r="ICI55" s="76"/>
      <c r="ICJ55" s="76"/>
      <c r="ICK55" s="76"/>
      <c r="ICL55" s="76"/>
      <c r="ICM55" s="76"/>
      <c r="ICN55" s="76"/>
      <c r="ICO55" s="76"/>
      <c r="ICP55" s="76"/>
      <c r="ICQ55" s="76"/>
      <c r="ICR55" s="76"/>
      <c r="ICS55" s="76"/>
      <c r="ICT55" s="76"/>
      <c r="ICU55" s="76"/>
      <c r="ICV55" s="76"/>
      <c r="ICW55" s="76"/>
      <c r="ICX55" s="76"/>
      <c r="ICY55" s="76"/>
      <c r="ICZ55" s="76"/>
      <c r="IDA55" s="76"/>
      <c r="IDB55" s="76"/>
      <c r="IDC55" s="76"/>
      <c r="IDD55" s="76"/>
      <c r="IDE55" s="76"/>
      <c r="IDF55" s="76"/>
      <c r="IDG55" s="76"/>
      <c r="IDH55" s="76"/>
      <c r="IDI55" s="76"/>
      <c r="IDJ55" s="76"/>
      <c r="IDK55" s="76"/>
      <c r="IDL55" s="76"/>
      <c r="IDM55" s="76"/>
      <c r="IDN55" s="76"/>
      <c r="IDO55" s="76"/>
      <c r="IDP55" s="76"/>
      <c r="IDQ55" s="76"/>
      <c r="IDR55" s="76"/>
      <c r="IDS55" s="76"/>
      <c r="IDT55" s="76"/>
      <c r="IDU55" s="76"/>
      <c r="IDV55" s="76"/>
      <c r="IDW55" s="76"/>
      <c r="IDX55" s="76"/>
      <c r="IDY55" s="76"/>
      <c r="IDZ55" s="76"/>
      <c r="IEA55" s="76"/>
      <c r="IEB55" s="76"/>
      <c r="IEC55" s="76"/>
      <c r="IED55" s="76"/>
      <c r="IEE55" s="76"/>
      <c r="IEF55" s="76"/>
      <c r="IEG55" s="76"/>
      <c r="IEH55" s="76"/>
      <c r="IEI55" s="76"/>
      <c r="IEJ55" s="76"/>
      <c r="IEK55" s="76"/>
      <c r="IEL55" s="76"/>
      <c r="IEM55" s="76"/>
      <c r="IEN55" s="76"/>
      <c r="IEO55" s="76"/>
      <c r="IEP55" s="76"/>
      <c r="IEQ55" s="76"/>
      <c r="IER55" s="76"/>
      <c r="IES55" s="76"/>
      <c r="IET55" s="76"/>
      <c r="IEU55" s="76"/>
      <c r="IEV55" s="76"/>
      <c r="IEW55" s="76"/>
      <c r="IEX55" s="76"/>
      <c r="IEY55" s="76"/>
      <c r="IEZ55" s="76"/>
      <c r="IFA55" s="76"/>
      <c r="IFB55" s="76"/>
      <c r="IFC55" s="76"/>
      <c r="IFD55" s="76"/>
      <c r="IFE55" s="76"/>
      <c r="IFF55" s="76"/>
      <c r="IFG55" s="76"/>
      <c r="IFH55" s="76"/>
      <c r="IFI55" s="76"/>
      <c r="IFJ55" s="76"/>
      <c r="IFK55" s="76"/>
      <c r="IFL55" s="76"/>
      <c r="IFM55" s="76"/>
      <c r="IFN55" s="76"/>
      <c r="IFO55" s="76"/>
      <c r="IFP55" s="76"/>
      <c r="IFQ55" s="76"/>
      <c r="IFR55" s="76"/>
      <c r="IFS55" s="76"/>
      <c r="IFT55" s="76"/>
      <c r="IFU55" s="76"/>
      <c r="IFV55" s="76"/>
      <c r="IFW55" s="76"/>
      <c r="IFX55" s="76"/>
      <c r="IFY55" s="76"/>
      <c r="IFZ55" s="76"/>
      <c r="IGA55" s="76"/>
      <c r="IGB55" s="76"/>
      <c r="IGC55" s="76"/>
      <c r="IGD55" s="76"/>
      <c r="IGE55" s="76"/>
      <c r="IGF55" s="76"/>
      <c r="IGG55" s="76"/>
      <c r="IGH55" s="76"/>
      <c r="IGI55" s="76"/>
      <c r="IGJ55" s="76"/>
      <c r="IGK55" s="76"/>
      <c r="IGL55" s="76"/>
      <c r="IGM55" s="76"/>
      <c r="IGN55" s="76"/>
      <c r="IGO55" s="76"/>
      <c r="IGP55" s="76"/>
      <c r="IGQ55" s="76"/>
      <c r="IGR55" s="76"/>
      <c r="IGS55" s="76"/>
      <c r="IGT55" s="76"/>
      <c r="IGU55" s="76"/>
      <c r="IGV55" s="76"/>
      <c r="IGW55" s="76"/>
      <c r="IGX55" s="76"/>
      <c r="IGY55" s="76"/>
      <c r="IGZ55" s="76"/>
      <c r="IHA55" s="76"/>
      <c r="IHB55" s="76"/>
      <c r="IHC55" s="76"/>
      <c r="IHD55" s="76"/>
      <c r="IHE55" s="76"/>
      <c r="IHF55" s="76"/>
      <c r="IHG55" s="76"/>
      <c r="IHH55" s="76"/>
      <c r="IHI55" s="76"/>
      <c r="IHJ55" s="76"/>
      <c r="IHK55" s="76"/>
      <c r="IHL55" s="76"/>
      <c r="IHM55" s="76"/>
      <c r="IHN55" s="76"/>
      <c r="IHO55" s="76"/>
      <c r="IHP55" s="76"/>
      <c r="IHQ55" s="76"/>
      <c r="IHR55" s="76"/>
      <c r="IHS55" s="76"/>
      <c r="IHT55" s="76"/>
      <c r="IHU55" s="76"/>
      <c r="IHV55" s="76"/>
      <c r="IHW55" s="76"/>
      <c r="IHX55" s="76"/>
      <c r="IHY55" s="76"/>
      <c r="IHZ55" s="76"/>
      <c r="IIA55" s="76"/>
      <c r="IIB55" s="76"/>
      <c r="IIC55" s="76"/>
      <c r="IID55" s="76"/>
      <c r="IIE55" s="76"/>
      <c r="IIF55" s="76"/>
      <c r="IIG55" s="76"/>
      <c r="IIH55" s="76"/>
      <c r="III55" s="76"/>
      <c r="IIJ55" s="76"/>
      <c r="IIK55" s="76"/>
      <c r="IIL55" s="76"/>
      <c r="IIM55" s="76"/>
      <c r="IIN55" s="76"/>
      <c r="IIO55" s="76"/>
      <c r="IIP55" s="76"/>
      <c r="IIQ55" s="76"/>
      <c r="IIR55" s="76"/>
      <c r="IIS55" s="76"/>
      <c r="IIT55" s="76"/>
      <c r="IIU55" s="76"/>
      <c r="IIV55" s="76"/>
      <c r="IIW55" s="76"/>
      <c r="IIX55" s="76"/>
      <c r="IIY55" s="76"/>
      <c r="IIZ55" s="76"/>
      <c r="IJA55" s="76"/>
      <c r="IJB55" s="76"/>
      <c r="IJC55" s="76"/>
      <c r="IJD55" s="76"/>
      <c r="IJE55" s="76"/>
      <c r="IJF55" s="76"/>
      <c r="IJG55" s="76"/>
      <c r="IJH55" s="76"/>
      <c r="IJI55" s="76"/>
      <c r="IJJ55" s="76"/>
      <c r="IJK55" s="76"/>
      <c r="IJL55" s="76"/>
      <c r="IJM55" s="76"/>
      <c r="IJN55" s="76"/>
      <c r="IJO55" s="76"/>
      <c r="IJP55" s="76"/>
      <c r="IJQ55" s="76"/>
      <c r="IJR55" s="76"/>
      <c r="IJS55" s="76"/>
      <c r="IJT55" s="76"/>
      <c r="IJU55" s="76"/>
      <c r="IJV55" s="76"/>
      <c r="IJW55" s="76"/>
      <c r="IJX55" s="76"/>
      <c r="IJY55" s="76"/>
      <c r="IJZ55" s="76"/>
      <c r="IKA55" s="76"/>
      <c r="IKB55" s="76"/>
      <c r="IKC55" s="76"/>
      <c r="IKD55" s="76"/>
      <c r="IKE55" s="76"/>
      <c r="IKF55" s="76"/>
      <c r="IKG55" s="76"/>
      <c r="IKH55" s="76"/>
      <c r="IKI55" s="76"/>
      <c r="IKJ55" s="76"/>
      <c r="IKK55" s="76"/>
      <c r="IKL55" s="76"/>
      <c r="IKM55" s="76"/>
      <c r="IKN55" s="76"/>
      <c r="IKO55" s="76"/>
      <c r="IKP55" s="76"/>
      <c r="IKQ55" s="76"/>
      <c r="IKR55" s="76"/>
      <c r="IKS55" s="76"/>
      <c r="IKT55" s="76"/>
      <c r="IKU55" s="76"/>
      <c r="IKV55" s="76"/>
      <c r="IKW55" s="76"/>
      <c r="IKX55" s="76"/>
      <c r="IKY55" s="76"/>
      <c r="IKZ55" s="76"/>
      <c r="ILA55" s="76"/>
      <c r="ILB55" s="76"/>
      <c r="ILC55" s="76"/>
      <c r="ILD55" s="76"/>
      <c r="ILE55" s="76"/>
      <c r="ILF55" s="76"/>
      <c r="ILG55" s="76"/>
      <c r="ILH55" s="76"/>
      <c r="ILI55" s="76"/>
      <c r="ILJ55" s="76"/>
      <c r="ILK55" s="76"/>
      <c r="ILL55" s="76"/>
      <c r="ILM55" s="76"/>
      <c r="ILN55" s="76"/>
      <c r="ILO55" s="76"/>
      <c r="ILP55" s="76"/>
      <c r="ILQ55" s="76"/>
      <c r="ILR55" s="76"/>
      <c r="ILS55" s="76"/>
      <c r="ILT55" s="76"/>
      <c r="ILU55" s="76"/>
      <c r="ILV55" s="76"/>
      <c r="ILW55" s="76"/>
      <c r="ILX55" s="76"/>
      <c r="ILY55" s="76"/>
      <c r="ILZ55" s="76"/>
      <c r="IMA55" s="76"/>
      <c r="IMB55" s="76"/>
      <c r="IMC55" s="76"/>
      <c r="IMD55" s="76"/>
      <c r="IME55" s="76"/>
      <c r="IMF55" s="76"/>
      <c r="IMG55" s="76"/>
      <c r="IMH55" s="76"/>
      <c r="IMI55" s="76"/>
      <c r="IMJ55" s="76"/>
      <c r="IMK55" s="76"/>
      <c r="IML55" s="76"/>
      <c r="IMM55" s="76"/>
      <c r="IMN55" s="76"/>
      <c r="IMO55" s="76"/>
      <c r="IMP55" s="76"/>
      <c r="IMQ55" s="76"/>
      <c r="IMR55" s="76"/>
      <c r="IMS55" s="76"/>
      <c r="IMT55" s="76"/>
      <c r="IMU55" s="76"/>
      <c r="IMV55" s="76"/>
      <c r="IMW55" s="76"/>
      <c r="IMX55" s="76"/>
      <c r="IMY55" s="76"/>
      <c r="IMZ55" s="76"/>
      <c r="INA55" s="76"/>
      <c r="INB55" s="76"/>
      <c r="INC55" s="76"/>
      <c r="IND55" s="76"/>
      <c r="INE55" s="76"/>
      <c r="INF55" s="76"/>
      <c r="ING55" s="76"/>
      <c r="INH55" s="76"/>
      <c r="INI55" s="76"/>
      <c r="INJ55" s="76"/>
      <c r="INK55" s="76"/>
      <c r="INL55" s="76"/>
      <c r="INM55" s="76"/>
      <c r="INN55" s="76"/>
      <c r="INO55" s="76"/>
      <c r="INP55" s="76"/>
      <c r="INQ55" s="76"/>
      <c r="INR55" s="76"/>
      <c r="INS55" s="76"/>
      <c r="INT55" s="76"/>
      <c r="INU55" s="76"/>
      <c r="INV55" s="76"/>
      <c r="INW55" s="76"/>
      <c r="INX55" s="76"/>
      <c r="INY55" s="76"/>
      <c r="INZ55" s="76"/>
      <c r="IOA55" s="76"/>
      <c r="IOB55" s="76"/>
      <c r="IOC55" s="76"/>
      <c r="IOD55" s="76"/>
      <c r="IOE55" s="76"/>
      <c r="IOF55" s="76"/>
      <c r="IOG55" s="76"/>
      <c r="IOH55" s="76"/>
      <c r="IOI55" s="76"/>
      <c r="IOJ55" s="76"/>
      <c r="IOK55" s="76"/>
      <c r="IOL55" s="76"/>
      <c r="IOM55" s="76"/>
      <c r="ION55" s="76"/>
      <c r="IOO55" s="76"/>
      <c r="IOP55" s="76"/>
      <c r="IOQ55" s="76"/>
      <c r="IOR55" s="76"/>
      <c r="IOS55" s="76"/>
      <c r="IOT55" s="76"/>
      <c r="IOU55" s="76"/>
      <c r="IOV55" s="76"/>
      <c r="IOW55" s="76"/>
      <c r="IOX55" s="76"/>
      <c r="IOY55" s="76"/>
      <c r="IOZ55" s="76"/>
      <c r="IPA55" s="76"/>
      <c r="IPB55" s="76"/>
      <c r="IPC55" s="76"/>
      <c r="IPD55" s="76"/>
      <c r="IPE55" s="76"/>
      <c r="IPF55" s="76"/>
      <c r="IPG55" s="76"/>
      <c r="IPH55" s="76"/>
      <c r="IPI55" s="76"/>
      <c r="IPJ55" s="76"/>
      <c r="IPK55" s="76"/>
      <c r="IPL55" s="76"/>
      <c r="IPM55" s="76"/>
      <c r="IPN55" s="76"/>
      <c r="IPO55" s="76"/>
      <c r="IPP55" s="76"/>
      <c r="IPQ55" s="76"/>
      <c r="IPR55" s="76"/>
      <c r="IPS55" s="76"/>
      <c r="IPT55" s="76"/>
      <c r="IPU55" s="76"/>
      <c r="IPV55" s="76"/>
      <c r="IPW55" s="76"/>
      <c r="IPX55" s="76"/>
      <c r="IPY55" s="76"/>
      <c r="IPZ55" s="76"/>
      <c r="IQA55" s="76"/>
      <c r="IQB55" s="76"/>
      <c r="IQC55" s="76"/>
      <c r="IQD55" s="76"/>
      <c r="IQE55" s="76"/>
      <c r="IQF55" s="76"/>
      <c r="IQG55" s="76"/>
      <c r="IQH55" s="76"/>
      <c r="IQI55" s="76"/>
      <c r="IQJ55" s="76"/>
      <c r="IQK55" s="76"/>
      <c r="IQL55" s="76"/>
      <c r="IQM55" s="76"/>
      <c r="IQN55" s="76"/>
      <c r="IQO55" s="76"/>
      <c r="IQP55" s="76"/>
      <c r="IQQ55" s="76"/>
      <c r="IQR55" s="76"/>
      <c r="IQS55" s="76"/>
      <c r="IQT55" s="76"/>
      <c r="IQU55" s="76"/>
      <c r="IQV55" s="76"/>
      <c r="IQW55" s="76"/>
      <c r="IQX55" s="76"/>
      <c r="IQY55" s="76"/>
      <c r="IQZ55" s="76"/>
      <c r="IRA55" s="76"/>
      <c r="IRB55" s="76"/>
      <c r="IRC55" s="76"/>
      <c r="IRD55" s="76"/>
      <c r="IRE55" s="76"/>
      <c r="IRF55" s="76"/>
      <c r="IRG55" s="76"/>
      <c r="IRH55" s="76"/>
      <c r="IRI55" s="76"/>
      <c r="IRJ55" s="76"/>
      <c r="IRK55" s="76"/>
      <c r="IRL55" s="76"/>
      <c r="IRM55" s="76"/>
      <c r="IRN55" s="76"/>
      <c r="IRO55" s="76"/>
      <c r="IRP55" s="76"/>
      <c r="IRQ55" s="76"/>
      <c r="IRR55" s="76"/>
      <c r="IRS55" s="76"/>
      <c r="IRT55" s="76"/>
      <c r="IRU55" s="76"/>
      <c r="IRV55" s="76"/>
      <c r="IRW55" s="76"/>
      <c r="IRX55" s="76"/>
      <c r="IRY55" s="76"/>
      <c r="IRZ55" s="76"/>
      <c r="ISA55" s="76"/>
      <c r="ISB55" s="76"/>
      <c r="ISC55" s="76"/>
      <c r="ISD55" s="76"/>
      <c r="ISE55" s="76"/>
      <c r="ISF55" s="76"/>
      <c r="ISG55" s="76"/>
      <c r="ISH55" s="76"/>
      <c r="ISI55" s="76"/>
      <c r="ISJ55" s="76"/>
      <c r="ISK55" s="76"/>
      <c r="ISL55" s="76"/>
      <c r="ISM55" s="76"/>
      <c r="ISN55" s="76"/>
      <c r="ISO55" s="76"/>
      <c r="ISP55" s="76"/>
      <c r="ISQ55" s="76"/>
      <c r="ISR55" s="76"/>
      <c r="ISS55" s="76"/>
      <c r="IST55" s="76"/>
      <c r="ISU55" s="76"/>
      <c r="ISV55" s="76"/>
      <c r="ISW55" s="76"/>
      <c r="ISX55" s="76"/>
      <c r="ISY55" s="76"/>
      <c r="ISZ55" s="76"/>
      <c r="ITA55" s="76"/>
      <c r="ITB55" s="76"/>
      <c r="ITC55" s="76"/>
      <c r="ITD55" s="76"/>
      <c r="ITE55" s="76"/>
      <c r="ITF55" s="76"/>
      <c r="ITG55" s="76"/>
      <c r="ITH55" s="76"/>
      <c r="ITI55" s="76"/>
      <c r="ITJ55" s="76"/>
      <c r="ITK55" s="76"/>
      <c r="ITL55" s="76"/>
      <c r="ITM55" s="76"/>
      <c r="ITN55" s="76"/>
      <c r="ITO55" s="76"/>
      <c r="ITP55" s="76"/>
      <c r="ITQ55" s="76"/>
      <c r="ITR55" s="76"/>
      <c r="ITS55" s="76"/>
      <c r="ITT55" s="76"/>
      <c r="ITU55" s="76"/>
      <c r="ITV55" s="76"/>
      <c r="ITW55" s="76"/>
      <c r="ITX55" s="76"/>
      <c r="ITY55" s="76"/>
      <c r="ITZ55" s="76"/>
      <c r="IUA55" s="76"/>
      <c r="IUB55" s="76"/>
      <c r="IUC55" s="76"/>
      <c r="IUD55" s="76"/>
      <c r="IUE55" s="76"/>
      <c r="IUF55" s="76"/>
      <c r="IUG55" s="76"/>
      <c r="IUH55" s="76"/>
      <c r="IUI55" s="76"/>
      <c r="IUJ55" s="76"/>
      <c r="IUK55" s="76"/>
      <c r="IUL55" s="76"/>
      <c r="IUM55" s="76"/>
      <c r="IUN55" s="76"/>
      <c r="IUO55" s="76"/>
      <c r="IUP55" s="76"/>
      <c r="IUQ55" s="76"/>
      <c r="IUR55" s="76"/>
      <c r="IUS55" s="76"/>
      <c r="IUT55" s="76"/>
      <c r="IUU55" s="76"/>
      <c r="IUV55" s="76"/>
      <c r="IUW55" s="76"/>
      <c r="IUX55" s="76"/>
      <c r="IUY55" s="76"/>
      <c r="IUZ55" s="76"/>
      <c r="IVA55" s="76"/>
      <c r="IVB55" s="76"/>
      <c r="IVC55" s="76"/>
      <c r="IVD55" s="76"/>
      <c r="IVE55" s="76"/>
      <c r="IVF55" s="76"/>
      <c r="IVG55" s="76"/>
      <c r="IVH55" s="76"/>
      <c r="IVI55" s="76"/>
      <c r="IVJ55" s="76"/>
      <c r="IVK55" s="76"/>
      <c r="IVL55" s="76"/>
      <c r="IVM55" s="76"/>
      <c r="IVN55" s="76"/>
      <c r="IVO55" s="76"/>
      <c r="IVP55" s="76"/>
      <c r="IVQ55" s="76"/>
      <c r="IVR55" s="76"/>
      <c r="IVS55" s="76"/>
      <c r="IVT55" s="76"/>
      <c r="IVU55" s="76"/>
      <c r="IVV55" s="76"/>
      <c r="IVW55" s="76"/>
      <c r="IVX55" s="76"/>
      <c r="IVY55" s="76"/>
      <c r="IVZ55" s="76"/>
      <c r="IWA55" s="76"/>
      <c r="IWB55" s="76"/>
      <c r="IWC55" s="76"/>
      <c r="IWD55" s="76"/>
      <c r="IWE55" s="76"/>
      <c r="IWF55" s="76"/>
      <c r="IWG55" s="76"/>
      <c r="IWH55" s="76"/>
      <c r="IWI55" s="76"/>
      <c r="IWJ55" s="76"/>
      <c r="IWK55" s="76"/>
      <c r="IWL55" s="76"/>
      <c r="IWM55" s="76"/>
      <c r="IWN55" s="76"/>
      <c r="IWO55" s="76"/>
      <c r="IWP55" s="76"/>
      <c r="IWQ55" s="76"/>
      <c r="IWR55" s="76"/>
      <c r="IWS55" s="76"/>
      <c r="IWT55" s="76"/>
      <c r="IWU55" s="76"/>
      <c r="IWV55" s="76"/>
      <c r="IWW55" s="76"/>
      <c r="IWX55" s="76"/>
      <c r="IWY55" s="76"/>
      <c r="IWZ55" s="76"/>
      <c r="IXA55" s="76"/>
      <c r="IXB55" s="76"/>
      <c r="IXC55" s="76"/>
      <c r="IXD55" s="76"/>
      <c r="IXE55" s="76"/>
      <c r="IXF55" s="76"/>
      <c r="IXG55" s="76"/>
      <c r="IXH55" s="76"/>
      <c r="IXI55" s="76"/>
      <c r="IXJ55" s="76"/>
      <c r="IXK55" s="76"/>
      <c r="IXL55" s="76"/>
      <c r="IXM55" s="76"/>
      <c r="IXN55" s="76"/>
      <c r="IXO55" s="76"/>
      <c r="IXP55" s="76"/>
      <c r="IXQ55" s="76"/>
      <c r="IXR55" s="76"/>
      <c r="IXS55" s="76"/>
      <c r="IXT55" s="76"/>
      <c r="IXU55" s="76"/>
      <c r="IXV55" s="76"/>
      <c r="IXW55" s="76"/>
      <c r="IXX55" s="76"/>
      <c r="IXY55" s="76"/>
      <c r="IXZ55" s="76"/>
      <c r="IYA55" s="76"/>
      <c r="IYB55" s="76"/>
      <c r="IYC55" s="76"/>
      <c r="IYD55" s="76"/>
      <c r="IYE55" s="76"/>
      <c r="IYF55" s="76"/>
      <c r="IYG55" s="76"/>
      <c r="IYH55" s="76"/>
      <c r="IYI55" s="76"/>
      <c r="IYJ55" s="76"/>
      <c r="IYK55" s="76"/>
      <c r="IYL55" s="76"/>
      <c r="IYM55" s="76"/>
      <c r="IYN55" s="76"/>
      <c r="IYO55" s="76"/>
      <c r="IYP55" s="76"/>
      <c r="IYQ55" s="76"/>
      <c r="IYR55" s="76"/>
      <c r="IYS55" s="76"/>
      <c r="IYT55" s="76"/>
      <c r="IYU55" s="76"/>
      <c r="IYV55" s="76"/>
      <c r="IYW55" s="76"/>
      <c r="IYX55" s="76"/>
      <c r="IYY55" s="76"/>
      <c r="IYZ55" s="76"/>
      <c r="IZA55" s="76"/>
      <c r="IZB55" s="76"/>
      <c r="IZC55" s="76"/>
      <c r="IZD55" s="76"/>
      <c r="IZE55" s="76"/>
      <c r="IZF55" s="76"/>
      <c r="IZG55" s="76"/>
      <c r="IZH55" s="76"/>
      <c r="IZI55" s="76"/>
      <c r="IZJ55" s="76"/>
      <c r="IZK55" s="76"/>
      <c r="IZL55" s="76"/>
      <c r="IZM55" s="76"/>
      <c r="IZN55" s="76"/>
      <c r="IZO55" s="76"/>
      <c r="IZP55" s="76"/>
      <c r="IZQ55" s="76"/>
      <c r="IZR55" s="76"/>
      <c r="IZS55" s="76"/>
      <c r="IZT55" s="76"/>
      <c r="IZU55" s="76"/>
      <c r="IZV55" s="76"/>
      <c r="IZW55" s="76"/>
      <c r="IZX55" s="76"/>
      <c r="IZY55" s="76"/>
      <c r="IZZ55" s="76"/>
      <c r="JAA55" s="76"/>
      <c r="JAB55" s="76"/>
      <c r="JAC55" s="76"/>
      <c r="JAD55" s="76"/>
      <c r="JAE55" s="76"/>
      <c r="JAF55" s="76"/>
      <c r="JAG55" s="76"/>
      <c r="JAH55" s="76"/>
      <c r="JAI55" s="76"/>
      <c r="JAJ55" s="76"/>
      <c r="JAK55" s="76"/>
      <c r="JAL55" s="76"/>
      <c r="JAM55" s="76"/>
      <c r="JAN55" s="76"/>
      <c r="JAO55" s="76"/>
      <c r="JAP55" s="76"/>
      <c r="JAQ55" s="76"/>
      <c r="JAR55" s="76"/>
      <c r="JAS55" s="76"/>
      <c r="JAT55" s="76"/>
      <c r="JAU55" s="76"/>
      <c r="JAV55" s="76"/>
      <c r="JAW55" s="76"/>
      <c r="JAX55" s="76"/>
      <c r="JAY55" s="76"/>
      <c r="JAZ55" s="76"/>
      <c r="JBA55" s="76"/>
      <c r="JBB55" s="76"/>
      <c r="JBC55" s="76"/>
      <c r="JBD55" s="76"/>
      <c r="JBE55" s="76"/>
      <c r="JBF55" s="76"/>
      <c r="JBG55" s="76"/>
      <c r="JBH55" s="76"/>
      <c r="JBI55" s="76"/>
      <c r="JBJ55" s="76"/>
      <c r="JBK55" s="76"/>
      <c r="JBL55" s="76"/>
      <c r="JBM55" s="76"/>
      <c r="JBN55" s="76"/>
      <c r="JBO55" s="76"/>
      <c r="JBP55" s="76"/>
      <c r="JBQ55" s="76"/>
      <c r="JBR55" s="76"/>
      <c r="JBS55" s="76"/>
      <c r="JBT55" s="76"/>
      <c r="JBU55" s="76"/>
      <c r="JBV55" s="76"/>
      <c r="JBW55" s="76"/>
      <c r="JBX55" s="76"/>
      <c r="JBY55" s="76"/>
      <c r="JBZ55" s="76"/>
      <c r="JCA55" s="76"/>
      <c r="JCB55" s="76"/>
      <c r="JCC55" s="76"/>
      <c r="JCD55" s="76"/>
      <c r="JCE55" s="76"/>
      <c r="JCF55" s="76"/>
      <c r="JCG55" s="76"/>
      <c r="JCH55" s="76"/>
      <c r="JCI55" s="76"/>
      <c r="JCJ55" s="76"/>
      <c r="JCK55" s="76"/>
      <c r="JCL55" s="76"/>
      <c r="JCM55" s="76"/>
      <c r="JCN55" s="76"/>
      <c r="JCO55" s="76"/>
      <c r="JCP55" s="76"/>
      <c r="JCQ55" s="76"/>
      <c r="JCR55" s="76"/>
      <c r="JCS55" s="76"/>
      <c r="JCT55" s="76"/>
      <c r="JCU55" s="76"/>
      <c r="JCV55" s="76"/>
      <c r="JCW55" s="76"/>
      <c r="JCX55" s="76"/>
      <c r="JCY55" s="76"/>
      <c r="JCZ55" s="76"/>
      <c r="JDA55" s="76"/>
      <c r="JDB55" s="76"/>
      <c r="JDC55" s="76"/>
      <c r="JDD55" s="76"/>
      <c r="JDE55" s="76"/>
      <c r="JDF55" s="76"/>
      <c r="JDG55" s="76"/>
      <c r="JDH55" s="76"/>
      <c r="JDI55" s="76"/>
      <c r="JDJ55" s="76"/>
      <c r="JDK55" s="76"/>
      <c r="JDL55" s="76"/>
      <c r="JDM55" s="76"/>
      <c r="JDN55" s="76"/>
      <c r="JDO55" s="76"/>
      <c r="JDP55" s="76"/>
      <c r="JDQ55" s="76"/>
      <c r="JDR55" s="76"/>
      <c r="JDS55" s="76"/>
      <c r="JDT55" s="76"/>
      <c r="JDU55" s="76"/>
      <c r="JDV55" s="76"/>
      <c r="JDW55" s="76"/>
      <c r="JDX55" s="76"/>
      <c r="JDY55" s="76"/>
      <c r="JDZ55" s="76"/>
      <c r="JEA55" s="76"/>
      <c r="JEB55" s="76"/>
      <c r="JEC55" s="76"/>
      <c r="JED55" s="76"/>
      <c r="JEE55" s="76"/>
      <c r="JEF55" s="76"/>
      <c r="JEG55" s="76"/>
      <c r="JEH55" s="76"/>
      <c r="JEI55" s="76"/>
      <c r="JEJ55" s="76"/>
      <c r="JEK55" s="76"/>
      <c r="JEL55" s="76"/>
      <c r="JEM55" s="76"/>
      <c r="JEN55" s="76"/>
      <c r="JEO55" s="76"/>
      <c r="JEP55" s="76"/>
      <c r="JEQ55" s="76"/>
      <c r="JER55" s="76"/>
      <c r="JES55" s="76"/>
      <c r="JET55" s="76"/>
      <c r="JEU55" s="76"/>
      <c r="JEV55" s="76"/>
      <c r="JEW55" s="76"/>
      <c r="JEX55" s="76"/>
      <c r="JEY55" s="76"/>
      <c r="JEZ55" s="76"/>
      <c r="JFA55" s="76"/>
      <c r="JFB55" s="76"/>
      <c r="JFC55" s="76"/>
      <c r="JFD55" s="76"/>
      <c r="JFE55" s="76"/>
      <c r="JFF55" s="76"/>
      <c r="JFG55" s="76"/>
      <c r="JFH55" s="76"/>
      <c r="JFI55" s="76"/>
      <c r="JFJ55" s="76"/>
      <c r="JFK55" s="76"/>
      <c r="JFL55" s="76"/>
      <c r="JFM55" s="76"/>
      <c r="JFN55" s="76"/>
      <c r="JFO55" s="76"/>
      <c r="JFP55" s="76"/>
      <c r="JFQ55" s="76"/>
      <c r="JFR55" s="76"/>
      <c r="JFS55" s="76"/>
      <c r="JFT55" s="76"/>
      <c r="JFU55" s="76"/>
      <c r="JFV55" s="76"/>
      <c r="JFW55" s="76"/>
      <c r="JFX55" s="76"/>
      <c r="JFY55" s="76"/>
      <c r="JFZ55" s="76"/>
      <c r="JGA55" s="76"/>
      <c r="JGB55" s="76"/>
      <c r="JGC55" s="76"/>
      <c r="JGD55" s="76"/>
      <c r="JGE55" s="76"/>
      <c r="JGF55" s="76"/>
      <c r="JGG55" s="76"/>
      <c r="JGH55" s="76"/>
      <c r="JGI55" s="76"/>
      <c r="JGJ55" s="76"/>
      <c r="JGK55" s="76"/>
      <c r="JGL55" s="76"/>
      <c r="JGM55" s="76"/>
      <c r="JGN55" s="76"/>
      <c r="JGO55" s="76"/>
      <c r="JGP55" s="76"/>
      <c r="JGQ55" s="76"/>
      <c r="JGR55" s="76"/>
      <c r="JGS55" s="76"/>
      <c r="JGT55" s="76"/>
      <c r="JGU55" s="76"/>
      <c r="JGV55" s="76"/>
      <c r="JGW55" s="76"/>
      <c r="JGX55" s="76"/>
      <c r="JGY55" s="76"/>
      <c r="JGZ55" s="76"/>
      <c r="JHA55" s="76"/>
      <c r="JHB55" s="76"/>
      <c r="JHC55" s="76"/>
      <c r="JHD55" s="76"/>
      <c r="JHE55" s="76"/>
      <c r="JHF55" s="76"/>
      <c r="JHG55" s="76"/>
      <c r="JHH55" s="76"/>
      <c r="JHI55" s="76"/>
      <c r="JHJ55" s="76"/>
      <c r="JHK55" s="76"/>
      <c r="JHL55" s="76"/>
      <c r="JHM55" s="76"/>
      <c r="JHN55" s="76"/>
      <c r="JHO55" s="76"/>
      <c r="JHP55" s="76"/>
      <c r="JHQ55" s="76"/>
      <c r="JHR55" s="76"/>
      <c r="JHS55" s="76"/>
      <c r="JHT55" s="76"/>
      <c r="JHU55" s="76"/>
      <c r="JHV55" s="76"/>
      <c r="JHW55" s="76"/>
      <c r="JHX55" s="76"/>
      <c r="JHY55" s="76"/>
      <c r="JHZ55" s="76"/>
      <c r="JIA55" s="76"/>
      <c r="JIB55" s="76"/>
      <c r="JIC55" s="76"/>
      <c r="JID55" s="76"/>
      <c r="JIE55" s="76"/>
      <c r="JIF55" s="76"/>
      <c r="JIG55" s="76"/>
      <c r="JIH55" s="76"/>
      <c r="JII55" s="76"/>
      <c r="JIJ55" s="76"/>
      <c r="JIK55" s="76"/>
      <c r="JIL55" s="76"/>
      <c r="JIM55" s="76"/>
      <c r="JIN55" s="76"/>
      <c r="JIO55" s="76"/>
      <c r="JIP55" s="76"/>
      <c r="JIQ55" s="76"/>
      <c r="JIR55" s="76"/>
      <c r="JIS55" s="76"/>
      <c r="JIT55" s="76"/>
      <c r="JIU55" s="76"/>
      <c r="JIV55" s="76"/>
      <c r="JIW55" s="76"/>
      <c r="JIX55" s="76"/>
      <c r="JIY55" s="76"/>
      <c r="JIZ55" s="76"/>
      <c r="JJA55" s="76"/>
      <c r="JJB55" s="76"/>
      <c r="JJC55" s="76"/>
      <c r="JJD55" s="76"/>
      <c r="JJE55" s="76"/>
      <c r="JJF55" s="76"/>
      <c r="JJG55" s="76"/>
      <c r="JJH55" s="76"/>
      <c r="JJI55" s="76"/>
      <c r="JJJ55" s="76"/>
      <c r="JJK55" s="76"/>
      <c r="JJL55" s="76"/>
      <c r="JJM55" s="76"/>
      <c r="JJN55" s="76"/>
      <c r="JJO55" s="76"/>
      <c r="JJP55" s="76"/>
      <c r="JJQ55" s="76"/>
      <c r="JJR55" s="76"/>
      <c r="JJS55" s="76"/>
      <c r="JJT55" s="76"/>
      <c r="JJU55" s="76"/>
      <c r="JJV55" s="76"/>
      <c r="JJW55" s="76"/>
      <c r="JJX55" s="76"/>
      <c r="JJY55" s="76"/>
      <c r="JJZ55" s="76"/>
      <c r="JKA55" s="76"/>
      <c r="JKB55" s="76"/>
      <c r="JKC55" s="76"/>
      <c r="JKD55" s="76"/>
      <c r="JKE55" s="76"/>
      <c r="JKF55" s="76"/>
      <c r="JKG55" s="76"/>
      <c r="JKH55" s="76"/>
      <c r="JKI55" s="76"/>
      <c r="JKJ55" s="76"/>
      <c r="JKK55" s="76"/>
      <c r="JKL55" s="76"/>
      <c r="JKM55" s="76"/>
      <c r="JKN55" s="76"/>
      <c r="JKO55" s="76"/>
      <c r="JKP55" s="76"/>
      <c r="JKQ55" s="76"/>
      <c r="JKR55" s="76"/>
      <c r="JKS55" s="76"/>
      <c r="JKT55" s="76"/>
      <c r="JKU55" s="76"/>
      <c r="JKV55" s="76"/>
      <c r="JKW55" s="76"/>
      <c r="JKX55" s="76"/>
      <c r="JKY55" s="76"/>
      <c r="JKZ55" s="76"/>
      <c r="JLA55" s="76"/>
      <c r="JLB55" s="76"/>
      <c r="JLC55" s="76"/>
      <c r="JLD55" s="76"/>
      <c r="JLE55" s="76"/>
      <c r="JLF55" s="76"/>
      <c r="JLG55" s="76"/>
      <c r="JLH55" s="76"/>
      <c r="JLI55" s="76"/>
      <c r="JLJ55" s="76"/>
      <c r="JLK55" s="76"/>
      <c r="JLL55" s="76"/>
      <c r="JLM55" s="76"/>
      <c r="JLN55" s="76"/>
      <c r="JLO55" s="76"/>
      <c r="JLP55" s="76"/>
      <c r="JLQ55" s="76"/>
      <c r="JLR55" s="76"/>
      <c r="JLS55" s="76"/>
      <c r="JLT55" s="76"/>
      <c r="JLU55" s="76"/>
      <c r="JLV55" s="76"/>
      <c r="JLW55" s="76"/>
      <c r="JLX55" s="76"/>
      <c r="JLY55" s="76"/>
      <c r="JLZ55" s="76"/>
      <c r="JMA55" s="76"/>
      <c r="JMB55" s="76"/>
      <c r="JMC55" s="76"/>
      <c r="JMD55" s="76"/>
      <c r="JME55" s="76"/>
      <c r="JMF55" s="76"/>
      <c r="JMG55" s="76"/>
      <c r="JMH55" s="76"/>
      <c r="JMI55" s="76"/>
      <c r="JMJ55" s="76"/>
      <c r="JMK55" s="76"/>
      <c r="JML55" s="76"/>
      <c r="JMM55" s="76"/>
      <c r="JMN55" s="76"/>
      <c r="JMO55" s="76"/>
      <c r="JMP55" s="76"/>
      <c r="JMQ55" s="76"/>
      <c r="JMR55" s="76"/>
      <c r="JMS55" s="76"/>
      <c r="JMT55" s="76"/>
      <c r="JMU55" s="76"/>
      <c r="JMV55" s="76"/>
      <c r="JMW55" s="76"/>
      <c r="JMX55" s="76"/>
      <c r="JMY55" s="76"/>
      <c r="JMZ55" s="76"/>
      <c r="JNA55" s="76"/>
      <c r="JNB55" s="76"/>
      <c r="JNC55" s="76"/>
      <c r="JND55" s="76"/>
      <c r="JNE55" s="76"/>
      <c r="JNF55" s="76"/>
      <c r="JNG55" s="76"/>
      <c r="JNH55" s="76"/>
      <c r="JNI55" s="76"/>
      <c r="JNJ55" s="76"/>
      <c r="JNK55" s="76"/>
      <c r="JNL55" s="76"/>
      <c r="JNM55" s="76"/>
      <c r="JNN55" s="76"/>
      <c r="JNO55" s="76"/>
      <c r="JNP55" s="76"/>
      <c r="JNQ55" s="76"/>
      <c r="JNR55" s="76"/>
      <c r="JNS55" s="76"/>
      <c r="JNT55" s="76"/>
      <c r="JNU55" s="76"/>
      <c r="JNV55" s="76"/>
      <c r="JNW55" s="76"/>
      <c r="JNX55" s="76"/>
      <c r="JNY55" s="76"/>
      <c r="JNZ55" s="76"/>
      <c r="JOA55" s="76"/>
      <c r="JOB55" s="76"/>
      <c r="JOC55" s="76"/>
      <c r="JOD55" s="76"/>
      <c r="JOE55" s="76"/>
      <c r="JOF55" s="76"/>
      <c r="JOG55" s="76"/>
      <c r="JOH55" s="76"/>
      <c r="JOI55" s="76"/>
      <c r="JOJ55" s="76"/>
      <c r="JOK55" s="76"/>
      <c r="JOL55" s="76"/>
      <c r="JOM55" s="76"/>
      <c r="JON55" s="76"/>
      <c r="JOO55" s="76"/>
      <c r="JOP55" s="76"/>
      <c r="JOQ55" s="76"/>
      <c r="JOR55" s="76"/>
      <c r="JOS55" s="76"/>
      <c r="JOT55" s="76"/>
      <c r="JOU55" s="76"/>
      <c r="JOV55" s="76"/>
      <c r="JOW55" s="76"/>
      <c r="JOX55" s="76"/>
      <c r="JOY55" s="76"/>
      <c r="JOZ55" s="76"/>
      <c r="JPA55" s="76"/>
      <c r="JPB55" s="76"/>
      <c r="JPC55" s="76"/>
      <c r="JPD55" s="76"/>
      <c r="JPE55" s="76"/>
      <c r="JPF55" s="76"/>
      <c r="JPG55" s="76"/>
      <c r="JPH55" s="76"/>
      <c r="JPI55" s="76"/>
      <c r="JPJ55" s="76"/>
      <c r="JPK55" s="76"/>
      <c r="JPL55" s="76"/>
      <c r="JPM55" s="76"/>
      <c r="JPN55" s="76"/>
      <c r="JPO55" s="76"/>
      <c r="JPP55" s="76"/>
      <c r="JPQ55" s="76"/>
      <c r="JPR55" s="76"/>
      <c r="JPS55" s="76"/>
      <c r="JPT55" s="76"/>
      <c r="JPU55" s="76"/>
      <c r="JPV55" s="76"/>
      <c r="JPW55" s="76"/>
      <c r="JPX55" s="76"/>
      <c r="JPY55" s="76"/>
      <c r="JPZ55" s="76"/>
      <c r="JQA55" s="76"/>
      <c r="JQB55" s="76"/>
      <c r="JQC55" s="76"/>
      <c r="JQD55" s="76"/>
      <c r="JQE55" s="76"/>
      <c r="JQF55" s="76"/>
      <c r="JQG55" s="76"/>
      <c r="JQH55" s="76"/>
      <c r="JQI55" s="76"/>
      <c r="JQJ55" s="76"/>
      <c r="JQK55" s="76"/>
      <c r="JQL55" s="76"/>
      <c r="JQM55" s="76"/>
      <c r="JQN55" s="76"/>
      <c r="JQO55" s="76"/>
      <c r="JQP55" s="76"/>
      <c r="JQQ55" s="76"/>
      <c r="JQR55" s="76"/>
      <c r="JQS55" s="76"/>
      <c r="JQT55" s="76"/>
      <c r="JQU55" s="76"/>
      <c r="JQV55" s="76"/>
      <c r="JQW55" s="76"/>
      <c r="JQX55" s="76"/>
      <c r="JQY55" s="76"/>
      <c r="JQZ55" s="76"/>
      <c r="JRA55" s="76"/>
      <c r="JRB55" s="76"/>
      <c r="JRC55" s="76"/>
      <c r="JRD55" s="76"/>
      <c r="JRE55" s="76"/>
      <c r="JRF55" s="76"/>
      <c r="JRG55" s="76"/>
      <c r="JRH55" s="76"/>
      <c r="JRI55" s="76"/>
      <c r="JRJ55" s="76"/>
      <c r="JRK55" s="76"/>
      <c r="JRL55" s="76"/>
      <c r="JRM55" s="76"/>
      <c r="JRN55" s="76"/>
      <c r="JRO55" s="76"/>
      <c r="JRP55" s="76"/>
      <c r="JRQ55" s="76"/>
      <c r="JRR55" s="76"/>
      <c r="JRS55" s="76"/>
      <c r="JRT55" s="76"/>
      <c r="JRU55" s="76"/>
      <c r="JRV55" s="76"/>
      <c r="JRW55" s="76"/>
      <c r="JRX55" s="76"/>
      <c r="JRY55" s="76"/>
      <c r="JRZ55" s="76"/>
      <c r="JSA55" s="76"/>
      <c r="JSB55" s="76"/>
      <c r="JSC55" s="76"/>
      <c r="JSD55" s="76"/>
      <c r="JSE55" s="76"/>
      <c r="JSF55" s="76"/>
      <c r="JSG55" s="76"/>
      <c r="JSH55" s="76"/>
      <c r="JSI55" s="76"/>
      <c r="JSJ55" s="76"/>
      <c r="JSK55" s="76"/>
      <c r="JSL55" s="76"/>
      <c r="JSM55" s="76"/>
      <c r="JSN55" s="76"/>
      <c r="JSO55" s="76"/>
      <c r="JSP55" s="76"/>
      <c r="JSQ55" s="76"/>
      <c r="JSR55" s="76"/>
      <c r="JSS55" s="76"/>
      <c r="JST55" s="76"/>
      <c r="JSU55" s="76"/>
      <c r="JSV55" s="76"/>
      <c r="JSW55" s="76"/>
      <c r="JSX55" s="76"/>
      <c r="JSY55" s="76"/>
      <c r="JSZ55" s="76"/>
      <c r="JTA55" s="76"/>
      <c r="JTB55" s="76"/>
      <c r="JTC55" s="76"/>
      <c r="JTD55" s="76"/>
      <c r="JTE55" s="76"/>
      <c r="JTF55" s="76"/>
      <c r="JTG55" s="76"/>
      <c r="JTH55" s="76"/>
      <c r="JTI55" s="76"/>
      <c r="JTJ55" s="76"/>
      <c r="JTK55" s="76"/>
      <c r="JTL55" s="76"/>
      <c r="JTM55" s="76"/>
      <c r="JTN55" s="76"/>
      <c r="JTO55" s="76"/>
      <c r="JTP55" s="76"/>
      <c r="JTQ55" s="76"/>
      <c r="JTR55" s="76"/>
      <c r="JTS55" s="76"/>
      <c r="JTT55" s="76"/>
      <c r="JTU55" s="76"/>
      <c r="JTV55" s="76"/>
      <c r="JTW55" s="76"/>
      <c r="JTX55" s="76"/>
      <c r="JTY55" s="76"/>
      <c r="JTZ55" s="76"/>
      <c r="JUA55" s="76"/>
      <c r="JUB55" s="76"/>
      <c r="JUC55" s="76"/>
      <c r="JUD55" s="76"/>
      <c r="JUE55" s="76"/>
      <c r="JUF55" s="76"/>
      <c r="JUG55" s="76"/>
      <c r="JUH55" s="76"/>
      <c r="JUI55" s="76"/>
      <c r="JUJ55" s="76"/>
      <c r="JUK55" s="76"/>
      <c r="JUL55" s="76"/>
      <c r="JUM55" s="76"/>
      <c r="JUN55" s="76"/>
      <c r="JUO55" s="76"/>
      <c r="JUP55" s="76"/>
      <c r="JUQ55" s="76"/>
      <c r="JUR55" s="76"/>
      <c r="JUS55" s="76"/>
      <c r="JUT55" s="76"/>
      <c r="JUU55" s="76"/>
      <c r="JUV55" s="76"/>
      <c r="JUW55" s="76"/>
      <c r="JUX55" s="76"/>
      <c r="JUY55" s="76"/>
      <c r="JUZ55" s="76"/>
      <c r="JVA55" s="76"/>
      <c r="JVB55" s="76"/>
      <c r="JVC55" s="76"/>
      <c r="JVD55" s="76"/>
      <c r="JVE55" s="76"/>
      <c r="JVF55" s="76"/>
      <c r="JVG55" s="76"/>
      <c r="JVH55" s="76"/>
      <c r="JVI55" s="76"/>
      <c r="JVJ55" s="76"/>
      <c r="JVK55" s="76"/>
      <c r="JVL55" s="76"/>
      <c r="JVM55" s="76"/>
      <c r="JVN55" s="76"/>
      <c r="JVO55" s="76"/>
      <c r="JVP55" s="76"/>
      <c r="JVQ55" s="76"/>
      <c r="JVR55" s="76"/>
      <c r="JVS55" s="76"/>
      <c r="JVT55" s="76"/>
      <c r="JVU55" s="76"/>
      <c r="JVV55" s="76"/>
      <c r="JVW55" s="76"/>
      <c r="JVX55" s="76"/>
      <c r="JVY55" s="76"/>
      <c r="JVZ55" s="76"/>
      <c r="JWA55" s="76"/>
      <c r="JWB55" s="76"/>
      <c r="JWC55" s="76"/>
      <c r="JWD55" s="76"/>
      <c r="JWE55" s="76"/>
      <c r="JWF55" s="76"/>
      <c r="JWG55" s="76"/>
      <c r="JWH55" s="76"/>
      <c r="JWI55" s="76"/>
      <c r="JWJ55" s="76"/>
      <c r="JWK55" s="76"/>
      <c r="JWL55" s="76"/>
      <c r="JWM55" s="76"/>
      <c r="JWN55" s="76"/>
      <c r="JWO55" s="76"/>
      <c r="JWP55" s="76"/>
      <c r="JWQ55" s="76"/>
      <c r="JWR55" s="76"/>
      <c r="JWS55" s="76"/>
      <c r="JWT55" s="76"/>
      <c r="JWU55" s="76"/>
      <c r="JWV55" s="76"/>
      <c r="JWW55" s="76"/>
      <c r="JWX55" s="76"/>
      <c r="JWY55" s="76"/>
      <c r="JWZ55" s="76"/>
      <c r="JXA55" s="76"/>
      <c r="JXB55" s="76"/>
      <c r="JXC55" s="76"/>
      <c r="JXD55" s="76"/>
      <c r="JXE55" s="76"/>
      <c r="JXF55" s="76"/>
      <c r="JXG55" s="76"/>
      <c r="JXH55" s="76"/>
      <c r="JXI55" s="76"/>
      <c r="JXJ55" s="76"/>
      <c r="JXK55" s="76"/>
      <c r="JXL55" s="76"/>
      <c r="JXM55" s="76"/>
      <c r="JXN55" s="76"/>
      <c r="JXO55" s="76"/>
      <c r="JXP55" s="76"/>
      <c r="JXQ55" s="76"/>
      <c r="JXR55" s="76"/>
      <c r="JXS55" s="76"/>
      <c r="JXT55" s="76"/>
      <c r="JXU55" s="76"/>
      <c r="JXV55" s="76"/>
      <c r="JXW55" s="76"/>
      <c r="JXX55" s="76"/>
      <c r="JXY55" s="76"/>
      <c r="JXZ55" s="76"/>
      <c r="JYA55" s="76"/>
      <c r="JYB55" s="76"/>
      <c r="JYC55" s="76"/>
      <c r="JYD55" s="76"/>
      <c r="JYE55" s="76"/>
      <c r="JYF55" s="76"/>
      <c r="JYG55" s="76"/>
      <c r="JYH55" s="76"/>
      <c r="JYI55" s="76"/>
      <c r="JYJ55" s="76"/>
      <c r="JYK55" s="76"/>
      <c r="JYL55" s="76"/>
      <c r="JYM55" s="76"/>
      <c r="JYN55" s="76"/>
      <c r="JYO55" s="76"/>
      <c r="JYP55" s="76"/>
      <c r="JYQ55" s="76"/>
      <c r="JYR55" s="76"/>
      <c r="JYS55" s="76"/>
      <c r="JYT55" s="76"/>
      <c r="JYU55" s="76"/>
      <c r="JYV55" s="76"/>
      <c r="JYW55" s="76"/>
      <c r="JYX55" s="76"/>
      <c r="JYY55" s="76"/>
      <c r="JYZ55" s="76"/>
      <c r="JZA55" s="76"/>
      <c r="JZB55" s="76"/>
      <c r="JZC55" s="76"/>
      <c r="JZD55" s="76"/>
      <c r="JZE55" s="76"/>
      <c r="JZF55" s="76"/>
      <c r="JZG55" s="76"/>
      <c r="JZH55" s="76"/>
      <c r="JZI55" s="76"/>
      <c r="JZJ55" s="76"/>
      <c r="JZK55" s="76"/>
      <c r="JZL55" s="76"/>
      <c r="JZM55" s="76"/>
      <c r="JZN55" s="76"/>
      <c r="JZO55" s="76"/>
      <c r="JZP55" s="76"/>
      <c r="JZQ55" s="76"/>
      <c r="JZR55" s="76"/>
      <c r="JZS55" s="76"/>
      <c r="JZT55" s="76"/>
      <c r="JZU55" s="76"/>
      <c r="JZV55" s="76"/>
      <c r="JZW55" s="76"/>
      <c r="JZX55" s="76"/>
      <c r="JZY55" s="76"/>
      <c r="JZZ55" s="76"/>
      <c r="KAA55" s="76"/>
      <c r="KAB55" s="76"/>
      <c r="KAC55" s="76"/>
      <c r="KAD55" s="76"/>
      <c r="KAE55" s="76"/>
      <c r="KAF55" s="76"/>
      <c r="KAG55" s="76"/>
      <c r="KAH55" s="76"/>
      <c r="KAI55" s="76"/>
      <c r="KAJ55" s="76"/>
      <c r="KAK55" s="76"/>
      <c r="KAL55" s="76"/>
      <c r="KAM55" s="76"/>
      <c r="KAN55" s="76"/>
      <c r="KAO55" s="76"/>
      <c r="KAP55" s="76"/>
      <c r="KAQ55" s="76"/>
      <c r="KAR55" s="76"/>
      <c r="KAS55" s="76"/>
      <c r="KAT55" s="76"/>
      <c r="KAU55" s="76"/>
      <c r="KAV55" s="76"/>
      <c r="KAW55" s="76"/>
      <c r="KAX55" s="76"/>
      <c r="KAY55" s="76"/>
      <c r="KAZ55" s="76"/>
      <c r="KBA55" s="76"/>
      <c r="KBB55" s="76"/>
      <c r="KBC55" s="76"/>
      <c r="KBD55" s="76"/>
      <c r="KBE55" s="76"/>
      <c r="KBF55" s="76"/>
      <c r="KBG55" s="76"/>
      <c r="KBH55" s="76"/>
      <c r="KBI55" s="76"/>
      <c r="KBJ55" s="76"/>
      <c r="KBK55" s="76"/>
      <c r="KBL55" s="76"/>
      <c r="KBM55" s="76"/>
      <c r="KBN55" s="76"/>
      <c r="KBO55" s="76"/>
      <c r="KBP55" s="76"/>
      <c r="KBQ55" s="76"/>
      <c r="KBR55" s="76"/>
      <c r="KBS55" s="76"/>
      <c r="KBT55" s="76"/>
      <c r="KBU55" s="76"/>
      <c r="KBV55" s="76"/>
      <c r="KBW55" s="76"/>
      <c r="KBX55" s="76"/>
      <c r="KBY55" s="76"/>
      <c r="KBZ55" s="76"/>
      <c r="KCA55" s="76"/>
      <c r="KCB55" s="76"/>
      <c r="KCC55" s="76"/>
      <c r="KCD55" s="76"/>
      <c r="KCE55" s="76"/>
      <c r="KCF55" s="76"/>
      <c r="KCG55" s="76"/>
      <c r="KCH55" s="76"/>
      <c r="KCI55" s="76"/>
      <c r="KCJ55" s="76"/>
      <c r="KCK55" s="76"/>
      <c r="KCL55" s="76"/>
      <c r="KCM55" s="76"/>
      <c r="KCN55" s="76"/>
      <c r="KCO55" s="76"/>
      <c r="KCP55" s="76"/>
      <c r="KCQ55" s="76"/>
      <c r="KCR55" s="76"/>
      <c r="KCS55" s="76"/>
      <c r="KCT55" s="76"/>
      <c r="KCU55" s="76"/>
      <c r="KCV55" s="76"/>
      <c r="KCW55" s="76"/>
      <c r="KCX55" s="76"/>
      <c r="KCY55" s="76"/>
      <c r="KCZ55" s="76"/>
      <c r="KDA55" s="76"/>
      <c r="KDB55" s="76"/>
      <c r="KDC55" s="76"/>
      <c r="KDD55" s="76"/>
      <c r="KDE55" s="76"/>
      <c r="KDF55" s="76"/>
      <c r="KDG55" s="76"/>
      <c r="KDH55" s="76"/>
      <c r="KDI55" s="76"/>
      <c r="KDJ55" s="76"/>
      <c r="KDK55" s="76"/>
      <c r="KDL55" s="76"/>
      <c r="KDM55" s="76"/>
      <c r="KDN55" s="76"/>
      <c r="KDO55" s="76"/>
      <c r="KDP55" s="76"/>
      <c r="KDQ55" s="76"/>
      <c r="KDR55" s="76"/>
      <c r="KDS55" s="76"/>
      <c r="KDT55" s="76"/>
      <c r="KDU55" s="76"/>
      <c r="KDV55" s="76"/>
      <c r="KDW55" s="76"/>
      <c r="KDX55" s="76"/>
      <c r="KDY55" s="76"/>
      <c r="KDZ55" s="76"/>
      <c r="KEA55" s="76"/>
      <c r="KEB55" s="76"/>
      <c r="KEC55" s="76"/>
      <c r="KED55" s="76"/>
      <c r="KEE55" s="76"/>
      <c r="KEF55" s="76"/>
      <c r="KEG55" s="76"/>
      <c r="KEH55" s="76"/>
      <c r="KEI55" s="76"/>
      <c r="KEJ55" s="76"/>
      <c r="KEK55" s="76"/>
      <c r="KEL55" s="76"/>
      <c r="KEM55" s="76"/>
      <c r="KEN55" s="76"/>
      <c r="KEO55" s="76"/>
      <c r="KEP55" s="76"/>
      <c r="KEQ55" s="76"/>
      <c r="KER55" s="76"/>
      <c r="KES55" s="76"/>
      <c r="KET55" s="76"/>
      <c r="KEU55" s="76"/>
      <c r="KEV55" s="76"/>
      <c r="KEW55" s="76"/>
      <c r="KEX55" s="76"/>
      <c r="KEY55" s="76"/>
      <c r="KEZ55" s="76"/>
      <c r="KFA55" s="76"/>
      <c r="KFB55" s="76"/>
      <c r="KFC55" s="76"/>
      <c r="KFD55" s="76"/>
      <c r="KFE55" s="76"/>
      <c r="KFF55" s="76"/>
      <c r="KFG55" s="76"/>
      <c r="KFH55" s="76"/>
      <c r="KFI55" s="76"/>
      <c r="KFJ55" s="76"/>
      <c r="KFK55" s="76"/>
      <c r="KFL55" s="76"/>
      <c r="KFM55" s="76"/>
      <c r="KFN55" s="76"/>
      <c r="KFO55" s="76"/>
      <c r="KFP55" s="76"/>
      <c r="KFQ55" s="76"/>
      <c r="KFR55" s="76"/>
      <c r="KFS55" s="76"/>
      <c r="KFT55" s="76"/>
      <c r="KFU55" s="76"/>
      <c r="KFV55" s="76"/>
      <c r="KFW55" s="76"/>
      <c r="KFX55" s="76"/>
      <c r="KFY55" s="76"/>
      <c r="KFZ55" s="76"/>
      <c r="KGA55" s="76"/>
      <c r="KGB55" s="76"/>
      <c r="KGC55" s="76"/>
      <c r="KGD55" s="76"/>
      <c r="KGE55" s="76"/>
      <c r="KGF55" s="76"/>
      <c r="KGG55" s="76"/>
      <c r="KGH55" s="76"/>
      <c r="KGI55" s="76"/>
      <c r="KGJ55" s="76"/>
      <c r="KGK55" s="76"/>
      <c r="KGL55" s="76"/>
      <c r="KGM55" s="76"/>
      <c r="KGN55" s="76"/>
      <c r="KGO55" s="76"/>
      <c r="KGP55" s="76"/>
      <c r="KGQ55" s="76"/>
      <c r="KGR55" s="76"/>
      <c r="KGS55" s="76"/>
      <c r="KGT55" s="76"/>
      <c r="KGU55" s="76"/>
      <c r="KGV55" s="76"/>
      <c r="KGW55" s="76"/>
      <c r="KGX55" s="76"/>
      <c r="KGY55" s="76"/>
      <c r="KGZ55" s="76"/>
      <c r="KHA55" s="76"/>
      <c r="KHB55" s="76"/>
      <c r="KHC55" s="76"/>
      <c r="KHD55" s="76"/>
      <c r="KHE55" s="76"/>
      <c r="KHF55" s="76"/>
      <c r="KHG55" s="76"/>
      <c r="KHH55" s="76"/>
      <c r="KHI55" s="76"/>
      <c r="KHJ55" s="76"/>
      <c r="KHK55" s="76"/>
      <c r="KHL55" s="76"/>
      <c r="KHM55" s="76"/>
      <c r="KHN55" s="76"/>
      <c r="KHO55" s="76"/>
      <c r="KHP55" s="76"/>
      <c r="KHQ55" s="76"/>
      <c r="KHR55" s="76"/>
      <c r="KHS55" s="76"/>
      <c r="KHT55" s="76"/>
      <c r="KHU55" s="76"/>
      <c r="KHV55" s="76"/>
      <c r="KHW55" s="76"/>
      <c r="KHX55" s="76"/>
      <c r="KHY55" s="76"/>
      <c r="KHZ55" s="76"/>
      <c r="KIA55" s="76"/>
      <c r="KIB55" s="76"/>
      <c r="KIC55" s="76"/>
      <c r="KID55" s="76"/>
      <c r="KIE55" s="76"/>
      <c r="KIF55" s="76"/>
      <c r="KIG55" s="76"/>
      <c r="KIH55" s="76"/>
      <c r="KII55" s="76"/>
      <c r="KIJ55" s="76"/>
      <c r="KIK55" s="76"/>
      <c r="KIL55" s="76"/>
      <c r="KIM55" s="76"/>
      <c r="KIN55" s="76"/>
      <c r="KIO55" s="76"/>
      <c r="KIP55" s="76"/>
      <c r="KIQ55" s="76"/>
      <c r="KIR55" s="76"/>
      <c r="KIS55" s="76"/>
      <c r="KIT55" s="76"/>
      <c r="KIU55" s="76"/>
      <c r="KIV55" s="76"/>
      <c r="KIW55" s="76"/>
      <c r="KIX55" s="76"/>
      <c r="KIY55" s="76"/>
      <c r="KIZ55" s="76"/>
      <c r="KJA55" s="76"/>
      <c r="KJB55" s="76"/>
      <c r="KJC55" s="76"/>
      <c r="KJD55" s="76"/>
      <c r="KJE55" s="76"/>
      <c r="KJF55" s="76"/>
      <c r="KJG55" s="76"/>
      <c r="KJH55" s="76"/>
      <c r="KJI55" s="76"/>
      <c r="KJJ55" s="76"/>
      <c r="KJK55" s="76"/>
      <c r="KJL55" s="76"/>
      <c r="KJM55" s="76"/>
      <c r="KJN55" s="76"/>
      <c r="KJO55" s="76"/>
      <c r="KJP55" s="76"/>
      <c r="KJQ55" s="76"/>
      <c r="KJR55" s="76"/>
      <c r="KJS55" s="76"/>
      <c r="KJT55" s="76"/>
      <c r="KJU55" s="76"/>
      <c r="KJV55" s="76"/>
      <c r="KJW55" s="76"/>
      <c r="KJX55" s="76"/>
      <c r="KJY55" s="76"/>
      <c r="KJZ55" s="76"/>
      <c r="KKA55" s="76"/>
      <c r="KKB55" s="76"/>
      <c r="KKC55" s="76"/>
      <c r="KKD55" s="76"/>
      <c r="KKE55" s="76"/>
      <c r="KKF55" s="76"/>
      <c r="KKG55" s="76"/>
      <c r="KKH55" s="76"/>
      <c r="KKI55" s="76"/>
      <c r="KKJ55" s="76"/>
      <c r="KKK55" s="76"/>
      <c r="KKL55" s="76"/>
      <c r="KKM55" s="76"/>
      <c r="KKN55" s="76"/>
      <c r="KKO55" s="76"/>
      <c r="KKP55" s="76"/>
      <c r="KKQ55" s="76"/>
      <c r="KKR55" s="76"/>
      <c r="KKS55" s="76"/>
      <c r="KKT55" s="76"/>
      <c r="KKU55" s="76"/>
      <c r="KKV55" s="76"/>
      <c r="KKW55" s="76"/>
      <c r="KKX55" s="76"/>
      <c r="KKY55" s="76"/>
      <c r="KKZ55" s="76"/>
      <c r="KLA55" s="76"/>
      <c r="KLB55" s="76"/>
      <c r="KLC55" s="76"/>
      <c r="KLD55" s="76"/>
      <c r="KLE55" s="76"/>
      <c r="KLF55" s="76"/>
      <c r="KLG55" s="76"/>
      <c r="KLH55" s="76"/>
      <c r="KLI55" s="76"/>
      <c r="KLJ55" s="76"/>
      <c r="KLK55" s="76"/>
      <c r="KLL55" s="76"/>
      <c r="KLM55" s="76"/>
      <c r="KLN55" s="76"/>
      <c r="KLO55" s="76"/>
      <c r="KLP55" s="76"/>
      <c r="KLQ55" s="76"/>
      <c r="KLR55" s="76"/>
      <c r="KLS55" s="76"/>
      <c r="KLT55" s="76"/>
      <c r="KLU55" s="76"/>
      <c r="KLV55" s="76"/>
      <c r="KLW55" s="76"/>
      <c r="KLX55" s="76"/>
      <c r="KLY55" s="76"/>
      <c r="KLZ55" s="76"/>
      <c r="KMA55" s="76"/>
      <c r="KMB55" s="76"/>
      <c r="KMC55" s="76"/>
      <c r="KMD55" s="76"/>
      <c r="KME55" s="76"/>
      <c r="KMF55" s="76"/>
      <c r="KMG55" s="76"/>
      <c r="KMH55" s="76"/>
      <c r="KMI55" s="76"/>
      <c r="KMJ55" s="76"/>
      <c r="KMK55" s="76"/>
      <c r="KML55" s="76"/>
      <c r="KMM55" s="76"/>
      <c r="KMN55" s="76"/>
      <c r="KMO55" s="76"/>
      <c r="KMP55" s="76"/>
      <c r="KMQ55" s="76"/>
      <c r="KMR55" s="76"/>
      <c r="KMS55" s="76"/>
      <c r="KMT55" s="76"/>
      <c r="KMU55" s="76"/>
      <c r="KMV55" s="76"/>
      <c r="KMW55" s="76"/>
      <c r="KMX55" s="76"/>
      <c r="KMY55" s="76"/>
      <c r="KMZ55" s="76"/>
      <c r="KNA55" s="76"/>
      <c r="KNB55" s="76"/>
      <c r="KNC55" s="76"/>
      <c r="KND55" s="76"/>
      <c r="KNE55" s="76"/>
      <c r="KNF55" s="76"/>
      <c r="KNG55" s="76"/>
      <c r="KNH55" s="76"/>
      <c r="KNI55" s="76"/>
      <c r="KNJ55" s="76"/>
      <c r="KNK55" s="76"/>
      <c r="KNL55" s="76"/>
      <c r="KNM55" s="76"/>
      <c r="KNN55" s="76"/>
      <c r="KNO55" s="76"/>
      <c r="KNP55" s="76"/>
      <c r="KNQ55" s="76"/>
      <c r="KNR55" s="76"/>
      <c r="KNS55" s="76"/>
      <c r="KNT55" s="76"/>
      <c r="KNU55" s="76"/>
      <c r="KNV55" s="76"/>
      <c r="KNW55" s="76"/>
      <c r="KNX55" s="76"/>
      <c r="KNY55" s="76"/>
      <c r="KNZ55" s="76"/>
      <c r="KOA55" s="76"/>
      <c r="KOB55" s="76"/>
      <c r="KOC55" s="76"/>
      <c r="KOD55" s="76"/>
      <c r="KOE55" s="76"/>
      <c r="KOF55" s="76"/>
      <c r="KOG55" s="76"/>
      <c r="KOH55" s="76"/>
      <c r="KOI55" s="76"/>
      <c r="KOJ55" s="76"/>
      <c r="KOK55" s="76"/>
      <c r="KOL55" s="76"/>
      <c r="KOM55" s="76"/>
      <c r="KON55" s="76"/>
      <c r="KOO55" s="76"/>
      <c r="KOP55" s="76"/>
      <c r="KOQ55" s="76"/>
      <c r="KOR55" s="76"/>
      <c r="KOS55" s="76"/>
      <c r="KOT55" s="76"/>
      <c r="KOU55" s="76"/>
      <c r="KOV55" s="76"/>
      <c r="KOW55" s="76"/>
      <c r="KOX55" s="76"/>
      <c r="KOY55" s="76"/>
      <c r="KOZ55" s="76"/>
      <c r="KPA55" s="76"/>
      <c r="KPB55" s="76"/>
      <c r="KPC55" s="76"/>
      <c r="KPD55" s="76"/>
      <c r="KPE55" s="76"/>
      <c r="KPF55" s="76"/>
      <c r="KPG55" s="76"/>
      <c r="KPH55" s="76"/>
      <c r="KPI55" s="76"/>
      <c r="KPJ55" s="76"/>
      <c r="KPK55" s="76"/>
      <c r="KPL55" s="76"/>
      <c r="KPM55" s="76"/>
      <c r="KPN55" s="76"/>
      <c r="KPO55" s="76"/>
      <c r="KPP55" s="76"/>
      <c r="KPQ55" s="76"/>
      <c r="KPR55" s="76"/>
      <c r="KPS55" s="76"/>
      <c r="KPT55" s="76"/>
      <c r="KPU55" s="76"/>
      <c r="KPV55" s="76"/>
      <c r="KPW55" s="76"/>
      <c r="KPX55" s="76"/>
      <c r="KPY55" s="76"/>
      <c r="KPZ55" s="76"/>
      <c r="KQA55" s="76"/>
      <c r="KQB55" s="76"/>
      <c r="KQC55" s="76"/>
      <c r="KQD55" s="76"/>
      <c r="KQE55" s="76"/>
      <c r="KQF55" s="76"/>
      <c r="KQG55" s="76"/>
      <c r="KQH55" s="76"/>
      <c r="KQI55" s="76"/>
      <c r="KQJ55" s="76"/>
      <c r="KQK55" s="76"/>
      <c r="KQL55" s="76"/>
      <c r="KQM55" s="76"/>
      <c r="KQN55" s="76"/>
      <c r="KQO55" s="76"/>
      <c r="KQP55" s="76"/>
      <c r="KQQ55" s="76"/>
      <c r="KQR55" s="76"/>
      <c r="KQS55" s="76"/>
      <c r="KQT55" s="76"/>
      <c r="KQU55" s="76"/>
      <c r="KQV55" s="76"/>
      <c r="KQW55" s="76"/>
      <c r="KQX55" s="76"/>
      <c r="KQY55" s="76"/>
      <c r="KQZ55" s="76"/>
      <c r="KRA55" s="76"/>
      <c r="KRB55" s="76"/>
      <c r="KRC55" s="76"/>
      <c r="KRD55" s="76"/>
      <c r="KRE55" s="76"/>
      <c r="KRF55" s="76"/>
      <c r="KRG55" s="76"/>
      <c r="KRH55" s="76"/>
      <c r="KRI55" s="76"/>
      <c r="KRJ55" s="76"/>
      <c r="KRK55" s="76"/>
      <c r="KRL55" s="76"/>
      <c r="KRM55" s="76"/>
      <c r="KRN55" s="76"/>
      <c r="KRO55" s="76"/>
      <c r="KRP55" s="76"/>
      <c r="KRQ55" s="76"/>
      <c r="KRR55" s="76"/>
      <c r="KRS55" s="76"/>
      <c r="KRT55" s="76"/>
      <c r="KRU55" s="76"/>
      <c r="KRV55" s="76"/>
      <c r="KRW55" s="76"/>
      <c r="KRX55" s="76"/>
      <c r="KRY55" s="76"/>
      <c r="KRZ55" s="76"/>
      <c r="KSA55" s="76"/>
      <c r="KSB55" s="76"/>
      <c r="KSC55" s="76"/>
      <c r="KSD55" s="76"/>
      <c r="KSE55" s="76"/>
      <c r="KSF55" s="76"/>
      <c r="KSG55" s="76"/>
      <c r="KSH55" s="76"/>
      <c r="KSI55" s="76"/>
      <c r="KSJ55" s="76"/>
      <c r="KSK55" s="76"/>
      <c r="KSL55" s="76"/>
      <c r="KSM55" s="76"/>
      <c r="KSN55" s="76"/>
      <c r="KSO55" s="76"/>
      <c r="KSP55" s="76"/>
      <c r="KSQ55" s="76"/>
      <c r="KSR55" s="76"/>
      <c r="KSS55" s="76"/>
      <c r="KST55" s="76"/>
      <c r="KSU55" s="76"/>
      <c r="KSV55" s="76"/>
      <c r="KSW55" s="76"/>
      <c r="KSX55" s="76"/>
      <c r="KSY55" s="76"/>
      <c r="KSZ55" s="76"/>
      <c r="KTA55" s="76"/>
      <c r="KTB55" s="76"/>
      <c r="KTC55" s="76"/>
      <c r="KTD55" s="76"/>
      <c r="KTE55" s="76"/>
      <c r="KTF55" s="76"/>
      <c r="KTG55" s="76"/>
      <c r="KTH55" s="76"/>
      <c r="KTI55" s="76"/>
      <c r="KTJ55" s="76"/>
      <c r="KTK55" s="76"/>
      <c r="KTL55" s="76"/>
      <c r="KTM55" s="76"/>
      <c r="KTN55" s="76"/>
      <c r="KTO55" s="76"/>
      <c r="KTP55" s="76"/>
      <c r="KTQ55" s="76"/>
      <c r="KTR55" s="76"/>
      <c r="KTS55" s="76"/>
      <c r="KTT55" s="76"/>
      <c r="KTU55" s="76"/>
      <c r="KTV55" s="76"/>
      <c r="KTW55" s="76"/>
      <c r="KTX55" s="76"/>
      <c r="KTY55" s="76"/>
      <c r="KTZ55" s="76"/>
      <c r="KUA55" s="76"/>
      <c r="KUB55" s="76"/>
      <c r="KUC55" s="76"/>
      <c r="KUD55" s="76"/>
      <c r="KUE55" s="76"/>
      <c r="KUF55" s="76"/>
      <c r="KUG55" s="76"/>
      <c r="KUH55" s="76"/>
      <c r="KUI55" s="76"/>
      <c r="KUJ55" s="76"/>
      <c r="KUK55" s="76"/>
      <c r="KUL55" s="76"/>
      <c r="KUM55" s="76"/>
      <c r="KUN55" s="76"/>
      <c r="KUO55" s="76"/>
      <c r="KUP55" s="76"/>
      <c r="KUQ55" s="76"/>
      <c r="KUR55" s="76"/>
      <c r="KUS55" s="76"/>
      <c r="KUT55" s="76"/>
      <c r="KUU55" s="76"/>
      <c r="KUV55" s="76"/>
      <c r="KUW55" s="76"/>
      <c r="KUX55" s="76"/>
      <c r="KUY55" s="76"/>
      <c r="KUZ55" s="76"/>
      <c r="KVA55" s="76"/>
      <c r="KVB55" s="76"/>
      <c r="KVC55" s="76"/>
      <c r="KVD55" s="76"/>
      <c r="KVE55" s="76"/>
      <c r="KVF55" s="76"/>
      <c r="KVG55" s="76"/>
      <c r="KVH55" s="76"/>
      <c r="KVI55" s="76"/>
      <c r="KVJ55" s="76"/>
      <c r="KVK55" s="76"/>
      <c r="KVL55" s="76"/>
      <c r="KVM55" s="76"/>
      <c r="KVN55" s="76"/>
      <c r="KVO55" s="76"/>
      <c r="KVP55" s="76"/>
      <c r="KVQ55" s="76"/>
      <c r="KVR55" s="76"/>
      <c r="KVS55" s="76"/>
      <c r="KVT55" s="76"/>
      <c r="KVU55" s="76"/>
      <c r="KVV55" s="76"/>
      <c r="KVW55" s="76"/>
      <c r="KVX55" s="76"/>
      <c r="KVY55" s="76"/>
      <c r="KVZ55" s="76"/>
      <c r="KWA55" s="76"/>
      <c r="KWB55" s="76"/>
      <c r="KWC55" s="76"/>
      <c r="KWD55" s="76"/>
      <c r="KWE55" s="76"/>
      <c r="KWF55" s="76"/>
      <c r="KWG55" s="76"/>
      <c r="KWH55" s="76"/>
      <c r="KWI55" s="76"/>
      <c r="KWJ55" s="76"/>
      <c r="KWK55" s="76"/>
      <c r="KWL55" s="76"/>
      <c r="KWM55" s="76"/>
      <c r="KWN55" s="76"/>
      <c r="KWO55" s="76"/>
      <c r="KWP55" s="76"/>
      <c r="KWQ55" s="76"/>
      <c r="KWR55" s="76"/>
      <c r="KWS55" s="76"/>
      <c r="KWT55" s="76"/>
      <c r="KWU55" s="76"/>
      <c r="KWV55" s="76"/>
      <c r="KWW55" s="76"/>
      <c r="KWX55" s="76"/>
      <c r="KWY55" s="76"/>
      <c r="KWZ55" s="76"/>
      <c r="KXA55" s="76"/>
      <c r="KXB55" s="76"/>
      <c r="KXC55" s="76"/>
      <c r="KXD55" s="76"/>
      <c r="KXE55" s="76"/>
      <c r="KXF55" s="76"/>
      <c r="KXG55" s="76"/>
      <c r="KXH55" s="76"/>
      <c r="KXI55" s="76"/>
      <c r="KXJ55" s="76"/>
      <c r="KXK55" s="76"/>
      <c r="KXL55" s="76"/>
      <c r="KXM55" s="76"/>
      <c r="KXN55" s="76"/>
      <c r="KXO55" s="76"/>
      <c r="KXP55" s="76"/>
      <c r="KXQ55" s="76"/>
      <c r="KXR55" s="76"/>
      <c r="KXS55" s="76"/>
      <c r="KXT55" s="76"/>
      <c r="KXU55" s="76"/>
      <c r="KXV55" s="76"/>
      <c r="KXW55" s="76"/>
      <c r="KXX55" s="76"/>
      <c r="KXY55" s="76"/>
      <c r="KXZ55" s="76"/>
      <c r="KYA55" s="76"/>
      <c r="KYB55" s="76"/>
      <c r="KYC55" s="76"/>
      <c r="KYD55" s="76"/>
      <c r="KYE55" s="76"/>
      <c r="KYF55" s="76"/>
      <c r="KYG55" s="76"/>
      <c r="KYH55" s="76"/>
      <c r="KYI55" s="76"/>
      <c r="KYJ55" s="76"/>
      <c r="KYK55" s="76"/>
      <c r="KYL55" s="76"/>
      <c r="KYM55" s="76"/>
      <c r="KYN55" s="76"/>
      <c r="KYO55" s="76"/>
      <c r="KYP55" s="76"/>
      <c r="KYQ55" s="76"/>
      <c r="KYR55" s="76"/>
      <c r="KYS55" s="76"/>
      <c r="KYT55" s="76"/>
      <c r="KYU55" s="76"/>
      <c r="KYV55" s="76"/>
      <c r="KYW55" s="76"/>
      <c r="KYX55" s="76"/>
      <c r="KYY55" s="76"/>
      <c r="KYZ55" s="76"/>
      <c r="KZA55" s="76"/>
      <c r="KZB55" s="76"/>
      <c r="KZC55" s="76"/>
      <c r="KZD55" s="76"/>
      <c r="KZE55" s="76"/>
      <c r="KZF55" s="76"/>
      <c r="KZG55" s="76"/>
      <c r="KZH55" s="76"/>
      <c r="KZI55" s="76"/>
      <c r="KZJ55" s="76"/>
      <c r="KZK55" s="76"/>
      <c r="KZL55" s="76"/>
      <c r="KZM55" s="76"/>
      <c r="KZN55" s="76"/>
      <c r="KZO55" s="76"/>
      <c r="KZP55" s="76"/>
      <c r="KZQ55" s="76"/>
      <c r="KZR55" s="76"/>
      <c r="KZS55" s="76"/>
      <c r="KZT55" s="76"/>
      <c r="KZU55" s="76"/>
      <c r="KZV55" s="76"/>
      <c r="KZW55" s="76"/>
      <c r="KZX55" s="76"/>
      <c r="KZY55" s="76"/>
      <c r="KZZ55" s="76"/>
      <c r="LAA55" s="76"/>
      <c r="LAB55" s="76"/>
      <c r="LAC55" s="76"/>
      <c r="LAD55" s="76"/>
      <c r="LAE55" s="76"/>
      <c r="LAF55" s="76"/>
      <c r="LAG55" s="76"/>
      <c r="LAH55" s="76"/>
      <c r="LAI55" s="76"/>
      <c r="LAJ55" s="76"/>
      <c r="LAK55" s="76"/>
      <c r="LAL55" s="76"/>
      <c r="LAM55" s="76"/>
      <c r="LAN55" s="76"/>
      <c r="LAO55" s="76"/>
      <c r="LAP55" s="76"/>
      <c r="LAQ55" s="76"/>
      <c r="LAR55" s="76"/>
      <c r="LAS55" s="76"/>
      <c r="LAT55" s="76"/>
      <c r="LAU55" s="76"/>
      <c r="LAV55" s="76"/>
      <c r="LAW55" s="76"/>
      <c r="LAX55" s="76"/>
      <c r="LAY55" s="76"/>
      <c r="LAZ55" s="76"/>
      <c r="LBA55" s="76"/>
      <c r="LBB55" s="76"/>
      <c r="LBC55" s="76"/>
      <c r="LBD55" s="76"/>
      <c r="LBE55" s="76"/>
      <c r="LBF55" s="76"/>
      <c r="LBG55" s="76"/>
      <c r="LBH55" s="76"/>
      <c r="LBI55" s="76"/>
      <c r="LBJ55" s="76"/>
      <c r="LBK55" s="76"/>
      <c r="LBL55" s="76"/>
      <c r="LBM55" s="76"/>
      <c r="LBN55" s="76"/>
      <c r="LBO55" s="76"/>
      <c r="LBP55" s="76"/>
      <c r="LBQ55" s="76"/>
      <c r="LBR55" s="76"/>
      <c r="LBS55" s="76"/>
      <c r="LBT55" s="76"/>
      <c r="LBU55" s="76"/>
      <c r="LBV55" s="76"/>
      <c r="LBW55" s="76"/>
      <c r="LBX55" s="76"/>
      <c r="LBY55" s="76"/>
      <c r="LBZ55" s="76"/>
      <c r="LCA55" s="76"/>
      <c r="LCB55" s="76"/>
      <c r="LCC55" s="76"/>
      <c r="LCD55" s="76"/>
      <c r="LCE55" s="76"/>
      <c r="LCF55" s="76"/>
      <c r="LCG55" s="76"/>
      <c r="LCH55" s="76"/>
      <c r="LCI55" s="76"/>
      <c r="LCJ55" s="76"/>
      <c r="LCK55" s="76"/>
      <c r="LCL55" s="76"/>
      <c r="LCM55" s="76"/>
      <c r="LCN55" s="76"/>
      <c r="LCO55" s="76"/>
      <c r="LCP55" s="76"/>
      <c r="LCQ55" s="76"/>
      <c r="LCR55" s="76"/>
      <c r="LCS55" s="76"/>
      <c r="LCT55" s="76"/>
      <c r="LCU55" s="76"/>
      <c r="LCV55" s="76"/>
      <c r="LCW55" s="76"/>
      <c r="LCX55" s="76"/>
      <c r="LCY55" s="76"/>
      <c r="LCZ55" s="76"/>
      <c r="LDA55" s="76"/>
      <c r="LDB55" s="76"/>
      <c r="LDC55" s="76"/>
      <c r="LDD55" s="76"/>
      <c r="LDE55" s="76"/>
      <c r="LDF55" s="76"/>
      <c r="LDG55" s="76"/>
      <c r="LDH55" s="76"/>
      <c r="LDI55" s="76"/>
      <c r="LDJ55" s="76"/>
      <c r="LDK55" s="76"/>
      <c r="LDL55" s="76"/>
      <c r="LDM55" s="76"/>
      <c r="LDN55" s="76"/>
      <c r="LDO55" s="76"/>
      <c r="LDP55" s="76"/>
      <c r="LDQ55" s="76"/>
      <c r="LDR55" s="76"/>
      <c r="LDS55" s="76"/>
      <c r="LDT55" s="76"/>
      <c r="LDU55" s="76"/>
      <c r="LDV55" s="76"/>
      <c r="LDW55" s="76"/>
      <c r="LDX55" s="76"/>
      <c r="LDY55" s="76"/>
      <c r="LDZ55" s="76"/>
      <c r="LEA55" s="76"/>
      <c r="LEB55" s="76"/>
      <c r="LEC55" s="76"/>
      <c r="LED55" s="76"/>
      <c r="LEE55" s="76"/>
      <c r="LEF55" s="76"/>
      <c r="LEG55" s="76"/>
      <c r="LEH55" s="76"/>
      <c r="LEI55" s="76"/>
      <c r="LEJ55" s="76"/>
      <c r="LEK55" s="76"/>
      <c r="LEL55" s="76"/>
      <c r="LEM55" s="76"/>
      <c r="LEN55" s="76"/>
      <c r="LEO55" s="76"/>
      <c r="LEP55" s="76"/>
      <c r="LEQ55" s="76"/>
      <c r="LER55" s="76"/>
      <c r="LES55" s="76"/>
      <c r="LET55" s="76"/>
      <c r="LEU55" s="76"/>
      <c r="LEV55" s="76"/>
      <c r="LEW55" s="76"/>
      <c r="LEX55" s="76"/>
      <c r="LEY55" s="76"/>
      <c r="LEZ55" s="76"/>
      <c r="LFA55" s="76"/>
      <c r="LFB55" s="76"/>
      <c r="LFC55" s="76"/>
      <c r="LFD55" s="76"/>
      <c r="LFE55" s="76"/>
      <c r="LFF55" s="76"/>
      <c r="LFG55" s="76"/>
      <c r="LFH55" s="76"/>
      <c r="LFI55" s="76"/>
      <c r="LFJ55" s="76"/>
      <c r="LFK55" s="76"/>
      <c r="LFL55" s="76"/>
      <c r="LFM55" s="76"/>
      <c r="LFN55" s="76"/>
      <c r="LFO55" s="76"/>
      <c r="LFP55" s="76"/>
      <c r="LFQ55" s="76"/>
      <c r="LFR55" s="76"/>
      <c r="LFS55" s="76"/>
      <c r="LFT55" s="76"/>
      <c r="LFU55" s="76"/>
      <c r="LFV55" s="76"/>
      <c r="LFW55" s="76"/>
      <c r="LFX55" s="76"/>
      <c r="LFY55" s="76"/>
      <c r="LFZ55" s="76"/>
      <c r="LGA55" s="76"/>
      <c r="LGB55" s="76"/>
      <c r="LGC55" s="76"/>
      <c r="LGD55" s="76"/>
      <c r="LGE55" s="76"/>
      <c r="LGF55" s="76"/>
      <c r="LGG55" s="76"/>
      <c r="LGH55" s="76"/>
      <c r="LGI55" s="76"/>
      <c r="LGJ55" s="76"/>
      <c r="LGK55" s="76"/>
      <c r="LGL55" s="76"/>
      <c r="LGM55" s="76"/>
      <c r="LGN55" s="76"/>
      <c r="LGO55" s="76"/>
      <c r="LGP55" s="76"/>
      <c r="LGQ55" s="76"/>
      <c r="LGR55" s="76"/>
      <c r="LGS55" s="76"/>
      <c r="LGT55" s="76"/>
      <c r="LGU55" s="76"/>
      <c r="LGV55" s="76"/>
      <c r="LGW55" s="76"/>
      <c r="LGX55" s="76"/>
      <c r="LGY55" s="76"/>
      <c r="LGZ55" s="76"/>
      <c r="LHA55" s="76"/>
      <c r="LHB55" s="76"/>
      <c r="LHC55" s="76"/>
      <c r="LHD55" s="76"/>
      <c r="LHE55" s="76"/>
      <c r="LHF55" s="76"/>
      <c r="LHG55" s="76"/>
      <c r="LHH55" s="76"/>
      <c r="LHI55" s="76"/>
      <c r="LHJ55" s="76"/>
      <c r="LHK55" s="76"/>
      <c r="LHL55" s="76"/>
      <c r="LHM55" s="76"/>
      <c r="LHN55" s="76"/>
      <c r="LHO55" s="76"/>
      <c r="LHP55" s="76"/>
      <c r="LHQ55" s="76"/>
      <c r="LHR55" s="76"/>
      <c r="LHS55" s="76"/>
      <c r="LHT55" s="76"/>
      <c r="LHU55" s="76"/>
      <c r="LHV55" s="76"/>
      <c r="LHW55" s="76"/>
      <c r="LHX55" s="76"/>
      <c r="LHY55" s="76"/>
      <c r="LHZ55" s="76"/>
      <c r="LIA55" s="76"/>
      <c r="LIB55" s="76"/>
      <c r="LIC55" s="76"/>
      <c r="LID55" s="76"/>
      <c r="LIE55" s="76"/>
      <c r="LIF55" s="76"/>
      <c r="LIG55" s="76"/>
      <c r="LIH55" s="76"/>
      <c r="LII55" s="76"/>
      <c r="LIJ55" s="76"/>
      <c r="LIK55" s="76"/>
      <c r="LIL55" s="76"/>
      <c r="LIM55" s="76"/>
      <c r="LIN55" s="76"/>
      <c r="LIO55" s="76"/>
      <c r="LIP55" s="76"/>
      <c r="LIQ55" s="76"/>
      <c r="LIR55" s="76"/>
      <c r="LIS55" s="76"/>
      <c r="LIT55" s="76"/>
      <c r="LIU55" s="76"/>
      <c r="LIV55" s="76"/>
      <c r="LIW55" s="76"/>
      <c r="LIX55" s="76"/>
      <c r="LIY55" s="76"/>
      <c r="LIZ55" s="76"/>
      <c r="LJA55" s="76"/>
      <c r="LJB55" s="76"/>
      <c r="LJC55" s="76"/>
      <c r="LJD55" s="76"/>
      <c r="LJE55" s="76"/>
      <c r="LJF55" s="76"/>
      <c r="LJG55" s="76"/>
      <c r="LJH55" s="76"/>
      <c r="LJI55" s="76"/>
      <c r="LJJ55" s="76"/>
      <c r="LJK55" s="76"/>
      <c r="LJL55" s="76"/>
      <c r="LJM55" s="76"/>
      <c r="LJN55" s="76"/>
      <c r="LJO55" s="76"/>
      <c r="LJP55" s="76"/>
      <c r="LJQ55" s="76"/>
      <c r="LJR55" s="76"/>
      <c r="LJS55" s="76"/>
      <c r="LJT55" s="76"/>
      <c r="LJU55" s="76"/>
      <c r="LJV55" s="76"/>
      <c r="LJW55" s="76"/>
      <c r="LJX55" s="76"/>
      <c r="LJY55" s="76"/>
      <c r="LJZ55" s="76"/>
      <c r="LKA55" s="76"/>
      <c r="LKB55" s="76"/>
      <c r="LKC55" s="76"/>
      <c r="LKD55" s="76"/>
      <c r="LKE55" s="76"/>
      <c r="LKF55" s="76"/>
      <c r="LKG55" s="76"/>
      <c r="LKH55" s="76"/>
      <c r="LKI55" s="76"/>
      <c r="LKJ55" s="76"/>
      <c r="LKK55" s="76"/>
      <c r="LKL55" s="76"/>
      <c r="LKM55" s="76"/>
      <c r="LKN55" s="76"/>
      <c r="LKO55" s="76"/>
      <c r="LKP55" s="76"/>
      <c r="LKQ55" s="76"/>
      <c r="LKR55" s="76"/>
      <c r="LKS55" s="76"/>
      <c r="LKT55" s="76"/>
      <c r="LKU55" s="76"/>
      <c r="LKV55" s="76"/>
      <c r="LKW55" s="76"/>
      <c r="LKX55" s="76"/>
      <c r="LKY55" s="76"/>
      <c r="LKZ55" s="76"/>
      <c r="LLA55" s="76"/>
      <c r="LLB55" s="76"/>
      <c r="LLC55" s="76"/>
      <c r="LLD55" s="76"/>
      <c r="LLE55" s="76"/>
      <c r="LLF55" s="76"/>
      <c r="LLG55" s="76"/>
      <c r="LLH55" s="76"/>
      <c r="LLI55" s="76"/>
      <c r="LLJ55" s="76"/>
      <c r="LLK55" s="76"/>
      <c r="LLL55" s="76"/>
      <c r="LLM55" s="76"/>
      <c r="LLN55" s="76"/>
      <c r="LLO55" s="76"/>
      <c r="LLP55" s="76"/>
      <c r="LLQ55" s="76"/>
      <c r="LLR55" s="76"/>
      <c r="LLS55" s="76"/>
      <c r="LLT55" s="76"/>
      <c r="LLU55" s="76"/>
      <c r="LLV55" s="76"/>
      <c r="LLW55" s="76"/>
      <c r="LLX55" s="76"/>
      <c r="LLY55" s="76"/>
      <c r="LLZ55" s="76"/>
      <c r="LMA55" s="76"/>
      <c r="LMB55" s="76"/>
      <c r="LMC55" s="76"/>
      <c r="LMD55" s="76"/>
      <c r="LME55" s="76"/>
      <c r="LMF55" s="76"/>
      <c r="LMG55" s="76"/>
      <c r="LMH55" s="76"/>
      <c r="LMI55" s="76"/>
      <c r="LMJ55" s="76"/>
      <c r="LMK55" s="76"/>
      <c r="LML55" s="76"/>
      <c r="LMM55" s="76"/>
      <c r="LMN55" s="76"/>
      <c r="LMO55" s="76"/>
      <c r="LMP55" s="76"/>
      <c r="LMQ55" s="76"/>
      <c r="LMR55" s="76"/>
      <c r="LMS55" s="76"/>
      <c r="LMT55" s="76"/>
      <c r="LMU55" s="76"/>
      <c r="LMV55" s="76"/>
      <c r="LMW55" s="76"/>
      <c r="LMX55" s="76"/>
      <c r="LMY55" s="76"/>
      <c r="LMZ55" s="76"/>
      <c r="LNA55" s="76"/>
      <c r="LNB55" s="76"/>
      <c r="LNC55" s="76"/>
      <c r="LND55" s="76"/>
      <c r="LNE55" s="76"/>
      <c r="LNF55" s="76"/>
      <c r="LNG55" s="76"/>
      <c r="LNH55" s="76"/>
      <c r="LNI55" s="76"/>
      <c r="LNJ55" s="76"/>
      <c r="LNK55" s="76"/>
      <c r="LNL55" s="76"/>
      <c r="LNM55" s="76"/>
      <c r="LNN55" s="76"/>
      <c r="LNO55" s="76"/>
      <c r="LNP55" s="76"/>
      <c r="LNQ55" s="76"/>
      <c r="LNR55" s="76"/>
      <c r="LNS55" s="76"/>
      <c r="LNT55" s="76"/>
      <c r="LNU55" s="76"/>
      <c r="LNV55" s="76"/>
      <c r="LNW55" s="76"/>
      <c r="LNX55" s="76"/>
      <c r="LNY55" s="76"/>
      <c r="LNZ55" s="76"/>
      <c r="LOA55" s="76"/>
      <c r="LOB55" s="76"/>
      <c r="LOC55" s="76"/>
      <c r="LOD55" s="76"/>
      <c r="LOE55" s="76"/>
      <c r="LOF55" s="76"/>
      <c r="LOG55" s="76"/>
      <c r="LOH55" s="76"/>
      <c r="LOI55" s="76"/>
      <c r="LOJ55" s="76"/>
      <c r="LOK55" s="76"/>
      <c r="LOL55" s="76"/>
      <c r="LOM55" s="76"/>
      <c r="LON55" s="76"/>
      <c r="LOO55" s="76"/>
      <c r="LOP55" s="76"/>
      <c r="LOQ55" s="76"/>
      <c r="LOR55" s="76"/>
      <c r="LOS55" s="76"/>
      <c r="LOT55" s="76"/>
      <c r="LOU55" s="76"/>
      <c r="LOV55" s="76"/>
      <c r="LOW55" s="76"/>
      <c r="LOX55" s="76"/>
      <c r="LOY55" s="76"/>
      <c r="LOZ55" s="76"/>
      <c r="LPA55" s="76"/>
      <c r="LPB55" s="76"/>
      <c r="LPC55" s="76"/>
      <c r="LPD55" s="76"/>
      <c r="LPE55" s="76"/>
      <c r="LPF55" s="76"/>
      <c r="LPG55" s="76"/>
      <c r="LPH55" s="76"/>
      <c r="LPI55" s="76"/>
      <c r="LPJ55" s="76"/>
      <c r="LPK55" s="76"/>
      <c r="LPL55" s="76"/>
      <c r="LPM55" s="76"/>
      <c r="LPN55" s="76"/>
      <c r="LPO55" s="76"/>
      <c r="LPP55" s="76"/>
      <c r="LPQ55" s="76"/>
      <c r="LPR55" s="76"/>
      <c r="LPS55" s="76"/>
      <c r="LPT55" s="76"/>
      <c r="LPU55" s="76"/>
      <c r="LPV55" s="76"/>
      <c r="LPW55" s="76"/>
      <c r="LPX55" s="76"/>
      <c r="LPY55" s="76"/>
      <c r="LPZ55" s="76"/>
      <c r="LQA55" s="76"/>
      <c r="LQB55" s="76"/>
      <c r="LQC55" s="76"/>
      <c r="LQD55" s="76"/>
      <c r="LQE55" s="76"/>
      <c r="LQF55" s="76"/>
      <c r="LQG55" s="76"/>
      <c r="LQH55" s="76"/>
      <c r="LQI55" s="76"/>
      <c r="LQJ55" s="76"/>
      <c r="LQK55" s="76"/>
      <c r="LQL55" s="76"/>
      <c r="LQM55" s="76"/>
      <c r="LQN55" s="76"/>
      <c r="LQO55" s="76"/>
      <c r="LQP55" s="76"/>
      <c r="LQQ55" s="76"/>
      <c r="LQR55" s="76"/>
      <c r="LQS55" s="76"/>
      <c r="LQT55" s="76"/>
      <c r="LQU55" s="76"/>
      <c r="LQV55" s="76"/>
      <c r="LQW55" s="76"/>
      <c r="LQX55" s="76"/>
      <c r="LQY55" s="76"/>
      <c r="LQZ55" s="76"/>
      <c r="LRA55" s="76"/>
      <c r="LRB55" s="76"/>
      <c r="LRC55" s="76"/>
      <c r="LRD55" s="76"/>
      <c r="LRE55" s="76"/>
      <c r="LRF55" s="76"/>
      <c r="LRG55" s="76"/>
      <c r="LRH55" s="76"/>
      <c r="LRI55" s="76"/>
      <c r="LRJ55" s="76"/>
      <c r="LRK55" s="76"/>
      <c r="LRL55" s="76"/>
      <c r="LRM55" s="76"/>
      <c r="LRN55" s="76"/>
      <c r="LRO55" s="76"/>
      <c r="LRP55" s="76"/>
      <c r="LRQ55" s="76"/>
      <c r="LRR55" s="76"/>
      <c r="LRS55" s="76"/>
      <c r="LRT55" s="76"/>
      <c r="LRU55" s="76"/>
      <c r="LRV55" s="76"/>
      <c r="LRW55" s="76"/>
      <c r="LRX55" s="76"/>
      <c r="LRY55" s="76"/>
      <c r="LRZ55" s="76"/>
      <c r="LSA55" s="76"/>
      <c r="LSB55" s="76"/>
      <c r="LSC55" s="76"/>
      <c r="LSD55" s="76"/>
      <c r="LSE55" s="76"/>
      <c r="LSF55" s="76"/>
      <c r="LSG55" s="76"/>
      <c r="LSH55" s="76"/>
      <c r="LSI55" s="76"/>
      <c r="LSJ55" s="76"/>
      <c r="LSK55" s="76"/>
      <c r="LSL55" s="76"/>
      <c r="LSM55" s="76"/>
      <c r="LSN55" s="76"/>
      <c r="LSO55" s="76"/>
      <c r="LSP55" s="76"/>
      <c r="LSQ55" s="76"/>
      <c r="LSR55" s="76"/>
      <c r="LSS55" s="76"/>
      <c r="LST55" s="76"/>
      <c r="LSU55" s="76"/>
      <c r="LSV55" s="76"/>
      <c r="LSW55" s="76"/>
      <c r="LSX55" s="76"/>
      <c r="LSY55" s="76"/>
      <c r="LSZ55" s="76"/>
      <c r="LTA55" s="76"/>
      <c r="LTB55" s="76"/>
      <c r="LTC55" s="76"/>
      <c r="LTD55" s="76"/>
      <c r="LTE55" s="76"/>
      <c r="LTF55" s="76"/>
      <c r="LTG55" s="76"/>
      <c r="LTH55" s="76"/>
      <c r="LTI55" s="76"/>
      <c r="LTJ55" s="76"/>
      <c r="LTK55" s="76"/>
      <c r="LTL55" s="76"/>
      <c r="LTM55" s="76"/>
      <c r="LTN55" s="76"/>
      <c r="LTO55" s="76"/>
      <c r="LTP55" s="76"/>
      <c r="LTQ55" s="76"/>
      <c r="LTR55" s="76"/>
      <c r="LTS55" s="76"/>
      <c r="LTT55" s="76"/>
      <c r="LTU55" s="76"/>
      <c r="LTV55" s="76"/>
      <c r="LTW55" s="76"/>
      <c r="LTX55" s="76"/>
      <c r="LTY55" s="76"/>
      <c r="LTZ55" s="76"/>
      <c r="LUA55" s="76"/>
      <c r="LUB55" s="76"/>
      <c r="LUC55" s="76"/>
      <c r="LUD55" s="76"/>
      <c r="LUE55" s="76"/>
      <c r="LUF55" s="76"/>
      <c r="LUG55" s="76"/>
      <c r="LUH55" s="76"/>
      <c r="LUI55" s="76"/>
      <c r="LUJ55" s="76"/>
      <c r="LUK55" s="76"/>
      <c r="LUL55" s="76"/>
      <c r="LUM55" s="76"/>
      <c r="LUN55" s="76"/>
      <c r="LUO55" s="76"/>
      <c r="LUP55" s="76"/>
      <c r="LUQ55" s="76"/>
      <c r="LUR55" s="76"/>
      <c r="LUS55" s="76"/>
      <c r="LUT55" s="76"/>
      <c r="LUU55" s="76"/>
      <c r="LUV55" s="76"/>
      <c r="LUW55" s="76"/>
      <c r="LUX55" s="76"/>
      <c r="LUY55" s="76"/>
      <c r="LUZ55" s="76"/>
      <c r="LVA55" s="76"/>
      <c r="LVB55" s="76"/>
      <c r="LVC55" s="76"/>
      <c r="LVD55" s="76"/>
      <c r="LVE55" s="76"/>
      <c r="LVF55" s="76"/>
      <c r="LVG55" s="76"/>
      <c r="LVH55" s="76"/>
      <c r="LVI55" s="76"/>
      <c r="LVJ55" s="76"/>
      <c r="LVK55" s="76"/>
      <c r="LVL55" s="76"/>
      <c r="LVM55" s="76"/>
      <c r="LVN55" s="76"/>
      <c r="LVO55" s="76"/>
      <c r="LVP55" s="76"/>
      <c r="LVQ55" s="76"/>
      <c r="LVR55" s="76"/>
      <c r="LVS55" s="76"/>
      <c r="LVT55" s="76"/>
      <c r="LVU55" s="76"/>
      <c r="LVV55" s="76"/>
      <c r="LVW55" s="76"/>
      <c r="LVX55" s="76"/>
      <c r="LVY55" s="76"/>
      <c r="LVZ55" s="76"/>
      <c r="LWA55" s="76"/>
      <c r="LWB55" s="76"/>
      <c r="LWC55" s="76"/>
      <c r="LWD55" s="76"/>
      <c r="LWE55" s="76"/>
      <c r="LWF55" s="76"/>
      <c r="LWG55" s="76"/>
      <c r="LWH55" s="76"/>
      <c r="LWI55" s="76"/>
      <c r="LWJ55" s="76"/>
      <c r="LWK55" s="76"/>
      <c r="LWL55" s="76"/>
      <c r="LWM55" s="76"/>
      <c r="LWN55" s="76"/>
      <c r="LWO55" s="76"/>
      <c r="LWP55" s="76"/>
      <c r="LWQ55" s="76"/>
      <c r="LWR55" s="76"/>
      <c r="LWS55" s="76"/>
      <c r="LWT55" s="76"/>
      <c r="LWU55" s="76"/>
      <c r="LWV55" s="76"/>
      <c r="LWW55" s="76"/>
      <c r="LWX55" s="76"/>
      <c r="LWY55" s="76"/>
      <c r="LWZ55" s="76"/>
      <c r="LXA55" s="76"/>
      <c r="LXB55" s="76"/>
      <c r="LXC55" s="76"/>
      <c r="LXD55" s="76"/>
      <c r="LXE55" s="76"/>
      <c r="LXF55" s="76"/>
      <c r="LXG55" s="76"/>
      <c r="LXH55" s="76"/>
      <c r="LXI55" s="76"/>
      <c r="LXJ55" s="76"/>
      <c r="LXK55" s="76"/>
      <c r="LXL55" s="76"/>
      <c r="LXM55" s="76"/>
      <c r="LXN55" s="76"/>
      <c r="LXO55" s="76"/>
      <c r="LXP55" s="76"/>
      <c r="LXQ55" s="76"/>
      <c r="LXR55" s="76"/>
      <c r="LXS55" s="76"/>
      <c r="LXT55" s="76"/>
      <c r="LXU55" s="76"/>
      <c r="LXV55" s="76"/>
      <c r="LXW55" s="76"/>
      <c r="LXX55" s="76"/>
      <c r="LXY55" s="76"/>
      <c r="LXZ55" s="76"/>
      <c r="LYA55" s="76"/>
      <c r="LYB55" s="76"/>
      <c r="LYC55" s="76"/>
      <c r="LYD55" s="76"/>
      <c r="LYE55" s="76"/>
      <c r="LYF55" s="76"/>
      <c r="LYG55" s="76"/>
      <c r="LYH55" s="76"/>
      <c r="LYI55" s="76"/>
      <c r="LYJ55" s="76"/>
      <c r="LYK55" s="76"/>
      <c r="LYL55" s="76"/>
      <c r="LYM55" s="76"/>
      <c r="LYN55" s="76"/>
      <c r="LYO55" s="76"/>
      <c r="LYP55" s="76"/>
      <c r="LYQ55" s="76"/>
      <c r="LYR55" s="76"/>
      <c r="LYS55" s="76"/>
      <c r="LYT55" s="76"/>
      <c r="LYU55" s="76"/>
      <c r="LYV55" s="76"/>
      <c r="LYW55" s="76"/>
      <c r="LYX55" s="76"/>
      <c r="LYY55" s="76"/>
      <c r="LYZ55" s="76"/>
      <c r="LZA55" s="76"/>
      <c r="LZB55" s="76"/>
      <c r="LZC55" s="76"/>
      <c r="LZD55" s="76"/>
      <c r="LZE55" s="76"/>
      <c r="LZF55" s="76"/>
      <c r="LZG55" s="76"/>
      <c r="LZH55" s="76"/>
      <c r="LZI55" s="76"/>
      <c r="LZJ55" s="76"/>
      <c r="LZK55" s="76"/>
      <c r="LZL55" s="76"/>
      <c r="LZM55" s="76"/>
      <c r="LZN55" s="76"/>
      <c r="LZO55" s="76"/>
      <c r="LZP55" s="76"/>
      <c r="LZQ55" s="76"/>
      <c r="LZR55" s="76"/>
      <c r="LZS55" s="76"/>
      <c r="LZT55" s="76"/>
      <c r="LZU55" s="76"/>
      <c r="LZV55" s="76"/>
      <c r="LZW55" s="76"/>
      <c r="LZX55" s="76"/>
      <c r="LZY55" s="76"/>
      <c r="LZZ55" s="76"/>
      <c r="MAA55" s="76"/>
      <c r="MAB55" s="76"/>
      <c r="MAC55" s="76"/>
      <c r="MAD55" s="76"/>
      <c r="MAE55" s="76"/>
      <c r="MAF55" s="76"/>
      <c r="MAG55" s="76"/>
      <c r="MAH55" s="76"/>
      <c r="MAI55" s="76"/>
      <c r="MAJ55" s="76"/>
      <c r="MAK55" s="76"/>
      <c r="MAL55" s="76"/>
      <c r="MAM55" s="76"/>
      <c r="MAN55" s="76"/>
      <c r="MAO55" s="76"/>
      <c r="MAP55" s="76"/>
      <c r="MAQ55" s="76"/>
      <c r="MAR55" s="76"/>
      <c r="MAS55" s="76"/>
      <c r="MAT55" s="76"/>
      <c r="MAU55" s="76"/>
      <c r="MAV55" s="76"/>
      <c r="MAW55" s="76"/>
      <c r="MAX55" s="76"/>
      <c r="MAY55" s="76"/>
      <c r="MAZ55" s="76"/>
      <c r="MBA55" s="76"/>
      <c r="MBB55" s="76"/>
      <c r="MBC55" s="76"/>
      <c r="MBD55" s="76"/>
      <c r="MBE55" s="76"/>
      <c r="MBF55" s="76"/>
      <c r="MBG55" s="76"/>
      <c r="MBH55" s="76"/>
      <c r="MBI55" s="76"/>
      <c r="MBJ55" s="76"/>
      <c r="MBK55" s="76"/>
      <c r="MBL55" s="76"/>
      <c r="MBM55" s="76"/>
      <c r="MBN55" s="76"/>
      <c r="MBO55" s="76"/>
      <c r="MBP55" s="76"/>
      <c r="MBQ55" s="76"/>
      <c r="MBR55" s="76"/>
      <c r="MBS55" s="76"/>
      <c r="MBT55" s="76"/>
      <c r="MBU55" s="76"/>
      <c r="MBV55" s="76"/>
      <c r="MBW55" s="76"/>
      <c r="MBX55" s="76"/>
      <c r="MBY55" s="76"/>
      <c r="MBZ55" s="76"/>
      <c r="MCA55" s="76"/>
      <c r="MCB55" s="76"/>
      <c r="MCC55" s="76"/>
      <c r="MCD55" s="76"/>
      <c r="MCE55" s="76"/>
      <c r="MCF55" s="76"/>
      <c r="MCG55" s="76"/>
      <c r="MCH55" s="76"/>
      <c r="MCI55" s="76"/>
      <c r="MCJ55" s="76"/>
      <c r="MCK55" s="76"/>
      <c r="MCL55" s="76"/>
      <c r="MCM55" s="76"/>
      <c r="MCN55" s="76"/>
      <c r="MCO55" s="76"/>
      <c r="MCP55" s="76"/>
      <c r="MCQ55" s="76"/>
      <c r="MCR55" s="76"/>
      <c r="MCS55" s="76"/>
      <c r="MCT55" s="76"/>
      <c r="MCU55" s="76"/>
      <c r="MCV55" s="76"/>
      <c r="MCW55" s="76"/>
      <c r="MCX55" s="76"/>
      <c r="MCY55" s="76"/>
      <c r="MCZ55" s="76"/>
      <c r="MDA55" s="76"/>
      <c r="MDB55" s="76"/>
      <c r="MDC55" s="76"/>
      <c r="MDD55" s="76"/>
      <c r="MDE55" s="76"/>
      <c r="MDF55" s="76"/>
      <c r="MDG55" s="76"/>
      <c r="MDH55" s="76"/>
      <c r="MDI55" s="76"/>
      <c r="MDJ55" s="76"/>
      <c r="MDK55" s="76"/>
      <c r="MDL55" s="76"/>
      <c r="MDM55" s="76"/>
      <c r="MDN55" s="76"/>
      <c r="MDO55" s="76"/>
      <c r="MDP55" s="76"/>
      <c r="MDQ55" s="76"/>
      <c r="MDR55" s="76"/>
      <c r="MDS55" s="76"/>
      <c r="MDT55" s="76"/>
      <c r="MDU55" s="76"/>
      <c r="MDV55" s="76"/>
      <c r="MDW55" s="76"/>
      <c r="MDX55" s="76"/>
      <c r="MDY55" s="76"/>
      <c r="MDZ55" s="76"/>
      <c r="MEA55" s="76"/>
      <c r="MEB55" s="76"/>
      <c r="MEC55" s="76"/>
      <c r="MED55" s="76"/>
      <c r="MEE55" s="76"/>
      <c r="MEF55" s="76"/>
      <c r="MEG55" s="76"/>
      <c r="MEH55" s="76"/>
      <c r="MEI55" s="76"/>
      <c r="MEJ55" s="76"/>
      <c r="MEK55" s="76"/>
      <c r="MEL55" s="76"/>
      <c r="MEM55" s="76"/>
      <c r="MEN55" s="76"/>
      <c r="MEO55" s="76"/>
      <c r="MEP55" s="76"/>
      <c r="MEQ55" s="76"/>
      <c r="MER55" s="76"/>
      <c r="MES55" s="76"/>
      <c r="MET55" s="76"/>
      <c r="MEU55" s="76"/>
      <c r="MEV55" s="76"/>
      <c r="MEW55" s="76"/>
      <c r="MEX55" s="76"/>
      <c r="MEY55" s="76"/>
      <c r="MEZ55" s="76"/>
      <c r="MFA55" s="76"/>
      <c r="MFB55" s="76"/>
      <c r="MFC55" s="76"/>
      <c r="MFD55" s="76"/>
      <c r="MFE55" s="76"/>
      <c r="MFF55" s="76"/>
      <c r="MFG55" s="76"/>
      <c r="MFH55" s="76"/>
      <c r="MFI55" s="76"/>
      <c r="MFJ55" s="76"/>
      <c r="MFK55" s="76"/>
      <c r="MFL55" s="76"/>
      <c r="MFM55" s="76"/>
      <c r="MFN55" s="76"/>
      <c r="MFO55" s="76"/>
      <c r="MFP55" s="76"/>
      <c r="MFQ55" s="76"/>
      <c r="MFR55" s="76"/>
      <c r="MFS55" s="76"/>
      <c r="MFT55" s="76"/>
      <c r="MFU55" s="76"/>
      <c r="MFV55" s="76"/>
      <c r="MFW55" s="76"/>
      <c r="MFX55" s="76"/>
      <c r="MFY55" s="76"/>
      <c r="MFZ55" s="76"/>
      <c r="MGA55" s="76"/>
      <c r="MGB55" s="76"/>
      <c r="MGC55" s="76"/>
      <c r="MGD55" s="76"/>
      <c r="MGE55" s="76"/>
      <c r="MGF55" s="76"/>
      <c r="MGG55" s="76"/>
      <c r="MGH55" s="76"/>
      <c r="MGI55" s="76"/>
      <c r="MGJ55" s="76"/>
      <c r="MGK55" s="76"/>
      <c r="MGL55" s="76"/>
      <c r="MGM55" s="76"/>
      <c r="MGN55" s="76"/>
      <c r="MGO55" s="76"/>
      <c r="MGP55" s="76"/>
      <c r="MGQ55" s="76"/>
      <c r="MGR55" s="76"/>
      <c r="MGS55" s="76"/>
      <c r="MGT55" s="76"/>
      <c r="MGU55" s="76"/>
      <c r="MGV55" s="76"/>
      <c r="MGW55" s="76"/>
      <c r="MGX55" s="76"/>
      <c r="MGY55" s="76"/>
      <c r="MGZ55" s="76"/>
      <c r="MHA55" s="76"/>
      <c r="MHB55" s="76"/>
      <c r="MHC55" s="76"/>
      <c r="MHD55" s="76"/>
      <c r="MHE55" s="76"/>
      <c r="MHF55" s="76"/>
      <c r="MHG55" s="76"/>
      <c r="MHH55" s="76"/>
      <c r="MHI55" s="76"/>
      <c r="MHJ55" s="76"/>
      <c r="MHK55" s="76"/>
      <c r="MHL55" s="76"/>
      <c r="MHM55" s="76"/>
      <c r="MHN55" s="76"/>
      <c r="MHO55" s="76"/>
      <c r="MHP55" s="76"/>
      <c r="MHQ55" s="76"/>
      <c r="MHR55" s="76"/>
      <c r="MHS55" s="76"/>
      <c r="MHT55" s="76"/>
      <c r="MHU55" s="76"/>
      <c r="MHV55" s="76"/>
      <c r="MHW55" s="76"/>
      <c r="MHX55" s="76"/>
      <c r="MHY55" s="76"/>
      <c r="MHZ55" s="76"/>
      <c r="MIA55" s="76"/>
      <c r="MIB55" s="76"/>
      <c r="MIC55" s="76"/>
      <c r="MID55" s="76"/>
      <c r="MIE55" s="76"/>
      <c r="MIF55" s="76"/>
      <c r="MIG55" s="76"/>
      <c r="MIH55" s="76"/>
      <c r="MII55" s="76"/>
      <c r="MIJ55" s="76"/>
      <c r="MIK55" s="76"/>
      <c r="MIL55" s="76"/>
      <c r="MIM55" s="76"/>
      <c r="MIN55" s="76"/>
      <c r="MIO55" s="76"/>
      <c r="MIP55" s="76"/>
      <c r="MIQ55" s="76"/>
      <c r="MIR55" s="76"/>
      <c r="MIS55" s="76"/>
      <c r="MIT55" s="76"/>
      <c r="MIU55" s="76"/>
      <c r="MIV55" s="76"/>
      <c r="MIW55" s="76"/>
      <c r="MIX55" s="76"/>
      <c r="MIY55" s="76"/>
      <c r="MIZ55" s="76"/>
      <c r="MJA55" s="76"/>
      <c r="MJB55" s="76"/>
      <c r="MJC55" s="76"/>
      <c r="MJD55" s="76"/>
      <c r="MJE55" s="76"/>
      <c r="MJF55" s="76"/>
      <c r="MJG55" s="76"/>
      <c r="MJH55" s="76"/>
      <c r="MJI55" s="76"/>
      <c r="MJJ55" s="76"/>
      <c r="MJK55" s="76"/>
      <c r="MJL55" s="76"/>
      <c r="MJM55" s="76"/>
      <c r="MJN55" s="76"/>
      <c r="MJO55" s="76"/>
      <c r="MJP55" s="76"/>
      <c r="MJQ55" s="76"/>
      <c r="MJR55" s="76"/>
      <c r="MJS55" s="76"/>
      <c r="MJT55" s="76"/>
      <c r="MJU55" s="76"/>
      <c r="MJV55" s="76"/>
      <c r="MJW55" s="76"/>
      <c r="MJX55" s="76"/>
      <c r="MJY55" s="76"/>
      <c r="MJZ55" s="76"/>
      <c r="MKA55" s="76"/>
      <c r="MKB55" s="76"/>
      <c r="MKC55" s="76"/>
      <c r="MKD55" s="76"/>
      <c r="MKE55" s="76"/>
      <c r="MKF55" s="76"/>
      <c r="MKG55" s="76"/>
      <c r="MKH55" s="76"/>
      <c r="MKI55" s="76"/>
      <c r="MKJ55" s="76"/>
      <c r="MKK55" s="76"/>
      <c r="MKL55" s="76"/>
      <c r="MKM55" s="76"/>
      <c r="MKN55" s="76"/>
      <c r="MKO55" s="76"/>
      <c r="MKP55" s="76"/>
      <c r="MKQ55" s="76"/>
      <c r="MKR55" s="76"/>
      <c r="MKS55" s="76"/>
      <c r="MKT55" s="76"/>
      <c r="MKU55" s="76"/>
      <c r="MKV55" s="76"/>
      <c r="MKW55" s="76"/>
      <c r="MKX55" s="76"/>
      <c r="MKY55" s="76"/>
      <c r="MKZ55" s="76"/>
      <c r="MLA55" s="76"/>
      <c r="MLB55" s="76"/>
      <c r="MLC55" s="76"/>
      <c r="MLD55" s="76"/>
      <c r="MLE55" s="76"/>
      <c r="MLF55" s="76"/>
      <c r="MLG55" s="76"/>
      <c r="MLH55" s="76"/>
      <c r="MLI55" s="76"/>
      <c r="MLJ55" s="76"/>
      <c r="MLK55" s="76"/>
      <c r="MLL55" s="76"/>
      <c r="MLM55" s="76"/>
      <c r="MLN55" s="76"/>
      <c r="MLO55" s="76"/>
      <c r="MLP55" s="76"/>
      <c r="MLQ55" s="76"/>
      <c r="MLR55" s="76"/>
      <c r="MLS55" s="76"/>
      <c r="MLT55" s="76"/>
      <c r="MLU55" s="76"/>
      <c r="MLV55" s="76"/>
      <c r="MLW55" s="76"/>
      <c r="MLX55" s="76"/>
      <c r="MLY55" s="76"/>
      <c r="MLZ55" s="76"/>
      <c r="MMA55" s="76"/>
      <c r="MMB55" s="76"/>
      <c r="MMC55" s="76"/>
      <c r="MMD55" s="76"/>
      <c r="MME55" s="76"/>
      <c r="MMF55" s="76"/>
      <c r="MMG55" s="76"/>
      <c r="MMH55" s="76"/>
      <c r="MMI55" s="76"/>
      <c r="MMJ55" s="76"/>
      <c r="MMK55" s="76"/>
      <c r="MML55" s="76"/>
      <c r="MMM55" s="76"/>
      <c r="MMN55" s="76"/>
      <c r="MMO55" s="76"/>
      <c r="MMP55" s="76"/>
      <c r="MMQ55" s="76"/>
      <c r="MMR55" s="76"/>
      <c r="MMS55" s="76"/>
      <c r="MMT55" s="76"/>
      <c r="MMU55" s="76"/>
      <c r="MMV55" s="76"/>
      <c r="MMW55" s="76"/>
      <c r="MMX55" s="76"/>
      <c r="MMY55" s="76"/>
      <c r="MMZ55" s="76"/>
      <c r="MNA55" s="76"/>
      <c r="MNB55" s="76"/>
      <c r="MNC55" s="76"/>
      <c r="MND55" s="76"/>
      <c r="MNE55" s="76"/>
      <c r="MNF55" s="76"/>
      <c r="MNG55" s="76"/>
      <c r="MNH55" s="76"/>
      <c r="MNI55" s="76"/>
      <c r="MNJ55" s="76"/>
      <c r="MNK55" s="76"/>
      <c r="MNL55" s="76"/>
      <c r="MNM55" s="76"/>
      <c r="MNN55" s="76"/>
      <c r="MNO55" s="76"/>
      <c r="MNP55" s="76"/>
      <c r="MNQ55" s="76"/>
      <c r="MNR55" s="76"/>
      <c r="MNS55" s="76"/>
      <c r="MNT55" s="76"/>
      <c r="MNU55" s="76"/>
      <c r="MNV55" s="76"/>
      <c r="MNW55" s="76"/>
      <c r="MNX55" s="76"/>
      <c r="MNY55" s="76"/>
      <c r="MNZ55" s="76"/>
      <c r="MOA55" s="76"/>
      <c r="MOB55" s="76"/>
      <c r="MOC55" s="76"/>
      <c r="MOD55" s="76"/>
      <c r="MOE55" s="76"/>
      <c r="MOF55" s="76"/>
      <c r="MOG55" s="76"/>
      <c r="MOH55" s="76"/>
      <c r="MOI55" s="76"/>
      <c r="MOJ55" s="76"/>
      <c r="MOK55" s="76"/>
      <c r="MOL55" s="76"/>
      <c r="MOM55" s="76"/>
      <c r="MON55" s="76"/>
      <c r="MOO55" s="76"/>
      <c r="MOP55" s="76"/>
      <c r="MOQ55" s="76"/>
      <c r="MOR55" s="76"/>
      <c r="MOS55" s="76"/>
      <c r="MOT55" s="76"/>
      <c r="MOU55" s="76"/>
      <c r="MOV55" s="76"/>
      <c r="MOW55" s="76"/>
      <c r="MOX55" s="76"/>
      <c r="MOY55" s="76"/>
      <c r="MOZ55" s="76"/>
      <c r="MPA55" s="76"/>
      <c r="MPB55" s="76"/>
      <c r="MPC55" s="76"/>
      <c r="MPD55" s="76"/>
      <c r="MPE55" s="76"/>
      <c r="MPF55" s="76"/>
      <c r="MPG55" s="76"/>
      <c r="MPH55" s="76"/>
      <c r="MPI55" s="76"/>
      <c r="MPJ55" s="76"/>
      <c r="MPK55" s="76"/>
      <c r="MPL55" s="76"/>
      <c r="MPM55" s="76"/>
      <c r="MPN55" s="76"/>
      <c r="MPO55" s="76"/>
      <c r="MPP55" s="76"/>
      <c r="MPQ55" s="76"/>
      <c r="MPR55" s="76"/>
      <c r="MPS55" s="76"/>
      <c r="MPT55" s="76"/>
      <c r="MPU55" s="76"/>
      <c r="MPV55" s="76"/>
      <c r="MPW55" s="76"/>
      <c r="MPX55" s="76"/>
      <c r="MPY55" s="76"/>
      <c r="MPZ55" s="76"/>
      <c r="MQA55" s="76"/>
      <c r="MQB55" s="76"/>
      <c r="MQC55" s="76"/>
      <c r="MQD55" s="76"/>
      <c r="MQE55" s="76"/>
      <c r="MQF55" s="76"/>
      <c r="MQG55" s="76"/>
      <c r="MQH55" s="76"/>
      <c r="MQI55" s="76"/>
      <c r="MQJ55" s="76"/>
      <c r="MQK55" s="76"/>
      <c r="MQL55" s="76"/>
      <c r="MQM55" s="76"/>
      <c r="MQN55" s="76"/>
      <c r="MQO55" s="76"/>
      <c r="MQP55" s="76"/>
      <c r="MQQ55" s="76"/>
      <c r="MQR55" s="76"/>
      <c r="MQS55" s="76"/>
      <c r="MQT55" s="76"/>
      <c r="MQU55" s="76"/>
      <c r="MQV55" s="76"/>
      <c r="MQW55" s="76"/>
      <c r="MQX55" s="76"/>
      <c r="MQY55" s="76"/>
      <c r="MQZ55" s="76"/>
      <c r="MRA55" s="76"/>
      <c r="MRB55" s="76"/>
      <c r="MRC55" s="76"/>
      <c r="MRD55" s="76"/>
      <c r="MRE55" s="76"/>
      <c r="MRF55" s="76"/>
      <c r="MRG55" s="76"/>
      <c r="MRH55" s="76"/>
      <c r="MRI55" s="76"/>
      <c r="MRJ55" s="76"/>
      <c r="MRK55" s="76"/>
      <c r="MRL55" s="76"/>
      <c r="MRM55" s="76"/>
      <c r="MRN55" s="76"/>
      <c r="MRO55" s="76"/>
      <c r="MRP55" s="76"/>
      <c r="MRQ55" s="76"/>
      <c r="MRR55" s="76"/>
      <c r="MRS55" s="76"/>
      <c r="MRT55" s="76"/>
      <c r="MRU55" s="76"/>
      <c r="MRV55" s="76"/>
      <c r="MRW55" s="76"/>
      <c r="MRX55" s="76"/>
      <c r="MRY55" s="76"/>
      <c r="MRZ55" s="76"/>
      <c r="MSA55" s="76"/>
      <c r="MSB55" s="76"/>
      <c r="MSC55" s="76"/>
      <c r="MSD55" s="76"/>
      <c r="MSE55" s="76"/>
      <c r="MSF55" s="76"/>
      <c r="MSG55" s="76"/>
      <c r="MSH55" s="76"/>
      <c r="MSI55" s="76"/>
      <c r="MSJ55" s="76"/>
      <c r="MSK55" s="76"/>
      <c r="MSL55" s="76"/>
      <c r="MSM55" s="76"/>
      <c r="MSN55" s="76"/>
      <c r="MSO55" s="76"/>
      <c r="MSP55" s="76"/>
      <c r="MSQ55" s="76"/>
      <c r="MSR55" s="76"/>
      <c r="MSS55" s="76"/>
      <c r="MST55" s="76"/>
      <c r="MSU55" s="76"/>
      <c r="MSV55" s="76"/>
      <c r="MSW55" s="76"/>
      <c r="MSX55" s="76"/>
      <c r="MSY55" s="76"/>
      <c r="MSZ55" s="76"/>
      <c r="MTA55" s="76"/>
      <c r="MTB55" s="76"/>
      <c r="MTC55" s="76"/>
      <c r="MTD55" s="76"/>
      <c r="MTE55" s="76"/>
      <c r="MTF55" s="76"/>
      <c r="MTG55" s="76"/>
      <c r="MTH55" s="76"/>
      <c r="MTI55" s="76"/>
      <c r="MTJ55" s="76"/>
      <c r="MTK55" s="76"/>
      <c r="MTL55" s="76"/>
      <c r="MTM55" s="76"/>
      <c r="MTN55" s="76"/>
      <c r="MTO55" s="76"/>
      <c r="MTP55" s="76"/>
      <c r="MTQ55" s="76"/>
      <c r="MTR55" s="76"/>
      <c r="MTS55" s="76"/>
      <c r="MTT55" s="76"/>
      <c r="MTU55" s="76"/>
      <c r="MTV55" s="76"/>
      <c r="MTW55" s="76"/>
      <c r="MTX55" s="76"/>
      <c r="MTY55" s="76"/>
      <c r="MTZ55" s="76"/>
      <c r="MUA55" s="76"/>
      <c r="MUB55" s="76"/>
      <c r="MUC55" s="76"/>
      <c r="MUD55" s="76"/>
      <c r="MUE55" s="76"/>
      <c r="MUF55" s="76"/>
      <c r="MUG55" s="76"/>
      <c r="MUH55" s="76"/>
      <c r="MUI55" s="76"/>
      <c r="MUJ55" s="76"/>
      <c r="MUK55" s="76"/>
      <c r="MUL55" s="76"/>
      <c r="MUM55" s="76"/>
      <c r="MUN55" s="76"/>
      <c r="MUO55" s="76"/>
      <c r="MUP55" s="76"/>
      <c r="MUQ55" s="76"/>
      <c r="MUR55" s="76"/>
      <c r="MUS55" s="76"/>
      <c r="MUT55" s="76"/>
      <c r="MUU55" s="76"/>
      <c r="MUV55" s="76"/>
      <c r="MUW55" s="76"/>
      <c r="MUX55" s="76"/>
      <c r="MUY55" s="76"/>
      <c r="MUZ55" s="76"/>
      <c r="MVA55" s="76"/>
      <c r="MVB55" s="76"/>
      <c r="MVC55" s="76"/>
      <c r="MVD55" s="76"/>
      <c r="MVE55" s="76"/>
      <c r="MVF55" s="76"/>
      <c r="MVG55" s="76"/>
      <c r="MVH55" s="76"/>
      <c r="MVI55" s="76"/>
      <c r="MVJ55" s="76"/>
      <c r="MVK55" s="76"/>
      <c r="MVL55" s="76"/>
      <c r="MVM55" s="76"/>
      <c r="MVN55" s="76"/>
      <c r="MVO55" s="76"/>
      <c r="MVP55" s="76"/>
      <c r="MVQ55" s="76"/>
      <c r="MVR55" s="76"/>
      <c r="MVS55" s="76"/>
      <c r="MVT55" s="76"/>
      <c r="MVU55" s="76"/>
      <c r="MVV55" s="76"/>
      <c r="MVW55" s="76"/>
      <c r="MVX55" s="76"/>
      <c r="MVY55" s="76"/>
      <c r="MVZ55" s="76"/>
      <c r="MWA55" s="76"/>
      <c r="MWB55" s="76"/>
      <c r="MWC55" s="76"/>
      <c r="MWD55" s="76"/>
      <c r="MWE55" s="76"/>
      <c r="MWF55" s="76"/>
      <c r="MWG55" s="76"/>
      <c r="MWH55" s="76"/>
      <c r="MWI55" s="76"/>
      <c r="MWJ55" s="76"/>
      <c r="MWK55" s="76"/>
      <c r="MWL55" s="76"/>
      <c r="MWM55" s="76"/>
      <c r="MWN55" s="76"/>
      <c r="MWO55" s="76"/>
      <c r="MWP55" s="76"/>
      <c r="MWQ55" s="76"/>
      <c r="MWR55" s="76"/>
      <c r="MWS55" s="76"/>
      <c r="MWT55" s="76"/>
      <c r="MWU55" s="76"/>
      <c r="MWV55" s="76"/>
      <c r="MWW55" s="76"/>
      <c r="MWX55" s="76"/>
      <c r="MWY55" s="76"/>
      <c r="MWZ55" s="76"/>
      <c r="MXA55" s="76"/>
      <c r="MXB55" s="76"/>
      <c r="MXC55" s="76"/>
      <c r="MXD55" s="76"/>
      <c r="MXE55" s="76"/>
      <c r="MXF55" s="76"/>
      <c r="MXG55" s="76"/>
      <c r="MXH55" s="76"/>
      <c r="MXI55" s="76"/>
      <c r="MXJ55" s="76"/>
      <c r="MXK55" s="76"/>
      <c r="MXL55" s="76"/>
      <c r="MXM55" s="76"/>
      <c r="MXN55" s="76"/>
      <c r="MXO55" s="76"/>
      <c r="MXP55" s="76"/>
      <c r="MXQ55" s="76"/>
      <c r="MXR55" s="76"/>
      <c r="MXS55" s="76"/>
      <c r="MXT55" s="76"/>
      <c r="MXU55" s="76"/>
      <c r="MXV55" s="76"/>
      <c r="MXW55" s="76"/>
      <c r="MXX55" s="76"/>
      <c r="MXY55" s="76"/>
      <c r="MXZ55" s="76"/>
      <c r="MYA55" s="76"/>
      <c r="MYB55" s="76"/>
      <c r="MYC55" s="76"/>
      <c r="MYD55" s="76"/>
      <c r="MYE55" s="76"/>
      <c r="MYF55" s="76"/>
      <c r="MYG55" s="76"/>
      <c r="MYH55" s="76"/>
      <c r="MYI55" s="76"/>
      <c r="MYJ55" s="76"/>
      <c r="MYK55" s="76"/>
      <c r="MYL55" s="76"/>
      <c r="MYM55" s="76"/>
      <c r="MYN55" s="76"/>
      <c r="MYO55" s="76"/>
      <c r="MYP55" s="76"/>
      <c r="MYQ55" s="76"/>
      <c r="MYR55" s="76"/>
      <c r="MYS55" s="76"/>
      <c r="MYT55" s="76"/>
      <c r="MYU55" s="76"/>
      <c r="MYV55" s="76"/>
      <c r="MYW55" s="76"/>
      <c r="MYX55" s="76"/>
      <c r="MYY55" s="76"/>
      <c r="MYZ55" s="76"/>
      <c r="MZA55" s="76"/>
      <c r="MZB55" s="76"/>
      <c r="MZC55" s="76"/>
      <c r="MZD55" s="76"/>
      <c r="MZE55" s="76"/>
      <c r="MZF55" s="76"/>
      <c r="MZG55" s="76"/>
      <c r="MZH55" s="76"/>
      <c r="MZI55" s="76"/>
      <c r="MZJ55" s="76"/>
      <c r="MZK55" s="76"/>
      <c r="MZL55" s="76"/>
      <c r="MZM55" s="76"/>
      <c r="MZN55" s="76"/>
      <c r="MZO55" s="76"/>
      <c r="MZP55" s="76"/>
      <c r="MZQ55" s="76"/>
      <c r="MZR55" s="76"/>
      <c r="MZS55" s="76"/>
      <c r="MZT55" s="76"/>
      <c r="MZU55" s="76"/>
      <c r="MZV55" s="76"/>
      <c r="MZW55" s="76"/>
      <c r="MZX55" s="76"/>
      <c r="MZY55" s="76"/>
      <c r="MZZ55" s="76"/>
      <c r="NAA55" s="76"/>
      <c r="NAB55" s="76"/>
      <c r="NAC55" s="76"/>
      <c r="NAD55" s="76"/>
      <c r="NAE55" s="76"/>
      <c r="NAF55" s="76"/>
      <c r="NAG55" s="76"/>
      <c r="NAH55" s="76"/>
      <c r="NAI55" s="76"/>
      <c r="NAJ55" s="76"/>
      <c r="NAK55" s="76"/>
      <c r="NAL55" s="76"/>
      <c r="NAM55" s="76"/>
      <c r="NAN55" s="76"/>
      <c r="NAO55" s="76"/>
      <c r="NAP55" s="76"/>
      <c r="NAQ55" s="76"/>
      <c r="NAR55" s="76"/>
      <c r="NAS55" s="76"/>
      <c r="NAT55" s="76"/>
      <c r="NAU55" s="76"/>
      <c r="NAV55" s="76"/>
      <c r="NAW55" s="76"/>
      <c r="NAX55" s="76"/>
      <c r="NAY55" s="76"/>
      <c r="NAZ55" s="76"/>
      <c r="NBA55" s="76"/>
      <c r="NBB55" s="76"/>
      <c r="NBC55" s="76"/>
      <c r="NBD55" s="76"/>
      <c r="NBE55" s="76"/>
      <c r="NBF55" s="76"/>
      <c r="NBG55" s="76"/>
      <c r="NBH55" s="76"/>
      <c r="NBI55" s="76"/>
      <c r="NBJ55" s="76"/>
      <c r="NBK55" s="76"/>
      <c r="NBL55" s="76"/>
      <c r="NBM55" s="76"/>
      <c r="NBN55" s="76"/>
      <c r="NBO55" s="76"/>
      <c r="NBP55" s="76"/>
      <c r="NBQ55" s="76"/>
      <c r="NBR55" s="76"/>
      <c r="NBS55" s="76"/>
      <c r="NBT55" s="76"/>
      <c r="NBU55" s="76"/>
      <c r="NBV55" s="76"/>
      <c r="NBW55" s="76"/>
      <c r="NBX55" s="76"/>
      <c r="NBY55" s="76"/>
      <c r="NBZ55" s="76"/>
      <c r="NCA55" s="76"/>
      <c r="NCB55" s="76"/>
      <c r="NCC55" s="76"/>
      <c r="NCD55" s="76"/>
      <c r="NCE55" s="76"/>
      <c r="NCF55" s="76"/>
      <c r="NCG55" s="76"/>
      <c r="NCH55" s="76"/>
      <c r="NCI55" s="76"/>
      <c r="NCJ55" s="76"/>
      <c r="NCK55" s="76"/>
      <c r="NCL55" s="76"/>
      <c r="NCM55" s="76"/>
      <c r="NCN55" s="76"/>
      <c r="NCO55" s="76"/>
      <c r="NCP55" s="76"/>
      <c r="NCQ55" s="76"/>
      <c r="NCR55" s="76"/>
      <c r="NCS55" s="76"/>
      <c r="NCT55" s="76"/>
      <c r="NCU55" s="76"/>
      <c r="NCV55" s="76"/>
      <c r="NCW55" s="76"/>
      <c r="NCX55" s="76"/>
      <c r="NCY55" s="76"/>
      <c r="NCZ55" s="76"/>
      <c r="NDA55" s="76"/>
      <c r="NDB55" s="76"/>
      <c r="NDC55" s="76"/>
      <c r="NDD55" s="76"/>
      <c r="NDE55" s="76"/>
      <c r="NDF55" s="76"/>
      <c r="NDG55" s="76"/>
      <c r="NDH55" s="76"/>
      <c r="NDI55" s="76"/>
      <c r="NDJ55" s="76"/>
      <c r="NDK55" s="76"/>
      <c r="NDL55" s="76"/>
      <c r="NDM55" s="76"/>
      <c r="NDN55" s="76"/>
      <c r="NDO55" s="76"/>
      <c r="NDP55" s="76"/>
      <c r="NDQ55" s="76"/>
      <c r="NDR55" s="76"/>
      <c r="NDS55" s="76"/>
      <c r="NDT55" s="76"/>
      <c r="NDU55" s="76"/>
      <c r="NDV55" s="76"/>
      <c r="NDW55" s="76"/>
      <c r="NDX55" s="76"/>
      <c r="NDY55" s="76"/>
      <c r="NDZ55" s="76"/>
      <c r="NEA55" s="76"/>
      <c r="NEB55" s="76"/>
      <c r="NEC55" s="76"/>
      <c r="NED55" s="76"/>
      <c r="NEE55" s="76"/>
      <c r="NEF55" s="76"/>
      <c r="NEG55" s="76"/>
      <c r="NEH55" s="76"/>
      <c r="NEI55" s="76"/>
      <c r="NEJ55" s="76"/>
      <c r="NEK55" s="76"/>
      <c r="NEL55" s="76"/>
      <c r="NEM55" s="76"/>
      <c r="NEN55" s="76"/>
      <c r="NEO55" s="76"/>
      <c r="NEP55" s="76"/>
      <c r="NEQ55" s="76"/>
      <c r="NER55" s="76"/>
      <c r="NES55" s="76"/>
      <c r="NET55" s="76"/>
      <c r="NEU55" s="76"/>
      <c r="NEV55" s="76"/>
      <c r="NEW55" s="76"/>
      <c r="NEX55" s="76"/>
      <c r="NEY55" s="76"/>
      <c r="NEZ55" s="76"/>
      <c r="NFA55" s="76"/>
      <c r="NFB55" s="76"/>
      <c r="NFC55" s="76"/>
      <c r="NFD55" s="76"/>
      <c r="NFE55" s="76"/>
      <c r="NFF55" s="76"/>
      <c r="NFG55" s="76"/>
      <c r="NFH55" s="76"/>
      <c r="NFI55" s="76"/>
      <c r="NFJ55" s="76"/>
      <c r="NFK55" s="76"/>
      <c r="NFL55" s="76"/>
      <c r="NFM55" s="76"/>
      <c r="NFN55" s="76"/>
      <c r="NFO55" s="76"/>
      <c r="NFP55" s="76"/>
      <c r="NFQ55" s="76"/>
      <c r="NFR55" s="76"/>
      <c r="NFS55" s="76"/>
      <c r="NFT55" s="76"/>
      <c r="NFU55" s="76"/>
      <c r="NFV55" s="76"/>
      <c r="NFW55" s="76"/>
      <c r="NFX55" s="76"/>
      <c r="NFY55" s="76"/>
      <c r="NFZ55" s="76"/>
      <c r="NGA55" s="76"/>
      <c r="NGB55" s="76"/>
      <c r="NGC55" s="76"/>
      <c r="NGD55" s="76"/>
      <c r="NGE55" s="76"/>
      <c r="NGF55" s="76"/>
      <c r="NGG55" s="76"/>
      <c r="NGH55" s="76"/>
      <c r="NGI55" s="76"/>
      <c r="NGJ55" s="76"/>
      <c r="NGK55" s="76"/>
      <c r="NGL55" s="76"/>
      <c r="NGM55" s="76"/>
      <c r="NGN55" s="76"/>
      <c r="NGO55" s="76"/>
      <c r="NGP55" s="76"/>
      <c r="NGQ55" s="76"/>
      <c r="NGR55" s="76"/>
      <c r="NGS55" s="76"/>
      <c r="NGT55" s="76"/>
      <c r="NGU55" s="76"/>
      <c r="NGV55" s="76"/>
      <c r="NGW55" s="76"/>
      <c r="NGX55" s="76"/>
      <c r="NGY55" s="76"/>
      <c r="NGZ55" s="76"/>
      <c r="NHA55" s="76"/>
      <c r="NHB55" s="76"/>
      <c r="NHC55" s="76"/>
      <c r="NHD55" s="76"/>
      <c r="NHE55" s="76"/>
      <c r="NHF55" s="76"/>
      <c r="NHG55" s="76"/>
      <c r="NHH55" s="76"/>
      <c r="NHI55" s="76"/>
      <c r="NHJ55" s="76"/>
      <c r="NHK55" s="76"/>
      <c r="NHL55" s="76"/>
      <c r="NHM55" s="76"/>
      <c r="NHN55" s="76"/>
      <c r="NHO55" s="76"/>
      <c r="NHP55" s="76"/>
      <c r="NHQ55" s="76"/>
      <c r="NHR55" s="76"/>
      <c r="NHS55" s="76"/>
      <c r="NHT55" s="76"/>
      <c r="NHU55" s="76"/>
      <c r="NHV55" s="76"/>
      <c r="NHW55" s="76"/>
      <c r="NHX55" s="76"/>
      <c r="NHY55" s="76"/>
      <c r="NHZ55" s="76"/>
      <c r="NIA55" s="76"/>
      <c r="NIB55" s="76"/>
      <c r="NIC55" s="76"/>
      <c r="NID55" s="76"/>
      <c r="NIE55" s="76"/>
      <c r="NIF55" s="76"/>
      <c r="NIG55" s="76"/>
      <c r="NIH55" s="76"/>
      <c r="NII55" s="76"/>
      <c r="NIJ55" s="76"/>
      <c r="NIK55" s="76"/>
      <c r="NIL55" s="76"/>
      <c r="NIM55" s="76"/>
      <c r="NIN55" s="76"/>
      <c r="NIO55" s="76"/>
      <c r="NIP55" s="76"/>
      <c r="NIQ55" s="76"/>
      <c r="NIR55" s="76"/>
      <c r="NIS55" s="76"/>
      <c r="NIT55" s="76"/>
      <c r="NIU55" s="76"/>
      <c r="NIV55" s="76"/>
      <c r="NIW55" s="76"/>
      <c r="NIX55" s="76"/>
      <c r="NIY55" s="76"/>
      <c r="NIZ55" s="76"/>
      <c r="NJA55" s="76"/>
      <c r="NJB55" s="76"/>
      <c r="NJC55" s="76"/>
      <c r="NJD55" s="76"/>
      <c r="NJE55" s="76"/>
      <c r="NJF55" s="76"/>
      <c r="NJG55" s="76"/>
      <c r="NJH55" s="76"/>
      <c r="NJI55" s="76"/>
      <c r="NJJ55" s="76"/>
      <c r="NJK55" s="76"/>
      <c r="NJL55" s="76"/>
      <c r="NJM55" s="76"/>
      <c r="NJN55" s="76"/>
      <c r="NJO55" s="76"/>
      <c r="NJP55" s="76"/>
      <c r="NJQ55" s="76"/>
      <c r="NJR55" s="76"/>
      <c r="NJS55" s="76"/>
      <c r="NJT55" s="76"/>
      <c r="NJU55" s="76"/>
      <c r="NJV55" s="76"/>
      <c r="NJW55" s="76"/>
      <c r="NJX55" s="76"/>
      <c r="NJY55" s="76"/>
      <c r="NJZ55" s="76"/>
      <c r="NKA55" s="76"/>
      <c r="NKB55" s="76"/>
      <c r="NKC55" s="76"/>
      <c r="NKD55" s="76"/>
      <c r="NKE55" s="76"/>
      <c r="NKF55" s="76"/>
      <c r="NKG55" s="76"/>
      <c r="NKH55" s="76"/>
      <c r="NKI55" s="76"/>
      <c r="NKJ55" s="76"/>
      <c r="NKK55" s="76"/>
      <c r="NKL55" s="76"/>
      <c r="NKM55" s="76"/>
      <c r="NKN55" s="76"/>
      <c r="NKO55" s="76"/>
      <c r="NKP55" s="76"/>
      <c r="NKQ55" s="76"/>
      <c r="NKR55" s="76"/>
      <c r="NKS55" s="76"/>
      <c r="NKT55" s="76"/>
      <c r="NKU55" s="76"/>
      <c r="NKV55" s="76"/>
      <c r="NKW55" s="76"/>
      <c r="NKX55" s="76"/>
      <c r="NKY55" s="76"/>
      <c r="NKZ55" s="76"/>
      <c r="NLA55" s="76"/>
      <c r="NLB55" s="76"/>
      <c r="NLC55" s="76"/>
      <c r="NLD55" s="76"/>
      <c r="NLE55" s="76"/>
      <c r="NLF55" s="76"/>
      <c r="NLG55" s="76"/>
      <c r="NLH55" s="76"/>
      <c r="NLI55" s="76"/>
      <c r="NLJ55" s="76"/>
      <c r="NLK55" s="76"/>
      <c r="NLL55" s="76"/>
      <c r="NLM55" s="76"/>
      <c r="NLN55" s="76"/>
      <c r="NLO55" s="76"/>
      <c r="NLP55" s="76"/>
      <c r="NLQ55" s="76"/>
      <c r="NLR55" s="76"/>
      <c r="NLS55" s="76"/>
      <c r="NLT55" s="76"/>
      <c r="NLU55" s="76"/>
      <c r="NLV55" s="76"/>
      <c r="NLW55" s="76"/>
      <c r="NLX55" s="76"/>
      <c r="NLY55" s="76"/>
      <c r="NLZ55" s="76"/>
      <c r="NMA55" s="76"/>
      <c r="NMB55" s="76"/>
      <c r="NMC55" s="76"/>
      <c r="NMD55" s="76"/>
      <c r="NME55" s="76"/>
      <c r="NMF55" s="76"/>
      <c r="NMG55" s="76"/>
      <c r="NMH55" s="76"/>
      <c r="NMI55" s="76"/>
      <c r="NMJ55" s="76"/>
      <c r="NMK55" s="76"/>
      <c r="NML55" s="76"/>
      <c r="NMM55" s="76"/>
      <c r="NMN55" s="76"/>
      <c r="NMO55" s="76"/>
      <c r="NMP55" s="76"/>
      <c r="NMQ55" s="76"/>
      <c r="NMR55" s="76"/>
      <c r="NMS55" s="76"/>
      <c r="NMT55" s="76"/>
      <c r="NMU55" s="76"/>
      <c r="NMV55" s="76"/>
      <c r="NMW55" s="76"/>
      <c r="NMX55" s="76"/>
      <c r="NMY55" s="76"/>
      <c r="NMZ55" s="76"/>
      <c r="NNA55" s="76"/>
      <c r="NNB55" s="76"/>
      <c r="NNC55" s="76"/>
      <c r="NND55" s="76"/>
      <c r="NNE55" s="76"/>
      <c r="NNF55" s="76"/>
      <c r="NNG55" s="76"/>
      <c r="NNH55" s="76"/>
      <c r="NNI55" s="76"/>
      <c r="NNJ55" s="76"/>
      <c r="NNK55" s="76"/>
      <c r="NNL55" s="76"/>
      <c r="NNM55" s="76"/>
      <c r="NNN55" s="76"/>
      <c r="NNO55" s="76"/>
      <c r="NNP55" s="76"/>
      <c r="NNQ55" s="76"/>
      <c r="NNR55" s="76"/>
      <c r="NNS55" s="76"/>
      <c r="NNT55" s="76"/>
      <c r="NNU55" s="76"/>
      <c r="NNV55" s="76"/>
      <c r="NNW55" s="76"/>
      <c r="NNX55" s="76"/>
      <c r="NNY55" s="76"/>
      <c r="NNZ55" s="76"/>
      <c r="NOA55" s="76"/>
      <c r="NOB55" s="76"/>
      <c r="NOC55" s="76"/>
      <c r="NOD55" s="76"/>
      <c r="NOE55" s="76"/>
      <c r="NOF55" s="76"/>
      <c r="NOG55" s="76"/>
      <c r="NOH55" s="76"/>
      <c r="NOI55" s="76"/>
      <c r="NOJ55" s="76"/>
      <c r="NOK55" s="76"/>
      <c r="NOL55" s="76"/>
      <c r="NOM55" s="76"/>
      <c r="NON55" s="76"/>
      <c r="NOO55" s="76"/>
      <c r="NOP55" s="76"/>
      <c r="NOQ55" s="76"/>
      <c r="NOR55" s="76"/>
      <c r="NOS55" s="76"/>
      <c r="NOT55" s="76"/>
      <c r="NOU55" s="76"/>
      <c r="NOV55" s="76"/>
      <c r="NOW55" s="76"/>
      <c r="NOX55" s="76"/>
      <c r="NOY55" s="76"/>
      <c r="NOZ55" s="76"/>
      <c r="NPA55" s="76"/>
      <c r="NPB55" s="76"/>
      <c r="NPC55" s="76"/>
      <c r="NPD55" s="76"/>
      <c r="NPE55" s="76"/>
      <c r="NPF55" s="76"/>
      <c r="NPG55" s="76"/>
      <c r="NPH55" s="76"/>
      <c r="NPI55" s="76"/>
      <c r="NPJ55" s="76"/>
      <c r="NPK55" s="76"/>
      <c r="NPL55" s="76"/>
      <c r="NPM55" s="76"/>
      <c r="NPN55" s="76"/>
      <c r="NPO55" s="76"/>
      <c r="NPP55" s="76"/>
      <c r="NPQ55" s="76"/>
      <c r="NPR55" s="76"/>
      <c r="NPS55" s="76"/>
      <c r="NPT55" s="76"/>
      <c r="NPU55" s="76"/>
      <c r="NPV55" s="76"/>
      <c r="NPW55" s="76"/>
      <c r="NPX55" s="76"/>
      <c r="NPY55" s="76"/>
      <c r="NPZ55" s="76"/>
      <c r="NQA55" s="76"/>
      <c r="NQB55" s="76"/>
      <c r="NQC55" s="76"/>
      <c r="NQD55" s="76"/>
      <c r="NQE55" s="76"/>
      <c r="NQF55" s="76"/>
      <c r="NQG55" s="76"/>
      <c r="NQH55" s="76"/>
      <c r="NQI55" s="76"/>
      <c r="NQJ55" s="76"/>
      <c r="NQK55" s="76"/>
      <c r="NQL55" s="76"/>
      <c r="NQM55" s="76"/>
      <c r="NQN55" s="76"/>
      <c r="NQO55" s="76"/>
      <c r="NQP55" s="76"/>
      <c r="NQQ55" s="76"/>
      <c r="NQR55" s="76"/>
      <c r="NQS55" s="76"/>
      <c r="NQT55" s="76"/>
      <c r="NQU55" s="76"/>
      <c r="NQV55" s="76"/>
      <c r="NQW55" s="76"/>
      <c r="NQX55" s="76"/>
      <c r="NQY55" s="76"/>
      <c r="NQZ55" s="76"/>
      <c r="NRA55" s="76"/>
      <c r="NRB55" s="76"/>
      <c r="NRC55" s="76"/>
      <c r="NRD55" s="76"/>
      <c r="NRE55" s="76"/>
      <c r="NRF55" s="76"/>
      <c r="NRG55" s="76"/>
      <c r="NRH55" s="76"/>
      <c r="NRI55" s="76"/>
      <c r="NRJ55" s="76"/>
      <c r="NRK55" s="76"/>
      <c r="NRL55" s="76"/>
      <c r="NRM55" s="76"/>
      <c r="NRN55" s="76"/>
      <c r="NRO55" s="76"/>
      <c r="NRP55" s="76"/>
      <c r="NRQ55" s="76"/>
      <c r="NRR55" s="76"/>
      <c r="NRS55" s="76"/>
      <c r="NRT55" s="76"/>
      <c r="NRU55" s="76"/>
      <c r="NRV55" s="76"/>
      <c r="NRW55" s="76"/>
      <c r="NRX55" s="76"/>
      <c r="NRY55" s="76"/>
      <c r="NRZ55" s="76"/>
      <c r="NSA55" s="76"/>
      <c r="NSB55" s="76"/>
      <c r="NSC55" s="76"/>
      <c r="NSD55" s="76"/>
      <c r="NSE55" s="76"/>
      <c r="NSF55" s="76"/>
      <c r="NSG55" s="76"/>
      <c r="NSH55" s="76"/>
      <c r="NSI55" s="76"/>
      <c r="NSJ55" s="76"/>
      <c r="NSK55" s="76"/>
      <c r="NSL55" s="76"/>
      <c r="NSM55" s="76"/>
      <c r="NSN55" s="76"/>
      <c r="NSO55" s="76"/>
      <c r="NSP55" s="76"/>
      <c r="NSQ55" s="76"/>
      <c r="NSR55" s="76"/>
      <c r="NSS55" s="76"/>
      <c r="NST55" s="76"/>
      <c r="NSU55" s="76"/>
      <c r="NSV55" s="76"/>
      <c r="NSW55" s="76"/>
      <c r="NSX55" s="76"/>
      <c r="NSY55" s="76"/>
      <c r="NSZ55" s="76"/>
      <c r="NTA55" s="76"/>
      <c r="NTB55" s="76"/>
      <c r="NTC55" s="76"/>
      <c r="NTD55" s="76"/>
      <c r="NTE55" s="76"/>
      <c r="NTF55" s="76"/>
      <c r="NTG55" s="76"/>
      <c r="NTH55" s="76"/>
      <c r="NTI55" s="76"/>
      <c r="NTJ55" s="76"/>
      <c r="NTK55" s="76"/>
      <c r="NTL55" s="76"/>
      <c r="NTM55" s="76"/>
      <c r="NTN55" s="76"/>
      <c r="NTO55" s="76"/>
      <c r="NTP55" s="76"/>
      <c r="NTQ55" s="76"/>
      <c r="NTR55" s="76"/>
      <c r="NTS55" s="76"/>
      <c r="NTT55" s="76"/>
      <c r="NTU55" s="76"/>
      <c r="NTV55" s="76"/>
      <c r="NTW55" s="76"/>
      <c r="NTX55" s="76"/>
      <c r="NTY55" s="76"/>
      <c r="NTZ55" s="76"/>
      <c r="NUA55" s="76"/>
      <c r="NUB55" s="76"/>
      <c r="NUC55" s="76"/>
      <c r="NUD55" s="76"/>
      <c r="NUE55" s="76"/>
      <c r="NUF55" s="76"/>
      <c r="NUG55" s="76"/>
      <c r="NUH55" s="76"/>
      <c r="NUI55" s="76"/>
      <c r="NUJ55" s="76"/>
      <c r="NUK55" s="76"/>
      <c r="NUL55" s="76"/>
      <c r="NUM55" s="76"/>
      <c r="NUN55" s="76"/>
      <c r="NUO55" s="76"/>
      <c r="NUP55" s="76"/>
      <c r="NUQ55" s="76"/>
      <c r="NUR55" s="76"/>
      <c r="NUS55" s="76"/>
      <c r="NUT55" s="76"/>
      <c r="NUU55" s="76"/>
      <c r="NUV55" s="76"/>
      <c r="NUW55" s="76"/>
      <c r="NUX55" s="76"/>
      <c r="NUY55" s="76"/>
      <c r="NUZ55" s="76"/>
      <c r="NVA55" s="76"/>
      <c r="NVB55" s="76"/>
      <c r="NVC55" s="76"/>
      <c r="NVD55" s="76"/>
      <c r="NVE55" s="76"/>
      <c r="NVF55" s="76"/>
      <c r="NVG55" s="76"/>
      <c r="NVH55" s="76"/>
      <c r="NVI55" s="76"/>
      <c r="NVJ55" s="76"/>
      <c r="NVK55" s="76"/>
      <c r="NVL55" s="76"/>
      <c r="NVM55" s="76"/>
      <c r="NVN55" s="76"/>
      <c r="NVO55" s="76"/>
      <c r="NVP55" s="76"/>
      <c r="NVQ55" s="76"/>
      <c r="NVR55" s="76"/>
      <c r="NVS55" s="76"/>
      <c r="NVT55" s="76"/>
      <c r="NVU55" s="76"/>
      <c r="NVV55" s="76"/>
      <c r="NVW55" s="76"/>
      <c r="NVX55" s="76"/>
      <c r="NVY55" s="76"/>
      <c r="NVZ55" s="76"/>
      <c r="NWA55" s="76"/>
      <c r="NWB55" s="76"/>
      <c r="NWC55" s="76"/>
      <c r="NWD55" s="76"/>
      <c r="NWE55" s="76"/>
      <c r="NWF55" s="76"/>
      <c r="NWG55" s="76"/>
      <c r="NWH55" s="76"/>
      <c r="NWI55" s="76"/>
      <c r="NWJ55" s="76"/>
      <c r="NWK55" s="76"/>
      <c r="NWL55" s="76"/>
      <c r="NWM55" s="76"/>
      <c r="NWN55" s="76"/>
      <c r="NWO55" s="76"/>
      <c r="NWP55" s="76"/>
      <c r="NWQ55" s="76"/>
      <c r="NWR55" s="76"/>
      <c r="NWS55" s="76"/>
      <c r="NWT55" s="76"/>
      <c r="NWU55" s="76"/>
      <c r="NWV55" s="76"/>
      <c r="NWW55" s="76"/>
      <c r="NWX55" s="76"/>
      <c r="NWY55" s="76"/>
      <c r="NWZ55" s="76"/>
      <c r="NXA55" s="76"/>
      <c r="NXB55" s="76"/>
      <c r="NXC55" s="76"/>
      <c r="NXD55" s="76"/>
      <c r="NXE55" s="76"/>
      <c r="NXF55" s="76"/>
      <c r="NXG55" s="76"/>
      <c r="NXH55" s="76"/>
      <c r="NXI55" s="76"/>
      <c r="NXJ55" s="76"/>
      <c r="NXK55" s="76"/>
      <c r="NXL55" s="76"/>
      <c r="NXM55" s="76"/>
      <c r="NXN55" s="76"/>
      <c r="NXO55" s="76"/>
      <c r="NXP55" s="76"/>
      <c r="NXQ55" s="76"/>
      <c r="NXR55" s="76"/>
      <c r="NXS55" s="76"/>
      <c r="NXT55" s="76"/>
      <c r="NXU55" s="76"/>
      <c r="NXV55" s="76"/>
      <c r="NXW55" s="76"/>
      <c r="NXX55" s="76"/>
      <c r="NXY55" s="76"/>
      <c r="NXZ55" s="76"/>
      <c r="NYA55" s="76"/>
      <c r="NYB55" s="76"/>
      <c r="NYC55" s="76"/>
      <c r="NYD55" s="76"/>
      <c r="NYE55" s="76"/>
      <c r="NYF55" s="76"/>
      <c r="NYG55" s="76"/>
      <c r="NYH55" s="76"/>
      <c r="NYI55" s="76"/>
      <c r="NYJ55" s="76"/>
      <c r="NYK55" s="76"/>
      <c r="NYL55" s="76"/>
      <c r="NYM55" s="76"/>
      <c r="NYN55" s="76"/>
      <c r="NYO55" s="76"/>
      <c r="NYP55" s="76"/>
      <c r="NYQ55" s="76"/>
      <c r="NYR55" s="76"/>
      <c r="NYS55" s="76"/>
      <c r="NYT55" s="76"/>
      <c r="NYU55" s="76"/>
      <c r="NYV55" s="76"/>
      <c r="NYW55" s="76"/>
      <c r="NYX55" s="76"/>
      <c r="NYY55" s="76"/>
      <c r="NYZ55" s="76"/>
      <c r="NZA55" s="76"/>
      <c r="NZB55" s="76"/>
      <c r="NZC55" s="76"/>
      <c r="NZD55" s="76"/>
      <c r="NZE55" s="76"/>
      <c r="NZF55" s="76"/>
      <c r="NZG55" s="76"/>
      <c r="NZH55" s="76"/>
      <c r="NZI55" s="76"/>
      <c r="NZJ55" s="76"/>
      <c r="NZK55" s="76"/>
      <c r="NZL55" s="76"/>
      <c r="NZM55" s="76"/>
      <c r="NZN55" s="76"/>
      <c r="NZO55" s="76"/>
      <c r="NZP55" s="76"/>
      <c r="NZQ55" s="76"/>
      <c r="NZR55" s="76"/>
      <c r="NZS55" s="76"/>
      <c r="NZT55" s="76"/>
      <c r="NZU55" s="76"/>
      <c r="NZV55" s="76"/>
      <c r="NZW55" s="76"/>
      <c r="NZX55" s="76"/>
      <c r="NZY55" s="76"/>
      <c r="NZZ55" s="76"/>
      <c r="OAA55" s="76"/>
      <c r="OAB55" s="76"/>
      <c r="OAC55" s="76"/>
      <c r="OAD55" s="76"/>
      <c r="OAE55" s="76"/>
      <c r="OAF55" s="76"/>
      <c r="OAG55" s="76"/>
      <c r="OAH55" s="76"/>
      <c r="OAI55" s="76"/>
      <c r="OAJ55" s="76"/>
      <c r="OAK55" s="76"/>
      <c r="OAL55" s="76"/>
      <c r="OAM55" s="76"/>
      <c r="OAN55" s="76"/>
      <c r="OAO55" s="76"/>
      <c r="OAP55" s="76"/>
      <c r="OAQ55" s="76"/>
      <c r="OAR55" s="76"/>
      <c r="OAS55" s="76"/>
      <c r="OAT55" s="76"/>
      <c r="OAU55" s="76"/>
      <c r="OAV55" s="76"/>
      <c r="OAW55" s="76"/>
      <c r="OAX55" s="76"/>
      <c r="OAY55" s="76"/>
      <c r="OAZ55" s="76"/>
      <c r="OBA55" s="76"/>
      <c r="OBB55" s="76"/>
      <c r="OBC55" s="76"/>
      <c r="OBD55" s="76"/>
      <c r="OBE55" s="76"/>
      <c r="OBF55" s="76"/>
      <c r="OBG55" s="76"/>
      <c r="OBH55" s="76"/>
      <c r="OBI55" s="76"/>
      <c r="OBJ55" s="76"/>
      <c r="OBK55" s="76"/>
      <c r="OBL55" s="76"/>
      <c r="OBM55" s="76"/>
      <c r="OBN55" s="76"/>
      <c r="OBO55" s="76"/>
      <c r="OBP55" s="76"/>
      <c r="OBQ55" s="76"/>
      <c r="OBR55" s="76"/>
      <c r="OBS55" s="76"/>
      <c r="OBT55" s="76"/>
      <c r="OBU55" s="76"/>
      <c r="OBV55" s="76"/>
      <c r="OBW55" s="76"/>
      <c r="OBX55" s="76"/>
      <c r="OBY55" s="76"/>
      <c r="OBZ55" s="76"/>
      <c r="OCA55" s="76"/>
      <c r="OCB55" s="76"/>
      <c r="OCC55" s="76"/>
      <c r="OCD55" s="76"/>
      <c r="OCE55" s="76"/>
      <c r="OCF55" s="76"/>
      <c r="OCG55" s="76"/>
      <c r="OCH55" s="76"/>
      <c r="OCI55" s="76"/>
      <c r="OCJ55" s="76"/>
      <c r="OCK55" s="76"/>
      <c r="OCL55" s="76"/>
      <c r="OCM55" s="76"/>
      <c r="OCN55" s="76"/>
      <c r="OCO55" s="76"/>
      <c r="OCP55" s="76"/>
      <c r="OCQ55" s="76"/>
      <c r="OCR55" s="76"/>
      <c r="OCS55" s="76"/>
      <c r="OCT55" s="76"/>
      <c r="OCU55" s="76"/>
      <c r="OCV55" s="76"/>
      <c r="OCW55" s="76"/>
      <c r="OCX55" s="76"/>
      <c r="OCY55" s="76"/>
      <c r="OCZ55" s="76"/>
      <c r="ODA55" s="76"/>
      <c r="ODB55" s="76"/>
      <c r="ODC55" s="76"/>
      <c r="ODD55" s="76"/>
      <c r="ODE55" s="76"/>
      <c r="ODF55" s="76"/>
      <c r="ODG55" s="76"/>
      <c r="ODH55" s="76"/>
      <c r="ODI55" s="76"/>
      <c r="ODJ55" s="76"/>
      <c r="ODK55" s="76"/>
      <c r="ODL55" s="76"/>
      <c r="ODM55" s="76"/>
      <c r="ODN55" s="76"/>
      <c r="ODO55" s="76"/>
      <c r="ODP55" s="76"/>
      <c r="ODQ55" s="76"/>
      <c r="ODR55" s="76"/>
      <c r="ODS55" s="76"/>
      <c r="ODT55" s="76"/>
      <c r="ODU55" s="76"/>
      <c r="ODV55" s="76"/>
      <c r="ODW55" s="76"/>
      <c r="ODX55" s="76"/>
      <c r="ODY55" s="76"/>
      <c r="ODZ55" s="76"/>
      <c r="OEA55" s="76"/>
      <c r="OEB55" s="76"/>
      <c r="OEC55" s="76"/>
      <c r="OED55" s="76"/>
      <c r="OEE55" s="76"/>
      <c r="OEF55" s="76"/>
      <c r="OEG55" s="76"/>
      <c r="OEH55" s="76"/>
      <c r="OEI55" s="76"/>
      <c r="OEJ55" s="76"/>
      <c r="OEK55" s="76"/>
      <c r="OEL55" s="76"/>
      <c r="OEM55" s="76"/>
      <c r="OEN55" s="76"/>
      <c r="OEO55" s="76"/>
      <c r="OEP55" s="76"/>
      <c r="OEQ55" s="76"/>
      <c r="OER55" s="76"/>
      <c r="OES55" s="76"/>
      <c r="OET55" s="76"/>
      <c r="OEU55" s="76"/>
      <c r="OEV55" s="76"/>
      <c r="OEW55" s="76"/>
      <c r="OEX55" s="76"/>
      <c r="OEY55" s="76"/>
      <c r="OEZ55" s="76"/>
      <c r="OFA55" s="76"/>
      <c r="OFB55" s="76"/>
      <c r="OFC55" s="76"/>
      <c r="OFD55" s="76"/>
      <c r="OFE55" s="76"/>
      <c r="OFF55" s="76"/>
      <c r="OFG55" s="76"/>
      <c r="OFH55" s="76"/>
      <c r="OFI55" s="76"/>
      <c r="OFJ55" s="76"/>
      <c r="OFK55" s="76"/>
      <c r="OFL55" s="76"/>
      <c r="OFM55" s="76"/>
      <c r="OFN55" s="76"/>
      <c r="OFO55" s="76"/>
      <c r="OFP55" s="76"/>
      <c r="OFQ55" s="76"/>
      <c r="OFR55" s="76"/>
      <c r="OFS55" s="76"/>
      <c r="OFT55" s="76"/>
      <c r="OFU55" s="76"/>
      <c r="OFV55" s="76"/>
      <c r="OFW55" s="76"/>
      <c r="OFX55" s="76"/>
      <c r="OFY55" s="76"/>
      <c r="OFZ55" s="76"/>
      <c r="OGA55" s="76"/>
      <c r="OGB55" s="76"/>
      <c r="OGC55" s="76"/>
      <c r="OGD55" s="76"/>
      <c r="OGE55" s="76"/>
      <c r="OGF55" s="76"/>
      <c r="OGG55" s="76"/>
      <c r="OGH55" s="76"/>
      <c r="OGI55" s="76"/>
      <c r="OGJ55" s="76"/>
      <c r="OGK55" s="76"/>
      <c r="OGL55" s="76"/>
      <c r="OGM55" s="76"/>
      <c r="OGN55" s="76"/>
      <c r="OGO55" s="76"/>
      <c r="OGP55" s="76"/>
      <c r="OGQ55" s="76"/>
      <c r="OGR55" s="76"/>
      <c r="OGS55" s="76"/>
      <c r="OGT55" s="76"/>
      <c r="OGU55" s="76"/>
      <c r="OGV55" s="76"/>
      <c r="OGW55" s="76"/>
      <c r="OGX55" s="76"/>
      <c r="OGY55" s="76"/>
      <c r="OGZ55" s="76"/>
      <c r="OHA55" s="76"/>
      <c r="OHB55" s="76"/>
      <c r="OHC55" s="76"/>
      <c r="OHD55" s="76"/>
      <c r="OHE55" s="76"/>
      <c r="OHF55" s="76"/>
      <c r="OHG55" s="76"/>
      <c r="OHH55" s="76"/>
      <c r="OHI55" s="76"/>
      <c r="OHJ55" s="76"/>
      <c r="OHK55" s="76"/>
      <c r="OHL55" s="76"/>
      <c r="OHM55" s="76"/>
      <c r="OHN55" s="76"/>
      <c r="OHO55" s="76"/>
      <c r="OHP55" s="76"/>
      <c r="OHQ55" s="76"/>
      <c r="OHR55" s="76"/>
      <c r="OHS55" s="76"/>
      <c r="OHT55" s="76"/>
      <c r="OHU55" s="76"/>
      <c r="OHV55" s="76"/>
      <c r="OHW55" s="76"/>
      <c r="OHX55" s="76"/>
      <c r="OHY55" s="76"/>
      <c r="OHZ55" s="76"/>
      <c r="OIA55" s="76"/>
      <c r="OIB55" s="76"/>
      <c r="OIC55" s="76"/>
      <c r="OID55" s="76"/>
      <c r="OIE55" s="76"/>
      <c r="OIF55" s="76"/>
      <c r="OIG55" s="76"/>
      <c r="OIH55" s="76"/>
      <c r="OII55" s="76"/>
      <c r="OIJ55" s="76"/>
      <c r="OIK55" s="76"/>
      <c r="OIL55" s="76"/>
      <c r="OIM55" s="76"/>
      <c r="OIN55" s="76"/>
      <c r="OIO55" s="76"/>
      <c r="OIP55" s="76"/>
      <c r="OIQ55" s="76"/>
      <c r="OIR55" s="76"/>
      <c r="OIS55" s="76"/>
      <c r="OIT55" s="76"/>
      <c r="OIU55" s="76"/>
      <c r="OIV55" s="76"/>
      <c r="OIW55" s="76"/>
      <c r="OIX55" s="76"/>
      <c r="OIY55" s="76"/>
      <c r="OIZ55" s="76"/>
      <c r="OJA55" s="76"/>
      <c r="OJB55" s="76"/>
      <c r="OJC55" s="76"/>
      <c r="OJD55" s="76"/>
      <c r="OJE55" s="76"/>
      <c r="OJF55" s="76"/>
      <c r="OJG55" s="76"/>
      <c r="OJH55" s="76"/>
      <c r="OJI55" s="76"/>
      <c r="OJJ55" s="76"/>
      <c r="OJK55" s="76"/>
      <c r="OJL55" s="76"/>
      <c r="OJM55" s="76"/>
      <c r="OJN55" s="76"/>
      <c r="OJO55" s="76"/>
      <c r="OJP55" s="76"/>
      <c r="OJQ55" s="76"/>
      <c r="OJR55" s="76"/>
      <c r="OJS55" s="76"/>
      <c r="OJT55" s="76"/>
      <c r="OJU55" s="76"/>
      <c r="OJV55" s="76"/>
      <c r="OJW55" s="76"/>
      <c r="OJX55" s="76"/>
      <c r="OJY55" s="76"/>
      <c r="OJZ55" s="76"/>
      <c r="OKA55" s="76"/>
      <c r="OKB55" s="76"/>
      <c r="OKC55" s="76"/>
      <c r="OKD55" s="76"/>
      <c r="OKE55" s="76"/>
      <c r="OKF55" s="76"/>
      <c r="OKG55" s="76"/>
      <c r="OKH55" s="76"/>
      <c r="OKI55" s="76"/>
      <c r="OKJ55" s="76"/>
      <c r="OKK55" s="76"/>
      <c r="OKL55" s="76"/>
      <c r="OKM55" s="76"/>
      <c r="OKN55" s="76"/>
      <c r="OKO55" s="76"/>
      <c r="OKP55" s="76"/>
      <c r="OKQ55" s="76"/>
      <c r="OKR55" s="76"/>
      <c r="OKS55" s="76"/>
      <c r="OKT55" s="76"/>
      <c r="OKU55" s="76"/>
      <c r="OKV55" s="76"/>
      <c r="OKW55" s="76"/>
      <c r="OKX55" s="76"/>
      <c r="OKY55" s="76"/>
      <c r="OKZ55" s="76"/>
      <c r="OLA55" s="76"/>
      <c r="OLB55" s="76"/>
      <c r="OLC55" s="76"/>
      <c r="OLD55" s="76"/>
      <c r="OLE55" s="76"/>
      <c r="OLF55" s="76"/>
      <c r="OLG55" s="76"/>
      <c r="OLH55" s="76"/>
      <c r="OLI55" s="76"/>
      <c r="OLJ55" s="76"/>
      <c r="OLK55" s="76"/>
      <c r="OLL55" s="76"/>
      <c r="OLM55" s="76"/>
      <c r="OLN55" s="76"/>
      <c r="OLO55" s="76"/>
      <c r="OLP55" s="76"/>
      <c r="OLQ55" s="76"/>
      <c r="OLR55" s="76"/>
      <c r="OLS55" s="76"/>
      <c r="OLT55" s="76"/>
      <c r="OLU55" s="76"/>
      <c r="OLV55" s="76"/>
      <c r="OLW55" s="76"/>
      <c r="OLX55" s="76"/>
      <c r="OLY55" s="76"/>
      <c r="OLZ55" s="76"/>
      <c r="OMA55" s="76"/>
      <c r="OMB55" s="76"/>
      <c r="OMC55" s="76"/>
      <c r="OMD55" s="76"/>
      <c r="OME55" s="76"/>
      <c r="OMF55" s="76"/>
      <c r="OMG55" s="76"/>
      <c r="OMH55" s="76"/>
      <c r="OMI55" s="76"/>
      <c r="OMJ55" s="76"/>
      <c r="OMK55" s="76"/>
      <c r="OML55" s="76"/>
      <c r="OMM55" s="76"/>
      <c r="OMN55" s="76"/>
      <c r="OMO55" s="76"/>
      <c r="OMP55" s="76"/>
      <c r="OMQ55" s="76"/>
      <c r="OMR55" s="76"/>
      <c r="OMS55" s="76"/>
      <c r="OMT55" s="76"/>
      <c r="OMU55" s="76"/>
      <c r="OMV55" s="76"/>
      <c r="OMW55" s="76"/>
      <c r="OMX55" s="76"/>
      <c r="OMY55" s="76"/>
      <c r="OMZ55" s="76"/>
      <c r="ONA55" s="76"/>
      <c r="ONB55" s="76"/>
      <c r="ONC55" s="76"/>
      <c r="OND55" s="76"/>
      <c r="ONE55" s="76"/>
      <c r="ONF55" s="76"/>
      <c r="ONG55" s="76"/>
      <c r="ONH55" s="76"/>
      <c r="ONI55" s="76"/>
      <c r="ONJ55" s="76"/>
      <c r="ONK55" s="76"/>
      <c r="ONL55" s="76"/>
      <c r="ONM55" s="76"/>
      <c r="ONN55" s="76"/>
      <c r="ONO55" s="76"/>
      <c r="ONP55" s="76"/>
      <c r="ONQ55" s="76"/>
      <c r="ONR55" s="76"/>
      <c r="ONS55" s="76"/>
      <c r="ONT55" s="76"/>
      <c r="ONU55" s="76"/>
      <c r="ONV55" s="76"/>
      <c r="ONW55" s="76"/>
      <c r="ONX55" s="76"/>
      <c r="ONY55" s="76"/>
      <c r="ONZ55" s="76"/>
      <c r="OOA55" s="76"/>
      <c r="OOB55" s="76"/>
      <c r="OOC55" s="76"/>
      <c r="OOD55" s="76"/>
      <c r="OOE55" s="76"/>
      <c r="OOF55" s="76"/>
      <c r="OOG55" s="76"/>
      <c r="OOH55" s="76"/>
      <c r="OOI55" s="76"/>
      <c r="OOJ55" s="76"/>
      <c r="OOK55" s="76"/>
      <c r="OOL55" s="76"/>
      <c r="OOM55" s="76"/>
      <c r="OON55" s="76"/>
      <c r="OOO55" s="76"/>
      <c r="OOP55" s="76"/>
      <c r="OOQ55" s="76"/>
      <c r="OOR55" s="76"/>
      <c r="OOS55" s="76"/>
      <c r="OOT55" s="76"/>
      <c r="OOU55" s="76"/>
      <c r="OOV55" s="76"/>
      <c r="OOW55" s="76"/>
      <c r="OOX55" s="76"/>
      <c r="OOY55" s="76"/>
      <c r="OOZ55" s="76"/>
      <c r="OPA55" s="76"/>
      <c r="OPB55" s="76"/>
      <c r="OPC55" s="76"/>
      <c r="OPD55" s="76"/>
      <c r="OPE55" s="76"/>
      <c r="OPF55" s="76"/>
      <c r="OPG55" s="76"/>
      <c r="OPH55" s="76"/>
      <c r="OPI55" s="76"/>
      <c r="OPJ55" s="76"/>
      <c r="OPK55" s="76"/>
      <c r="OPL55" s="76"/>
      <c r="OPM55" s="76"/>
      <c r="OPN55" s="76"/>
      <c r="OPO55" s="76"/>
      <c r="OPP55" s="76"/>
      <c r="OPQ55" s="76"/>
      <c r="OPR55" s="76"/>
      <c r="OPS55" s="76"/>
      <c r="OPT55" s="76"/>
      <c r="OPU55" s="76"/>
      <c r="OPV55" s="76"/>
      <c r="OPW55" s="76"/>
      <c r="OPX55" s="76"/>
      <c r="OPY55" s="76"/>
      <c r="OPZ55" s="76"/>
      <c r="OQA55" s="76"/>
      <c r="OQB55" s="76"/>
      <c r="OQC55" s="76"/>
      <c r="OQD55" s="76"/>
      <c r="OQE55" s="76"/>
      <c r="OQF55" s="76"/>
      <c r="OQG55" s="76"/>
      <c r="OQH55" s="76"/>
      <c r="OQI55" s="76"/>
      <c r="OQJ55" s="76"/>
      <c r="OQK55" s="76"/>
      <c r="OQL55" s="76"/>
      <c r="OQM55" s="76"/>
      <c r="OQN55" s="76"/>
      <c r="OQO55" s="76"/>
      <c r="OQP55" s="76"/>
      <c r="OQQ55" s="76"/>
      <c r="OQR55" s="76"/>
      <c r="OQS55" s="76"/>
      <c r="OQT55" s="76"/>
      <c r="OQU55" s="76"/>
      <c r="OQV55" s="76"/>
      <c r="OQW55" s="76"/>
      <c r="OQX55" s="76"/>
      <c r="OQY55" s="76"/>
      <c r="OQZ55" s="76"/>
      <c r="ORA55" s="76"/>
      <c r="ORB55" s="76"/>
      <c r="ORC55" s="76"/>
      <c r="ORD55" s="76"/>
      <c r="ORE55" s="76"/>
      <c r="ORF55" s="76"/>
      <c r="ORG55" s="76"/>
      <c r="ORH55" s="76"/>
      <c r="ORI55" s="76"/>
      <c r="ORJ55" s="76"/>
      <c r="ORK55" s="76"/>
      <c r="ORL55" s="76"/>
      <c r="ORM55" s="76"/>
      <c r="ORN55" s="76"/>
      <c r="ORO55" s="76"/>
      <c r="ORP55" s="76"/>
      <c r="ORQ55" s="76"/>
      <c r="ORR55" s="76"/>
      <c r="ORS55" s="76"/>
      <c r="ORT55" s="76"/>
      <c r="ORU55" s="76"/>
      <c r="ORV55" s="76"/>
      <c r="ORW55" s="76"/>
      <c r="ORX55" s="76"/>
      <c r="ORY55" s="76"/>
      <c r="ORZ55" s="76"/>
      <c r="OSA55" s="76"/>
      <c r="OSB55" s="76"/>
      <c r="OSC55" s="76"/>
      <c r="OSD55" s="76"/>
      <c r="OSE55" s="76"/>
      <c r="OSF55" s="76"/>
      <c r="OSG55" s="76"/>
      <c r="OSH55" s="76"/>
      <c r="OSI55" s="76"/>
      <c r="OSJ55" s="76"/>
      <c r="OSK55" s="76"/>
      <c r="OSL55" s="76"/>
      <c r="OSM55" s="76"/>
      <c r="OSN55" s="76"/>
      <c r="OSO55" s="76"/>
      <c r="OSP55" s="76"/>
      <c r="OSQ55" s="76"/>
      <c r="OSR55" s="76"/>
      <c r="OSS55" s="76"/>
      <c r="OST55" s="76"/>
      <c r="OSU55" s="76"/>
      <c r="OSV55" s="76"/>
      <c r="OSW55" s="76"/>
      <c r="OSX55" s="76"/>
      <c r="OSY55" s="76"/>
      <c r="OSZ55" s="76"/>
      <c r="OTA55" s="76"/>
      <c r="OTB55" s="76"/>
      <c r="OTC55" s="76"/>
      <c r="OTD55" s="76"/>
      <c r="OTE55" s="76"/>
      <c r="OTF55" s="76"/>
      <c r="OTG55" s="76"/>
      <c r="OTH55" s="76"/>
      <c r="OTI55" s="76"/>
      <c r="OTJ55" s="76"/>
      <c r="OTK55" s="76"/>
      <c r="OTL55" s="76"/>
      <c r="OTM55" s="76"/>
      <c r="OTN55" s="76"/>
      <c r="OTO55" s="76"/>
      <c r="OTP55" s="76"/>
      <c r="OTQ55" s="76"/>
      <c r="OTR55" s="76"/>
      <c r="OTS55" s="76"/>
      <c r="OTT55" s="76"/>
      <c r="OTU55" s="76"/>
      <c r="OTV55" s="76"/>
      <c r="OTW55" s="76"/>
      <c r="OTX55" s="76"/>
      <c r="OTY55" s="76"/>
      <c r="OTZ55" s="76"/>
      <c r="OUA55" s="76"/>
      <c r="OUB55" s="76"/>
      <c r="OUC55" s="76"/>
      <c r="OUD55" s="76"/>
      <c r="OUE55" s="76"/>
      <c r="OUF55" s="76"/>
      <c r="OUG55" s="76"/>
      <c r="OUH55" s="76"/>
      <c r="OUI55" s="76"/>
      <c r="OUJ55" s="76"/>
      <c r="OUK55" s="76"/>
      <c r="OUL55" s="76"/>
      <c r="OUM55" s="76"/>
      <c r="OUN55" s="76"/>
      <c r="OUO55" s="76"/>
      <c r="OUP55" s="76"/>
      <c r="OUQ55" s="76"/>
      <c r="OUR55" s="76"/>
      <c r="OUS55" s="76"/>
      <c r="OUT55" s="76"/>
      <c r="OUU55" s="76"/>
      <c r="OUV55" s="76"/>
      <c r="OUW55" s="76"/>
      <c r="OUX55" s="76"/>
      <c r="OUY55" s="76"/>
      <c r="OUZ55" s="76"/>
      <c r="OVA55" s="76"/>
      <c r="OVB55" s="76"/>
      <c r="OVC55" s="76"/>
      <c r="OVD55" s="76"/>
      <c r="OVE55" s="76"/>
      <c r="OVF55" s="76"/>
      <c r="OVG55" s="76"/>
      <c r="OVH55" s="76"/>
      <c r="OVI55" s="76"/>
      <c r="OVJ55" s="76"/>
      <c r="OVK55" s="76"/>
      <c r="OVL55" s="76"/>
      <c r="OVM55" s="76"/>
      <c r="OVN55" s="76"/>
      <c r="OVO55" s="76"/>
      <c r="OVP55" s="76"/>
      <c r="OVQ55" s="76"/>
      <c r="OVR55" s="76"/>
      <c r="OVS55" s="76"/>
      <c r="OVT55" s="76"/>
      <c r="OVU55" s="76"/>
      <c r="OVV55" s="76"/>
      <c r="OVW55" s="76"/>
      <c r="OVX55" s="76"/>
      <c r="OVY55" s="76"/>
      <c r="OVZ55" s="76"/>
      <c r="OWA55" s="76"/>
      <c r="OWB55" s="76"/>
      <c r="OWC55" s="76"/>
      <c r="OWD55" s="76"/>
      <c r="OWE55" s="76"/>
      <c r="OWF55" s="76"/>
      <c r="OWG55" s="76"/>
      <c r="OWH55" s="76"/>
      <c r="OWI55" s="76"/>
      <c r="OWJ55" s="76"/>
      <c r="OWK55" s="76"/>
      <c r="OWL55" s="76"/>
      <c r="OWM55" s="76"/>
      <c r="OWN55" s="76"/>
      <c r="OWO55" s="76"/>
      <c r="OWP55" s="76"/>
      <c r="OWQ55" s="76"/>
      <c r="OWR55" s="76"/>
      <c r="OWS55" s="76"/>
      <c r="OWT55" s="76"/>
      <c r="OWU55" s="76"/>
      <c r="OWV55" s="76"/>
      <c r="OWW55" s="76"/>
      <c r="OWX55" s="76"/>
      <c r="OWY55" s="76"/>
      <c r="OWZ55" s="76"/>
      <c r="OXA55" s="76"/>
      <c r="OXB55" s="76"/>
      <c r="OXC55" s="76"/>
      <c r="OXD55" s="76"/>
      <c r="OXE55" s="76"/>
      <c r="OXF55" s="76"/>
      <c r="OXG55" s="76"/>
      <c r="OXH55" s="76"/>
      <c r="OXI55" s="76"/>
      <c r="OXJ55" s="76"/>
      <c r="OXK55" s="76"/>
      <c r="OXL55" s="76"/>
      <c r="OXM55" s="76"/>
      <c r="OXN55" s="76"/>
      <c r="OXO55" s="76"/>
      <c r="OXP55" s="76"/>
      <c r="OXQ55" s="76"/>
      <c r="OXR55" s="76"/>
      <c r="OXS55" s="76"/>
      <c r="OXT55" s="76"/>
      <c r="OXU55" s="76"/>
      <c r="OXV55" s="76"/>
      <c r="OXW55" s="76"/>
      <c r="OXX55" s="76"/>
      <c r="OXY55" s="76"/>
      <c r="OXZ55" s="76"/>
      <c r="OYA55" s="76"/>
      <c r="OYB55" s="76"/>
      <c r="OYC55" s="76"/>
      <c r="OYD55" s="76"/>
      <c r="OYE55" s="76"/>
      <c r="OYF55" s="76"/>
      <c r="OYG55" s="76"/>
      <c r="OYH55" s="76"/>
      <c r="OYI55" s="76"/>
      <c r="OYJ55" s="76"/>
      <c r="OYK55" s="76"/>
      <c r="OYL55" s="76"/>
      <c r="OYM55" s="76"/>
      <c r="OYN55" s="76"/>
      <c r="OYO55" s="76"/>
      <c r="OYP55" s="76"/>
      <c r="OYQ55" s="76"/>
      <c r="OYR55" s="76"/>
      <c r="OYS55" s="76"/>
      <c r="OYT55" s="76"/>
      <c r="OYU55" s="76"/>
      <c r="OYV55" s="76"/>
      <c r="OYW55" s="76"/>
      <c r="OYX55" s="76"/>
      <c r="OYY55" s="76"/>
      <c r="OYZ55" s="76"/>
      <c r="OZA55" s="76"/>
      <c r="OZB55" s="76"/>
      <c r="OZC55" s="76"/>
      <c r="OZD55" s="76"/>
      <c r="OZE55" s="76"/>
      <c r="OZF55" s="76"/>
      <c r="OZG55" s="76"/>
      <c r="OZH55" s="76"/>
      <c r="OZI55" s="76"/>
      <c r="OZJ55" s="76"/>
      <c r="OZK55" s="76"/>
      <c r="OZL55" s="76"/>
      <c r="OZM55" s="76"/>
      <c r="OZN55" s="76"/>
      <c r="OZO55" s="76"/>
      <c r="OZP55" s="76"/>
      <c r="OZQ55" s="76"/>
      <c r="OZR55" s="76"/>
      <c r="OZS55" s="76"/>
      <c r="OZT55" s="76"/>
      <c r="OZU55" s="76"/>
      <c r="OZV55" s="76"/>
      <c r="OZW55" s="76"/>
      <c r="OZX55" s="76"/>
      <c r="OZY55" s="76"/>
      <c r="OZZ55" s="76"/>
      <c r="PAA55" s="76"/>
      <c r="PAB55" s="76"/>
      <c r="PAC55" s="76"/>
      <c r="PAD55" s="76"/>
      <c r="PAE55" s="76"/>
      <c r="PAF55" s="76"/>
      <c r="PAG55" s="76"/>
      <c r="PAH55" s="76"/>
      <c r="PAI55" s="76"/>
      <c r="PAJ55" s="76"/>
      <c r="PAK55" s="76"/>
      <c r="PAL55" s="76"/>
      <c r="PAM55" s="76"/>
      <c r="PAN55" s="76"/>
      <c r="PAO55" s="76"/>
      <c r="PAP55" s="76"/>
      <c r="PAQ55" s="76"/>
      <c r="PAR55" s="76"/>
      <c r="PAS55" s="76"/>
      <c r="PAT55" s="76"/>
      <c r="PAU55" s="76"/>
      <c r="PAV55" s="76"/>
      <c r="PAW55" s="76"/>
      <c r="PAX55" s="76"/>
      <c r="PAY55" s="76"/>
      <c r="PAZ55" s="76"/>
      <c r="PBA55" s="76"/>
      <c r="PBB55" s="76"/>
      <c r="PBC55" s="76"/>
      <c r="PBD55" s="76"/>
      <c r="PBE55" s="76"/>
      <c r="PBF55" s="76"/>
      <c r="PBG55" s="76"/>
      <c r="PBH55" s="76"/>
      <c r="PBI55" s="76"/>
      <c r="PBJ55" s="76"/>
      <c r="PBK55" s="76"/>
      <c r="PBL55" s="76"/>
      <c r="PBM55" s="76"/>
      <c r="PBN55" s="76"/>
      <c r="PBO55" s="76"/>
      <c r="PBP55" s="76"/>
      <c r="PBQ55" s="76"/>
      <c r="PBR55" s="76"/>
      <c r="PBS55" s="76"/>
      <c r="PBT55" s="76"/>
      <c r="PBU55" s="76"/>
      <c r="PBV55" s="76"/>
      <c r="PBW55" s="76"/>
      <c r="PBX55" s="76"/>
      <c r="PBY55" s="76"/>
      <c r="PBZ55" s="76"/>
      <c r="PCA55" s="76"/>
      <c r="PCB55" s="76"/>
      <c r="PCC55" s="76"/>
      <c r="PCD55" s="76"/>
      <c r="PCE55" s="76"/>
      <c r="PCF55" s="76"/>
      <c r="PCG55" s="76"/>
      <c r="PCH55" s="76"/>
      <c r="PCI55" s="76"/>
      <c r="PCJ55" s="76"/>
      <c r="PCK55" s="76"/>
      <c r="PCL55" s="76"/>
      <c r="PCM55" s="76"/>
      <c r="PCN55" s="76"/>
      <c r="PCO55" s="76"/>
      <c r="PCP55" s="76"/>
      <c r="PCQ55" s="76"/>
      <c r="PCR55" s="76"/>
      <c r="PCS55" s="76"/>
      <c r="PCT55" s="76"/>
      <c r="PCU55" s="76"/>
      <c r="PCV55" s="76"/>
      <c r="PCW55" s="76"/>
      <c r="PCX55" s="76"/>
      <c r="PCY55" s="76"/>
      <c r="PCZ55" s="76"/>
      <c r="PDA55" s="76"/>
      <c r="PDB55" s="76"/>
      <c r="PDC55" s="76"/>
      <c r="PDD55" s="76"/>
      <c r="PDE55" s="76"/>
      <c r="PDF55" s="76"/>
      <c r="PDG55" s="76"/>
      <c r="PDH55" s="76"/>
      <c r="PDI55" s="76"/>
      <c r="PDJ55" s="76"/>
      <c r="PDK55" s="76"/>
      <c r="PDL55" s="76"/>
      <c r="PDM55" s="76"/>
      <c r="PDN55" s="76"/>
      <c r="PDO55" s="76"/>
      <c r="PDP55" s="76"/>
      <c r="PDQ55" s="76"/>
      <c r="PDR55" s="76"/>
      <c r="PDS55" s="76"/>
      <c r="PDT55" s="76"/>
      <c r="PDU55" s="76"/>
      <c r="PDV55" s="76"/>
      <c r="PDW55" s="76"/>
      <c r="PDX55" s="76"/>
      <c r="PDY55" s="76"/>
      <c r="PDZ55" s="76"/>
      <c r="PEA55" s="76"/>
      <c r="PEB55" s="76"/>
      <c r="PEC55" s="76"/>
      <c r="PED55" s="76"/>
      <c r="PEE55" s="76"/>
      <c r="PEF55" s="76"/>
      <c r="PEG55" s="76"/>
      <c r="PEH55" s="76"/>
      <c r="PEI55" s="76"/>
      <c r="PEJ55" s="76"/>
      <c r="PEK55" s="76"/>
      <c r="PEL55" s="76"/>
      <c r="PEM55" s="76"/>
      <c r="PEN55" s="76"/>
      <c r="PEO55" s="76"/>
      <c r="PEP55" s="76"/>
      <c r="PEQ55" s="76"/>
      <c r="PER55" s="76"/>
      <c r="PES55" s="76"/>
      <c r="PET55" s="76"/>
      <c r="PEU55" s="76"/>
      <c r="PEV55" s="76"/>
      <c r="PEW55" s="76"/>
      <c r="PEX55" s="76"/>
      <c r="PEY55" s="76"/>
      <c r="PEZ55" s="76"/>
      <c r="PFA55" s="76"/>
      <c r="PFB55" s="76"/>
      <c r="PFC55" s="76"/>
      <c r="PFD55" s="76"/>
      <c r="PFE55" s="76"/>
      <c r="PFF55" s="76"/>
      <c r="PFG55" s="76"/>
      <c r="PFH55" s="76"/>
      <c r="PFI55" s="76"/>
      <c r="PFJ55" s="76"/>
      <c r="PFK55" s="76"/>
      <c r="PFL55" s="76"/>
      <c r="PFM55" s="76"/>
      <c r="PFN55" s="76"/>
      <c r="PFO55" s="76"/>
      <c r="PFP55" s="76"/>
      <c r="PFQ55" s="76"/>
      <c r="PFR55" s="76"/>
      <c r="PFS55" s="76"/>
      <c r="PFT55" s="76"/>
      <c r="PFU55" s="76"/>
      <c r="PFV55" s="76"/>
      <c r="PFW55" s="76"/>
      <c r="PFX55" s="76"/>
      <c r="PFY55" s="76"/>
      <c r="PFZ55" s="76"/>
      <c r="PGA55" s="76"/>
      <c r="PGB55" s="76"/>
      <c r="PGC55" s="76"/>
      <c r="PGD55" s="76"/>
      <c r="PGE55" s="76"/>
      <c r="PGF55" s="76"/>
      <c r="PGG55" s="76"/>
      <c r="PGH55" s="76"/>
      <c r="PGI55" s="76"/>
      <c r="PGJ55" s="76"/>
      <c r="PGK55" s="76"/>
      <c r="PGL55" s="76"/>
      <c r="PGM55" s="76"/>
      <c r="PGN55" s="76"/>
      <c r="PGO55" s="76"/>
      <c r="PGP55" s="76"/>
      <c r="PGQ55" s="76"/>
      <c r="PGR55" s="76"/>
      <c r="PGS55" s="76"/>
      <c r="PGT55" s="76"/>
      <c r="PGU55" s="76"/>
      <c r="PGV55" s="76"/>
      <c r="PGW55" s="76"/>
      <c r="PGX55" s="76"/>
      <c r="PGY55" s="76"/>
      <c r="PGZ55" s="76"/>
      <c r="PHA55" s="76"/>
      <c r="PHB55" s="76"/>
      <c r="PHC55" s="76"/>
      <c r="PHD55" s="76"/>
      <c r="PHE55" s="76"/>
      <c r="PHF55" s="76"/>
      <c r="PHG55" s="76"/>
      <c r="PHH55" s="76"/>
      <c r="PHI55" s="76"/>
      <c r="PHJ55" s="76"/>
      <c r="PHK55" s="76"/>
      <c r="PHL55" s="76"/>
      <c r="PHM55" s="76"/>
      <c r="PHN55" s="76"/>
      <c r="PHO55" s="76"/>
      <c r="PHP55" s="76"/>
      <c r="PHQ55" s="76"/>
      <c r="PHR55" s="76"/>
      <c r="PHS55" s="76"/>
      <c r="PHT55" s="76"/>
      <c r="PHU55" s="76"/>
      <c r="PHV55" s="76"/>
      <c r="PHW55" s="76"/>
      <c r="PHX55" s="76"/>
      <c r="PHY55" s="76"/>
      <c r="PHZ55" s="76"/>
      <c r="PIA55" s="76"/>
      <c r="PIB55" s="76"/>
      <c r="PIC55" s="76"/>
      <c r="PID55" s="76"/>
      <c r="PIE55" s="76"/>
      <c r="PIF55" s="76"/>
      <c r="PIG55" s="76"/>
      <c r="PIH55" s="76"/>
      <c r="PII55" s="76"/>
      <c r="PIJ55" s="76"/>
      <c r="PIK55" s="76"/>
      <c r="PIL55" s="76"/>
      <c r="PIM55" s="76"/>
      <c r="PIN55" s="76"/>
      <c r="PIO55" s="76"/>
      <c r="PIP55" s="76"/>
      <c r="PIQ55" s="76"/>
      <c r="PIR55" s="76"/>
      <c r="PIS55" s="76"/>
      <c r="PIT55" s="76"/>
      <c r="PIU55" s="76"/>
      <c r="PIV55" s="76"/>
      <c r="PIW55" s="76"/>
      <c r="PIX55" s="76"/>
      <c r="PIY55" s="76"/>
      <c r="PIZ55" s="76"/>
      <c r="PJA55" s="76"/>
      <c r="PJB55" s="76"/>
      <c r="PJC55" s="76"/>
      <c r="PJD55" s="76"/>
      <c r="PJE55" s="76"/>
      <c r="PJF55" s="76"/>
      <c r="PJG55" s="76"/>
      <c r="PJH55" s="76"/>
      <c r="PJI55" s="76"/>
      <c r="PJJ55" s="76"/>
      <c r="PJK55" s="76"/>
      <c r="PJL55" s="76"/>
      <c r="PJM55" s="76"/>
      <c r="PJN55" s="76"/>
      <c r="PJO55" s="76"/>
      <c r="PJP55" s="76"/>
      <c r="PJQ55" s="76"/>
      <c r="PJR55" s="76"/>
      <c r="PJS55" s="76"/>
      <c r="PJT55" s="76"/>
      <c r="PJU55" s="76"/>
      <c r="PJV55" s="76"/>
      <c r="PJW55" s="76"/>
      <c r="PJX55" s="76"/>
      <c r="PJY55" s="76"/>
      <c r="PJZ55" s="76"/>
      <c r="PKA55" s="76"/>
      <c r="PKB55" s="76"/>
      <c r="PKC55" s="76"/>
      <c r="PKD55" s="76"/>
      <c r="PKE55" s="76"/>
      <c r="PKF55" s="76"/>
      <c r="PKG55" s="76"/>
      <c r="PKH55" s="76"/>
      <c r="PKI55" s="76"/>
      <c r="PKJ55" s="76"/>
      <c r="PKK55" s="76"/>
      <c r="PKL55" s="76"/>
      <c r="PKM55" s="76"/>
      <c r="PKN55" s="76"/>
      <c r="PKO55" s="76"/>
      <c r="PKP55" s="76"/>
      <c r="PKQ55" s="76"/>
      <c r="PKR55" s="76"/>
      <c r="PKS55" s="76"/>
      <c r="PKT55" s="76"/>
      <c r="PKU55" s="76"/>
      <c r="PKV55" s="76"/>
      <c r="PKW55" s="76"/>
      <c r="PKX55" s="76"/>
      <c r="PKY55" s="76"/>
      <c r="PKZ55" s="76"/>
      <c r="PLA55" s="76"/>
      <c r="PLB55" s="76"/>
      <c r="PLC55" s="76"/>
      <c r="PLD55" s="76"/>
      <c r="PLE55" s="76"/>
      <c r="PLF55" s="76"/>
      <c r="PLG55" s="76"/>
      <c r="PLH55" s="76"/>
      <c r="PLI55" s="76"/>
      <c r="PLJ55" s="76"/>
      <c r="PLK55" s="76"/>
      <c r="PLL55" s="76"/>
      <c r="PLM55" s="76"/>
      <c r="PLN55" s="76"/>
      <c r="PLO55" s="76"/>
      <c r="PLP55" s="76"/>
      <c r="PLQ55" s="76"/>
      <c r="PLR55" s="76"/>
      <c r="PLS55" s="76"/>
      <c r="PLT55" s="76"/>
      <c r="PLU55" s="76"/>
      <c r="PLV55" s="76"/>
      <c r="PLW55" s="76"/>
      <c r="PLX55" s="76"/>
      <c r="PLY55" s="76"/>
      <c r="PLZ55" s="76"/>
      <c r="PMA55" s="76"/>
      <c r="PMB55" s="76"/>
      <c r="PMC55" s="76"/>
      <c r="PMD55" s="76"/>
      <c r="PME55" s="76"/>
      <c r="PMF55" s="76"/>
      <c r="PMG55" s="76"/>
      <c r="PMH55" s="76"/>
      <c r="PMI55" s="76"/>
      <c r="PMJ55" s="76"/>
      <c r="PMK55" s="76"/>
      <c r="PML55" s="76"/>
      <c r="PMM55" s="76"/>
      <c r="PMN55" s="76"/>
      <c r="PMO55" s="76"/>
      <c r="PMP55" s="76"/>
      <c r="PMQ55" s="76"/>
      <c r="PMR55" s="76"/>
      <c r="PMS55" s="76"/>
      <c r="PMT55" s="76"/>
      <c r="PMU55" s="76"/>
      <c r="PMV55" s="76"/>
      <c r="PMW55" s="76"/>
      <c r="PMX55" s="76"/>
      <c r="PMY55" s="76"/>
      <c r="PMZ55" s="76"/>
      <c r="PNA55" s="76"/>
      <c r="PNB55" s="76"/>
      <c r="PNC55" s="76"/>
      <c r="PND55" s="76"/>
      <c r="PNE55" s="76"/>
      <c r="PNF55" s="76"/>
      <c r="PNG55" s="76"/>
      <c r="PNH55" s="76"/>
      <c r="PNI55" s="76"/>
      <c r="PNJ55" s="76"/>
      <c r="PNK55" s="76"/>
      <c r="PNL55" s="76"/>
      <c r="PNM55" s="76"/>
      <c r="PNN55" s="76"/>
      <c r="PNO55" s="76"/>
      <c r="PNP55" s="76"/>
      <c r="PNQ55" s="76"/>
      <c r="PNR55" s="76"/>
      <c r="PNS55" s="76"/>
      <c r="PNT55" s="76"/>
      <c r="PNU55" s="76"/>
      <c r="PNV55" s="76"/>
      <c r="PNW55" s="76"/>
      <c r="PNX55" s="76"/>
      <c r="PNY55" s="76"/>
      <c r="PNZ55" s="76"/>
      <c r="POA55" s="76"/>
      <c r="POB55" s="76"/>
      <c r="POC55" s="76"/>
      <c r="POD55" s="76"/>
      <c r="POE55" s="76"/>
      <c r="POF55" s="76"/>
      <c r="POG55" s="76"/>
      <c r="POH55" s="76"/>
      <c r="POI55" s="76"/>
      <c r="POJ55" s="76"/>
      <c r="POK55" s="76"/>
      <c r="POL55" s="76"/>
      <c r="POM55" s="76"/>
      <c r="PON55" s="76"/>
      <c r="POO55" s="76"/>
      <c r="POP55" s="76"/>
      <c r="POQ55" s="76"/>
      <c r="POR55" s="76"/>
      <c r="POS55" s="76"/>
      <c r="POT55" s="76"/>
      <c r="POU55" s="76"/>
      <c r="POV55" s="76"/>
      <c r="POW55" s="76"/>
      <c r="POX55" s="76"/>
      <c r="POY55" s="76"/>
      <c r="POZ55" s="76"/>
      <c r="PPA55" s="76"/>
      <c r="PPB55" s="76"/>
      <c r="PPC55" s="76"/>
      <c r="PPD55" s="76"/>
      <c r="PPE55" s="76"/>
      <c r="PPF55" s="76"/>
      <c r="PPG55" s="76"/>
      <c r="PPH55" s="76"/>
      <c r="PPI55" s="76"/>
      <c r="PPJ55" s="76"/>
      <c r="PPK55" s="76"/>
      <c r="PPL55" s="76"/>
      <c r="PPM55" s="76"/>
      <c r="PPN55" s="76"/>
      <c r="PPO55" s="76"/>
      <c r="PPP55" s="76"/>
      <c r="PPQ55" s="76"/>
      <c r="PPR55" s="76"/>
      <c r="PPS55" s="76"/>
      <c r="PPT55" s="76"/>
      <c r="PPU55" s="76"/>
      <c r="PPV55" s="76"/>
      <c r="PPW55" s="76"/>
      <c r="PPX55" s="76"/>
      <c r="PPY55" s="76"/>
      <c r="PPZ55" s="76"/>
      <c r="PQA55" s="76"/>
      <c r="PQB55" s="76"/>
      <c r="PQC55" s="76"/>
      <c r="PQD55" s="76"/>
      <c r="PQE55" s="76"/>
      <c r="PQF55" s="76"/>
      <c r="PQG55" s="76"/>
      <c r="PQH55" s="76"/>
      <c r="PQI55" s="76"/>
      <c r="PQJ55" s="76"/>
      <c r="PQK55" s="76"/>
      <c r="PQL55" s="76"/>
      <c r="PQM55" s="76"/>
      <c r="PQN55" s="76"/>
      <c r="PQO55" s="76"/>
      <c r="PQP55" s="76"/>
      <c r="PQQ55" s="76"/>
      <c r="PQR55" s="76"/>
      <c r="PQS55" s="76"/>
      <c r="PQT55" s="76"/>
      <c r="PQU55" s="76"/>
      <c r="PQV55" s="76"/>
      <c r="PQW55" s="76"/>
      <c r="PQX55" s="76"/>
      <c r="PQY55" s="76"/>
      <c r="PQZ55" s="76"/>
      <c r="PRA55" s="76"/>
      <c r="PRB55" s="76"/>
      <c r="PRC55" s="76"/>
      <c r="PRD55" s="76"/>
      <c r="PRE55" s="76"/>
      <c r="PRF55" s="76"/>
      <c r="PRG55" s="76"/>
      <c r="PRH55" s="76"/>
      <c r="PRI55" s="76"/>
      <c r="PRJ55" s="76"/>
      <c r="PRK55" s="76"/>
      <c r="PRL55" s="76"/>
      <c r="PRM55" s="76"/>
      <c r="PRN55" s="76"/>
      <c r="PRO55" s="76"/>
      <c r="PRP55" s="76"/>
      <c r="PRQ55" s="76"/>
      <c r="PRR55" s="76"/>
      <c r="PRS55" s="76"/>
      <c r="PRT55" s="76"/>
      <c r="PRU55" s="76"/>
      <c r="PRV55" s="76"/>
      <c r="PRW55" s="76"/>
      <c r="PRX55" s="76"/>
      <c r="PRY55" s="76"/>
      <c r="PRZ55" s="76"/>
      <c r="PSA55" s="76"/>
      <c r="PSB55" s="76"/>
      <c r="PSC55" s="76"/>
      <c r="PSD55" s="76"/>
      <c r="PSE55" s="76"/>
      <c r="PSF55" s="76"/>
      <c r="PSG55" s="76"/>
      <c r="PSH55" s="76"/>
      <c r="PSI55" s="76"/>
      <c r="PSJ55" s="76"/>
      <c r="PSK55" s="76"/>
      <c r="PSL55" s="76"/>
      <c r="PSM55" s="76"/>
      <c r="PSN55" s="76"/>
      <c r="PSO55" s="76"/>
      <c r="PSP55" s="76"/>
      <c r="PSQ55" s="76"/>
      <c r="PSR55" s="76"/>
      <c r="PSS55" s="76"/>
      <c r="PST55" s="76"/>
      <c r="PSU55" s="76"/>
      <c r="PSV55" s="76"/>
      <c r="PSW55" s="76"/>
      <c r="PSX55" s="76"/>
      <c r="PSY55" s="76"/>
      <c r="PSZ55" s="76"/>
      <c r="PTA55" s="76"/>
      <c r="PTB55" s="76"/>
      <c r="PTC55" s="76"/>
      <c r="PTD55" s="76"/>
      <c r="PTE55" s="76"/>
      <c r="PTF55" s="76"/>
      <c r="PTG55" s="76"/>
      <c r="PTH55" s="76"/>
      <c r="PTI55" s="76"/>
      <c r="PTJ55" s="76"/>
      <c r="PTK55" s="76"/>
      <c r="PTL55" s="76"/>
      <c r="PTM55" s="76"/>
      <c r="PTN55" s="76"/>
      <c r="PTO55" s="76"/>
      <c r="PTP55" s="76"/>
      <c r="PTQ55" s="76"/>
      <c r="PTR55" s="76"/>
      <c r="PTS55" s="76"/>
      <c r="PTT55" s="76"/>
      <c r="PTU55" s="76"/>
      <c r="PTV55" s="76"/>
      <c r="PTW55" s="76"/>
      <c r="PTX55" s="76"/>
      <c r="PTY55" s="76"/>
      <c r="PTZ55" s="76"/>
      <c r="PUA55" s="76"/>
      <c r="PUB55" s="76"/>
      <c r="PUC55" s="76"/>
      <c r="PUD55" s="76"/>
      <c r="PUE55" s="76"/>
      <c r="PUF55" s="76"/>
      <c r="PUG55" s="76"/>
      <c r="PUH55" s="76"/>
      <c r="PUI55" s="76"/>
      <c r="PUJ55" s="76"/>
      <c r="PUK55" s="76"/>
      <c r="PUL55" s="76"/>
      <c r="PUM55" s="76"/>
      <c r="PUN55" s="76"/>
      <c r="PUO55" s="76"/>
      <c r="PUP55" s="76"/>
      <c r="PUQ55" s="76"/>
      <c r="PUR55" s="76"/>
      <c r="PUS55" s="76"/>
      <c r="PUT55" s="76"/>
      <c r="PUU55" s="76"/>
      <c r="PUV55" s="76"/>
      <c r="PUW55" s="76"/>
      <c r="PUX55" s="76"/>
      <c r="PUY55" s="76"/>
      <c r="PUZ55" s="76"/>
      <c r="PVA55" s="76"/>
      <c r="PVB55" s="76"/>
      <c r="PVC55" s="76"/>
      <c r="PVD55" s="76"/>
      <c r="PVE55" s="76"/>
      <c r="PVF55" s="76"/>
      <c r="PVG55" s="76"/>
      <c r="PVH55" s="76"/>
      <c r="PVI55" s="76"/>
      <c r="PVJ55" s="76"/>
      <c r="PVK55" s="76"/>
      <c r="PVL55" s="76"/>
      <c r="PVM55" s="76"/>
      <c r="PVN55" s="76"/>
      <c r="PVO55" s="76"/>
      <c r="PVP55" s="76"/>
      <c r="PVQ55" s="76"/>
      <c r="PVR55" s="76"/>
      <c r="PVS55" s="76"/>
      <c r="PVT55" s="76"/>
      <c r="PVU55" s="76"/>
      <c r="PVV55" s="76"/>
      <c r="PVW55" s="76"/>
      <c r="PVX55" s="76"/>
      <c r="PVY55" s="76"/>
      <c r="PVZ55" s="76"/>
      <c r="PWA55" s="76"/>
      <c r="PWB55" s="76"/>
      <c r="PWC55" s="76"/>
      <c r="PWD55" s="76"/>
      <c r="PWE55" s="76"/>
      <c r="PWF55" s="76"/>
      <c r="PWG55" s="76"/>
      <c r="PWH55" s="76"/>
      <c r="PWI55" s="76"/>
      <c r="PWJ55" s="76"/>
      <c r="PWK55" s="76"/>
      <c r="PWL55" s="76"/>
      <c r="PWM55" s="76"/>
      <c r="PWN55" s="76"/>
      <c r="PWO55" s="76"/>
      <c r="PWP55" s="76"/>
      <c r="PWQ55" s="76"/>
      <c r="PWR55" s="76"/>
      <c r="PWS55" s="76"/>
      <c r="PWT55" s="76"/>
      <c r="PWU55" s="76"/>
      <c r="PWV55" s="76"/>
      <c r="PWW55" s="76"/>
      <c r="PWX55" s="76"/>
      <c r="PWY55" s="76"/>
      <c r="PWZ55" s="76"/>
      <c r="PXA55" s="76"/>
      <c r="PXB55" s="76"/>
      <c r="PXC55" s="76"/>
      <c r="PXD55" s="76"/>
      <c r="PXE55" s="76"/>
      <c r="PXF55" s="76"/>
      <c r="PXG55" s="76"/>
      <c r="PXH55" s="76"/>
      <c r="PXI55" s="76"/>
      <c r="PXJ55" s="76"/>
      <c r="PXK55" s="76"/>
      <c r="PXL55" s="76"/>
      <c r="PXM55" s="76"/>
      <c r="PXN55" s="76"/>
      <c r="PXO55" s="76"/>
      <c r="PXP55" s="76"/>
      <c r="PXQ55" s="76"/>
      <c r="PXR55" s="76"/>
      <c r="PXS55" s="76"/>
      <c r="PXT55" s="76"/>
      <c r="PXU55" s="76"/>
      <c r="PXV55" s="76"/>
      <c r="PXW55" s="76"/>
      <c r="PXX55" s="76"/>
      <c r="PXY55" s="76"/>
      <c r="PXZ55" s="76"/>
      <c r="PYA55" s="76"/>
      <c r="PYB55" s="76"/>
      <c r="PYC55" s="76"/>
      <c r="PYD55" s="76"/>
      <c r="PYE55" s="76"/>
      <c r="PYF55" s="76"/>
      <c r="PYG55" s="76"/>
      <c r="PYH55" s="76"/>
      <c r="PYI55" s="76"/>
      <c r="PYJ55" s="76"/>
      <c r="PYK55" s="76"/>
      <c r="PYL55" s="76"/>
      <c r="PYM55" s="76"/>
      <c r="PYN55" s="76"/>
      <c r="PYO55" s="76"/>
      <c r="PYP55" s="76"/>
      <c r="PYQ55" s="76"/>
      <c r="PYR55" s="76"/>
      <c r="PYS55" s="76"/>
      <c r="PYT55" s="76"/>
      <c r="PYU55" s="76"/>
      <c r="PYV55" s="76"/>
      <c r="PYW55" s="76"/>
      <c r="PYX55" s="76"/>
      <c r="PYY55" s="76"/>
      <c r="PYZ55" s="76"/>
      <c r="PZA55" s="76"/>
      <c r="PZB55" s="76"/>
      <c r="PZC55" s="76"/>
      <c r="PZD55" s="76"/>
      <c r="PZE55" s="76"/>
      <c r="PZF55" s="76"/>
      <c r="PZG55" s="76"/>
      <c r="PZH55" s="76"/>
      <c r="PZI55" s="76"/>
      <c r="PZJ55" s="76"/>
      <c r="PZK55" s="76"/>
      <c r="PZL55" s="76"/>
      <c r="PZM55" s="76"/>
      <c r="PZN55" s="76"/>
      <c r="PZO55" s="76"/>
      <c r="PZP55" s="76"/>
      <c r="PZQ55" s="76"/>
      <c r="PZR55" s="76"/>
      <c r="PZS55" s="76"/>
      <c r="PZT55" s="76"/>
      <c r="PZU55" s="76"/>
      <c r="PZV55" s="76"/>
      <c r="PZW55" s="76"/>
      <c r="PZX55" s="76"/>
      <c r="PZY55" s="76"/>
      <c r="PZZ55" s="76"/>
      <c r="QAA55" s="76"/>
      <c r="QAB55" s="76"/>
      <c r="QAC55" s="76"/>
      <c r="QAD55" s="76"/>
      <c r="QAE55" s="76"/>
      <c r="QAF55" s="76"/>
      <c r="QAG55" s="76"/>
      <c r="QAH55" s="76"/>
      <c r="QAI55" s="76"/>
      <c r="QAJ55" s="76"/>
      <c r="QAK55" s="76"/>
      <c r="QAL55" s="76"/>
      <c r="QAM55" s="76"/>
      <c r="QAN55" s="76"/>
      <c r="QAO55" s="76"/>
      <c r="QAP55" s="76"/>
      <c r="QAQ55" s="76"/>
      <c r="QAR55" s="76"/>
      <c r="QAS55" s="76"/>
      <c r="QAT55" s="76"/>
      <c r="QAU55" s="76"/>
      <c r="QAV55" s="76"/>
      <c r="QAW55" s="76"/>
      <c r="QAX55" s="76"/>
      <c r="QAY55" s="76"/>
      <c r="QAZ55" s="76"/>
      <c r="QBA55" s="76"/>
      <c r="QBB55" s="76"/>
      <c r="QBC55" s="76"/>
      <c r="QBD55" s="76"/>
      <c r="QBE55" s="76"/>
      <c r="QBF55" s="76"/>
      <c r="QBG55" s="76"/>
      <c r="QBH55" s="76"/>
      <c r="QBI55" s="76"/>
      <c r="QBJ55" s="76"/>
      <c r="QBK55" s="76"/>
      <c r="QBL55" s="76"/>
      <c r="QBM55" s="76"/>
      <c r="QBN55" s="76"/>
      <c r="QBO55" s="76"/>
      <c r="QBP55" s="76"/>
      <c r="QBQ55" s="76"/>
      <c r="QBR55" s="76"/>
      <c r="QBS55" s="76"/>
      <c r="QBT55" s="76"/>
      <c r="QBU55" s="76"/>
      <c r="QBV55" s="76"/>
      <c r="QBW55" s="76"/>
      <c r="QBX55" s="76"/>
      <c r="QBY55" s="76"/>
      <c r="QBZ55" s="76"/>
      <c r="QCA55" s="76"/>
      <c r="QCB55" s="76"/>
      <c r="QCC55" s="76"/>
      <c r="QCD55" s="76"/>
      <c r="QCE55" s="76"/>
      <c r="QCF55" s="76"/>
      <c r="QCG55" s="76"/>
      <c r="QCH55" s="76"/>
      <c r="QCI55" s="76"/>
      <c r="QCJ55" s="76"/>
      <c r="QCK55" s="76"/>
      <c r="QCL55" s="76"/>
      <c r="QCM55" s="76"/>
      <c r="QCN55" s="76"/>
      <c r="QCO55" s="76"/>
      <c r="QCP55" s="76"/>
      <c r="QCQ55" s="76"/>
      <c r="QCR55" s="76"/>
      <c r="QCS55" s="76"/>
      <c r="QCT55" s="76"/>
      <c r="QCU55" s="76"/>
      <c r="QCV55" s="76"/>
      <c r="QCW55" s="76"/>
      <c r="QCX55" s="76"/>
      <c r="QCY55" s="76"/>
      <c r="QCZ55" s="76"/>
      <c r="QDA55" s="76"/>
      <c r="QDB55" s="76"/>
      <c r="QDC55" s="76"/>
      <c r="QDD55" s="76"/>
      <c r="QDE55" s="76"/>
      <c r="QDF55" s="76"/>
      <c r="QDG55" s="76"/>
      <c r="QDH55" s="76"/>
      <c r="QDI55" s="76"/>
      <c r="QDJ55" s="76"/>
      <c r="QDK55" s="76"/>
      <c r="QDL55" s="76"/>
      <c r="QDM55" s="76"/>
      <c r="QDN55" s="76"/>
      <c r="QDO55" s="76"/>
      <c r="QDP55" s="76"/>
      <c r="QDQ55" s="76"/>
      <c r="QDR55" s="76"/>
      <c r="QDS55" s="76"/>
      <c r="QDT55" s="76"/>
      <c r="QDU55" s="76"/>
      <c r="QDV55" s="76"/>
      <c r="QDW55" s="76"/>
      <c r="QDX55" s="76"/>
      <c r="QDY55" s="76"/>
      <c r="QDZ55" s="76"/>
      <c r="QEA55" s="76"/>
      <c r="QEB55" s="76"/>
      <c r="QEC55" s="76"/>
      <c r="QED55" s="76"/>
      <c r="QEE55" s="76"/>
      <c r="QEF55" s="76"/>
      <c r="QEG55" s="76"/>
      <c r="QEH55" s="76"/>
      <c r="QEI55" s="76"/>
      <c r="QEJ55" s="76"/>
      <c r="QEK55" s="76"/>
      <c r="QEL55" s="76"/>
      <c r="QEM55" s="76"/>
      <c r="QEN55" s="76"/>
      <c r="QEO55" s="76"/>
      <c r="QEP55" s="76"/>
      <c r="QEQ55" s="76"/>
      <c r="QER55" s="76"/>
      <c r="QES55" s="76"/>
      <c r="QET55" s="76"/>
      <c r="QEU55" s="76"/>
      <c r="QEV55" s="76"/>
      <c r="QEW55" s="76"/>
      <c r="QEX55" s="76"/>
      <c r="QEY55" s="76"/>
      <c r="QEZ55" s="76"/>
      <c r="QFA55" s="76"/>
      <c r="QFB55" s="76"/>
      <c r="QFC55" s="76"/>
      <c r="QFD55" s="76"/>
      <c r="QFE55" s="76"/>
      <c r="QFF55" s="76"/>
      <c r="QFG55" s="76"/>
      <c r="QFH55" s="76"/>
      <c r="QFI55" s="76"/>
      <c r="QFJ55" s="76"/>
      <c r="QFK55" s="76"/>
      <c r="QFL55" s="76"/>
      <c r="QFM55" s="76"/>
      <c r="QFN55" s="76"/>
      <c r="QFO55" s="76"/>
      <c r="QFP55" s="76"/>
      <c r="QFQ55" s="76"/>
      <c r="QFR55" s="76"/>
      <c r="QFS55" s="76"/>
      <c r="QFT55" s="76"/>
      <c r="QFU55" s="76"/>
      <c r="QFV55" s="76"/>
      <c r="QFW55" s="76"/>
      <c r="QFX55" s="76"/>
      <c r="QFY55" s="76"/>
      <c r="QFZ55" s="76"/>
      <c r="QGA55" s="76"/>
      <c r="QGB55" s="76"/>
      <c r="QGC55" s="76"/>
      <c r="QGD55" s="76"/>
      <c r="QGE55" s="76"/>
      <c r="QGF55" s="76"/>
      <c r="QGG55" s="76"/>
      <c r="QGH55" s="76"/>
      <c r="QGI55" s="76"/>
      <c r="QGJ55" s="76"/>
      <c r="QGK55" s="76"/>
      <c r="QGL55" s="76"/>
      <c r="QGM55" s="76"/>
      <c r="QGN55" s="76"/>
      <c r="QGO55" s="76"/>
      <c r="QGP55" s="76"/>
      <c r="QGQ55" s="76"/>
      <c r="QGR55" s="76"/>
      <c r="QGS55" s="76"/>
      <c r="QGT55" s="76"/>
      <c r="QGU55" s="76"/>
      <c r="QGV55" s="76"/>
      <c r="QGW55" s="76"/>
      <c r="QGX55" s="76"/>
      <c r="QGY55" s="76"/>
      <c r="QGZ55" s="76"/>
      <c r="QHA55" s="76"/>
      <c r="QHB55" s="76"/>
      <c r="QHC55" s="76"/>
      <c r="QHD55" s="76"/>
      <c r="QHE55" s="76"/>
      <c r="QHF55" s="76"/>
      <c r="QHG55" s="76"/>
      <c r="QHH55" s="76"/>
      <c r="QHI55" s="76"/>
      <c r="QHJ55" s="76"/>
      <c r="QHK55" s="76"/>
      <c r="QHL55" s="76"/>
      <c r="QHM55" s="76"/>
      <c r="QHN55" s="76"/>
      <c r="QHO55" s="76"/>
      <c r="QHP55" s="76"/>
      <c r="QHQ55" s="76"/>
      <c r="QHR55" s="76"/>
      <c r="QHS55" s="76"/>
      <c r="QHT55" s="76"/>
      <c r="QHU55" s="76"/>
      <c r="QHV55" s="76"/>
      <c r="QHW55" s="76"/>
      <c r="QHX55" s="76"/>
      <c r="QHY55" s="76"/>
      <c r="QHZ55" s="76"/>
      <c r="QIA55" s="76"/>
      <c r="QIB55" s="76"/>
      <c r="QIC55" s="76"/>
      <c r="QID55" s="76"/>
      <c r="QIE55" s="76"/>
      <c r="QIF55" s="76"/>
      <c r="QIG55" s="76"/>
      <c r="QIH55" s="76"/>
      <c r="QII55" s="76"/>
      <c r="QIJ55" s="76"/>
      <c r="QIK55" s="76"/>
      <c r="QIL55" s="76"/>
      <c r="QIM55" s="76"/>
      <c r="QIN55" s="76"/>
      <c r="QIO55" s="76"/>
      <c r="QIP55" s="76"/>
      <c r="QIQ55" s="76"/>
      <c r="QIR55" s="76"/>
      <c r="QIS55" s="76"/>
      <c r="QIT55" s="76"/>
      <c r="QIU55" s="76"/>
      <c r="QIV55" s="76"/>
      <c r="QIW55" s="76"/>
      <c r="QIX55" s="76"/>
      <c r="QIY55" s="76"/>
      <c r="QIZ55" s="76"/>
      <c r="QJA55" s="76"/>
      <c r="QJB55" s="76"/>
      <c r="QJC55" s="76"/>
      <c r="QJD55" s="76"/>
      <c r="QJE55" s="76"/>
      <c r="QJF55" s="76"/>
      <c r="QJG55" s="76"/>
      <c r="QJH55" s="76"/>
      <c r="QJI55" s="76"/>
      <c r="QJJ55" s="76"/>
      <c r="QJK55" s="76"/>
      <c r="QJL55" s="76"/>
      <c r="QJM55" s="76"/>
      <c r="QJN55" s="76"/>
      <c r="QJO55" s="76"/>
      <c r="QJP55" s="76"/>
      <c r="QJQ55" s="76"/>
      <c r="QJR55" s="76"/>
      <c r="QJS55" s="76"/>
      <c r="QJT55" s="76"/>
      <c r="QJU55" s="76"/>
      <c r="QJV55" s="76"/>
      <c r="QJW55" s="76"/>
      <c r="QJX55" s="76"/>
      <c r="QJY55" s="76"/>
      <c r="QJZ55" s="76"/>
      <c r="QKA55" s="76"/>
      <c r="QKB55" s="76"/>
      <c r="QKC55" s="76"/>
      <c r="QKD55" s="76"/>
      <c r="QKE55" s="76"/>
      <c r="QKF55" s="76"/>
      <c r="QKG55" s="76"/>
      <c r="QKH55" s="76"/>
      <c r="QKI55" s="76"/>
      <c r="QKJ55" s="76"/>
      <c r="QKK55" s="76"/>
      <c r="QKL55" s="76"/>
      <c r="QKM55" s="76"/>
      <c r="QKN55" s="76"/>
      <c r="QKO55" s="76"/>
      <c r="QKP55" s="76"/>
      <c r="QKQ55" s="76"/>
      <c r="QKR55" s="76"/>
      <c r="QKS55" s="76"/>
      <c r="QKT55" s="76"/>
      <c r="QKU55" s="76"/>
      <c r="QKV55" s="76"/>
      <c r="QKW55" s="76"/>
      <c r="QKX55" s="76"/>
      <c r="QKY55" s="76"/>
      <c r="QKZ55" s="76"/>
      <c r="QLA55" s="76"/>
      <c r="QLB55" s="76"/>
      <c r="QLC55" s="76"/>
      <c r="QLD55" s="76"/>
      <c r="QLE55" s="76"/>
      <c r="QLF55" s="76"/>
      <c r="QLG55" s="76"/>
      <c r="QLH55" s="76"/>
      <c r="QLI55" s="76"/>
      <c r="QLJ55" s="76"/>
      <c r="QLK55" s="76"/>
      <c r="QLL55" s="76"/>
      <c r="QLM55" s="76"/>
      <c r="QLN55" s="76"/>
      <c r="QLO55" s="76"/>
      <c r="QLP55" s="76"/>
      <c r="QLQ55" s="76"/>
      <c r="QLR55" s="76"/>
      <c r="QLS55" s="76"/>
      <c r="QLT55" s="76"/>
      <c r="QLU55" s="76"/>
      <c r="QLV55" s="76"/>
      <c r="QLW55" s="76"/>
      <c r="QLX55" s="76"/>
      <c r="QLY55" s="76"/>
      <c r="QLZ55" s="76"/>
      <c r="QMA55" s="76"/>
      <c r="QMB55" s="76"/>
      <c r="QMC55" s="76"/>
      <c r="QMD55" s="76"/>
      <c r="QME55" s="76"/>
      <c r="QMF55" s="76"/>
      <c r="QMG55" s="76"/>
      <c r="QMH55" s="76"/>
      <c r="QMI55" s="76"/>
      <c r="QMJ55" s="76"/>
      <c r="QMK55" s="76"/>
      <c r="QML55" s="76"/>
      <c r="QMM55" s="76"/>
      <c r="QMN55" s="76"/>
      <c r="QMO55" s="76"/>
      <c r="QMP55" s="76"/>
      <c r="QMQ55" s="76"/>
      <c r="QMR55" s="76"/>
      <c r="QMS55" s="76"/>
      <c r="QMT55" s="76"/>
      <c r="QMU55" s="76"/>
      <c r="QMV55" s="76"/>
      <c r="QMW55" s="76"/>
      <c r="QMX55" s="76"/>
      <c r="QMY55" s="76"/>
      <c r="QMZ55" s="76"/>
      <c r="QNA55" s="76"/>
      <c r="QNB55" s="76"/>
      <c r="QNC55" s="76"/>
      <c r="QND55" s="76"/>
      <c r="QNE55" s="76"/>
      <c r="QNF55" s="76"/>
      <c r="QNG55" s="76"/>
      <c r="QNH55" s="76"/>
      <c r="QNI55" s="76"/>
      <c r="QNJ55" s="76"/>
      <c r="QNK55" s="76"/>
      <c r="QNL55" s="76"/>
      <c r="QNM55" s="76"/>
      <c r="QNN55" s="76"/>
      <c r="QNO55" s="76"/>
      <c r="QNP55" s="76"/>
      <c r="QNQ55" s="76"/>
      <c r="QNR55" s="76"/>
      <c r="QNS55" s="76"/>
      <c r="QNT55" s="76"/>
      <c r="QNU55" s="76"/>
      <c r="QNV55" s="76"/>
      <c r="QNW55" s="76"/>
      <c r="QNX55" s="76"/>
      <c r="QNY55" s="76"/>
      <c r="QNZ55" s="76"/>
      <c r="QOA55" s="76"/>
      <c r="QOB55" s="76"/>
      <c r="QOC55" s="76"/>
      <c r="QOD55" s="76"/>
      <c r="QOE55" s="76"/>
      <c r="QOF55" s="76"/>
      <c r="QOG55" s="76"/>
      <c r="QOH55" s="76"/>
      <c r="QOI55" s="76"/>
      <c r="QOJ55" s="76"/>
      <c r="QOK55" s="76"/>
      <c r="QOL55" s="76"/>
      <c r="QOM55" s="76"/>
      <c r="QON55" s="76"/>
      <c r="QOO55" s="76"/>
      <c r="QOP55" s="76"/>
      <c r="QOQ55" s="76"/>
      <c r="QOR55" s="76"/>
      <c r="QOS55" s="76"/>
      <c r="QOT55" s="76"/>
      <c r="QOU55" s="76"/>
      <c r="QOV55" s="76"/>
      <c r="QOW55" s="76"/>
      <c r="QOX55" s="76"/>
      <c r="QOY55" s="76"/>
      <c r="QOZ55" s="76"/>
      <c r="QPA55" s="76"/>
      <c r="QPB55" s="76"/>
      <c r="QPC55" s="76"/>
      <c r="QPD55" s="76"/>
      <c r="QPE55" s="76"/>
      <c r="QPF55" s="76"/>
      <c r="QPG55" s="76"/>
      <c r="QPH55" s="76"/>
      <c r="QPI55" s="76"/>
      <c r="QPJ55" s="76"/>
      <c r="QPK55" s="76"/>
      <c r="QPL55" s="76"/>
      <c r="QPM55" s="76"/>
      <c r="QPN55" s="76"/>
      <c r="QPO55" s="76"/>
      <c r="QPP55" s="76"/>
      <c r="QPQ55" s="76"/>
      <c r="QPR55" s="76"/>
      <c r="QPS55" s="76"/>
      <c r="QPT55" s="76"/>
      <c r="QPU55" s="76"/>
      <c r="QPV55" s="76"/>
      <c r="QPW55" s="76"/>
      <c r="QPX55" s="76"/>
      <c r="QPY55" s="76"/>
      <c r="QPZ55" s="76"/>
      <c r="QQA55" s="76"/>
      <c r="QQB55" s="76"/>
      <c r="QQC55" s="76"/>
      <c r="QQD55" s="76"/>
      <c r="QQE55" s="76"/>
      <c r="QQF55" s="76"/>
      <c r="QQG55" s="76"/>
      <c r="QQH55" s="76"/>
      <c r="QQI55" s="76"/>
      <c r="QQJ55" s="76"/>
      <c r="QQK55" s="76"/>
      <c r="QQL55" s="76"/>
      <c r="QQM55" s="76"/>
      <c r="QQN55" s="76"/>
      <c r="QQO55" s="76"/>
      <c r="QQP55" s="76"/>
      <c r="QQQ55" s="76"/>
      <c r="QQR55" s="76"/>
      <c r="QQS55" s="76"/>
      <c r="QQT55" s="76"/>
      <c r="QQU55" s="76"/>
      <c r="QQV55" s="76"/>
      <c r="QQW55" s="76"/>
      <c r="QQX55" s="76"/>
      <c r="QQY55" s="76"/>
      <c r="QQZ55" s="76"/>
      <c r="QRA55" s="76"/>
      <c r="QRB55" s="76"/>
      <c r="QRC55" s="76"/>
      <c r="QRD55" s="76"/>
      <c r="QRE55" s="76"/>
      <c r="QRF55" s="76"/>
      <c r="QRG55" s="76"/>
      <c r="QRH55" s="76"/>
      <c r="QRI55" s="76"/>
      <c r="QRJ55" s="76"/>
      <c r="QRK55" s="76"/>
      <c r="QRL55" s="76"/>
      <c r="QRM55" s="76"/>
      <c r="QRN55" s="76"/>
      <c r="QRO55" s="76"/>
      <c r="QRP55" s="76"/>
      <c r="QRQ55" s="76"/>
      <c r="QRR55" s="76"/>
      <c r="QRS55" s="76"/>
      <c r="QRT55" s="76"/>
      <c r="QRU55" s="76"/>
      <c r="QRV55" s="76"/>
      <c r="QRW55" s="76"/>
      <c r="QRX55" s="76"/>
      <c r="QRY55" s="76"/>
      <c r="QRZ55" s="76"/>
      <c r="QSA55" s="76"/>
      <c r="QSB55" s="76"/>
      <c r="QSC55" s="76"/>
      <c r="QSD55" s="76"/>
      <c r="QSE55" s="76"/>
      <c r="QSF55" s="76"/>
      <c r="QSG55" s="76"/>
      <c r="QSH55" s="76"/>
      <c r="QSI55" s="76"/>
      <c r="QSJ55" s="76"/>
      <c r="QSK55" s="76"/>
      <c r="QSL55" s="76"/>
      <c r="QSM55" s="76"/>
      <c r="QSN55" s="76"/>
      <c r="QSO55" s="76"/>
      <c r="QSP55" s="76"/>
      <c r="QSQ55" s="76"/>
      <c r="QSR55" s="76"/>
      <c r="QSS55" s="76"/>
      <c r="QST55" s="76"/>
      <c r="QSU55" s="76"/>
      <c r="QSV55" s="76"/>
      <c r="QSW55" s="76"/>
      <c r="QSX55" s="76"/>
      <c r="QSY55" s="76"/>
      <c r="QSZ55" s="76"/>
      <c r="QTA55" s="76"/>
      <c r="QTB55" s="76"/>
      <c r="QTC55" s="76"/>
      <c r="QTD55" s="76"/>
      <c r="QTE55" s="76"/>
      <c r="QTF55" s="76"/>
      <c r="QTG55" s="76"/>
      <c r="QTH55" s="76"/>
      <c r="QTI55" s="76"/>
      <c r="QTJ55" s="76"/>
      <c r="QTK55" s="76"/>
      <c r="QTL55" s="76"/>
      <c r="QTM55" s="76"/>
      <c r="QTN55" s="76"/>
      <c r="QTO55" s="76"/>
      <c r="QTP55" s="76"/>
      <c r="QTQ55" s="76"/>
      <c r="QTR55" s="76"/>
      <c r="QTS55" s="76"/>
      <c r="QTT55" s="76"/>
      <c r="QTU55" s="76"/>
      <c r="QTV55" s="76"/>
      <c r="QTW55" s="76"/>
      <c r="QTX55" s="76"/>
      <c r="QTY55" s="76"/>
      <c r="QTZ55" s="76"/>
      <c r="QUA55" s="76"/>
      <c r="QUB55" s="76"/>
      <c r="QUC55" s="76"/>
      <c r="QUD55" s="76"/>
      <c r="QUE55" s="76"/>
      <c r="QUF55" s="76"/>
      <c r="QUG55" s="76"/>
      <c r="QUH55" s="76"/>
      <c r="QUI55" s="76"/>
      <c r="QUJ55" s="76"/>
      <c r="QUK55" s="76"/>
      <c r="QUL55" s="76"/>
      <c r="QUM55" s="76"/>
      <c r="QUN55" s="76"/>
      <c r="QUO55" s="76"/>
      <c r="QUP55" s="76"/>
      <c r="QUQ55" s="76"/>
      <c r="QUR55" s="76"/>
      <c r="QUS55" s="76"/>
      <c r="QUT55" s="76"/>
      <c r="QUU55" s="76"/>
      <c r="QUV55" s="76"/>
      <c r="QUW55" s="76"/>
      <c r="QUX55" s="76"/>
      <c r="QUY55" s="76"/>
      <c r="QUZ55" s="76"/>
      <c r="QVA55" s="76"/>
      <c r="QVB55" s="76"/>
      <c r="QVC55" s="76"/>
      <c r="QVD55" s="76"/>
      <c r="QVE55" s="76"/>
      <c r="QVF55" s="76"/>
      <c r="QVG55" s="76"/>
      <c r="QVH55" s="76"/>
      <c r="QVI55" s="76"/>
      <c r="QVJ55" s="76"/>
      <c r="QVK55" s="76"/>
      <c r="QVL55" s="76"/>
      <c r="QVM55" s="76"/>
      <c r="QVN55" s="76"/>
      <c r="QVO55" s="76"/>
      <c r="QVP55" s="76"/>
      <c r="QVQ55" s="76"/>
      <c r="QVR55" s="76"/>
      <c r="QVS55" s="76"/>
      <c r="QVT55" s="76"/>
      <c r="QVU55" s="76"/>
      <c r="QVV55" s="76"/>
      <c r="QVW55" s="76"/>
      <c r="QVX55" s="76"/>
      <c r="QVY55" s="76"/>
      <c r="QVZ55" s="76"/>
      <c r="QWA55" s="76"/>
      <c r="QWB55" s="76"/>
      <c r="QWC55" s="76"/>
      <c r="QWD55" s="76"/>
      <c r="QWE55" s="76"/>
      <c r="QWF55" s="76"/>
      <c r="QWG55" s="76"/>
      <c r="QWH55" s="76"/>
      <c r="QWI55" s="76"/>
      <c r="QWJ55" s="76"/>
      <c r="QWK55" s="76"/>
      <c r="QWL55" s="76"/>
      <c r="QWM55" s="76"/>
      <c r="QWN55" s="76"/>
      <c r="QWO55" s="76"/>
      <c r="QWP55" s="76"/>
      <c r="QWQ55" s="76"/>
      <c r="QWR55" s="76"/>
      <c r="QWS55" s="76"/>
      <c r="QWT55" s="76"/>
      <c r="QWU55" s="76"/>
      <c r="QWV55" s="76"/>
      <c r="QWW55" s="76"/>
      <c r="QWX55" s="76"/>
      <c r="QWY55" s="76"/>
      <c r="QWZ55" s="76"/>
      <c r="QXA55" s="76"/>
      <c r="QXB55" s="76"/>
      <c r="QXC55" s="76"/>
      <c r="QXD55" s="76"/>
      <c r="QXE55" s="76"/>
      <c r="QXF55" s="76"/>
      <c r="QXG55" s="76"/>
      <c r="QXH55" s="76"/>
      <c r="QXI55" s="76"/>
      <c r="QXJ55" s="76"/>
      <c r="QXK55" s="76"/>
      <c r="QXL55" s="76"/>
      <c r="QXM55" s="76"/>
      <c r="QXN55" s="76"/>
      <c r="QXO55" s="76"/>
      <c r="QXP55" s="76"/>
      <c r="QXQ55" s="76"/>
      <c r="QXR55" s="76"/>
      <c r="QXS55" s="76"/>
      <c r="QXT55" s="76"/>
      <c r="QXU55" s="76"/>
      <c r="QXV55" s="76"/>
      <c r="QXW55" s="76"/>
      <c r="QXX55" s="76"/>
      <c r="QXY55" s="76"/>
      <c r="QXZ55" s="76"/>
      <c r="QYA55" s="76"/>
      <c r="QYB55" s="76"/>
      <c r="QYC55" s="76"/>
      <c r="QYD55" s="76"/>
      <c r="QYE55" s="76"/>
      <c r="QYF55" s="76"/>
      <c r="QYG55" s="76"/>
      <c r="QYH55" s="76"/>
      <c r="QYI55" s="76"/>
      <c r="QYJ55" s="76"/>
      <c r="QYK55" s="76"/>
      <c r="QYL55" s="76"/>
      <c r="QYM55" s="76"/>
      <c r="QYN55" s="76"/>
      <c r="QYO55" s="76"/>
      <c r="QYP55" s="76"/>
      <c r="QYQ55" s="76"/>
      <c r="QYR55" s="76"/>
      <c r="QYS55" s="76"/>
      <c r="QYT55" s="76"/>
      <c r="QYU55" s="76"/>
      <c r="QYV55" s="76"/>
      <c r="QYW55" s="76"/>
      <c r="QYX55" s="76"/>
      <c r="QYY55" s="76"/>
      <c r="QYZ55" s="76"/>
      <c r="QZA55" s="76"/>
      <c r="QZB55" s="76"/>
      <c r="QZC55" s="76"/>
      <c r="QZD55" s="76"/>
      <c r="QZE55" s="76"/>
      <c r="QZF55" s="76"/>
      <c r="QZG55" s="76"/>
      <c r="QZH55" s="76"/>
      <c r="QZI55" s="76"/>
      <c r="QZJ55" s="76"/>
      <c r="QZK55" s="76"/>
      <c r="QZL55" s="76"/>
      <c r="QZM55" s="76"/>
      <c r="QZN55" s="76"/>
      <c r="QZO55" s="76"/>
      <c r="QZP55" s="76"/>
      <c r="QZQ55" s="76"/>
      <c r="QZR55" s="76"/>
      <c r="QZS55" s="76"/>
      <c r="QZT55" s="76"/>
      <c r="QZU55" s="76"/>
      <c r="QZV55" s="76"/>
      <c r="QZW55" s="76"/>
      <c r="QZX55" s="76"/>
      <c r="QZY55" s="76"/>
      <c r="QZZ55" s="76"/>
      <c r="RAA55" s="76"/>
      <c r="RAB55" s="76"/>
      <c r="RAC55" s="76"/>
      <c r="RAD55" s="76"/>
      <c r="RAE55" s="76"/>
      <c r="RAF55" s="76"/>
      <c r="RAG55" s="76"/>
      <c r="RAH55" s="76"/>
      <c r="RAI55" s="76"/>
      <c r="RAJ55" s="76"/>
      <c r="RAK55" s="76"/>
      <c r="RAL55" s="76"/>
      <c r="RAM55" s="76"/>
      <c r="RAN55" s="76"/>
      <c r="RAO55" s="76"/>
      <c r="RAP55" s="76"/>
      <c r="RAQ55" s="76"/>
      <c r="RAR55" s="76"/>
      <c r="RAS55" s="76"/>
      <c r="RAT55" s="76"/>
      <c r="RAU55" s="76"/>
      <c r="RAV55" s="76"/>
      <c r="RAW55" s="76"/>
      <c r="RAX55" s="76"/>
      <c r="RAY55" s="76"/>
      <c r="RAZ55" s="76"/>
      <c r="RBA55" s="76"/>
      <c r="RBB55" s="76"/>
      <c r="RBC55" s="76"/>
      <c r="RBD55" s="76"/>
      <c r="RBE55" s="76"/>
      <c r="RBF55" s="76"/>
      <c r="RBG55" s="76"/>
      <c r="RBH55" s="76"/>
      <c r="RBI55" s="76"/>
      <c r="RBJ55" s="76"/>
      <c r="RBK55" s="76"/>
      <c r="RBL55" s="76"/>
      <c r="RBM55" s="76"/>
      <c r="RBN55" s="76"/>
      <c r="RBO55" s="76"/>
      <c r="RBP55" s="76"/>
      <c r="RBQ55" s="76"/>
      <c r="RBR55" s="76"/>
      <c r="RBS55" s="76"/>
      <c r="RBT55" s="76"/>
      <c r="RBU55" s="76"/>
      <c r="RBV55" s="76"/>
      <c r="RBW55" s="76"/>
      <c r="RBX55" s="76"/>
      <c r="RBY55" s="76"/>
      <c r="RBZ55" s="76"/>
      <c r="RCA55" s="76"/>
      <c r="RCB55" s="76"/>
      <c r="RCC55" s="76"/>
      <c r="RCD55" s="76"/>
      <c r="RCE55" s="76"/>
      <c r="RCF55" s="76"/>
      <c r="RCG55" s="76"/>
      <c r="RCH55" s="76"/>
      <c r="RCI55" s="76"/>
      <c r="RCJ55" s="76"/>
      <c r="RCK55" s="76"/>
      <c r="RCL55" s="76"/>
      <c r="RCM55" s="76"/>
      <c r="RCN55" s="76"/>
      <c r="RCO55" s="76"/>
      <c r="RCP55" s="76"/>
      <c r="RCQ55" s="76"/>
      <c r="RCR55" s="76"/>
      <c r="RCS55" s="76"/>
      <c r="RCT55" s="76"/>
      <c r="RCU55" s="76"/>
      <c r="RCV55" s="76"/>
      <c r="RCW55" s="76"/>
      <c r="RCX55" s="76"/>
      <c r="RCY55" s="76"/>
      <c r="RCZ55" s="76"/>
      <c r="RDA55" s="76"/>
      <c r="RDB55" s="76"/>
      <c r="RDC55" s="76"/>
      <c r="RDD55" s="76"/>
      <c r="RDE55" s="76"/>
      <c r="RDF55" s="76"/>
      <c r="RDG55" s="76"/>
      <c r="RDH55" s="76"/>
      <c r="RDI55" s="76"/>
      <c r="RDJ55" s="76"/>
      <c r="RDK55" s="76"/>
      <c r="RDL55" s="76"/>
      <c r="RDM55" s="76"/>
      <c r="RDN55" s="76"/>
      <c r="RDO55" s="76"/>
      <c r="RDP55" s="76"/>
      <c r="RDQ55" s="76"/>
      <c r="RDR55" s="76"/>
      <c r="RDS55" s="76"/>
      <c r="RDT55" s="76"/>
      <c r="RDU55" s="76"/>
      <c r="RDV55" s="76"/>
      <c r="RDW55" s="76"/>
      <c r="RDX55" s="76"/>
      <c r="RDY55" s="76"/>
      <c r="RDZ55" s="76"/>
      <c r="REA55" s="76"/>
      <c r="REB55" s="76"/>
      <c r="REC55" s="76"/>
      <c r="RED55" s="76"/>
      <c r="REE55" s="76"/>
      <c r="REF55" s="76"/>
      <c r="REG55" s="76"/>
      <c r="REH55" s="76"/>
      <c r="REI55" s="76"/>
      <c r="REJ55" s="76"/>
      <c r="REK55" s="76"/>
      <c r="REL55" s="76"/>
      <c r="REM55" s="76"/>
      <c r="REN55" s="76"/>
      <c r="REO55" s="76"/>
      <c r="REP55" s="76"/>
      <c r="REQ55" s="76"/>
      <c r="RER55" s="76"/>
      <c r="RES55" s="76"/>
      <c r="RET55" s="76"/>
      <c r="REU55" s="76"/>
      <c r="REV55" s="76"/>
      <c r="REW55" s="76"/>
      <c r="REX55" s="76"/>
      <c r="REY55" s="76"/>
      <c r="REZ55" s="76"/>
      <c r="RFA55" s="76"/>
      <c r="RFB55" s="76"/>
      <c r="RFC55" s="76"/>
      <c r="RFD55" s="76"/>
      <c r="RFE55" s="76"/>
      <c r="RFF55" s="76"/>
      <c r="RFG55" s="76"/>
      <c r="RFH55" s="76"/>
      <c r="RFI55" s="76"/>
      <c r="RFJ55" s="76"/>
      <c r="RFK55" s="76"/>
      <c r="RFL55" s="76"/>
      <c r="RFM55" s="76"/>
      <c r="RFN55" s="76"/>
      <c r="RFO55" s="76"/>
      <c r="RFP55" s="76"/>
      <c r="RFQ55" s="76"/>
      <c r="RFR55" s="76"/>
      <c r="RFS55" s="76"/>
      <c r="RFT55" s="76"/>
      <c r="RFU55" s="76"/>
      <c r="RFV55" s="76"/>
      <c r="RFW55" s="76"/>
      <c r="RFX55" s="76"/>
      <c r="RFY55" s="76"/>
      <c r="RFZ55" s="76"/>
      <c r="RGA55" s="76"/>
      <c r="RGB55" s="76"/>
      <c r="RGC55" s="76"/>
      <c r="RGD55" s="76"/>
      <c r="RGE55" s="76"/>
      <c r="RGF55" s="76"/>
      <c r="RGG55" s="76"/>
      <c r="RGH55" s="76"/>
      <c r="RGI55" s="76"/>
      <c r="RGJ55" s="76"/>
      <c r="RGK55" s="76"/>
      <c r="RGL55" s="76"/>
      <c r="RGM55" s="76"/>
      <c r="RGN55" s="76"/>
      <c r="RGO55" s="76"/>
      <c r="RGP55" s="76"/>
      <c r="RGQ55" s="76"/>
      <c r="RGR55" s="76"/>
      <c r="RGS55" s="76"/>
      <c r="RGT55" s="76"/>
      <c r="RGU55" s="76"/>
      <c r="RGV55" s="76"/>
      <c r="RGW55" s="76"/>
      <c r="RGX55" s="76"/>
      <c r="RGY55" s="76"/>
      <c r="RGZ55" s="76"/>
      <c r="RHA55" s="76"/>
      <c r="RHB55" s="76"/>
      <c r="RHC55" s="76"/>
      <c r="RHD55" s="76"/>
      <c r="RHE55" s="76"/>
      <c r="RHF55" s="76"/>
      <c r="RHG55" s="76"/>
      <c r="RHH55" s="76"/>
      <c r="RHI55" s="76"/>
      <c r="RHJ55" s="76"/>
      <c r="RHK55" s="76"/>
      <c r="RHL55" s="76"/>
      <c r="RHM55" s="76"/>
      <c r="RHN55" s="76"/>
      <c r="RHO55" s="76"/>
      <c r="RHP55" s="76"/>
      <c r="RHQ55" s="76"/>
      <c r="RHR55" s="76"/>
      <c r="RHS55" s="76"/>
      <c r="RHT55" s="76"/>
      <c r="RHU55" s="76"/>
      <c r="RHV55" s="76"/>
      <c r="RHW55" s="76"/>
      <c r="RHX55" s="76"/>
      <c r="RHY55" s="76"/>
      <c r="RHZ55" s="76"/>
      <c r="RIA55" s="76"/>
      <c r="RIB55" s="76"/>
      <c r="RIC55" s="76"/>
      <c r="RID55" s="76"/>
      <c r="RIE55" s="76"/>
      <c r="RIF55" s="76"/>
      <c r="RIG55" s="76"/>
      <c r="RIH55" s="76"/>
      <c r="RII55" s="76"/>
      <c r="RIJ55" s="76"/>
      <c r="RIK55" s="76"/>
      <c r="RIL55" s="76"/>
      <c r="RIM55" s="76"/>
      <c r="RIN55" s="76"/>
      <c r="RIO55" s="76"/>
      <c r="RIP55" s="76"/>
      <c r="RIQ55" s="76"/>
      <c r="RIR55" s="76"/>
      <c r="RIS55" s="76"/>
      <c r="RIT55" s="76"/>
      <c r="RIU55" s="76"/>
      <c r="RIV55" s="76"/>
      <c r="RIW55" s="76"/>
      <c r="RIX55" s="76"/>
      <c r="RIY55" s="76"/>
      <c r="RIZ55" s="76"/>
      <c r="RJA55" s="76"/>
      <c r="RJB55" s="76"/>
      <c r="RJC55" s="76"/>
      <c r="RJD55" s="76"/>
      <c r="RJE55" s="76"/>
      <c r="RJF55" s="76"/>
      <c r="RJG55" s="76"/>
      <c r="RJH55" s="76"/>
      <c r="RJI55" s="76"/>
      <c r="RJJ55" s="76"/>
      <c r="RJK55" s="76"/>
      <c r="RJL55" s="76"/>
      <c r="RJM55" s="76"/>
      <c r="RJN55" s="76"/>
      <c r="RJO55" s="76"/>
      <c r="RJP55" s="76"/>
      <c r="RJQ55" s="76"/>
      <c r="RJR55" s="76"/>
      <c r="RJS55" s="76"/>
      <c r="RJT55" s="76"/>
      <c r="RJU55" s="76"/>
      <c r="RJV55" s="76"/>
      <c r="RJW55" s="76"/>
      <c r="RJX55" s="76"/>
      <c r="RJY55" s="76"/>
      <c r="RJZ55" s="76"/>
      <c r="RKA55" s="76"/>
      <c r="RKB55" s="76"/>
      <c r="RKC55" s="76"/>
      <c r="RKD55" s="76"/>
      <c r="RKE55" s="76"/>
      <c r="RKF55" s="76"/>
      <c r="RKG55" s="76"/>
      <c r="RKH55" s="76"/>
      <c r="RKI55" s="76"/>
      <c r="RKJ55" s="76"/>
      <c r="RKK55" s="76"/>
      <c r="RKL55" s="76"/>
      <c r="RKM55" s="76"/>
      <c r="RKN55" s="76"/>
      <c r="RKO55" s="76"/>
      <c r="RKP55" s="76"/>
      <c r="RKQ55" s="76"/>
      <c r="RKR55" s="76"/>
      <c r="RKS55" s="76"/>
      <c r="RKT55" s="76"/>
      <c r="RKU55" s="76"/>
      <c r="RKV55" s="76"/>
      <c r="RKW55" s="76"/>
      <c r="RKX55" s="76"/>
      <c r="RKY55" s="76"/>
      <c r="RKZ55" s="76"/>
      <c r="RLA55" s="76"/>
      <c r="RLB55" s="76"/>
      <c r="RLC55" s="76"/>
      <c r="RLD55" s="76"/>
      <c r="RLE55" s="76"/>
      <c r="RLF55" s="76"/>
      <c r="RLG55" s="76"/>
      <c r="RLH55" s="76"/>
      <c r="RLI55" s="76"/>
      <c r="RLJ55" s="76"/>
      <c r="RLK55" s="76"/>
      <c r="RLL55" s="76"/>
      <c r="RLM55" s="76"/>
      <c r="RLN55" s="76"/>
      <c r="RLO55" s="76"/>
      <c r="RLP55" s="76"/>
      <c r="RLQ55" s="76"/>
      <c r="RLR55" s="76"/>
      <c r="RLS55" s="76"/>
      <c r="RLT55" s="76"/>
      <c r="RLU55" s="76"/>
      <c r="RLV55" s="76"/>
      <c r="RLW55" s="76"/>
      <c r="RLX55" s="76"/>
      <c r="RLY55" s="76"/>
      <c r="RLZ55" s="76"/>
      <c r="RMA55" s="76"/>
      <c r="RMB55" s="76"/>
      <c r="RMC55" s="76"/>
      <c r="RMD55" s="76"/>
      <c r="RME55" s="76"/>
      <c r="RMF55" s="76"/>
      <c r="RMG55" s="76"/>
      <c r="RMH55" s="76"/>
      <c r="RMI55" s="76"/>
      <c r="RMJ55" s="76"/>
      <c r="RMK55" s="76"/>
      <c r="RML55" s="76"/>
      <c r="RMM55" s="76"/>
      <c r="RMN55" s="76"/>
      <c r="RMO55" s="76"/>
      <c r="RMP55" s="76"/>
      <c r="RMQ55" s="76"/>
      <c r="RMR55" s="76"/>
      <c r="RMS55" s="76"/>
      <c r="RMT55" s="76"/>
      <c r="RMU55" s="76"/>
      <c r="RMV55" s="76"/>
      <c r="RMW55" s="76"/>
      <c r="RMX55" s="76"/>
      <c r="RMY55" s="76"/>
      <c r="RMZ55" s="76"/>
      <c r="RNA55" s="76"/>
      <c r="RNB55" s="76"/>
      <c r="RNC55" s="76"/>
      <c r="RND55" s="76"/>
      <c r="RNE55" s="76"/>
      <c r="RNF55" s="76"/>
      <c r="RNG55" s="76"/>
      <c r="RNH55" s="76"/>
      <c r="RNI55" s="76"/>
      <c r="RNJ55" s="76"/>
      <c r="RNK55" s="76"/>
      <c r="RNL55" s="76"/>
      <c r="RNM55" s="76"/>
      <c r="RNN55" s="76"/>
      <c r="RNO55" s="76"/>
      <c r="RNP55" s="76"/>
      <c r="RNQ55" s="76"/>
      <c r="RNR55" s="76"/>
      <c r="RNS55" s="76"/>
      <c r="RNT55" s="76"/>
      <c r="RNU55" s="76"/>
      <c r="RNV55" s="76"/>
      <c r="RNW55" s="76"/>
      <c r="RNX55" s="76"/>
      <c r="RNY55" s="76"/>
      <c r="RNZ55" s="76"/>
      <c r="ROA55" s="76"/>
      <c r="ROB55" s="76"/>
      <c r="ROC55" s="76"/>
      <c r="ROD55" s="76"/>
      <c r="ROE55" s="76"/>
      <c r="ROF55" s="76"/>
      <c r="ROG55" s="76"/>
      <c r="ROH55" s="76"/>
      <c r="ROI55" s="76"/>
      <c r="ROJ55" s="76"/>
      <c r="ROK55" s="76"/>
      <c r="ROL55" s="76"/>
      <c r="ROM55" s="76"/>
      <c r="RON55" s="76"/>
      <c r="ROO55" s="76"/>
      <c r="ROP55" s="76"/>
      <c r="ROQ55" s="76"/>
      <c r="ROR55" s="76"/>
      <c r="ROS55" s="76"/>
      <c r="ROT55" s="76"/>
      <c r="ROU55" s="76"/>
      <c r="ROV55" s="76"/>
      <c r="ROW55" s="76"/>
      <c r="ROX55" s="76"/>
      <c r="ROY55" s="76"/>
      <c r="ROZ55" s="76"/>
      <c r="RPA55" s="76"/>
      <c r="RPB55" s="76"/>
      <c r="RPC55" s="76"/>
      <c r="RPD55" s="76"/>
      <c r="RPE55" s="76"/>
      <c r="RPF55" s="76"/>
      <c r="RPG55" s="76"/>
      <c r="RPH55" s="76"/>
      <c r="RPI55" s="76"/>
      <c r="RPJ55" s="76"/>
      <c r="RPK55" s="76"/>
      <c r="RPL55" s="76"/>
      <c r="RPM55" s="76"/>
      <c r="RPN55" s="76"/>
      <c r="RPO55" s="76"/>
      <c r="RPP55" s="76"/>
      <c r="RPQ55" s="76"/>
      <c r="RPR55" s="76"/>
      <c r="RPS55" s="76"/>
      <c r="RPT55" s="76"/>
      <c r="RPU55" s="76"/>
      <c r="RPV55" s="76"/>
      <c r="RPW55" s="76"/>
      <c r="RPX55" s="76"/>
      <c r="RPY55" s="76"/>
      <c r="RPZ55" s="76"/>
      <c r="RQA55" s="76"/>
      <c r="RQB55" s="76"/>
      <c r="RQC55" s="76"/>
      <c r="RQD55" s="76"/>
      <c r="RQE55" s="76"/>
      <c r="RQF55" s="76"/>
      <c r="RQG55" s="76"/>
      <c r="RQH55" s="76"/>
      <c r="RQI55" s="76"/>
      <c r="RQJ55" s="76"/>
      <c r="RQK55" s="76"/>
      <c r="RQL55" s="76"/>
      <c r="RQM55" s="76"/>
      <c r="RQN55" s="76"/>
      <c r="RQO55" s="76"/>
      <c r="RQP55" s="76"/>
      <c r="RQQ55" s="76"/>
      <c r="RQR55" s="76"/>
      <c r="RQS55" s="76"/>
      <c r="RQT55" s="76"/>
      <c r="RQU55" s="76"/>
      <c r="RQV55" s="76"/>
      <c r="RQW55" s="76"/>
      <c r="RQX55" s="76"/>
      <c r="RQY55" s="76"/>
      <c r="RQZ55" s="76"/>
      <c r="RRA55" s="76"/>
      <c r="RRB55" s="76"/>
      <c r="RRC55" s="76"/>
      <c r="RRD55" s="76"/>
      <c r="RRE55" s="76"/>
      <c r="RRF55" s="76"/>
      <c r="RRG55" s="76"/>
      <c r="RRH55" s="76"/>
      <c r="RRI55" s="76"/>
      <c r="RRJ55" s="76"/>
      <c r="RRK55" s="76"/>
      <c r="RRL55" s="76"/>
      <c r="RRM55" s="76"/>
      <c r="RRN55" s="76"/>
      <c r="RRO55" s="76"/>
      <c r="RRP55" s="76"/>
      <c r="RRQ55" s="76"/>
      <c r="RRR55" s="76"/>
      <c r="RRS55" s="76"/>
      <c r="RRT55" s="76"/>
      <c r="RRU55" s="76"/>
      <c r="RRV55" s="76"/>
      <c r="RRW55" s="76"/>
      <c r="RRX55" s="76"/>
      <c r="RRY55" s="76"/>
      <c r="RRZ55" s="76"/>
      <c r="RSA55" s="76"/>
      <c r="RSB55" s="76"/>
      <c r="RSC55" s="76"/>
      <c r="RSD55" s="76"/>
      <c r="RSE55" s="76"/>
      <c r="RSF55" s="76"/>
      <c r="RSG55" s="76"/>
      <c r="RSH55" s="76"/>
      <c r="RSI55" s="76"/>
      <c r="RSJ55" s="76"/>
      <c r="RSK55" s="76"/>
      <c r="RSL55" s="76"/>
      <c r="RSM55" s="76"/>
      <c r="RSN55" s="76"/>
      <c r="RSO55" s="76"/>
      <c r="RSP55" s="76"/>
      <c r="RSQ55" s="76"/>
      <c r="RSR55" s="76"/>
      <c r="RSS55" s="76"/>
      <c r="RST55" s="76"/>
      <c r="RSU55" s="76"/>
      <c r="RSV55" s="76"/>
      <c r="RSW55" s="76"/>
      <c r="RSX55" s="76"/>
      <c r="RSY55" s="76"/>
      <c r="RSZ55" s="76"/>
      <c r="RTA55" s="76"/>
      <c r="RTB55" s="76"/>
      <c r="RTC55" s="76"/>
      <c r="RTD55" s="76"/>
      <c r="RTE55" s="76"/>
      <c r="RTF55" s="76"/>
      <c r="RTG55" s="76"/>
      <c r="RTH55" s="76"/>
      <c r="RTI55" s="76"/>
      <c r="RTJ55" s="76"/>
      <c r="RTK55" s="76"/>
      <c r="RTL55" s="76"/>
      <c r="RTM55" s="76"/>
      <c r="RTN55" s="76"/>
      <c r="RTO55" s="76"/>
      <c r="RTP55" s="76"/>
      <c r="RTQ55" s="76"/>
      <c r="RTR55" s="76"/>
      <c r="RTS55" s="76"/>
      <c r="RTT55" s="76"/>
      <c r="RTU55" s="76"/>
      <c r="RTV55" s="76"/>
      <c r="RTW55" s="76"/>
      <c r="RTX55" s="76"/>
      <c r="RTY55" s="76"/>
      <c r="RTZ55" s="76"/>
      <c r="RUA55" s="76"/>
      <c r="RUB55" s="76"/>
      <c r="RUC55" s="76"/>
      <c r="RUD55" s="76"/>
      <c r="RUE55" s="76"/>
      <c r="RUF55" s="76"/>
      <c r="RUG55" s="76"/>
      <c r="RUH55" s="76"/>
      <c r="RUI55" s="76"/>
      <c r="RUJ55" s="76"/>
      <c r="RUK55" s="76"/>
      <c r="RUL55" s="76"/>
      <c r="RUM55" s="76"/>
      <c r="RUN55" s="76"/>
      <c r="RUO55" s="76"/>
      <c r="RUP55" s="76"/>
      <c r="RUQ55" s="76"/>
      <c r="RUR55" s="76"/>
      <c r="RUS55" s="76"/>
      <c r="RUT55" s="76"/>
      <c r="RUU55" s="76"/>
      <c r="RUV55" s="76"/>
      <c r="RUW55" s="76"/>
      <c r="RUX55" s="76"/>
      <c r="RUY55" s="76"/>
      <c r="RUZ55" s="76"/>
      <c r="RVA55" s="76"/>
      <c r="RVB55" s="76"/>
      <c r="RVC55" s="76"/>
      <c r="RVD55" s="76"/>
      <c r="RVE55" s="76"/>
      <c r="RVF55" s="76"/>
      <c r="RVG55" s="76"/>
      <c r="RVH55" s="76"/>
      <c r="RVI55" s="76"/>
      <c r="RVJ55" s="76"/>
      <c r="RVK55" s="76"/>
      <c r="RVL55" s="76"/>
      <c r="RVM55" s="76"/>
      <c r="RVN55" s="76"/>
      <c r="RVO55" s="76"/>
      <c r="RVP55" s="76"/>
      <c r="RVQ55" s="76"/>
      <c r="RVR55" s="76"/>
      <c r="RVS55" s="76"/>
      <c r="RVT55" s="76"/>
      <c r="RVU55" s="76"/>
      <c r="RVV55" s="76"/>
      <c r="RVW55" s="76"/>
      <c r="RVX55" s="76"/>
      <c r="RVY55" s="76"/>
      <c r="RVZ55" s="76"/>
      <c r="RWA55" s="76"/>
      <c r="RWB55" s="76"/>
      <c r="RWC55" s="76"/>
      <c r="RWD55" s="76"/>
      <c r="RWE55" s="76"/>
      <c r="RWF55" s="76"/>
      <c r="RWG55" s="76"/>
      <c r="RWH55" s="76"/>
      <c r="RWI55" s="76"/>
      <c r="RWJ55" s="76"/>
      <c r="RWK55" s="76"/>
      <c r="RWL55" s="76"/>
      <c r="RWM55" s="76"/>
      <c r="RWN55" s="76"/>
      <c r="RWO55" s="76"/>
      <c r="RWP55" s="76"/>
      <c r="RWQ55" s="76"/>
      <c r="RWR55" s="76"/>
      <c r="RWS55" s="76"/>
      <c r="RWT55" s="76"/>
      <c r="RWU55" s="76"/>
      <c r="RWV55" s="76"/>
      <c r="RWW55" s="76"/>
      <c r="RWX55" s="76"/>
      <c r="RWY55" s="76"/>
      <c r="RWZ55" s="76"/>
      <c r="RXA55" s="76"/>
      <c r="RXB55" s="76"/>
      <c r="RXC55" s="76"/>
      <c r="RXD55" s="76"/>
      <c r="RXE55" s="76"/>
      <c r="RXF55" s="76"/>
      <c r="RXG55" s="76"/>
      <c r="RXH55" s="76"/>
      <c r="RXI55" s="76"/>
      <c r="RXJ55" s="76"/>
      <c r="RXK55" s="76"/>
      <c r="RXL55" s="76"/>
      <c r="RXM55" s="76"/>
      <c r="RXN55" s="76"/>
      <c r="RXO55" s="76"/>
      <c r="RXP55" s="76"/>
      <c r="RXQ55" s="76"/>
      <c r="RXR55" s="76"/>
      <c r="RXS55" s="76"/>
      <c r="RXT55" s="76"/>
      <c r="RXU55" s="76"/>
      <c r="RXV55" s="76"/>
      <c r="RXW55" s="76"/>
      <c r="RXX55" s="76"/>
      <c r="RXY55" s="76"/>
      <c r="RXZ55" s="76"/>
      <c r="RYA55" s="76"/>
      <c r="RYB55" s="76"/>
      <c r="RYC55" s="76"/>
      <c r="RYD55" s="76"/>
      <c r="RYE55" s="76"/>
      <c r="RYF55" s="76"/>
      <c r="RYG55" s="76"/>
      <c r="RYH55" s="76"/>
      <c r="RYI55" s="76"/>
      <c r="RYJ55" s="76"/>
      <c r="RYK55" s="76"/>
      <c r="RYL55" s="76"/>
      <c r="RYM55" s="76"/>
      <c r="RYN55" s="76"/>
      <c r="RYO55" s="76"/>
      <c r="RYP55" s="76"/>
      <c r="RYQ55" s="76"/>
      <c r="RYR55" s="76"/>
      <c r="RYS55" s="76"/>
      <c r="RYT55" s="76"/>
      <c r="RYU55" s="76"/>
      <c r="RYV55" s="76"/>
      <c r="RYW55" s="76"/>
      <c r="RYX55" s="76"/>
      <c r="RYY55" s="76"/>
      <c r="RYZ55" s="76"/>
      <c r="RZA55" s="76"/>
      <c r="RZB55" s="76"/>
      <c r="RZC55" s="76"/>
      <c r="RZD55" s="76"/>
      <c r="RZE55" s="76"/>
      <c r="RZF55" s="76"/>
      <c r="RZG55" s="76"/>
      <c r="RZH55" s="76"/>
      <c r="RZI55" s="76"/>
      <c r="RZJ55" s="76"/>
      <c r="RZK55" s="76"/>
      <c r="RZL55" s="76"/>
      <c r="RZM55" s="76"/>
      <c r="RZN55" s="76"/>
      <c r="RZO55" s="76"/>
      <c r="RZP55" s="76"/>
      <c r="RZQ55" s="76"/>
      <c r="RZR55" s="76"/>
      <c r="RZS55" s="76"/>
      <c r="RZT55" s="76"/>
      <c r="RZU55" s="76"/>
      <c r="RZV55" s="76"/>
      <c r="RZW55" s="76"/>
      <c r="RZX55" s="76"/>
      <c r="RZY55" s="76"/>
      <c r="RZZ55" s="76"/>
      <c r="SAA55" s="76"/>
      <c r="SAB55" s="76"/>
      <c r="SAC55" s="76"/>
      <c r="SAD55" s="76"/>
      <c r="SAE55" s="76"/>
      <c r="SAF55" s="76"/>
      <c r="SAG55" s="76"/>
      <c r="SAH55" s="76"/>
      <c r="SAI55" s="76"/>
      <c r="SAJ55" s="76"/>
      <c r="SAK55" s="76"/>
      <c r="SAL55" s="76"/>
      <c r="SAM55" s="76"/>
      <c r="SAN55" s="76"/>
      <c r="SAO55" s="76"/>
      <c r="SAP55" s="76"/>
      <c r="SAQ55" s="76"/>
      <c r="SAR55" s="76"/>
      <c r="SAS55" s="76"/>
      <c r="SAT55" s="76"/>
      <c r="SAU55" s="76"/>
      <c r="SAV55" s="76"/>
      <c r="SAW55" s="76"/>
      <c r="SAX55" s="76"/>
      <c r="SAY55" s="76"/>
      <c r="SAZ55" s="76"/>
      <c r="SBA55" s="76"/>
      <c r="SBB55" s="76"/>
      <c r="SBC55" s="76"/>
      <c r="SBD55" s="76"/>
      <c r="SBE55" s="76"/>
      <c r="SBF55" s="76"/>
      <c r="SBG55" s="76"/>
      <c r="SBH55" s="76"/>
      <c r="SBI55" s="76"/>
      <c r="SBJ55" s="76"/>
      <c r="SBK55" s="76"/>
      <c r="SBL55" s="76"/>
      <c r="SBM55" s="76"/>
      <c r="SBN55" s="76"/>
      <c r="SBO55" s="76"/>
      <c r="SBP55" s="76"/>
      <c r="SBQ55" s="76"/>
      <c r="SBR55" s="76"/>
      <c r="SBS55" s="76"/>
      <c r="SBT55" s="76"/>
      <c r="SBU55" s="76"/>
      <c r="SBV55" s="76"/>
      <c r="SBW55" s="76"/>
      <c r="SBX55" s="76"/>
      <c r="SBY55" s="76"/>
      <c r="SBZ55" s="76"/>
      <c r="SCA55" s="76"/>
      <c r="SCB55" s="76"/>
      <c r="SCC55" s="76"/>
      <c r="SCD55" s="76"/>
      <c r="SCE55" s="76"/>
      <c r="SCF55" s="76"/>
      <c r="SCG55" s="76"/>
      <c r="SCH55" s="76"/>
      <c r="SCI55" s="76"/>
      <c r="SCJ55" s="76"/>
      <c r="SCK55" s="76"/>
      <c r="SCL55" s="76"/>
      <c r="SCM55" s="76"/>
      <c r="SCN55" s="76"/>
      <c r="SCO55" s="76"/>
      <c r="SCP55" s="76"/>
      <c r="SCQ55" s="76"/>
      <c r="SCR55" s="76"/>
      <c r="SCS55" s="76"/>
      <c r="SCT55" s="76"/>
      <c r="SCU55" s="76"/>
      <c r="SCV55" s="76"/>
      <c r="SCW55" s="76"/>
      <c r="SCX55" s="76"/>
      <c r="SCY55" s="76"/>
      <c r="SCZ55" s="76"/>
      <c r="SDA55" s="76"/>
      <c r="SDB55" s="76"/>
      <c r="SDC55" s="76"/>
      <c r="SDD55" s="76"/>
      <c r="SDE55" s="76"/>
      <c r="SDF55" s="76"/>
      <c r="SDG55" s="76"/>
      <c r="SDH55" s="76"/>
      <c r="SDI55" s="76"/>
      <c r="SDJ55" s="76"/>
      <c r="SDK55" s="76"/>
      <c r="SDL55" s="76"/>
      <c r="SDM55" s="76"/>
      <c r="SDN55" s="76"/>
      <c r="SDO55" s="76"/>
      <c r="SDP55" s="76"/>
      <c r="SDQ55" s="76"/>
      <c r="SDR55" s="76"/>
      <c r="SDS55" s="76"/>
      <c r="SDT55" s="76"/>
      <c r="SDU55" s="76"/>
      <c r="SDV55" s="76"/>
      <c r="SDW55" s="76"/>
      <c r="SDX55" s="76"/>
      <c r="SDY55" s="76"/>
      <c r="SDZ55" s="76"/>
      <c r="SEA55" s="76"/>
      <c r="SEB55" s="76"/>
      <c r="SEC55" s="76"/>
      <c r="SED55" s="76"/>
      <c r="SEE55" s="76"/>
      <c r="SEF55" s="76"/>
      <c r="SEG55" s="76"/>
      <c r="SEH55" s="76"/>
      <c r="SEI55" s="76"/>
      <c r="SEJ55" s="76"/>
      <c r="SEK55" s="76"/>
      <c r="SEL55" s="76"/>
      <c r="SEM55" s="76"/>
      <c r="SEN55" s="76"/>
      <c r="SEO55" s="76"/>
      <c r="SEP55" s="76"/>
      <c r="SEQ55" s="76"/>
      <c r="SER55" s="76"/>
      <c r="SES55" s="76"/>
      <c r="SET55" s="76"/>
      <c r="SEU55" s="76"/>
      <c r="SEV55" s="76"/>
      <c r="SEW55" s="76"/>
      <c r="SEX55" s="76"/>
      <c r="SEY55" s="76"/>
      <c r="SEZ55" s="76"/>
      <c r="SFA55" s="76"/>
      <c r="SFB55" s="76"/>
      <c r="SFC55" s="76"/>
      <c r="SFD55" s="76"/>
      <c r="SFE55" s="76"/>
      <c r="SFF55" s="76"/>
      <c r="SFG55" s="76"/>
      <c r="SFH55" s="76"/>
      <c r="SFI55" s="76"/>
      <c r="SFJ55" s="76"/>
      <c r="SFK55" s="76"/>
      <c r="SFL55" s="76"/>
      <c r="SFM55" s="76"/>
      <c r="SFN55" s="76"/>
      <c r="SFO55" s="76"/>
      <c r="SFP55" s="76"/>
      <c r="SFQ55" s="76"/>
      <c r="SFR55" s="76"/>
      <c r="SFS55" s="76"/>
      <c r="SFT55" s="76"/>
      <c r="SFU55" s="76"/>
      <c r="SFV55" s="76"/>
      <c r="SFW55" s="76"/>
      <c r="SFX55" s="76"/>
      <c r="SFY55" s="76"/>
      <c r="SFZ55" s="76"/>
      <c r="SGA55" s="76"/>
      <c r="SGB55" s="76"/>
      <c r="SGC55" s="76"/>
      <c r="SGD55" s="76"/>
      <c r="SGE55" s="76"/>
      <c r="SGF55" s="76"/>
      <c r="SGG55" s="76"/>
      <c r="SGH55" s="76"/>
      <c r="SGI55" s="76"/>
      <c r="SGJ55" s="76"/>
      <c r="SGK55" s="76"/>
      <c r="SGL55" s="76"/>
      <c r="SGM55" s="76"/>
      <c r="SGN55" s="76"/>
      <c r="SGO55" s="76"/>
      <c r="SGP55" s="76"/>
      <c r="SGQ55" s="76"/>
      <c r="SGR55" s="76"/>
      <c r="SGS55" s="76"/>
      <c r="SGT55" s="76"/>
      <c r="SGU55" s="76"/>
      <c r="SGV55" s="76"/>
      <c r="SGW55" s="76"/>
      <c r="SGX55" s="76"/>
      <c r="SGY55" s="76"/>
      <c r="SGZ55" s="76"/>
      <c r="SHA55" s="76"/>
      <c r="SHB55" s="76"/>
      <c r="SHC55" s="76"/>
      <c r="SHD55" s="76"/>
      <c r="SHE55" s="76"/>
      <c r="SHF55" s="76"/>
      <c r="SHG55" s="76"/>
      <c r="SHH55" s="76"/>
      <c r="SHI55" s="76"/>
      <c r="SHJ55" s="76"/>
      <c r="SHK55" s="76"/>
      <c r="SHL55" s="76"/>
      <c r="SHM55" s="76"/>
      <c r="SHN55" s="76"/>
      <c r="SHO55" s="76"/>
      <c r="SHP55" s="76"/>
      <c r="SHQ55" s="76"/>
      <c r="SHR55" s="76"/>
      <c r="SHS55" s="76"/>
      <c r="SHT55" s="76"/>
      <c r="SHU55" s="76"/>
      <c r="SHV55" s="76"/>
      <c r="SHW55" s="76"/>
      <c r="SHX55" s="76"/>
      <c r="SHY55" s="76"/>
      <c r="SHZ55" s="76"/>
      <c r="SIA55" s="76"/>
      <c r="SIB55" s="76"/>
      <c r="SIC55" s="76"/>
      <c r="SID55" s="76"/>
      <c r="SIE55" s="76"/>
      <c r="SIF55" s="76"/>
      <c r="SIG55" s="76"/>
      <c r="SIH55" s="76"/>
      <c r="SII55" s="76"/>
      <c r="SIJ55" s="76"/>
      <c r="SIK55" s="76"/>
      <c r="SIL55" s="76"/>
      <c r="SIM55" s="76"/>
      <c r="SIN55" s="76"/>
      <c r="SIO55" s="76"/>
      <c r="SIP55" s="76"/>
      <c r="SIQ55" s="76"/>
      <c r="SIR55" s="76"/>
      <c r="SIS55" s="76"/>
      <c r="SIT55" s="76"/>
      <c r="SIU55" s="76"/>
      <c r="SIV55" s="76"/>
      <c r="SIW55" s="76"/>
      <c r="SIX55" s="76"/>
      <c r="SIY55" s="76"/>
      <c r="SIZ55" s="76"/>
      <c r="SJA55" s="76"/>
      <c r="SJB55" s="76"/>
      <c r="SJC55" s="76"/>
      <c r="SJD55" s="76"/>
      <c r="SJE55" s="76"/>
      <c r="SJF55" s="76"/>
      <c r="SJG55" s="76"/>
      <c r="SJH55" s="76"/>
      <c r="SJI55" s="76"/>
      <c r="SJJ55" s="76"/>
      <c r="SJK55" s="76"/>
      <c r="SJL55" s="76"/>
      <c r="SJM55" s="76"/>
      <c r="SJN55" s="76"/>
      <c r="SJO55" s="76"/>
      <c r="SJP55" s="76"/>
      <c r="SJQ55" s="76"/>
      <c r="SJR55" s="76"/>
      <c r="SJS55" s="76"/>
      <c r="SJT55" s="76"/>
      <c r="SJU55" s="76"/>
      <c r="SJV55" s="76"/>
      <c r="SJW55" s="76"/>
      <c r="SJX55" s="76"/>
      <c r="SJY55" s="76"/>
      <c r="SJZ55" s="76"/>
      <c r="SKA55" s="76"/>
      <c r="SKB55" s="76"/>
      <c r="SKC55" s="76"/>
      <c r="SKD55" s="76"/>
      <c r="SKE55" s="76"/>
      <c r="SKF55" s="76"/>
      <c r="SKG55" s="76"/>
      <c r="SKH55" s="76"/>
      <c r="SKI55" s="76"/>
      <c r="SKJ55" s="76"/>
      <c r="SKK55" s="76"/>
      <c r="SKL55" s="76"/>
      <c r="SKM55" s="76"/>
      <c r="SKN55" s="76"/>
      <c r="SKO55" s="76"/>
      <c r="SKP55" s="76"/>
      <c r="SKQ55" s="76"/>
      <c r="SKR55" s="76"/>
      <c r="SKS55" s="76"/>
      <c r="SKT55" s="76"/>
      <c r="SKU55" s="76"/>
      <c r="SKV55" s="76"/>
      <c r="SKW55" s="76"/>
      <c r="SKX55" s="76"/>
      <c r="SKY55" s="76"/>
      <c r="SKZ55" s="76"/>
      <c r="SLA55" s="76"/>
      <c r="SLB55" s="76"/>
      <c r="SLC55" s="76"/>
      <c r="SLD55" s="76"/>
      <c r="SLE55" s="76"/>
      <c r="SLF55" s="76"/>
      <c r="SLG55" s="76"/>
      <c r="SLH55" s="76"/>
      <c r="SLI55" s="76"/>
      <c r="SLJ55" s="76"/>
      <c r="SLK55" s="76"/>
      <c r="SLL55" s="76"/>
      <c r="SLM55" s="76"/>
      <c r="SLN55" s="76"/>
      <c r="SLO55" s="76"/>
      <c r="SLP55" s="76"/>
      <c r="SLQ55" s="76"/>
      <c r="SLR55" s="76"/>
      <c r="SLS55" s="76"/>
      <c r="SLT55" s="76"/>
      <c r="SLU55" s="76"/>
      <c r="SLV55" s="76"/>
      <c r="SLW55" s="76"/>
      <c r="SLX55" s="76"/>
      <c r="SLY55" s="76"/>
      <c r="SLZ55" s="76"/>
      <c r="SMA55" s="76"/>
      <c r="SMB55" s="76"/>
      <c r="SMC55" s="76"/>
      <c r="SMD55" s="76"/>
      <c r="SME55" s="76"/>
      <c r="SMF55" s="76"/>
      <c r="SMG55" s="76"/>
      <c r="SMH55" s="76"/>
      <c r="SMI55" s="76"/>
      <c r="SMJ55" s="76"/>
      <c r="SMK55" s="76"/>
      <c r="SML55" s="76"/>
      <c r="SMM55" s="76"/>
      <c r="SMN55" s="76"/>
      <c r="SMO55" s="76"/>
      <c r="SMP55" s="76"/>
      <c r="SMQ55" s="76"/>
      <c r="SMR55" s="76"/>
      <c r="SMS55" s="76"/>
      <c r="SMT55" s="76"/>
      <c r="SMU55" s="76"/>
      <c r="SMV55" s="76"/>
      <c r="SMW55" s="76"/>
      <c r="SMX55" s="76"/>
      <c r="SMY55" s="76"/>
      <c r="SMZ55" s="76"/>
      <c r="SNA55" s="76"/>
      <c r="SNB55" s="76"/>
      <c r="SNC55" s="76"/>
      <c r="SND55" s="76"/>
      <c r="SNE55" s="76"/>
      <c r="SNF55" s="76"/>
      <c r="SNG55" s="76"/>
      <c r="SNH55" s="76"/>
      <c r="SNI55" s="76"/>
      <c r="SNJ55" s="76"/>
      <c r="SNK55" s="76"/>
      <c r="SNL55" s="76"/>
      <c r="SNM55" s="76"/>
      <c r="SNN55" s="76"/>
      <c r="SNO55" s="76"/>
      <c r="SNP55" s="76"/>
      <c r="SNQ55" s="76"/>
      <c r="SNR55" s="76"/>
      <c r="SNS55" s="76"/>
      <c r="SNT55" s="76"/>
      <c r="SNU55" s="76"/>
      <c r="SNV55" s="76"/>
      <c r="SNW55" s="76"/>
      <c r="SNX55" s="76"/>
      <c r="SNY55" s="76"/>
      <c r="SNZ55" s="76"/>
      <c r="SOA55" s="76"/>
      <c r="SOB55" s="76"/>
      <c r="SOC55" s="76"/>
      <c r="SOD55" s="76"/>
      <c r="SOE55" s="76"/>
      <c r="SOF55" s="76"/>
      <c r="SOG55" s="76"/>
      <c r="SOH55" s="76"/>
      <c r="SOI55" s="76"/>
      <c r="SOJ55" s="76"/>
      <c r="SOK55" s="76"/>
      <c r="SOL55" s="76"/>
      <c r="SOM55" s="76"/>
      <c r="SON55" s="76"/>
      <c r="SOO55" s="76"/>
      <c r="SOP55" s="76"/>
      <c r="SOQ55" s="76"/>
      <c r="SOR55" s="76"/>
      <c r="SOS55" s="76"/>
      <c r="SOT55" s="76"/>
      <c r="SOU55" s="76"/>
      <c r="SOV55" s="76"/>
      <c r="SOW55" s="76"/>
      <c r="SOX55" s="76"/>
      <c r="SOY55" s="76"/>
      <c r="SOZ55" s="76"/>
      <c r="SPA55" s="76"/>
      <c r="SPB55" s="76"/>
      <c r="SPC55" s="76"/>
      <c r="SPD55" s="76"/>
      <c r="SPE55" s="76"/>
      <c r="SPF55" s="76"/>
      <c r="SPG55" s="76"/>
      <c r="SPH55" s="76"/>
      <c r="SPI55" s="76"/>
      <c r="SPJ55" s="76"/>
      <c r="SPK55" s="76"/>
      <c r="SPL55" s="76"/>
      <c r="SPM55" s="76"/>
      <c r="SPN55" s="76"/>
      <c r="SPO55" s="76"/>
      <c r="SPP55" s="76"/>
      <c r="SPQ55" s="76"/>
      <c r="SPR55" s="76"/>
      <c r="SPS55" s="76"/>
      <c r="SPT55" s="76"/>
      <c r="SPU55" s="76"/>
      <c r="SPV55" s="76"/>
      <c r="SPW55" s="76"/>
      <c r="SPX55" s="76"/>
      <c r="SPY55" s="76"/>
      <c r="SPZ55" s="76"/>
      <c r="SQA55" s="76"/>
      <c r="SQB55" s="76"/>
      <c r="SQC55" s="76"/>
      <c r="SQD55" s="76"/>
      <c r="SQE55" s="76"/>
      <c r="SQF55" s="76"/>
      <c r="SQG55" s="76"/>
      <c r="SQH55" s="76"/>
      <c r="SQI55" s="76"/>
      <c r="SQJ55" s="76"/>
      <c r="SQK55" s="76"/>
      <c r="SQL55" s="76"/>
      <c r="SQM55" s="76"/>
      <c r="SQN55" s="76"/>
      <c r="SQO55" s="76"/>
      <c r="SQP55" s="76"/>
      <c r="SQQ55" s="76"/>
      <c r="SQR55" s="76"/>
      <c r="SQS55" s="76"/>
      <c r="SQT55" s="76"/>
      <c r="SQU55" s="76"/>
      <c r="SQV55" s="76"/>
      <c r="SQW55" s="76"/>
      <c r="SQX55" s="76"/>
      <c r="SQY55" s="76"/>
      <c r="SQZ55" s="76"/>
      <c r="SRA55" s="76"/>
      <c r="SRB55" s="76"/>
      <c r="SRC55" s="76"/>
      <c r="SRD55" s="76"/>
      <c r="SRE55" s="76"/>
      <c r="SRF55" s="76"/>
      <c r="SRG55" s="76"/>
      <c r="SRH55" s="76"/>
      <c r="SRI55" s="76"/>
      <c r="SRJ55" s="76"/>
      <c r="SRK55" s="76"/>
      <c r="SRL55" s="76"/>
      <c r="SRM55" s="76"/>
      <c r="SRN55" s="76"/>
      <c r="SRO55" s="76"/>
      <c r="SRP55" s="76"/>
      <c r="SRQ55" s="76"/>
      <c r="SRR55" s="76"/>
      <c r="SRS55" s="76"/>
      <c r="SRT55" s="76"/>
      <c r="SRU55" s="76"/>
      <c r="SRV55" s="76"/>
      <c r="SRW55" s="76"/>
      <c r="SRX55" s="76"/>
      <c r="SRY55" s="76"/>
      <c r="SRZ55" s="76"/>
      <c r="SSA55" s="76"/>
      <c r="SSB55" s="76"/>
      <c r="SSC55" s="76"/>
      <c r="SSD55" s="76"/>
      <c r="SSE55" s="76"/>
      <c r="SSF55" s="76"/>
      <c r="SSG55" s="76"/>
      <c r="SSH55" s="76"/>
      <c r="SSI55" s="76"/>
      <c r="SSJ55" s="76"/>
      <c r="SSK55" s="76"/>
      <c r="SSL55" s="76"/>
      <c r="SSM55" s="76"/>
      <c r="SSN55" s="76"/>
      <c r="SSO55" s="76"/>
      <c r="SSP55" s="76"/>
      <c r="SSQ55" s="76"/>
      <c r="SSR55" s="76"/>
      <c r="SSS55" s="76"/>
      <c r="SST55" s="76"/>
      <c r="SSU55" s="76"/>
      <c r="SSV55" s="76"/>
      <c r="SSW55" s="76"/>
      <c r="SSX55" s="76"/>
      <c r="SSY55" s="76"/>
      <c r="SSZ55" s="76"/>
      <c r="STA55" s="76"/>
      <c r="STB55" s="76"/>
      <c r="STC55" s="76"/>
      <c r="STD55" s="76"/>
      <c r="STE55" s="76"/>
      <c r="STF55" s="76"/>
      <c r="STG55" s="76"/>
      <c r="STH55" s="76"/>
      <c r="STI55" s="76"/>
      <c r="STJ55" s="76"/>
      <c r="STK55" s="76"/>
      <c r="STL55" s="76"/>
      <c r="STM55" s="76"/>
      <c r="STN55" s="76"/>
      <c r="STO55" s="76"/>
      <c r="STP55" s="76"/>
      <c r="STQ55" s="76"/>
      <c r="STR55" s="76"/>
      <c r="STS55" s="76"/>
      <c r="STT55" s="76"/>
      <c r="STU55" s="76"/>
      <c r="STV55" s="76"/>
      <c r="STW55" s="76"/>
      <c r="STX55" s="76"/>
      <c r="STY55" s="76"/>
      <c r="STZ55" s="76"/>
      <c r="SUA55" s="76"/>
      <c r="SUB55" s="76"/>
      <c r="SUC55" s="76"/>
      <c r="SUD55" s="76"/>
      <c r="SUE55" s="76"/>
      <c r="SUF55" s="76"/>
      <c r="SUG55" s="76"/>
      <c r="SUH55" s="76"/>
      <c r="SUI55" s="76"/>
      <c r="SUJ55" s="76"/>
      <c r="SUK55" s="76"/>
      <c r="SUL55" s="76"/>
      <c r="SUM55" s="76"/>
      <c r="SUN55" s="76"/>
      <c r="SUO55" s="76"/>
      <c r="SUP55" s="76"/>
      <c r="SUQ55" s="76"/>
      <c r="SUR55" s="76"/>
      <c r="SUS55" s="76"/>
      <c r="SUT55" s="76"/>
      <c r="SUU55" s="76"/>
      <c r="SUV55" s="76"/>
      <c r="SUW55" s="76"/>
      <c r="SUX55" s="76"/>
      <c r="SUY55" s="76"/>
      <c r="SUZ55" s="76"/>
      <c r="SVA55" s="76"/>
      <c r="SVB55" s="76"/>
      <c r="SVC55" s="76"/>
      <c r="SVD55" s="76"/>
      <c r="SVE55" s="76"/>
      <c r="SVF55" s="76"/>
      <c r="SVG55" s="76"/>
      <c r="SVH55" s="76"/>
      <c r="SVI55" s="76"/>
      <c r="SVJ55" s="76"/>
      <c r="SVK55" s="76"/>
      <c r="SVL55" s="76"/>
      <c r="SVM55" s="76"/>
      <c r="SVN55" s="76"/>
      <c r="SVO55" s="76"/>
      <c r="SVP55" s="76"/>
      <c r="SVQ55" s="76"/>
      <c r="SVR55" s="76"/>
      <c r="SVS55" s="76"/>
      <c r="SVT55" s="76"/>
      <c r="SVU55" s="76"/>
      <c r="SVV55" s="76"/>
      <c r="SVW55" s="76"/>
      <c r="SVX55" s="76"/>
      <c r="SVY55" s="76"/>
      <c r="SVZ55" s="76"/>
      <c r="SWA55" s="76"/>
      <c r="SWB55" s="76"/>
      <c r="SWC55" s="76"/>
      <c r="SWD55" s="76"/>
      <c r="SWE55" s="76"/>
      <c r="SWF55" s="76"/>
      <c r="SWG55" s="76"/>
      <c r="SWH55" s="76"/>
      <c r="SWI55" s="76"/>
      <c r="SWJ55" s="76"/>
      <c r="SWK55" s="76"/>
      <c r="SWL55" s="76"/>
      <c r="SWM55" s="76"/>
      <c r="SWN55" s="76"/>
      <c r="SWO55" s="76"/>
      <c r="SWP55" s="76"/>
      <c r="SWQ55" s="76"/>
      <c r="SWR55" s="76"/>
      <c r="SWS55" s="76"/>
      <c r="SWT55" s="76"/>
      <c r="SWU55" s="76"/>
      <c r="SWV55" s="76"/>
      <c r="SWW55" s="76"/>
      <c r="SWX55" s="76"/>
      <c r="SWY55" s="76"/>
      <c r="SWZ55" s="76"/>
      <c r="SXA55" s="76"/>
      <c r="SXB55" s="76"/>
      <c r="SXC55" s="76"/>
      <c r="SXD55" s="76"/>
      <c r="SXE55" s="76"/>
      <c r="SXF55" s="76"/>
      <c r="SXG55" s="76"/>
      <c r="SXH55" s="76"/>
      <c r="SXI55" s="76"/>
      <c r="SXJ55" s="76"/>
      <c r="SXK55" s="76"/>
      <c r="SXL55" s="76"/>
      <c r="SXM55" s="76"/>
      <c r="SXN55" s="76"/>
      <c r="SXO55" s="76"/>
      <c r="SXP55" s="76"/>
      <c r="SXQ55" s="76"/>
      <c r="SXR55" s="76"/>
      <c r="SXS55" s="76"/>
      <c r="SXT55" s="76"/>
      <c r="SXU55" s="76"/>
      <c r="SXV55" s="76"/>
      <c r="SXW55" s="76"/>
      <c r="SXX55" s="76"/>
      <c r="SXY55" s="76"/>
      <c r="SXZ55" s="76"/>
      <c r="SYA55" s="76"/>
      <c r="SYB55" s="76"/>
      <c r="SYC55" s="76"/>
      <c r="SYD55" s="76"/>
      <c r="SYE55" s="76"/>
      <c r="SYF55" s="76"/>
      <c r="SYG55" s="76"/>
      <c r="SYH55" s="76"/>
      <c r="SYI55" s="76"/>
      <c r="SYJ55" s="76"/>
      <c r="SYK55" s="76"/>
      <c r="SYL55" s="76"/>
      <c r="SYM55" s="76"/>
      <c r="SYN55" s="76"/>
      <c r="SYO55" s="76"/>
      <c r="SYP55" s="76"/>
      <c r="SYQ55" s="76"/>
      <c r="SYR55" s="76"/>
      <c r="SYS55" s="76"/>
      <c r="SYT55" s="76"/>
      <c r="SYU55" s="76"/>
      <c r="SYV55" s="76"/>
      <c r="SYW55" s="76"/>
      <c r="SYX55" s="76"/>
      <c r="SYY55" s="76"/>
      <c r="SYZ55" s="76"/>
      <c r="SZA55" s="76"/>
      <c r="SZB55" s="76"/>
      <c r="SZC55" s="76"/>
      <c r="SZD55" s="76"/>
      <c r="SZE55" s="76"/>
      <c r="SZF55" s="76"/>
      <c r="SZG55" s="76"/>
      <c r="SZH55" s="76"/>
      <c r="SZI55" s="76"/>
      <c r="SZJ55" s="76"/>
      <c r="SZK55" s="76"/>
      <c r="SZL55" s="76"/>
      <c r="SZM55" s="76"/>
      <c r="SZN55" s="76"/>
      <c r="SZO55" s="76"/>
      <c r="SZP55" s="76"/>
      <c r="SZQ55" s="76"/>
      <c r="SZR55" s="76"/>
      <c r="SZS55" s="76"/>
      <c r="SZT55" s="76"/>
      <c r="SZU55" s="76"/>
      <c r="SZV55" s="76"/>
      <c r="SZW55" s="76"/>
      <c r="SZX55" s="76"/>
      <c r="SZY55" s="76"/>
      <c r="SZZ55" s="76"/>
      <c r="TAA55" s="76"/>
      <c r="TAB55" s="76"/>
      <c r="TAC55" s="76"/>
      <c r="TAD55" s="76"/>
      <c r="TAE55" s="76"/>
      <c r="TAF55" s="76"/>
      <c r="TAG55" s="76"/>
      <c r="TAH55" s="76"/>
      <c r="TAI55" s="76"/>
      <c r="TAJ55" s="76"/>
      <c r="TAK55" s="76"/>
      <c r="TAL55" s="76"/>
      <c r="TAM55" s="76"/>
      <c r="TAN55" s="76"/>
      <c r="TAO55" s="76"/>
      <c r="TAP55" s="76"/>
      <c r="TAQ55" s="76"/>
      <c r="TAR55" s="76"/>
      <c r="TAS55" s="76"/>
      <c r="TAT55" s="76"/>
      <c r="TAU55" s="76"/>
      <c r="TAV55" s="76"/>
      <c r="TAW55" s="76"/>
      <c r="TAX55" s="76"/>
      <c r="TAY55" s="76"/>
      <c r="TAZ55" s="76"/>
      <c r="TBA55" s="76"/>
      <c r="TBB55" s="76"/>
      <c r="TBC55" s="76"/>
      <c r="TBD55" s="76"/>
      <c r="TBE55" s="76"/>
      <c r="TBF55" s="76"/>
      <c r="TBG55" s="76"/>
      <c r="TBH55" s="76"/>
      <c r="TBI55" s="76"/>
      <c r="TBJ55" s="76"/>
      <c r="TBK55" s="76"/>
      <c r="TBL55" s="76"/>
      <c r="TBM55" s="76"/>
      <c r="TBN55" s="76"/>
      <c r="TBO55" s="76"/>
      <c r="TBP55" s="76"/>
      <c r="TBQ55" s="76"/>
      <c r="TBR55" s="76"/>
      <c r="TBS55" s="76"/>
      <c r="TBT55" s="76"/>
      <c r="TBU55" s="76"/>
      <c r="TBV55" s="76"/>
      <c r="TBW55" s="76"/>
      <c r="TBX55" s="76"/>
      <c r="TBY55" s="76"/>
      <c r="TBZ55" s="76"/>
      <c r="TCA55" s="76"/>
      <c r="TCB55" s="76"/>
      <c r="TCC55" s="76"/>
      <c r="TCD55" s="76"/>
      <c r="TCE55" s="76"/>
      <c r="TCF55" s="76"/>
      <c r="TCG55" s="76"/>
      <c r="TCH55" s="76"/>
      <c r="TCI55" s="76"/>
      <c r="TCJ55" s="76"/>
      <c r="TCK55" s="76"/>
      <c r="TCL55" s="76"/>
      <c r="TCM55" s="76"/>
      <c r="TCN55" s="76"/>
      <c r="TCO55" s="76"/>
      <c r="TCP55" s="76"/>
      <c r="TCQ55" s="76"/>
      <c r="TCR55" s="76"/>
      <c r="TCS55" s="76"/>
      <c r="TCT55" s="76"/>
      <c r="TCU55" s="76"/>
      <c r="TCV55" s="76"/>
      <c r="TCW55" s="76"/>
      <c r="TCX55" s="76"/>
      <c r="TCY55" s="76"/>
      <c r="TCZ55" s="76"/>
      <c r="TDA55" s="76"/>
      <c r="TDB55" s="76"/>
      <c r="TDC55" s="76"/>
      <c r="TDD55" s="76"/>
      <c r="TDE55" s="76"/>
      <c r="TDF55" s="76"/>
      <c r="TDG55" s="76"/>
      <c r="TDH55" s="76"/>
      <c r="TDI55" s="76"/>
      <c r="TDJ55" s="76"/>
      <c r="TDK55" s="76"/>
      <c r="TDL55" s="76"/>
      <c r="TDM55" s="76"/>
      <c r="TDN55" s="76"/>
      <c r="TDO55" s="76"/>
      <c r="TDP55" s="76"/>
      <c r="TDQ55" s="76"/>
      <c r="TDR55" s="76"/>
      <c r="TDS55" s="76"/>
      <c r="TDT55" s="76"/>
      <c r="TDU55" s="76"/>
      <c r="TDV55" s="76"/>
      <c r="TDW55" s="76"/>
      <c r="TDX55" s="76"/>
      <c r="TDY55" s="76"/>
      <c r="TDZ55" s="76"/>
      <c r="TEA55" s="76"/>
      <c r="TEB55" s="76"/>
      <c r="TEC55" s="76"/>
      <c r="TED55" s="76"/>
      <c r="TEE55" s="76"/>
      <c r="TEF55" s="76"/>
      <c r="TEG55" s="76"/>
      <c r="TEH55" s="76"/>
      <c r="TEI55" s="76"/>
      <c r="TEJ55" s="76"/>
      <c r="TEK55" s="76"/>
      <c r="TEL55" s="76"/>
      <c r="TEM55" s="76"/>
      <c r="TEN55" s="76"/>
      <c r="TEO55" s="76"/>
      <c r="TEP55" s="76"/>
      <c r="TEQ55" s="76"/>
      <c r="TER55" s="76"/>
      <c r="TES55" s="76"/>
      <c r="TET55" s="76"/>
      <c r="TEU55" s="76"/>
      <c r="TEV55" s="76"/>
      <c r="TEW55" s="76"/>
      <c r="TEX55" s="76"/>
      <c r="TEY55" s="76"/>
      <c r="TEZ55" s="76"/>
      <c r="TFA55" s="76"/>
      <c r="TFB55" s="76"/>
      <c r="TFC55" s="76"/>
      <c r="TFD55" s="76"/>
      <c r="TFE55" s="76"/>
      <c r="TFF55" s="76"/>
      <c r="TFG55" s="76"/>
      <c r="TFH55" s="76"/>
      <c r="TFI55" s="76"/>
      <c r="TFJ55" s="76"/>
      <c r="TFK55" s="76"/>
      <c r="TFL55" s="76"/>
      <c r="TFM55" s="76"/>
      <c r="TFN55" s="76"/>
      <c r="TFO55" s="76"/>
      <c r="TFP55" s="76"/>
      <c r="TFQ55" s="76"/>
      <c r="TFR55" s="76"/>
      <c r="TFS55" s="76"/>
      <c r="TFT55" s="76"/>
      <c r="TFU55" s="76"/>
      <c r="TFV55" s="76"/>
      <c r="TFW55" s="76"/>
      <c r="TFX55" s="76"/>
      <c r="TFY55" s="76"/>
      <c r="TFZ55" s="76"/>
      <c r="TGA55" s="76"/>
      <c r="TGB55" s="76"/>
      <c r="TGC55" s="76"/>
      <c r="TGD55" s="76"/>
      <c r="TGE55" s="76"/>
      <c r="TGF55" s="76"/>
      <c r="TGG55" s="76"/>
      <c r="TGH55" s="76"/>
      <c r="TGI55" s="76"/>
      <c r="TGJ55" s="76"/>
      <c r="TGK55" s="76"/>
      <c r="TGL55" s="76"/>
      <c r="TGM55" s="76"/>
      <c r="TGN55" s="76"/>
      <c r="TGO55" s="76"/>
      <c r="TGP55" s="76"/>
      <c r="TGQ55" s="76"/>
      <c r="TGR55" s="76"/>
      <c r="TGS55" s="76"/>
      <c r="TGT55" s="76"/>
      <c r="TGU55" s="76"/>
      <c r="TGV55" s="76"/>
      <c r="TGW55" s="76"/>
      <c r="TGX55" s="76"/>
      <c r="TGY55" s="76"/>
      <c r="TGZ55" s="76"/>
      <c r="THA55" s="76"/>
      <c r="THB55" s="76"/>
      <c r="THC55" s="76"/>
      <c r="THD55" s="76"/>
      <c r="THE55" s="76"/>
      <c r="THF55" s="76"/>
      <c r="THG55" s="76"/>
      <c r="THH55" s="76"/>
      <c r="THI55" s="76"/>
      <c r="THJ55" s="76"/>
      <c r="THK55" s="76"/>
      <c r="THL55" s="76"/>
      <c r="THM55" s="76"/>
      <c r="THN55" s="76"/>
      <c r="THO55" s="76"/>
      <c r="THP55" s="76"/>
      <c r="THQ55" s="76"/>
      <c r="THR55" s="76"/>
      <c r="THS55" s="76"/>
      <c r="THT55" s="76"/>
      <c r="THU55" s="76"/>
      <c r="THV55" s="76"/>
      <c r="THW55" s="76"/>
      <c r="THX55" s="76"/>
      <c r="THY55" s="76"/>
      <c r="THZ55" s="76"/>
      <c r="TIA55" s="76"/>
      <c r="TIB55" s="76"/>
      <c r="TIC55" s="76"/>
      <c r="TID55" s="76"/>
      <c r="TIE55" s="76"/>
      <c r="TIF55" s="76"/>
      <c r="TIG55" s="76"/>
      <c r="TIH55" s="76"/>
      <c r="TII55" s="76"/>
      <c r="TIJ55" s="76"/>
      <c r="TIK55" s="76"/>
      <c r="TIL55" s="76"/>
      <c r="TIM55" s="76"/>
      <c r="TIN55" s="76"/>
      <c r="TIO55" s="76"/>
      <c r="TIP55" s="76"/>
      <c r="TIQ55" s="76"/>
      <c r="TIR55" s="76"/>
      <c r="TIS55" s="76"/>
      <c r="TIT55" s="76"/>
      <c r="TIU55" s="76"/>
      <c r="TIV55" s="76"/>
      <c r="TIW55" s="76"/>
      <c r="TIX55" s="76"/>
      <c r="TIY55" s="76"/>
      <c r="TIZ55" s="76"/>
      <c r="TJA55" s="76"/>
      <c r="TJB55" s="76"/>
      <c r="TJC55" s="76"/>
      <c r="TJD55" s="76"/>
      <c r="TJE55" s="76"/>
      <c r="TJF55" s="76"/>
      <c r="TJG55" s="76"/>
      <c r="TJH55" s="76"/>
      <c r="TJI55" s="76"/>
      <c r="TJJ55" s="76"/>
      <c r="TJK55" s="76"/>
      <c r="TJL55" s="76"/>
      <c r="TJM55" s="76"/>
      <c r="TJN55" s="76"/>
      <c r="TJO55" s="76"/>
      <c r="TJP55" s="76"/>
      <c r="TJQ55" s="76"/>
      <c r="TJR55" s="76"/>
      <c r="TJS55" s="76"/>
      <c r="TJT55" s="76"/>
      <c r="TJU55" s="76"/>
      <c r="TJV55" s="76"/>
      <c r="TJW55" s="76"/>
      <c r="TJX55" s="76"/>
      <c r="TJY55" s="76"/>
      <c r="TJZ55" s="76"/>
      <c r="TKA55" s="76"/>
      <c r="TKB55" s="76"/>
      <c r="TKC55" s="76"/>
      <c r="TKD55" s="76"/>
      <c r="TKE55" s="76"/>
      <c r="TKF55" s="76"/>
      <c r="TKG55" s="76"/>
      <c r="TKH55" s="76"/>
      <c r="TKI55" s="76"/>
      <c r="TKJ55" s="76"/>
      <c r="TKK55" s="76"/>
      <c r="TKL55" s="76"/>
      <c r="TKM55" s="76"/>
      <c r="TKN55" s="76"/>
      <c r="TKO55" s="76"/>
      <c r="TKP55" s="76"/>
      <c r="TKQ55" s="76"/>
      <c r="TKR55" s="76"/>
      <c r="TKS55" s="76"/>
      <c r="TKT55" s="76"/>
      <c r="TKU55" s="76"/>
      <c r="TKV55" s="76"/>
      <c r="TKW55" s="76"/>
      <c r="TKX55" s="76"/>
      <c r="TKY55" s="76"/>
      <c r="TKZ55" s="76"/>
      <c r="TLA55" s="76"/>
      <c r="TLB55" s="76"/>
      <c r="TLC55" s="76"/>
      <c r="TLD55" s="76"/>
      <c r="TLE55" s="76"/>
      <c r="TLF55" s="76"/>
      <c r="TLG55" s="76"/>
      <c r="TLH55" s="76"/>
      <c r="TLI55" s="76"/>
      <c r="TLJ55" s="76"/>
      <c r="TLK55" s="76"/>
      <c r="TLL55" s="76"/>
      <c r="TLM55" s="76"/>
      <c r="TLN55" s="76"/>
      <c r="TLO55" s="76"/>
      <c r="TLP55" s="76"/>
      <c r="TLQ55" s="76"/>
      <c r="TLR55" s="76"/>
      <c r="TLS55" s="76"/>
      <c r="TLT55" s="76"/>
      <c r="TLU55" s="76"/>
      <c r="TLV55" s="76"/>
      <c r="TLW55" s="76"/>
      <c r="TLX55" s="76"/>
      <c r="TLY55" s="76"/>
      <c r="TLZ55" s="76"/>
      <c r="TMA55" s="76"/>
      <c r="TMB55" s="76"/>
      <c r="TMC55" s="76"/>
      <c r="TMD55" s="76"/>
      <c r="TME55" s="76"/>
      <c r="TMF55" s="76"/>
      <c r="TMG55" s="76"/>
      <c r="TMH55" s="76"/>
      <c r="TMI55" s="76"/>
      <c r="TMJ55" s="76"/>
      <c r="TMK55" s="76"/>
      <c r="TML55" s="76"/>
      <c r="TMM55" s="76"/>
      <c r="TMN55" s="76"/>
      <c r="TMO55" s="76"/>
      <c r="TMP55" s="76"/>
      <c r="TMQ55" s="76"/>
      <c r="TMR55" s="76"/>
      <c r="TMS55" s="76"/>
      <c r="TMT55" s="76"/>
      <c r="TMU55" s="76"/>
      <c r="TMV55" s="76"/>
      <c r="TMW55" s="76"/>
      <c r="TMX55" s="76"/>
      <c r="TMY55" s="76"/>
      <c r="TMZ55" s="76"/>
      <c r="TNA55" s="76"/>
      <c r="TNB55" s="76"/>
      <c r="TNC55" s="76"/>
      <c r="TND55" s="76"/>
      <c r="TNE55" s="76"/>
      <c r="TNF55" s="76"/>
      <c r="TNG55" s="76"/>
      <c r="TNH55" s="76"/>
      <c r="TNI55" s="76"/>
      <c r="TNJ55" s="76"/>
      <c r="TNK55" s="76"/>
      <c r="TNL55" s="76"/>
      <c r="TNM55" s="76"/>
      <c r="TNN55" s="76"/>
      <c r="TNO55" s="76"/>
      <c r="TNP55" s="76"/>
      <c r="TNQ55" s="76"/>
      <c r="TNR55" s="76"/>
      <c r="TNS55" s="76"/>
      <c r="TNT55" s="76"/>
      <c r="TNU55" s="76"/>
      <c r="TNV55" s="76"/>
      <c r="TNW55" s="76"/>
      <c r="TNX55" s="76"/>
      <c r="TNY55" s="76"/>
      <c r="TNZ55" s="76"/>
      <c r="TOA55" s="76"/>
      <c r="TOB55" s="76"/>
      <c r="TOC55" s="76"/>
      <c r="TOD55" s="76"/>
      <c r="TOE55" s="76"/>
      <c r="TOF55" s="76"/>
      <c r="TOG55" s="76"/>
      <c r="TOH55" s="76"/>
      <c r="TOI55" s="76"/>
      <c r="TOJ55" s="76"/>
      <c r="TOK55" s="76"/>
      <c r="TOL55" s="76"/>
      <c r="TOM55" s="76"/>
      <c r="TON55" s="76"/>
      <c r="TOO55" s="76"/>
      <c r="TOP55" s="76"/>
      <c r="TOQ55" s="76"/>
      <c r="TOR55" s="76"/>
      <c r="TOS55" s="76"/>
      <c r="TOT55" s="76"/>
      <c r="TOU55" s="76"/>
      <c r="TOV55" s="76"/>
      <c r="TOW55" s="76"/>
      <c r="TOX55" s="76"/>
      <c r="TOY55" s="76"/>
      <c r="TOZ55" s="76"/>
      <c r="TPA55" s="76"/>
      <c r="TPB55" s="76"/>
      <c r="TPC55" s="76"/>
      <c r="TPD55" s="76"/>
      <c r="TPE55" s="76"/>
      <c r="TPF55" s="76"/>
      <c r="TPG55" s="76"/>
      <c r="TPH55" s="76"/>
      <c r="TPI55" s="76"/>
      <c r="TPJ55" s="76"/>
      <c r="TPK55" s="76"/>
      <c r="TPL55" s="76"/>
      <c r="TPM55" s="76"/>
      <c r="TPN55" s="76"/>
      <c r="TPO55" s="76"/>
      <c r="TPP55" s="76"/>
      <c r="TPQ55" s="76"/>
      <c r="TPR55" s="76"/>
      <c r="TPS55" s="76"/>
      <c r="TPT55" s="76"/>
      <c r="TPU55" s="76"/>
      <c r="TPV55" s="76"/>
      <c r="TPW55" s="76"/>
      <c r="TPX55" s="76"/>
      <c r="TPY55" s="76"/>
      <c r="TPZ55" s="76"/>
      <c r="TQA55" s="76"/>
      <c r="TQB55" s="76"/>
      <c r="TQC55" s="76"/>
      <c r="TQD55" s="76"/>
      <c r="TQE55" s="76"/>
      <c r="TQF55" s="76"/>
      <c r="TQG55" s="76"/>
      <c r="TQH55" s="76"/>
      <c r="TQI55" s="76"/>
      <c r="TQJ55" s="76"/>
      <c r="TQK55" s="76"/>
      <c r="TQL55" s="76"/>
      <c r="TQM55" s="76"/>
      <c r="TQN55" s="76"/>
      <c r="TQO55" s="76"/>
      <c r="TQP55" s="76"/>
      <c r="TQQ55" s="76"/>
      <c r="TQR55" s="76"/>
      <c r="TQS55" s="76"/>
      <c r="TQT55" s="76"/>
      <c r="TQU55" s="76"/>
      <c r="TQV55" s="76"/>
      <c r="TQW55" s="76"/>
      <c r="TQX55" s="76"/>
      <c r="TQY55" s="76"/>
      <c r="TQZ55" s="76"/>
      <c r="TRA55" s="76"/>
      <c r="TRB55" s="76"/>
      <c r="TRC55" s="76"/>
      <c r="TRD55" s="76"/>
      <c r="TRE55" s="76"/>
      <c r="TRF55" s="76"/>
      <c r="TRG55" s="76"/>
      <c r="TRH55" s="76"/>
      <c r="TRI55" s="76"/>
      <c r="TRJ55" s="76"/>
      <c r="TRK55" s="76"/>
      <c r="TRL55" s="76"/>
      <c r="TRM55" s="76"/>
      <c r="TRN55" s="76"/>
      <c r="TRO55" s="76"/>
      <c r="TRP55" s="76"/>
      <c r="TRQ55" s="76"/>
      <c r="TRR55" s="76"/>
      <c r="TRS55" s="76"/>
      <c r="TRT55" s="76"/>
      <c r="TRU55" s="76"/>
      <c r="TRV55" s="76"/>
      <c r="TRW55" s="76"/>
      <c r="TRX55" s="76"/>
      <c r="TRY55" s="76"/>
      <c r="TRZ55" s="76"/>
      <c r="TSA55" s="76"/>
      <c r="TSB55" s="76"/>
      <c r="TSC55" s="76"/>
      <c r="TSD55" s="76"/>
      <c r="TSE55" s="76"/>
      <c r="TSF55" s="76"/>
      <c r="TSG55" s="76"/>
      <c r="TSH55" s="76"/>
      <c r="TSI55" s="76"/>
      <c r="TSJ55" s="76"/>
      <c r="TSK55" s="76"/>
      <c r="TSL55" s="76"/>
      <c r="TSM55" s="76"/>
      <c r="TSN55" s="76"/>
      <c r="TSO55" s="76"/>
      <c r="TSP55" s="76"/>
      <c r="TSQ55" s="76"/>
      <c r="TSR55" s="76"/>
      <c r="TSS55" s="76"/>
      <c r="TST55" s="76"/>
      <c r="TSU55" s="76"/>
      <c r="TSV55" s="76"/>
      <c r="TSW55" s="76"/>
      <c r="TSX55" s="76"/>
      <c r="TSY55" s="76"/>
      <c r="TSZ55" s="76"/>
      <c r="TTA55" s="76"/>
      <c r="TTB55" s="76"/>
      <c r="TTC55" s="76"/>
      <c r="TTD55" s="76"/>
      <c r="TTE55" s="76"/>
      <c r="TTF55" s="76"/>
      <c r="TTG55" s="76"/>
      <c r="TTH55" s="76"/>
      <c r="TTI55" s="76"/>
      <c r="TTJ55" s="76"/>
      <c r="TTK55" s="76"/>
      <c r="TTL55" s="76"/>
      <c r="TTM55" s="76"/>
      <c r="TTN55" s="76"/>
      <c r="TTO55" s="76"/>
      <c r="TTP55" s="76"/>
      <c r="TTQ55" s="76"/>
      <c r="TTR55" s="76"/>
      <c r="TTS55" s="76"/>
      <c r="TTT55" s="76"/>
      <c r="TTU55" s="76"/>
      <c r="TTV55" s="76"/>
      <c r="TTW55" s="76"/>
      <c r="TTX55" s="76"/>
      <c r="TTY55" s="76"/>
      <c r="TTZ55" s="76"/>
      <c r="TUA55" s="76"/>
      <c r="TUB55" s="76"/>
      <c r="TUC55" s="76"/>
      <c r="TUD55" s="76"/>
      <c r="TUE55" s="76"/>
      <c r="TUF55" s="76"/>
      <c r="TUG55" s="76"/>
      <c r="TUH55" s="76"/>
      <c r="TUI55" s="76"/>
      <c r="TUJ55" s="76"/>
      <c r="TUK55" s="76"/>
      <c r="TUL55" s="76"/>
      <c r="TUM55" s="76"/>
      <c r="TUN55" s="76"/>
      <c r="TUO55" s="76"/>
      <c r="TUP55" s="76"/>
      <c r="TUQ55" s="76"/>
      <c r="TUR55" s="76"/>
      <c r="TUS55" s="76"/>
      <c r="TUT55" s="76"/>
      <c r="TUU55" s="76"/>
      <c r="TUV55" s="76"/>
      <c r="TUW55" s="76"/>
      <c r="TUX55" s="76"/>
      <c r="TUY55" s="76"/>
      <c r="TUZ55" s="76"/>
      <c r="TVA55" s="76"/>
      <c r="TVB55" s="76"/>
      <c r="TVC55" s="76"/>
      <c r="TVD55" s="76"/>
      <c r="TVE55" s="76"/>
      <c r="TVF55" s="76"/>
      <c r="TVG55" s="76"/>
      <c r="TVH55" s="76"/>
      <c r="TVI55" s="76"/>
      <c r="TVJ55" s="76"/>
      <c r="TVK55" s="76"/>
      <c r="TVL55" s="76"/>
      <c r="TVM55" s="76"/>
      <c r="TVN55" s="76"/>
      <c r="TVO55" s="76"/>
      <c r="TVP55" s="76"/>
      <c r="TVQ55" s="76"/>
      <c r="TVR55" s="76"/>
      <c r="TVS55" s="76"/>
      <c r="TVT55" s="76"/>
      <c r="TVU55" s="76"/>
      <c r="TVV55" s="76"/>
      <c r="TVW55" s="76"/>
      <c r="TVX55" s="76"/>
      <c r="TVY55" s="76"/>
      <c r="TVZ55" s="76"/>
      <c r="TWA55" s="76"/>
      <c r="TWB55" s="76"/>
      <c r="TWC55" s="76"/>
      <c r="TWD55" s="76"/>
      <c r="TWE55" s="76"/>
      <c r="TWF55" s="76"/>
      <c r="TWG55" s="76"/>
      <c r="TWH55" s="76"/>
      <c r="TWI55" s="76"/>
      <c r="TWJ55" s="76"/>
      <c r="TWK55" s="76"/>
      <c r="TWL55" s="76"/>
      <c r="TWM55" s="76"/>
      <c r="TWN55" s="76"/>
      <c r="TWO55" s="76"/>
      <c r="TWP55" s="76"/>
      <c r="TWQ55" s="76"/>
      <c r="TWR55" s="76"/>
      <c r="TWS55" s="76"/>
      <c r="TWT55" s="76"/>
      <c r="TWU55" s="76"/>
      <c r="TWV55" s="76"/>
      <c r="TWW55" s="76"/>
      <c r="TWX55" s="76"/>
      <c r="TWY55" s="76"/>
      <c r="TWZ55" s="76"/>
      <c r="TXA55" s="76"/>
      <c r="TXB55" s="76"/>
      <c r="TXC55" s="76"/>
      <c r="TXD55" s="76"/>
      <c r="TXE55" s="76"/>
      <c r="TXF55" s="76"/>
      <c r="TXG55" s="76"/>
      <c r="TXH55" s="76"/>
      <c r="TXI55" s="76"/>
      <c r="TXJ55" s="76"/>
      <c r="TXK55" s="76"/>
      <c r="TXL55" s="76"/>
      <c r="TXM55" s="76"/>
      <c r="TXN55" s="76"/>
      <c r="TXO55" s="76"/>
      <c r="TXP55" s="76"/>
      <c r="TXQ55" s="76"/>
      <c r="TXR55" s="76"/>
      <c r="TXS55" s="76"/>
      <c r="TXT55" s="76"/>
      <c r="TXU55" s="76"/>
      <c r="TXV55" s="76"/>
      <c r="TXW55" s="76"/>
      <c r="TXX55" s="76"/>
      <c r="TXY55" s="76"/>
      <c r="TXZ55" s="76"/>
      <c r="TYA55" s="76"/>
      <c r="TYB55" s="76"/>
      <c r="TYC55" s="76"/>
      <c r="TYD55" s="76"/>
      <c r="TYE55" s="76"/>
      <c r="TYF55" s="76"/>
      <c r="TYG55" s="76"/>
      <c r="TYH55" s="76"/>
      <c r="TYI55" s="76"/>
      <c r="TYJ55" s="76"/>
      <c r="TYK55" s="76"/>
      <c r="TYL55" s="76"/>
      <c r="TYM55" s="76"/>
      <c r="TYN55" s="76"/>
      <c r="TYO55" s="76"/>
      <c r="TYP55" s="76"/>
      <c r="TYQ55" s="76"/>
      <c r="TYR55" s="76"/>
      <c r="TYS55" s="76"/>
      <c r="TYT55" s="76"/>
      <c r="TYU55" s="76"/>
      <c r="TYV55" s="76"/>
      <c r="TYW55" s="76"/>
      <c r="TYX55" s="76"/>
      <c r="TYY55" s="76"/>
      <c r="TYZ55" s="76"/>
      <c r="TZA55" s="76"/>
      <c r="TZB55" s="76"/>
      <c r="TZC55" s="76"/>
      <c r="TZD55" s="76"/>
      <c r="TZE55" s="76"/>
      <c r="TZF55" s="76"/>
      <c r="TZG55" s="76"/>
      <c r="TZH55" s="76"/>
      <c r="TZI55" s="76"/>
      <c r="TZJ55" s="76"/>
      <c r="TZK55" s="76"/>
      <c r="TZL55" s="76"/>
      <c r="TZM55" s="76"/>
      <c r="TZN55" s="76"/>
      <c r="TZO55" s="76"/>
      <c r="TZP55" s="76"/>
      <c r="TZQ55" s="76"/>
      <c r="TZR55" s="76"/>
      <c r="TZS55" s="76"/>
      <c r="TZT55" s="76"/>
      <c r="TZU55" s="76"/>
      <c r="TZV55" s="76"/>
      <c r="TZW55" s="76"/>
      <c r="TZX55" s="76"/>
      <c r="TZY55" s="76"/>
      <c r="TZZ55" s="76"/>
      <c r="UAA55" s="76"/>
      <c r="UAB55" s="76"/>
      <c r="UAC55" s="76"/>
      <c r="UAD55" s="76"/>
      <c r="UAE55" s="76"/>
      <c r="UAF55" s="76"/>
      <c r="UAG55" s="76"/>
      <c r="UAH55" s="76"/>
      <c r="UAI55" s="76"/>
      <c r="UAJ55" s="76"/>
      <c r="UAK55" s="76"/>
      <c r="UAL55" s="76"/>
      <c r="UAM55" s="76"/>
      <c r="UAN55" s="76"/>
      <c r="UAO55" s="76"/>
      <c r="UAP55" s="76"/>
      <c r="UAQ55" s="76"/>
      <c r="UAR55" s="76"/>
      <c r="UAS55" s="76"/>
      <c r="UAT55" s="76"/>
      <c r="UAU55" s="76"/>
      <c r="UAV55" s="76"/>
      <c r="UAW55" s="76"/>
      <c r="UAX55" s="76"/>
      <c r="UAY55" s="76"/>
      <c r="UAZ55" s="76"/>
      <c r="UBA55" s="76"/>
      <c r="UBB55" s="76"/>
      <c r="UBC55" s="76"/>
      <c r="UBD55" s="76"/>
      <c r="UBE55" s="76"/>
      <c r="UBF55" s="76"/>
      <c r="UBG55" s="76"/>
      <c r="UBH55" s="76"/>
      <c r="UBI55" s="76"/>
      <c r="UBJ55" s="76"/>
      <c r="UBK55" s="76"/>
      <c r="UBL55" s="76"/>
      <c r="UBM55" s="76"/>
      <c r="UBN55" s="76"/>
      <c r="UBO55" s="76"/>
      <c r="UBP55" s="76"/>
      <c r="UBQ55" s="76"/>
      <c r="UBR55" s="76"/>
      <c r="UBS55" s="76"/>
      <c r="UBT55" s="76"/>
      <c r="UBU55" s="76"/>
      <c r="UBV55" s="76"/>
      <c r="UBW55" s="76"/>
      <c r="UBX55" s="76"/>
      <c r="UBY55" s="76"/>
      <c r="UBZ55" s="76"/>
      <c r="UCA55" s="76"/>
      <c r="UCB55" s="76"/>
      <c r="UCC55" s="76"/>
      <c r="UCD55" s="76"/>
      <c r="UCE55" s="76"/>
      <c r="UCF55" s="76"/>
      <c r="UCG55" s="76"/>
      <c r="UCH55" s="76"/>
      <c r="UCI55" s="76"/>
      <c r="UCJ55" s="76"/>
      <c r="UCK55" s="76"/>
      <c r="UCL55" s="76"/>
      <c r="UCM55" s="76"/>
      <c r="UCN55" s="76"/>
      <c r="UCO55" s="76"/>
      <c r="UCP55" s="76"/>
      <c r="UCQ55" s="76"/>
      <c r="UCR55" s="76"/>
      <c r="UCS55" s="76"/>
      <c r="UCT55" s="76"/>
      <c r="UCU55" s="76"/>
      <c r="UCV55" s="76"/>
      <c r="UCW55" s="76"/>
      <c r="UCX55" s="76"/>
      <c r="UCY55" s="76"/>
      <c r="UCZ55" s="76"/>
      <c r="UDA55" s="76"/>
      <c r="UDB55" s="76"/>
      <c r="UDC55" s="76"/>
      <c r="UDD55" s="76"/>
      <c r="UDE55" s="76"/>
      <c r="UDF55" s="76"/>
      <c r="UDG55" s="76"/>
      <c r="UDH55" s="76"/>
      <c r="UDI55" s="76"/>
      <c r="UDJ55" s="76"/>
      <c r="UDK55" s="76"/>
      <c r="UDL55" s="76"/>
      <c r="UDM55" s="76"/>
      <c r="UDN55" s="76"/>
      <c r="UDO55" s="76"/>
      <c r="UDP55" s="76"/>
      <c r="UDQ55" s="76"/>
      <c r="UDR55" s="76"/>
      <c r="UDS55" s="76"/>
      <c r="UDT55" s="76"/>
      <c r="UDU55" s="76"/>
      <c r="UDV55" s="76"/>
      <c r="UDW55" s="76"/>
      <c r="UDX55" s="76"/>
      <c r="UDY55" s="76"/>
      <c r="UDZ55" s="76"/>
      <c r="UEA55" s="76"/>
      <c r="UEB55" s="76"/>
      <c r="UEC55" s="76"/>
      <c r="UED55" s="76"/>
      <c r="UEE55" s="76"/>
      <c r="UEF55" s="76"/>
      <c r="UEG55" s="76"/>
      <c r="UEH55" s="76"/>
      <c r="UEI55" s="76"/>
      <c r="UEJ55" s="76"/>
      <c r="UEK55" s="76"/>
      <c r="UEL55" s="76"/>
      <c r="UEM55" s="76"/>
      <c r="UEN55" s="76"/>
      <c r="UEO55" s="76"/>
      <c r="UEP55" s="76"/>
      <c r="UEQ55" s="76"/>
      <c r="UER55" s="76"/>
      <c r="UES55" s="76"/>
      <c r="UET55" s="76"/>
      <c r="UEU55" s="76"/>
      <c r="UEV55" s="76"/>
      <c r="UEW55" s="76"/>
      <c r="UEX55" s="76"/>
      <c r="UEY55" s="76"/>
      <c r="UEZ55" s="76"/>
      <c r="UFA55" s="76"/>
      <c r="UFB55" s="76"/>
      <c r="UFC55" s="76"/>
      <c r="UFD55" s="76"/>
      <c r="UFE55" s="76"/>
      <c r="UFF55" s="76"/>
      <c r="UFG55" s="76"/>
      <c r="UFH55" s="76"/>
      <c r="UFI55" s="76"/>
      <c r="UFJ55" s="76"/>
      <c r="UFK55" s="76"/>
      <c r="UFL55" s="76"/>
      <c r="UFM55" s="76"/>
      <c r="UFN55" s="76"/>
      <c r="UFO55" s="76"/>
      <c r="UFP55" s="76"/>
      <c r="UFQ55" s="76"/>
      <c r="UFR55" s="76"/>
      <c r="UFS55" s="76"/>
      <c r="UFT55" s="76"/>
      <c r="UFU55" s="76"/>
      <c r="UFV55" s="76"/>
      <c r="UFW55" s="76"/>
      <c r="UFX55" s="76"/>
      <c r="UFY55" s="76"/>
      <c r="UFZ55" s="76"/>
      <c r="UGA55" s="76"/>
      <c r="UGB55" s="76"/>
      <c r="UGC55" s="76"/>
      <c r="UGD55" s="76"/>
      <c r="UGE55" s="76"/>
      <c r="UGF55" s="76"/>
      <c r="UGG55" s="76"/>
      <c r="UGH55" s="76"/>
      <c r="UGI55" s="76"/>
      <c r="UGJ55" s="76"/>
      <c r="UGK55" s="76"/>
      <c r="UGL55" s="76"/>
      <c r="UGM55" s="76"/>
      <c r="UGN55" s="76"/>
      <c r="UGO55" s="76"/>
      <c r="UGP55" s="76"/>
      <c r="UGQ55" s="76"/>
      <c r="UGR55" s="76"/>
      <c r="UGS55" s="76"/>
      <c r="UGT55" s="76"/>
      <c r="UGU55" s="76"/>
      <c r="UGV55" s="76"/>
      <c r="UGW55" s="76"/>
      <c r="UGX55" s="76"/>
      <c r="UGY55" s="76"/>
      <c r="UGZ55" s="76"/>
      <c r="UHA55" s="76"/>
      <c r="UHB55" s="76"/>
      <c r="UHC55" s="76"/>
      <c r="UHD55" s="76"/>
      <c r="UHE55" s="76"/>
      <c r="UHF55" s="76"/>
      <c r="UHG55" s="76"/>
      <c r="UHH55" s="76"/>
      <c r="UHI55" s="76"/>
      <c r="UHJ55" s="76"/>
      <c r="UHK55" s="76"/>
      <c r="UHL55" s="76"/>
      <c r="UHM55" s="76"/>
      <c r="UHN55" s="76"/>
      <c r="UHO55" s="76"/>
      <c r="UHP55" s="76"/>
      <c r="UHQ55" s="76"/>
      <c r="UHR55" s="76"/>
      <c r="UHS55" s="76"/>
      <c r="UHT55" s="76"/>
      <c r="UHU55" s="76"/>
      <c r="UHV55" s="76"/>
      <c r="UHW55" s="76"/>
      <c r="UHX55" s="76"/>
      <c r="UHY55" s="76"/>
      <c r="UHZ55" s="76"/>
      <c r="UIA55" s="76"/>
      <c r="UIB55" s="76"/>
      <c r="UIC55" s="76"/>
      <c r="UID55" s="76"/>
      <c r="UIE55" s="76"/>
      <c r="UIF55" s="76"/>
      <c r="UIG55" s="76"/>
      <c r="UIH55" s="76"/>
      <c r="UII55" s="76"/>
      <c r="UIJ55" s="76"/>
      <c r="UIK55" s="76"/>
      <c r="UIL55" s="76"/>
      <c r="UIM55" s="76"/>
      <c r="UIN55" s="76"/>
      <c r="UIO55" s="76"/>
      <c r="UIP55" s="76"/>
      <c r="UIQ55" s="76"/>
      <c r="UIR55" s="76"/>
      <c r="UIS55" s="76"/>
      <c r="UIT55" s="76"/>
      <c r="UIU55" s="76"/>
      <c r="UIV55" s="76"/>
      <c r="UIW55" s="76"/>
      <c r="UIX55" s="76"/>
      <c r="UIY55" s="76"/>
      <c r="UIZ55" s="76"/>
      <c r="UJA55" s="76"/>
      <c r="UJB55" s="76"/>
      <c r="UJC55" s="76"/>
      <c r="UJD55" s="76"/>
      <c r="UJE55" s="76"/>
      <c r="UJF55" s="76"/>
      <c r="UJG55" s="76"/>
      <c r="UJH55" s="76"/>
      <c r="UJI55" s="76"/>
      <c r="UJJ55" s="76"/>
      <c r="UJK55" s="76"/>
      <c r="UJL55" s="76"/>
      <c r="UJM55" s="76"/>
      <c r="UJN55" s="76"/>
      <c r="UJO55" s="76"/>
      <c r="UJP55" s="76"/>
      <c r="UJQ55" s="76"/>
      <c r="UJR55" s="76"/>
      <c r="UJS55" s="76"/>
      <c r="UJT55" s="76"/>
      <c r="UJU55" s="76"/>
      <c r="UJV55" s="76"/>
      <c r="UJW55" s="76"/>
      <c r="UJX55" s="76"/>
      <c r="UJY55" s="76"/>
      <c r="UJZ55" s="76"/>
      <c r="UKA55" s="76"/>
      <c r="UKB55" s="76"/>
      <c r="UKC55" s="76"/>
      <c r="UKD55" s="76"/>
      <c r="UKE55" s="76"/>
      <c r="UKF55" s="76"/>
      <c r="UKG55" s="76"/>
      <c r="UKH55" s="76"/>
      <c r="UKI55" s="76"/>
      <c r="UKJ55" s="76"/>
      <c r="UKK55" s="76"/>
      <c r="UKL55" s="76"/>
      <c r="UKM55" s="76"/>
      <c r="UKN55" s="76"/>
      <c r="UKO55" s="76"/>
      <c r="UKP55" s="76"/>
      <c r="UKQ55" s="76"/>
      <c r="UKR55" s="76"/>
      <c r="UKS55" s="76"/>
      <c r="UKT55" s="76"/>
      <c r="UKU55" s="76"/>
      <c r="UKV55" s="76"/>
      <c r="UKW55" s="76"/>
      <c r="UKX55" s="76"/>
      <c r="UKY55" s="76"/>
      <c r="UKZ55" s="76"/>
      <c r="ULA55" s="76"/>
      <c r="ULB55" s="76"/>
      <c r="ULC55" s="76"/>
      <c r="ULD55" s="76"/>
      <c r="ULE55" s="76"/>
      <c r="ULF55" s="76"/>
      <c r="ULG55" s="76"/>
      <c r="ULH55" s="76"/>
      <c r="ULI55" s="76"/>
      <c r="ULJ55" s="76"/>
      <c r="ULK55" s="76"/>
      <c r="ULL55" s="76"/>
      <c r="ULM55" s="76"/>
      <c r="ULN55" s="76"/>
      <c r="ULO55" s="76"/>
      <c r="ULP55" s="76"/>
      <c r="ULQ55" s="76"/>
      <c r="ULR55" s="76"/>
      <c r="ULS55" s="76"/>
      <c r="ULT55" s="76"/>
      <c r="ULU55" s="76"/>
      <c r="ULV55" s="76"/>
      <c r="ULW55" s="76"/>
      <c r="ULX55" s="76"/>
      <c r="ULY55" s="76"/>
      <c r="ULZ55" s="76"/>
      <c r="UMA55" s="76"/>
      <c r="UMB55" s="76"/>
      <c r="UMC55" s="76"/>
      <c r="UMD55" s="76"/>
      <c r="UME55" s="76"/>
      <c r="UMF55" s="76"/>
      <c r="UMG55" s="76"/>
      <c r="UMH55" s="76"/>
      <c r="UMI55" s="76"/>
      <c r="UMJ55" s="76"/>
      <c r="UMK55" s="76"/>
      <c r="UML55" s="76"/>
      <c r="UMM55" s="76"/>
      <c r="UMN55" s="76"/>
      <c r="UMO55" s="76"/>
      <c r="UMP55" s="76"/>
      <c r="UMQ55" s="76"/>
      <c r="UMR55" s="76"/>
      <c r="UMS55" s="76"/>
      <c r="UMT55" s="76"/>
      <c r="UMU55" s="76"/>
      <c r="UMV55" s="76"/>
      <c r="UMW55" s="76"/>
      <c r="UMX55" s="76"/>
      <c r="UMY55" s="76"/>
      <c r="UMZ55" s="76"/>
      <c r="UNA55" s="76"/>
      <c r="UNB55" s="76"/>
      <c r="UNC55" s="76"/>
      <c r="UND55" s="76"/>
      <c r="UNE55" s="76"/>
      <c r="UNF55" s="76"/>
      <c r="UNG55" s="76"/>
      <c r="UNH55" s="76"/>
      <c r="UNI55" s="76"/>
      <c r="UNJ55" s="76"/>
      <c r="UNK55" s="76"/>
      <c r="UNL55" s="76"/>
      <c r="UNM55" s="76"/>
      <c r="UNN55" s="76"/>
      <c r="UNO55" s="76"/>
      <c r="UNP55" s="76"/>
      <c r="UNQ55" s="76"/>
      <c r="UNR55" s="76"/>
      <c r="UNS55" s="76"/>
      <c r="UNT55" s="76"/>
      <c r="UNU55" s="76"/>
      <c r="UNV55" s="76"/>
      <c r="UNW55" s="76"/>
      <c r="UNX55" s="76"/>
      <c r="UNY55" s="76"/>
      <c r="UNZ55" s="76"/>
      <c r="UOA55" s="76"/>
      <c r="UOB55" s="76"/>
      <c r="UOC55" s="76"/>
      <c r="UOD55" s="76"/>
      <c r="UOE55" s="76"/>
      <c r="UOF55" s="76"/>
      <c r="UOG55" s="76"/>
      <c r="UOH55" s="76"/>
      <c r="UOI55" s="76"/>
      <c r="UOJ55" s="76"/>
      <c r="UOK55" s="76"/>
      <c r="UOL55" s="76"/>
      <c r="UOM55" s="76"/>
      <c r="UON55" s="76"/>
      <c r="UOO55" s="76"/>
      <c r="UOP55" s="76"/>
      <c r="UOQ55" s="76"/>
      <c r="UOR55" s="76"/>
      <c r="UOS55" s="76"/>
      <c r="UOT55" s="76"/>
      <c r="UOU55" s="76"/>
      <c r="UOV55" s="76"/>
      <c r="UOW55" s="76"/>
      <c r="UOX55" s="76"/>
      <c r="UOY55" s="76"/>
      <c r="UOZ55" s="76"/>
      <c r="UPA55" s="76"/>
      <c r="UPB55" s="76"/>
      <c r="UPC55" s="76"/>
      <c r="UPD55" s="76"/>
      <c r="UPE55" s="76"/>
      <c r="UPF55" s="76"/>
      <c r="UPG55" s="76"/>
      <c r="UPH55" s="76"/>
      <c r="UPI55" s="76"/>
      <c r="UPJ55" s="76"/>
      <c r="UPK55" s="76"/>
      <c r="UPL55" s="76"/>
      <c r="UPM55" s="76"/>
      <c r="UPN55" s="76"/>
      <c r="UPO55" s="76"/>
      <c r="UPP55" s="76"/>
      <c r="UPQ55" s="76"/>
      <c r="UPR55" s="76"/>
      <c r="UPS55" s="76"/>
      <c r="UPT55" s="76"/>
      <c r="UPU55" s="76"/>
      <c r="UPV55" s="76"/>
      <c r="UPW55" s="76"/>
      <c r="UPX55" s="76"/>
      <c r="UPY55" s="76"/>
      <c r="UPZ55" s="76"/>
      <c r="UQA55" s="76"/>
      <c r="UQB55" s="76"/>
      <c r="UQC55" s="76"/>
      <c r="UQD55" s="76"/>
      <c r="UQE55" s="76"/>
      <c r="UQF55" s="76"/>
      <c r="UQG55" s="76"/>
      <c r="UQH55" s="76"/>
      <c r="UQI55" s="76"/>
      <c r="UQJ55" s="76"/>
      <c r="UQK55" s="76"/>
      <c r="UQL55" s="76"/>
      <c r="UQM55" s="76"/>
      <c r="UQN55" s="76"/>
      <c r="UQO55" s="76"/>
      <c r="UQP55" s="76"/>
      <c r="UQQ55" s="76"/>
      <c r="UQR55" s="76"/>
      <c r="UQS55" s="76"/>
      <c r="UQT55" s="76"/>
      <c r="UQU55" s="76"/>
      <c r="UQV55" s="76"/>
      <c r="UQW55" s="76"/>
      <c r="UQX55" s="76"/>
      <c r="UQY55" s="76"/>
      <c r="UQZ55" s="76"/>
      <c r="URA55" s="76"/>
      <c r="URB55" s="76"/>
      <c r="URC55" s="76"/>
      <c r="URD55" s="76"/>
      <c r="URE55" s="76"/>
      <c r="URF55" s="76"/>
      <c r="URG55" s="76"/>
      <c r="URH55" s="76"/>
      <c r="URI55" s="76"/>
      <c r="URJ55" s="76"/>
      <c r="URK55" s="76"/>
      <c r="URL55" s="76"/>
      <c r="URM55" s="76"/>
      <c r="URN55" s="76"/>
      <c r="URO55" s="76"/>
      <c r="URP55" s="76"/>
      <c r="URQ55" s="76"/>
      <c r="URR55" s="76"/>
      <c r="URS55" s="76"/>
      <c r="URT55" s="76"/>
      <c r="URU55" s="76"/>
      <c r="URV55" s="76"/>
      <c r="URW55" s="76"/>
      <c r="URX55" s="76"/>
      <c r="URY55" s="76"/>
      <c r="URZ55" s="76"/>
      <c r="USA55" s="76"/>
      <c r="USB55" s="76"/>
      <c r="USC55" s="76"/>
      <c r="USD55" s="76"/>
      <c r="USE55" s="76"/>
      <c r="USF55" s="76"/>
      <c r="USG55" s="76"/>
      <c r="USH55" s="76"/>
      <c r="USI55" s="76"/>
      <c r="USJ55" s="76"/>
      <c r="USK55" s="76"/>
      <c r="USL55" s="76"/>
      <c r="USM55" s="76"/>
      <c r="USN55" s="76"/>
      <c r="USO55" s="76"/>
      <c r="USP55" s="76"/>
      <c r="USQ55" s="76"/>
      <c r="USR55" s="76"/>
      <c r="USS55" s="76"/>
      <c r="UST55" s="76"/>
      <c r="USU55" s="76"/>
      <c r="USV55" s="76"/>
      <c r="USW55" s="76"/>
      <c r="USX55" s="76"/>
      <c r="USY55" s="76"/>
      <c r="USZ55" s="76"/>
      <c r="UTA55" s="76"/>
      <c r="UTB55" s="76"/>
      <c r="UTC55" s="76"/>
      <c r="UTD55" s="76"/>
      <c r="UTE55" s="76"/>
      <c r="UTF55" s="76"/>
      <c r="UTG55" s="76"/>
      <c r="UTH55" s="76"/>
      <c r="UTI55" s="76"/>
      <c r="UTJ55" s="76"/>
      <c r="UTK55" s="76"/>
      <c r="UTL55" s="76"/>
      <c r="UTM55" s="76"/>
      <c r="UTN55" s="76"/>
      <c r="UTO55" s="76"/>
      <c r="UTP55" s="76"/>
      <c r="UTQ55" s="76"/>
      <c r="UTR55" s="76"/>
      <c r="UTS55" s="76"/>
      <c r="UTT55" s="76"/>
      <c r="UTU55" s="76"/>
      <c r="UTV55" s="76"/>
      <c r="UTW55" s="76"/>
      <c r="UTX55" s="76"/>
      <c r="UTY55" s="76"/>
      <c r="UTZ55" s="76"/>
      <c r="UUA55" s="76"/>
      <c r="UUB55" s="76"/>
      <c r="UUC55" s="76"/>
      <c r="UUD55" s="76"/>
      <c r="UUE55" s="76"/>
      <c r="UUF55" s="76"/>
      <c r="UUG55" s="76"/>
      <c r="UUH55" s="76"/>
      <c r="UUI55" s="76"/>
      <c r="UUJ55" s="76"/>
      <c r="UUK55" s="76"/>
      <c r="UUL55" s="76"/>
      <c r="UUM55" s="76"/>
      <c r="UUN55" s="76"/>
      <c r="UUO55" s="76"/>
      <c r="UUP55" s="76"/>
      <c r="UUQ55" s="76"/>
      <c r="UUR55" s="76"/>
      <c r="UUS55" s="76"/>
      <c r="UUT55" s="76"/>
      <c r="UUU55" s="76"/>
      <c r="UUV55" s="76"/>
      <c r="UUW55" s="76"/>
      <c r="UUX55" s="76"/>
      <c r="UUY55" s="76"/>
      <c r="UUZ55" s="76"/>
      <c r="UVA55" s="76"/>
      <c r="UVB55" s="76"/>
      <c r="UVC55" s="76"/>
      <c r="UVD55" s="76"/>
      <c r="UVE55" s="76"/>
      <c r="UVF55" s="76"/>
      <c r="UVG55" s="76"/>
      <c r="UVH55" s="76"/>
      <c r="UVI55" s="76"/>
      <c r="UVJ55" s="76"/>
      <c r="UVK55" s="76"/>
      <c r="UVL55" s="76"/>
      <c r="UVM55" s="76"/>
      <c r="UVN55" s="76"/>
      <c r="UVO55" s="76"/>
      <c r="UVP55" s="76"/>
      <c r="UVQ55" s="76"/>
      <c r="UVR55" s="76"/>
      <c r="UVS55" s="76"/>
      <c r="UVT55" s="76"/>
      <c r="UVU55" s="76"/>
      <c r="UVV55" s="76"/>
      <c r="UVW55" s="76"/>
      <c r="UVX55" s="76"/>
      <c r="UVY55" s="76"/>
      <c r="UVZ55" s="76"/>
      <c r="UWA55" s="76"/>
      <c r="UWB55" s="76"/>
      <c r="UWC55" s="76"/>
      <c r="UWD55" s="76"/>
      <c r="UWE55" s="76"/>
      <c r="UWF55" s="76"/>
      <c r="UWG55" s="76"/>
      <c r="UWH55" s="76"/>
      <c r="UWI55" s="76"/>
      <c r="UWJ55" s="76"/>
      <c r="UWK55" s="76"/>
      <c r="UWL55" s="76"/>
      <c r="UWM55" s="76"/>
      <c r="UWN55" s="76"/>
      <c r="UWO55" s="76"/>
      <c r="UWP55" s="76"/>
      <c r="UWQ55" s="76"/>
      <c r="UWR55" s="76"/>
      <c r="UWS55" s="76"/>
      <c r="UWT55" s="76"/>
      <c r="UWU55" s="76"/>
      <c r="UWV55" s="76"/>
      <c r="UWW55" s="76"/>
      <c r="UWX55" s="76"/>
      <c r="UWY55" s="76"/>
      <c r="UWZ55" s="76"/>
      <c r="UXA55" s="76"/>
      <c r="UXB55" s="76"/>
      <c r="UXC55" s="76"/>
      <c r="UXD55" s="76"/>
      <c r="UXE55" s="76"/>
      <c r="UXF55" s="76"/>
      <c r="UXG55" s="76"/>
      <c r="UXH55" s="76"/>
      <c r="UXI55" s="76"/>
      <c r="UXJ55" s="76"/>
      <c r="UXK55" s="76"/>
      <c r="UXL55" s="76"/>
      <c r="UXM55" s="76"/>
      <c r="UXN55" s="76"/>
      <c r="UXO55" s="76"/>
      <c r="UXP55" s="76"/>
      <c r="UXQ55" s="76"/>
      <c r="UXR55" s="76"/>
      <c r="UXS55" s="76"/>
      <c r="UXT55" s="76"/>
      <c r="UXU55" s="76"/>
      <c r="UXV55" s="76"/>
      <c r="UXW55" s="76"/>
      <c r="UXX55" s="76"/>
      <c r="UXY55" s="76"/>
      <c r="UXZ55" s="76"/>
      <c r="UYA55" s="76"/>
      <c r="UYB55" s="76"/>
      <c r="UYC55" s="76"/>
      <c r="UYD55" s="76"/>
      <c r="UYE55" s="76"/>
      <c r="UYF55" s="76"/>
      <c r="UYG55" s="76"/>
      <c r="UYH55" s="76"/>
      <c r="UYI55" s="76"/>
      <c r="UYJ55" s="76"/>
      <c r="UYK55" s="76"/>
      <c r="UYL55" s="76"/>
      <c r="UYM55" s="76"/>
      <c r="UYN55" s="76"/>
      <c r="UYO55" s="76"/>
      <c r="UYP55" s="76"/>
      <c r="UYQ55" s="76"/>
      <c r="UYR55" s="76"/>
      <c r="UYS55" s="76"/>
      <c r="UYT55" s="76"/>
      <c r="UYU55" s="76"/>
      <c r="UYV55" s="76"/>
      <c r="UYW55" s="76"/>
      <c r="UYX55" s="76"/>
      <c r="UYY55" s="76"/>
      <c r="UYZ55" s="76"/>
      <c r="UZA55" s="76"/>
      <c r="UZB55" s="76"/>
      <c r="UZC55" s="76"/>
      <c r="UZD55" s="76"/>
      <c r="UZE55" s="76"/>
      <c r="UZF55" s="76"/>
      <c r="UZG55" s="76"/>
      <c r="UZH55" s="76"/>
      <c r="UZI55" s="76"/>
      <c r="UZJ55" s="76"/>
      <c r="UZK55" s="76"/>
      <c r="UZL55" s="76"/>
      <c r="UZM55" s="76"/>
      <c r="UZN55" s="76"/>
      <c r="UZO55" s="76"/>
      <c r="UZP55" s="76"/>
      <c r="UZQ55" s="76"/>
      <c r="UZR55" s="76"/>
      <c r="UZS55" s="76"/>
      <c r="UZT55" s="76"/>
      <c r="UZU55" s="76"/>
      <c r="UZV55" s="76"/>
      <c r="UZW55" s="76"/>
      <c r="UZX55" s="76"/>
      <c r="UZY55" s="76"/>
      <c r="UZZ55" s="76"/>
      <c r="VAA55" s="76"/>
      <c r="VAB55" s="76"/>
      <c r="VAC55" s="76"/>
      <c r="VAD55" s="76"/>
      <c r="VAE55" s="76"/>
      <c r="VAF55" s="76"/>
      <c r="VAG55" s="76"/>
      <c r="VAH55" s="76"/>
      <c r="VAI55" s="76"/>
      <c r="VAJ55" s="76"/>
      <c r="VAK55" s="76"/>
      <c r="VAL55" s="76"/>
      <c r="VAM55" s="76"/>
      <c r="VAN55" s="76"/>
      <c r="VAO55" s="76"/>
      <c r="VAP55" s="76"/>
      <c r="VAQ55" s="76"/>
      <c r="VAR55" s="76"/>
      <c r="VAS55" s="76"/>
      <c r="VAT55" s="76"/>
      <c r="VAU55" s="76"/>
      <c r="VAV55" s="76"/>
      <c r="VAW55" s="76"/>
      <c r="VAX55" s="76"/>
      <c r="VAY55" s="76"/>
      <c r="VAZ55" s="76"/>
      <c r="VBA55" s="76"/>
      <c r="VBB55" s="76"/>
      <c r="VBC55" s="76"/>
      <c r="VBD55" s="76"/>
      <c r="VBE55" s="76"/>
      <c r="VBF55" s="76"/>
      <c r="VBG55" s="76"/>
      <c r="VBH55" s="76"/>
      <c r="VBI55" s="76"/>
      <c r="VBJ55" s="76"/>
      <c r="VBK55" s="76"/>
      <c r="VBL55" s="76"/>
      <c r="VBM55" s="76"/>
      <c r="VBN55" s="76"/>
      <c r="VBO55" s="76"/>
      <c r="VBP55" s="76"/>
      <c r="VBQ55" s="76"/>
      <c r="VBR55" s="76"/>
      <c r="VBS55" s="76"/>
      <c r="VBT55" s="76"/>
      <c r="VBU55" s="76"/>
      <c r="VBV55" s="76"/>
      <c r="VBW55" s="76"/>
      <c r="VBX55" s="76"/>
      <c r="VBY55" s="76"/>
      <c r="VBZ55" s="76"/>
      <c r="VCA55" s="76"/>
      <c r="VCB55" s="76"/>
      <c r="VCC55" s="76"/>
      <c r="VCD55" s="76"/>
      <c r="VCE55" s="76"/>
      <c r="VCF55" s="76"/>
      <c r="VCG55" s="76"/>
      <c r="VCH55" s="76"/>
      <c r="VCI55" s="76"/>
      <c r="VCJ55" s="76"/>
      <c r="VCK55" s="76"/>
      <c r="VCL55" s="76"/>
      <c r="VCM55" s="76"/>
      <c r="VCN55" s="76"/>
      <c r="VCO55" s="76"/>
      <c r="VCP55" s="76"/>
      <c r="VCQ55" s="76"/>
      <c r="VCR55" s="76"/>
      <c r="VCS55" s="76"/>
      <c r="VCT55" s="76"/>
      <c r="VCU55" s="76"/>
      <c r="VCV55" s="76"/>
      <c r="VCW55" s="76"/>
      <c r="VCX55" s="76"/>
      <c r="VCY55" s="76"/>
      <c r="VCZ55" s="76"/>
      <c r="VDA55" s="76"/>
      <c r="VDB55" s="76"/>
      <c r="VDC55" s="76"/>
      <c r="VDD55" s="76"/>
      <c r="VDE55" s="76"/>
      <c r="VDF55" s="76"/>
      <c r="VDG55" s="76"/>
      <c r="VDH55" s="76"/>
      <c r="VDI55" s="76"/>
      <c r="VDJ55" s="76"/>
      <c r="VDK55" s="76"/>
      <c r="VDL55" s="76"/>
      <c r="VDM55" s="76"/>
      <c r="VDN55" s="76"/>
      <c r="VDO55" s="76"/>
      <c r="VDP55" s="76"/>
      <c r="VDQ55" s="76"/>
      <c r="VDR55" s="76"/>
      <c r="VDS55" s="76"/>
      <c r="VDT55" s="76"/>
      <c r="VDU55" s="76"/>
      <c r="VDV55" s="76"/>
      <c r="VDW55" s="76"/>
      <c r="VDX55" s="76"/>
      <c r="VDY55" s="76"/>
      <c r="VDZ55" s="76"/>
      <c r="VEA55" s="76"/>
      <c r="VEB55" s="76"/>
      <c r="VEC55" s="76"/>
      <c r="VED55" s="76"/>
      <c r="VEE55" s="76"/>
      <c r="VEF55" s="76"/>
      <c r="VEG55" s="76"/>
      <c r="VEH55" s="76"/>
      <c r="VEI55" s="76"/>
      <c r="VEJ55" s="76"/>
      <c r="VEK55" s="76"/>
      <c r="VEL55" s="76"/>
      <c r="VEM55" s="76"/>
      <c r="VEN55" s="76"/>
      <c r="VEO55" s="76"/>
      <c r="VEP55" s="76"/>
      <c r="VEQ55" s="76"/>
      <c r="VER55" s="76"/>
      <c r="VES55" s="76"/>
      <c r="VET55" s="76"/>
      <c r="VEU55" s="76"/>
      <c r="VEV55" s="76"/>
      <c r="VEW55" s="76"/>
      <c r="VEX55" s="76"/>
      <c r="VEY55" s="76"/>
      <c r="VEZ55" s="76"/>
      <c r="VFA55" s="76"/>
      <c r="VFB55" s="76"/>
      <c r="VFC55" s="76"/>
      <c r="VFD55" s="76"/>
      <c r="VFE55" s="76"/>
      <c r="VFF55" s="76"/>
      <c r="VFG55" s="76"/>
      <c r="VFH55" s="76"/>
      <c r="VFI55" s="76"/>
      <c r="VFJ55" s="76"/>
      <c r="VFK55" s="76"/>
      <c r="VFL55" s="76"/>
      <c r="VFM55" s="76"/>
      <c r="VFN55" s="76"/>
      <c r="VFO55" s="76"/>
      <c r="VFP55" s="76"/>
      <c r="VFQ55" s="76"/>
      <c r="VFR55" s="76"/>
      <c r="VFS55" s="76"/>
      <c r="VFT55" s="76"/>
      <c r="VFU55" s="76"/>
      <c r="VFV55" s="76"/>
      <c r="VFW55" s="76"/>
      <c r="VFX55" s="76"/>
      <c r="VFY55" s="76"/>
      <c r="VFZ55" s="76"/>
      <c r="VGA55" s="76"/>
      <c r="VGB55" s="76"/>
      <c r="VGC55" s="76"/>
      <c r="VGD55" s="76"/>
      <c r="VGE55" s="76"/>
      <c r="VGF55" s="76"/>
      <c r="VGG55" s="76"/>
      <c r="VGH55" s="76"/>
      <c r="VGI55" s="76"/>
      <c r="VGJ55" s="76"/>
      <c r="VGK55" s="76"/>
      <c r="VGL55" s="76"/>
      <c r="VGM55" s="76"/>
      <c r="VGN55" s="76"/>
      <c r="VGO55" s="76"/>
      <c r="VGP55" s="76"/>
      <c r="VGQ55" s="76"/>
      <c r="VGR55" s="76"/>
      <c r="VGS55" s="76"/>
      <c r="VGT55" s="76"/>
      <c r="VGU55" s="76"/>
      <c r="VGV55" s="76"/>
      <c r="VGW55" s="76"/>
      <c r="VGX55" s="76"/>
      <c r="VGY55" s="76"/>
      <c r="VGZ55" s="76"/>
      <c r="VHA55" s="76"/>
      <c r="VHB55" s="76"/>
      <c r="VHC55" s="76"/>
      <c r="VHD55" s="76"/>
      <c r="VHE55" s="76"/>
      <c r="VHF55" s="76"/>
      <c r="VHG55" s="76"/>
      <c r="VHH55" s="76"/>
      <c r="VHI55" s="76"/>
      <c r="VHJ55" s="76"/>
      <c r="VHK55" s="76"/>
      <c r="VHL55" s="76"/>
      <c r="VHM55" s="76"/>
      <c r="VHN55" s="76"/>
      <c r="VHO55" s="76"/>
      <c r="VHP55" s="76"/>
      <c r="VHQ55" s="76"/>
      <c r="VHR55" s="76"/>
      <c r="VHS55" s="76"/>
      <c r="VHT55" s="76"/>
      <c r="VHU55" s="76"/>
      <c r="VHV55" s="76"/>
      <c r="VHW55" s="76"/>
      <c r="VHX55" s="76"/>
      <c r="VHY55" s="76"/>
      <c r="VHZ55" s="76"/>
      <c r="VIA55" s="76"/>
      <c r="VIB55" s="76"/>
      <c r="VIC55" s="76"/>
      <c r="VID55" s="76"/>
      <c r="VIE55" s="76"/>
      <c r="VIF55" s="76"/>
      <c r="VIG55" s="76"/>
      <c r="VIH55" s="76"/>
      <c r="VII55" s="76"/>
      <c r="VIJ55" s="76"/>
      <c r="VIK55" s="76"/>
      <c r="VIL55" s="76"/>
      <c r="VIM55" s="76"/>
      <c r="VIN55" s="76"/>
      <c r="VIO55" s="76"/>
      <c r="VIP55" s="76"/>
      <c r="VIQ55" s="76"/>
      <c r="VIR55" s="76"/>
      <c r="VIS55" s="76"/>
      <c r="VIT55" s="76"/>
      <c r="VIU55" s="76"/>
      <c r="VIV55" s="76"/>
      <c r="VIW55" s="76"/>
      <c r="VIX55" s="76"/>
      <c r="VIY55" s="76"/>
      <c r="VIZ55" s="76"/>
      <c r="VJA55" s="76"/>
      <c r="VJB55" s="76"/>
      <c r="VJC55" s="76"/>
      <c r="VJD55" s="76"/>
      <c r="VJE55" s="76"/>
      <c r="VJF55" s="76"/>
      <c r="VJG55" s="76"/>
      <c r="VJH55" s="76"/>
      <c r="VJI55" s="76"/>
      <c r="VJJ55" s="76"/>
      <c r="VJK55" s="76"/>
      <c r="VJL55" s="76"/>
      <c r="VJM55" s="76"/>
      <c r="VJN55" s="76"/>
      <c r="VJO55" s="76"/>
      <c r="VJP55" s="76"/>
      <c r="VJQ55" s="76"/>
      <c r="VJR55" s="76"/>
      <c r="VJS55" s="76"/>
      <c r="VJT55" s="76"/>
      <c r="VJU55" s="76"/>
      <c r="VJV55" s="76"/>
      <c r="VJW55" s="76"/>
      <c r="VJX55" s="76"/>
      <c r="VJY55" s="76"/>
      <c r="VJZ55" s="76"/>
      <c r="VKA55" s="76"/>
      <c r="VKB55" s="76"/>
      <c r="VKC55" s="76"/>
      <c r="VKD55" s="76"/>
      <c r="VKE55" s="76"/>
      <c r="VKF55" s="76"/>
      <c r="VKG55" s="76"/>
      <c r="VKH55" s="76"/>
      <c r="VKI55" s="76"/>
      <c r="VKJ55" s="76"/>
      <c r="VKK55" s="76"/>
      <c r="VKL55" s="76"/>
      <c r="VKM55" s="76"/>
      <c r="VKN55" s="76"/>
      <c r="VKO55" s="76"/>
      <c r="VKP55" s="76"/>
      <c r="VKQ55" s="76"/>
      <c r="VKR55" s="76"/>
      <c r="VKS55" s="76"/>
      <c r="VKT55" s="76"/>
      <c r="VKU55" s="76"/>
      <c r="VKV55" s="76"/>
      <c r="VKW55" s="76"/>
      <c r="VKX55" s="76"/>
      <c r="VKY55" s="76"/>
      <c r="VKZ55" s="76"/>
      <c r="VLA55" s="76"/>
      <c r="VLB55" s="76"/>
      <c r="VLC55" s="76"/>
      <c r="VLD55" s="76"/>
      <c r="VLE55" s="76"/>
      <c r="VLF55" s="76"/>
      <c r="VLG55" s="76"/>
      <c r="VLH55" s="76"/>
      <c r="VLI55" s="76"/>
      <c r="VLJ55" s="76"/>
      <c r="VLK55" s="76"/>
      <c r="VLL55" s="76"/>
      <c r="VLM55" s="76"/>
      <c r="VLN55" s="76"/>
      <c r="VLO55" s="76"/>
      <c r="VLP55" s="76"/>
      <c r="VLQ55" s="76"/>
      <c r="VLR55" s="76"/>
      <c r="VLS55" s="76"/>
      <c r="VLT55" s="76"/>
      <c r="VLU55" s="76"/>
      <c r="VLV55" s="76"/>
      <c r="VLW55" s="76"/>
      <c r="VLX55" s="76"/>
      <c r="VLY55" s="76"/>
      <c r="VLZ55" s="76"/>
      <c r="VMA55" s="76"/>
      <c r="VMB55" s="76"/>
      <c r="VMC55" s="76"/>
      <c r="VMD55" s="76"/>
      <c r="VME55" s="76"/>
      <c r="VMF55" s="76"/>
      <c r="VMG55" s="76"/>
      <c r="VMH55" s="76"/>
      <c r="VMI55" s="76"/>
      <c r="VMJ55" s="76"/>
      <c r="VMK55" s="76"/>
      <c r="VML55" s="76"/>
      <c r="VMM55" s="76"/>
      <c r="VMN55" s="76"/>
      <c r="VMO55" s="76"/>
      <c r="VMP55" s="76"/>
      <c r="VMQ55" s="76"/>
      <c r="VMR55" s="76"/>
      <c r="VMS55" s="76"/>
      <c r="VMT55" s="76"/>
      <c r="VMU55" s="76"/>
      <c r="VMV55" s="76"/>
      <c r="VMW55" s="76"/>
      <c r="VMX55" s="76"/>
      <c r="VMY55" s="76"/>
      <c r="VMZ55" s="76"/>
      <c r="VNA55" s="76"/>
      <c r="VNB55" s="76"/>
      <c r="VNC55" s="76"/>
      <c r="VND55" s="76"/>
      <c r="VNE55" s="76"/>
      <c r="VNF55" s="76"/>
      <c r="VNG55" s="76"/>
      <c r="VNH55" s="76"/>
      <c r="VNI55" s="76"/>
      <c r="VNJ55" s="76"/>
      <c r="VNK55" s="76"/>
      <c r="VNL55" s="76"/>
      <c r="VNM55" s="76"/>
      <c r="VNN55" s="76"/>
      <c r="VNO55" s="76"/>
      <c r="VNP55" s="76"/>
      <c r="VNQ55" s="76"/>
      <c r="VNR55" s="76"/>
      <c r="VNS55" s="76"/>
      <c r="VNT55" s="76"/>
      <c r="VNU55" s="76"/>
      <c r="VNV55" s="76"/>
      <c r="VNW55" s="76"/>
      <c r="VNX55" s="76"/>
      <c r="VNY55" s="76"/>
      <c r="VNZ55" s="76"/>
      <c r="VOA55" s="76"/>
      <c r="VOB55" s="76"/>
      <c r="VOC55" s="76"/>
      <c r="VOD55" s="76"/>
      <c r="VOE55" s="76"/>
      <c r="VOF55" s="76"/>
      <c r="VOG55" s="76"/>
      <c r="VOH55" s="76"/>
      <c r="VOI55" s="76"/>
      <c r="VOJ55" s="76"/>
      <c r="VOK55" s="76"/>
      <c r="VOL55" s="76"/>
      <c r="VOM55" s="76"/>
      <c r="VON55" s="76"/>
      <c r="VOO55" s="76"/>
      <c r="VOP55" s="76"/>
      <c r="VOQ55" s="76"/>
      <c r="VOR55" s="76"/>
      <c r="VOS55" s="76"/>
      <c r="VOT55" s="76"/>
      <c r="VOU55" s="76"/>
      <c r="VOV55" s="76"/>
      <c r="VOW55" s="76"/>
      <c r="VOX55" s="76"/>
      <c r="VOY55" s="76"/>
      <c r="VOZ55" s="76"/>
      <c r="VPA55" s="76"/>
      <c r="VPB55" s="76"/>
      <c r="VPC55" s="76"/>
      <c r="VPD55" s="76"/>
      <c r="VPE55" s="76"/>
      <c r="VPF55" s="76"/>
      <c r="VPG55" s="76"/>
      <c r="VPH55" s="76"/>
      <c r="VPI55" s="76"/>
      <c r="VPJ55" s="76"/>
      <c r="VPK55" s="76"/>
      <c r="VPL55" s="76"/>
      <c r="VPM55" s="76"/>
      <c r="VPN55" s="76"/>
      <c r="VPO55" s="76"/>
      <c r="VPP55" s="76"/>
      <c r="VPQ55" s="76"/>
      <c r="VPR55" s="76"/>
      <c r="VPS55" s="76"/>
      <c r="VPT55" s="76"/>
      <c r="VPU55" s="76"/>
      <c r="VPV55" s="76"/>
      <c r="VPW55" s="76"/>
      <c r="VPX55" s="76"/>
      <c r="VPY55" s="76"/>
      <c r="VPZ55" s="76"/>
      <c r="VQA55" s="76"/>
      <c r="VQB55" s="76"/>
      <c r="VQC55" s="76"/>
      <c r="VQD55" s="76"/>
      <c r="VQE55" s="76"/>
      <c r="VQF55" s="76"/>
      <c r="VQG55" s="76"/>
      <c r="VQH55" s="76"/>
      <c r="VQI55" s="76"/>
      <c r="VQJ55" s="76"/>
      <c r="VQK55" s="76"/>
      <c r="VQL55" s="76"/>
      <c r="VQM55" s="76"/>
      <c r="VQN55" s="76"/>
      <c r="VQO55" s="76"/>
      <c r="VQP55" s="76"/>
      <c r="VQQ55" s="76"/>
      <c r="VQR55" s="76"/>
      <c r="VQS55" s="76"/>
      <c r="VQT55" s="76"/>
      <c r="VQU55" s="76"/>
      <c r="VQV55" s="76"/>
      <c r="VQW55" s="76"/>
      <c r="VQX55" s="76"/>
      <c r="VQY55" s="76"/>
      <c r="VQZ55" s="76"/>
      <c r="VRA55" s="76"/>
      <c r="VRB55" s="76"/>
      <c r="VRC55" s="76"/>
      <c r="VRD55" s="76"/>
      <c r="VRE55" s="76"/>
      <c r="VRF55" s="76"/>
      <c r="VRG55" s="76"/>
      <c r="VRH55" s="76"/>
      <c r="VRI55" s="76"/>
      <c r="VRJ55" s="76"/>
      <c r="VRK55" s="76"/>
      <c r="VRL55" s="76"/>
      <c r="VRM55" s="76"/>
      <c r="VRN55" s="76"/>
      <c r="VRO55" s="76"/>
      <c r="VRP55" s="76"/>
      <c r="VRQ55" s="76"/>
      <c r="VRR55" s="76"/>
      <c r="VRS55" s="76"/>
      <c r="VRT55" s="76"/>
      <c r="VRU55" s="76"/>
      <c r="VRV55" s="76"/>
      <c r="VRW55" s="76"/>
      <c r="VRX55" s="76"/>
      <c r="VRY55" s="76"/>
      <c r="VRZ55" s="76"/>
      <c r="VSA55" s="76"/>
      <c r="VSB55" s="76"/>
      <c r="VSC55" s="76"/>
      <c r="VSD55" s="76"/>
      <c r="VSE55" s="76"/>
      <c r="VSF55" s="76"/>
      <c r="VSG55" s="76"/>
      <c r="VSH55" s="76"/>
      <c r="VSI55" s="76"/>
      <c r="VSJ55" s="76"/>
      <c r="VSK55" s="76"/>
      <c r="VSL55" s="76"/>
      <c r="VSM55" s="76"/>
      <c r="VSN55" s="76"/>
      <c r="VSO55" s="76"/>
      <c r="VSP55" s="76"/>
      <c r="VSQ55" s="76"/>
      <c r="VSR55" s="76"/>
      <c r="VSS55" s="76"/>
      <c r="VST55" s="76"/>
      <c r="VSU55" s="76"/>
      <c r="VSV55" s="76"/>
      <c r="VSW55" s="76"/>
      <c r="VSX55" s="76"/>
      <c r="VSY55" s="76"/>
      <c r="VSZ55" s="76"/>
      <c r="VTA55" s="76"/>
      <c r="VTB55" s="76"/>
      <c r="VTC55" s="76"/>
      <c r="VTD55" s="76"/>
      <c r="VTE55" s="76"/>
      <c r="VTF55" s="76"/>
      <c r="VTG55" s="76"/>
      <c r="VTH55" s="76"/>
      <c r="VTI55" s="76"/>
      <c r="VTJ55" s="76"/>
      <c r="VTK55" s="76"/>
      <c r="VTL55" s="76"/>
      <c r="VTM55" s="76"/>
      <c r="VTN55" s="76"/>
      <c r="VTO55" s="76"/>
      <c r="VTP55" s="76"/>
      <c r="VTQ55" s="76"/>
      <c r="VTR55" s="76"/>
      <c r="VTS55" s="76"/>
      <c r="VTT55" s="76"/>
      <c r="VTU55" s="76"/>
      <c r="VTV55" s="76"/>
      <c r="VTW55" s="76"/>
      <c r="VTX55" s="76"/>
      <c r="VTY55" s="76"/>
      <c r="VTZ55" s="76"/>
      <c r="VUA55" s="76"/>
      <c r="VUB55" s="76"/>
      <c r="VUC55" s="76"/>
      <c r="VUD55" s="76"/>
      <c r="VUE55" s="76"/>
      <c r="VUF55" s="76"/>
      <c r="VUG55" s="76"/>
      <c r="VUH55" s="76"/>
      <c r="VUI55" s="76"/>
      <c r="VUJ55" s="76"/>
      <c r="VUK55" s="76"/>
      <c r="VUL55" s="76"/>
      <c r="VUM55" s="76"/>
      <c r="VUN55" s="76"/>
      <c r="VUO55" s="76"/>
      <c r="VUP55" s="76"/>
      <c r="VUQ55" s="76"/>
      <c r="VUR55" s="76"/>
      <c r="VUS55" s="76"/>
      <c r="VUT55" s="76"/>
      <c r="VUU55" s="76"/>
      <c r="VUV55" s="76"/>
      <c r="VUW55" s="76"/>
      <c r="VUX55" s="76"/>
      <c r="VUY55" s="76"/>
      <c r="VUZ55" s="76"/>
      <c r="VVA55" s="76"/>
      <c r="VVB55" s="76"/>
      <c r="VVC55" s="76"/>
      <c r="VVD55" s="76"/>
      <c r="VVE55" s="76"/>
      <c r="VVF55" s="76"/>
      <c r="VVG55" s="76"/>
      <c r="VVH55" s="76"/>
      <c r="VVI55" s="76"/>
      <c r="VVJ55" s="76"/>
      <c r="VVK55" s="76"/>
      <c r="VVL55" s="76"/>
      <c r="VVM55" s="76"/>
      <c r="VVN55" s="76"/>
      <c r="VVO55" s="76"/>
      <c r="VVP55" s="76"/>
      <c r="VVQ55" s="76"/>
      <c r="VVR55" s="76"/>
      <c r="VVS55" s="76"/>
      <c r="VVT55" s="76"/>
      <c r="VVU55" s="76"/>
      <c r="VVV55" s="76"/>
      <c r="VVW55" s="76"/>
      <c r="VVX55" s="76"/>
      <c r="VVY55" s="76"/>
      <c r="VVZ55" s="76"/>
      <c r="VWA55" s="76"/>
      <c r="VWB55" s="76"/>
      <c r="VWC55" s="76"/>
      <c r="VWD55" s="76"/>
      <c r="VWE55" s="76"/>
      <c r="VWF55" s="76"/>
      <c r="VWG55" s="76"/>
      <c r="VWH55" s="76"/>
      <c r="VWI55" s="76"/>
      <c r="VWJ55" s="76"/>
      <c r="VWK55" s="76"/>
      <c r="VWL55" s="76"/>
      <c r="VWM55" s="76"/>
      <c r="VWN55" s="76"/>
      <c r="VWO55" s="76"/>
      <c r="VWP55" s="76"/>
      <c r="VWQ55" s="76"/>
      <c r="VWR55" s="76"/>
      <c r="VWS55" s="76"/>
      <c r="VWT55" s="76"/>
      <c r="VWU55" s="76"/>
      <c r="VWV55" s="76"/>
      <c r="VWW55" s="76"/>
      <c r="VWX55" s="76"/>
      <c r="VWY55" s="76"/>
      <c r="VWZ55" s="76"/>
      <c r="VXA55" s="76"/>
      <c r="VXB55" s="76"/>
      <c r="VXC55" s="76"/>
      <c r="VXD55" s="76"/>
      <c r="VXE55" s="76"/>
      <c r="VXF55" s="76"/>
      <c r="VXG55" s="76"/>
      <c r="VXH55" s="76"/>
      <c r="VXI55" s="76"/>
      <c r="VXJ55" s="76"/>
      <c r="VXK55" s="76"/>
      <c r="VXL55" s="76"/>
      <c r="VXM55" s="76"/>
      <c r="VXN55" s="76"/>
      <c r="VXO55" s="76"/>
      <c r="VXP55" s="76"/>
      <c r="VXQ55" s="76"/>
      <c r="VXR55" s="76"/>
      <c r="VXS55" s="76"/>
      <c r="VXT55" s="76"/>
      <c r="VXU55" s="76"/>
      <c r="VXV55" s="76"/>
      <c r="VXW55" s="76"/>
      <c r="VXX55" s="76"/>
      <c r="VXY55" s="76"/>
      <c r="VXZ55" s="76"/>
      <c r="VYA55" s="76"/>
      <c r="VYB55" s="76"/>
      <c r="VYC55" s="76"/>
      <c r="VYD55" s="76"/>
      <c r="VYE55" s="76"/>
      <c r="VYF55" s="76"/>
      <c r="VYG55" s="76"/>
      <c r="VYH55" s="76"/>
      <c r="VYI55" s="76"/>
      <c r="VYJ55" s="76"/>
      <c r="VYK55" s="76"/>
      <c r="VYL55" s="76"/>
      <c r="VYM55" s="76"/>
      <c r="VYN55" s="76"/>
      <c r="VYO55" s="76"/>
      <c r="VYP55" s="76"/>
      <c r="VYQ55" s="76"/>
      <c r="VYR55" s="76"/>
      <c r="VYS55" s="76"/>
      <c r="VYT55" s="76"/>
      <c r="VYU55" s="76"/>
      <c r="VYV55" s="76"/>
      <c r="VYW55" s="76"/>
      <c r="VYX55" s="76"/>
      <c r="VYY55" s="76"/>
      <c r="VYZ55" s="76"/>
      <c r="VZA55" s="76"/>
      <c r="VZB55" s="76"/>
      <c r="VZC55" s="76"/>
      <c r="VZD55" s="76"/>
      <c r="VZE55" s="76"/>
      <c r="VZF55" s="76"/>
      <c r="VZG55" s="76"/>
      <c r="VZH55" s="76"/>
      <c r="VZI55" s="76"/>
      <c r="VZJ55" s="76"/>
      <c r="VZK55" s="76"/>
      <c r="VZL55" s="76"/>
      <c r="VZM55" s="76"/>
      <c r="VZN55" s="76"/>
      <c r="VZO55" s="76"/>
      <c r="VZP55" s="76"/>
      <c r="VZQ55" s="76"/>
      <c r="VZR55" s="76"/>
      <c r="VZS55" s="76"/>
      <c r="VZT55" s="76"/>
      <c r="VZU55" s="76"/>
      <c r="VZV55" s="76"/>
      <c r="VZW55" s="76"/>
      <c r="VZX55" s="76"/>
      <c r="VZY55" s="76"/>
      <c r="VZZ55" s="76"/>
      <c r="WAA55" s="76"/>
      <c r="WAB55" s="76"/>
      <c r="WAC55" s="76"/>
      <c r="WAD55" s="76"/>
      <c r="WAE55" s="76"/>
      <c r="WAF55" s="76"/>
      <c r="WAG55" s="76"/>
      <c r="WAH55" s="76"/>
      <c r="WAI55" s="76"/>
      <c r="WAJ55" s="76"/>
      <c r="WAK55" s="76"/>
      <c r="WAL55" s="76"/>
      <c r="WAM55" s="76"/>
      <c r="WAN55" s="76"/>
      <c r="WAO55" s="76"/>
      <c r="WAP55" s="76"/>
      <c r="WAQ55" s="76"/>
      <c r="WAR55" s="76"/>
      <c r="WAS55" s="76"/>
      <c r="WAT55" s="76"/>
      <c r="WAU55" s="76"/>
      <c r="WAV55" s="76"/>
      <c r="WAW55" s="76"/>
      <c r="WAX55" s="76"/>
      <c r="WAY55" s="76"/>
      <c r="WAZ55" s="76"/>
      <c r="WBA55" s="76"/>
      <c r="WBB55" s="76"/>
      <c r="WBC55" s="76"/>
      <c r="WBD55" s="76"/>
      <c r="WBE55" s="76"/>
      <c r="WBF55" s="76"/>
      <c r="WBG55" s="76"/>
      <c r="WBH55" s="76"/>
      <c r="WBI55" s="76"/>
      <c r="WBJ55" s="76"/>
      <c r="WBK55" s="76"/>
      <c r="WBL55" s="76"/>
      <c r="WBM55" s="76"/>
      <c r="WBN55" s="76"/>
      <c r="WBO55" s="76"/>
      <c r="WBP55" s="76"/>
      <c r="WBQ55" s="76"/>
      <c r="WBR55" s="76"/>
      <c r="WBS55" s="76"/>
      <c r="WBT55" s="76"/>
      <c r="WBU55" s="76"/>
      <c r="WBV55" s="76"/>
      <c r="WBW55" s="76"/>
      <c r="WBX55" s="76"/>
      <c r="WBY55" s="76"/>
      <c r="WBZ55" s="76"/>
      <c r="WCA55" s="76"/>
      <c r="WCB55" s="76"/>
      <c r="WCC55" s="76"/>
      <c r="WCD55" s="76"/>
      <c r="WCE55" s="76"/>
      <c r="WCF55" s="76"/>
      <c r="WCG55" s="76"/>
      <c r="WCH55" s="76"/>
      <c r="WCI55" s="76"/>
      <c r="WCJ55" s="76"/>
      <c r="WCK55" s="76"/>
      <c r="WCL55" s="76"/>
      <c r="WCM55" s="76"/>
      <c r="WCN55" s="76"/>
      <c r="WCO55" s="76"/>
      <c r="WCP55" s="76"/>
      <c r="WCQ55" s="76"/>
      <c r="WCR55" s="76"/>
      <c r="WCS55" s="76"/>
      <c r="WCT55" s="76"/>
      <c r="WCU55" s="76"/>
      <c r="WCV55" s="76"/>
      <c r="WCW55" s="76"/>
      <c r="WCX55" s="76"/>
      <c r="WCY55" s="76"/>
      <c r="WCZ55" s="76"/>
      <c r="WDA55" s="76"/>
      <c r="WDB55" s="76"/>
      <c r="WDC55" s="76"/>
      <c r="WDD55" s="76"/>
      <c r="WDE55" s="76"/>
      <c r="WDF55" s="76"/>
      <c r="WDG55" s="76"/>
      <c r="WDH55" s="76"/>
      <c r="WDI55" s="76"/>
      <c r="WDJ55" s="76"/>
      <c r="WDK55" s="76"/>
      <c r="WDL55" s="76"/>
      <c r="WDM55" s="76"/>
      <c r="WDN55" s="76"/>
      <c r="WDO55" s="76"/>
      <c r="WDP55" s="76"/>
      <c r="WDQ55" s="76"/>
      <c r="WDR55" s="76"/>
      <c r="WDS55" s="76"/>
      <c r="WDT55" s="76"/>
      <c r="WDU55" s="76"/>
      <c r="WDV55" s="76"/>
      <c r="WDW55" s="76"/>
      <c r="WDX55" s="76"/>
      <c r="WDY55" s="76"/>
      <c r="WDZ55" s="76"/>
      <c r="WEA55" s="76"/>
      <c r="WEB55" s="76"/>
      <c r="WEC55" s="76"/>
      <c r="WED55" s="76"/>
      <c r="WEE55" s="76"/>
      <c r="WEF55" s="76"/>
      <c r="WEG55" s="76"/>
      <c r="WEH55" s="76"/>
      <c r="WEI55" s="76"/>
      <c r="WEJ55" s="76"/>
      <c r="WEK55" s="76"/>
      <c r="WEL55" s="76"/>
      <c r="WEM55" s="76"/>
      <c r="WEN55" s="76"/>
      <c r="WEO55" s="76"/>
      <c r="WEP55" s="76"/>
      <c r="WEQ55" s="76"/>
      <c r="WER55" s="76"/>
      <c r="WES55" s="76"/>
      <c r="WET55" s="76"/>
      <c r="WEU55" s="76"/>
      <c r="WEV55" s="76"/>
      <c r="WEW55" s="76"/>
      <c r="WEX55" s="76"/>
      <c r="WEY55" s="76"/>
      <c r="WEZ55" s="76"/>
      <c r="WFA55" s="76"/>
      <c r="WFB55" s="76"/>
      <c r="WFC55" s="76"/>
      <c r="WFD55" s="76"/>
      <c r="WFE55" s="76"/>
      <c r="WFF55" s="76"/>
      <c r="WFG55" s="76"/>
      <c r="WFH55" s="76"/>
      <c r="WFI55" s="76"/>
      <c r="WFJ55" s="76"/>
      <c r="WFK55" s="76"/>
      <c r="WFL55" s="76"/>
      <c r="WFM55" s="76"/>
      <c r="WFN55" s="76"/>
      <c r="WFO55" s="76"/>
      <c r="WFP55" s="76"/>
      <c r="WFQ55" s="76"/>
      <c r="WFR55" s="76"/>
      <c r="WFS55" s="76"/>
      <c r="WFT55" s="76"/>
      <c r="WFU55" s="76"/>
      <c r="WFV55" s="76"/>
      <c r="WFW55" s="76"/>
      <c r="WFX55" s="76"/>
      <c r="WFY55" s="76"/>
      <c r="WFZ55" s="76"/>
      <c r="WGA55" s="76"/>
      <c r="WGB55" s="76"/>
      <c r="WGC55" s="76"/>
      <c r="WGD55" s="76"/>
      <c r="WGE55" s="76"/>
      <c r="WGF55" s="76"/>
      <c r="WGG55" s="76"/>
      <c r="WGH55" s="76"/>
      <c r="WGI55" s="76"/>
      <c r="WGJ55" s="76"/>
      <c r="WGK55" s="76"/>
      <c r="WGL55" s="76"/>
      <c r="WGM55" s="76"/>
      <c r="WGN55" s="76"/>
      <c r="WGO55" s="76"/>
      <c r="WGP55" s="76"/>
      <c r="WGQ55" s="76"/>
      <c r="WGR55" s="76"/>
      <c r="WGS55" s="76"/>
      <c r="WGT55" s="76"/>
      <c r="WGU55" s="76"/>
      <c r="WGV55" s="76"/>
      <c r="WGW55" s="76"/>
      <c r="WGX55" s="76"/>
      <c r="WGY55" s="76"/>
      <c r="WGZ55" s="76"/>
      <c r="WHA55" s="76"/>
      <c r="WHB55" s="76"/>
      <c r="WHC55" s="76"/>
      <c r="WHD55" s="76"/>
      <c r="WHE55" s="76"/>
      <c r="WHF55" s="76"/>
      <c r="WHG55" s="76"/>
      <c r="WHH55" s="76"/>
      <c r="WHI55" s="76"/>
      <c r="WHJ55" s="76"/>
      <c r="WHK55" s="76"/>
      <c r="WHL55" s="76"/>
      <c r="WHM55" s="76"/>
      <c r="WHN55" s="76"/>
      <c r="WHO55" s="76"/>
      <c r="WHP55" s="76"/>
      <c r="WHQ55" s="76"/>
      <c r="WHR55" s="76"/>
      <c r="WHS55" s="76"/>
      <c r="WHT55" s="76"/>
      <c r="WHU55" s="76"/>
      <c r="WHV55" s="76"/>
      <c r="WHW55" s="76"/>
      <c r="WHX55" s="76"/>
      <c r="WHY55" s="76"/>
      <c r="WHZ55" s="76"/>
      <c r="WIA55" s="76"/>
      <c r="WIB55" s="76"/>
      <c r="WIC55" s="76"/>
      <c r="WID55" s="76"/>
      <c r="WIE55" s="76"/>
      <c r="WIF55" s="76"/>
      <c r="WIG55" s="76"/>
      <c r="WIH55" s="76"/>
      <c r="WII55" s="76"/>
      <c r="WIJ55" s="76"/>
      <c r="WIK55" s="76"/>
      <c r="WIL55" s="76"/>
      <c r="WIM55" s="76"/>
      <c r="WIN55" s="76"/>
      <c r="WIO55" s="76"/>
      <c r="WIP55" s="76"/>
      <c r="WIQ55" s="76"/>
      <c r="WIR55" s="76"/>
      <c r="WIS55" s="76"/>
      <c r="WIT55" s="76"/>
      <c r="WIU55" s="76"/>
      <c r="WIV55" s="76"/>
      <c r="WIW55" s="76"/>
      <c r="WIX55" s="76"/>
      <c r="WIY55" s="76"/>
      <c r="WIZ55" s="76"/>
      <c r="WJA55" s="76"/>
      <c r="WJB55" s="76"/>
      <c r="WJC55" s="76"/>
      <c r="WJD55" s="76"/>
      <c r="WJE55" s="76"/>
      <c r="WJF55" s="76"/>
      <c r="WJG55" s="76"/>
      <c r="WJH55" s="76"/>
      <c r="WJI55" s="76"/>
      <c r="WJJ55" s="76"/>
      <c r="WJK55" s="76"/>
      <c r="WJL55" s="76"/>
      <c r="WJM55" s="76"/>
      <c r="WJN55" s="76"/>
      <c r="WJO55" s="76"/>
      <c r="WJP55" s="76"/>
      <c r="WJQ55" s="76"/>
      <c r="WJR55" s="76"/>
      <c r="WJS55" s="76"/>
      <c r="WJT55" s="76"/>
      <c r="WJU55" s="76"/>
      <c r="WJV55" s="76"/>
      <c r="WJW55" s="76"/>
      <c r="WJX55" s="76"/>
      <c r="WJY55" s="76"/>
      <c r="WJZ55" s="76"/>
      <c r="WKA55" s="76"/>
      <c r="WKB55" s="76"/>
      <c r="WKC55" s="76"/>
      <c r="WKD55" s="76"/>
      <c r="WKE55" s="76"/>
      <c r="WKF55" s="76"/>
      <c r="WKG55" s="76"/>
      <c r="WKH55" s="76"/>
      <c r="WKI55" s="76"/>
      <c r="WKJ55" s="76"/>
      <c r="WKK55" s="76"/>
      <c r="WKL55" s="76"/>
      <c r="WKM55" s="76"/>
      <c r="WKN55" s="76"/>
      <c r="WKO55" s="76"/>
      <c r="WKP55" s="76"/>
      <c r="WKQ55" s="76"/>
      <c r="WKR55" s="76"/>
      <c r="WKS55" s="76"/>
      <c r="WKT55" s="76"/>
      <c r="WKU55" s="76"/>
      <c r="WKV55" s="76"/>
      <c r="WKW55" s="76"/>
      <c r="WKX55" s="76"/>
      <c r="WKY55" s="76"/>
      <c r="WKZ55" s="76"/>
      <c r="WLA55" s="76"/>
      <c r="WLB55" s="76"/>
      <c r="WLC55" s="76"/>
      <c r="WLD55" s="76"/>
      <c r="WLE55" s="76"/>
      <c r="WLF55" s="76"/>
      <c r="WLG55" s="76"/>
      <c r="WLH55" s="76"/>
      <c r="WLI55" s="76"/>
      <c r="WLJ55" s="76"/>
      <c r="WLK55" s="76"/>
      <c r="WLL55" s="76"/>
      <c r="WLM55" s="76"/>
      <c r="WLN55" s="76"/>
      <c r="WLO55" s="76"/>
      <c r="WLP55" s="76"/>
      <c r="WLQ55" s="76"/>
      <c r="WLR55" s="76"/>
      <c r="WLS55" s="76"/>
      <c r="WLT55" s="76"/>
      <c r="WLU55" s="76"/>
      <c r="WLV55" s="76"/>
      <c r="WLW55" s="76"/>
      <c r="WLX55" s="76"/>
      <c r="WLY55" s="76"/>
      <c r="WLZ55" s="76"/>
      <c r="WMA55" s="76"/>
      <c r="WMB55" s="76"/>
      <c r="WMC55" s="76"/>
      <c r="WMD55" s="76"/>
      <c r="WME55" s="76"/>
      <c r="WMF55" s="76"/>
      <c r="WMG55" s="76"/>
      <c r="WMH55" s="76"/>
      <c r="WMI55" s="76"/>
      <c r="WMJ55" s="76"/>
      <c r="WMK55" s="76"/>
      <c r="WML55" s="76"/>
      <c r="WMM55" s="76"/>
      <c r="WMN55" s="76"/>
      <c r="WMO55" s="76"/>
      <c r="WMP55" s="76"/>
      <c r="WMQ55" s="76"/>
      <c r="WMR55" s="76"/>
      <c r="WMS55" s="76"/>
      <c r="WMT55" s="76"/>
      <c r="WMU55" s="76"/>
      <c r="WMV55" s="76"/>
      <c r="WMW55" s="76"/>
      <c r="WMX55" s="76"/>
      <c r="WMY55" s="76"/>
      <c r="WMZ55" s="76"/>
      <c r="WNA55" s="76"/>
      <c r="WNB55" s="76"/>
      <c r="WNC55" s="76"/>
      <c r="WND55" s="76"/>
      <c r="WNE55" s="76"/>
      <c r="WNF55" s="76"/>
      <c r="WNG55" s="76"/>
      <c r="WNH55" s="76"/>
      <c r="WNI55" s="76"/>
      <c r="WNJ55" s="76"/>
      <c r="WNK55" s="76"/>
      <c r="WNL55" s="76"/>
      <c r="WNM55" s="76"/>
      <c r="WNN55" s="76"/>
      <c r="WNO55" s="76"/>
      <c r="WNP55" s="76"/>
      <c r="WNQ55" s="76"/>
      <c r="WNR55" s="76"/>
      <c r="WNS55" s="76"/>
      <c r="WNT55" s="76"/>
      <c r="WNU55" s="76"/>
      <c r="WNV55" s="76"/>
      <c r="WNW55" s="76"/>
      <c r="WNX55" s="76"/>
      <c r="WNY55" s="76"/>
      <c r="WNZ55" s="76"/>
      <c r="WOA55" s="76"/>
      <c r="WOB55" s="76"/>
      <c r="WOC55" s="76"/>
      <c r="WOD55" s="76"/>
      <c r="WOE55" s="76"/>
      <c r="WOF55" s="76"/>
      <c r="WOG55" s="76"/>
      <c r="WOH55" s="76"/>
      <c r="WOI55" s="76"/>
      <c r="WOJ55" s="76"/>
      <c r="WOK55" s="76"/>
      <c r="WOL55" s="76"/>
      <c r="WOM55" s="76"/>
      <c r="WON55" s="76"/>
      <c r="WOO55" s="76"/>
      <c r="WOP55" s="76"/>
      <c r="WOQ55" s="76"/>
      <c r="WOR55" s="76"/>
      <c r="WOS55" s="76"/>
      <c r="WOT55" s="76"/>
      <c r="WOU55" s="76"/>
      <c r="WOV55" s="76"/>
      <c r="WOW55" s="76"/>
      <c r="WOX55" s="76"/>
      <c r="WOY55" s="76"/>
      <c r="WOZ55" s="76"/>
      <c r="WPA55" s="76"/>
      <c r="WPB55" s="76"/>
      <c r="WPC55" s="76"/>
      <c r="WPD55" s="76"/>
      <c r="WPE55" s="76"/>
      <c r="WPF55" s="76"/>
      <c r="WPG55" s="76"/>
      <c r="WPH55" s="76"/>
      <c r="WPI55" s="76"/>
      <c r="WPJ55" s="76"/>
      <c r="WPK55" s="76"/>
      <c r="WPL55" s="76"/>
      <c r="WPM55" s="76"/>
      <c r="WPN55" s="76"/>
      <c r="WPO55" s="76"/>
      <c r="WPP55" s="76"/>
      <c r="WPQ55" s="76"/>
      <c r="WPR55" s="76"/>
      <c r="WPS55" s="76"/>
      <c r="WPT55" s="76"/>
      <c r="WPU55" s="76"/>
      <c r="WPV55" s="76"/>
      <c r="WPW55" s="76"/>
      <c r="WPX55" s="76"/>
      <c r="WPY55" s="76"/>
      <c r="WPZ55" s="76"/>
      <c r="WQA55" s="76"/>
      <c r="WQB55" s="76"/>
      <c r="WQC55" s="76"/>
      <c r="WQD55" s="76"/>
      <c r="WQE55" s="76"/>
      <c r="WQF55" s="76"/>
      <c r="WQG55" s="76"/>
      <c r="WQH55" s="76"/>
      <c r="WQI55" s="76"/>
      <c r="WQJ55" s="76"/>
      <c r="WQK55" s="76"/>
      <c r="WQL55" s="76"/>
      <c r="WQM55" s="76"/>
      <c r="WQN55" s="76"/>
      <c r="WQO55" s="76"/>
      <c r="WQP55" s="76"/>
      <c r="WQQ55" s="76"/>
      <c r="WQR55" s="76"/>
      <c r="WQS55" s="76"/>
      <c r="WQT55" s="76"/>
      <c r="WQU55" s="76"/>
      <c r="WQV55" s="76"/>
      <c r="WQW55" s="76"/>
      <c r="WQX55" s="76"/>
      <c r="WQY55" s="76"/>
      <c r="WQZ55" s="76"/>
      <c r="WRA55" s="76"/>
      <c r="WRB55" s="76"/>
      <c r="WRC55" s="76"/>
      <c r="WRD55" s="76"/>
      <c r="WRE55" s="76"/>
      <c r="WRF55" s="76"/>
      <c r="WRG55" s="76"/>
      <c r="WRH55" s="76"/>
      <c r="WRI55" s="76"/>
      <c r="WRJ55" s="76"/>
      <c r="WRK55" s="76"/>
      <c r="WRL55" s="76"/>
      <c r="WRM55" s="76"/>
      <c r="WRN55" s="76"/>
      <c r="WRO55" s="76"/>
      <c r="WRP55" s="76"/>
      <c r="WRQ55" s="76"/>
      <c r="WRR55" s="76"/>
      <c r="WRS55" s="76"/>
      <c r="WRT55" s="76"/>
      <c r="WRU55" s="76"/>
      <c r="WRV55" s="76"/>
      <c r="WRW55" s="76"/>
      <c r="WRX55" s="76"/>
      <c r="WRY55" s="76"/>
      <c r="WRZ55" s="76"/>
      <c r="WSA55" s="76"/>
      <c r="WSB55" s="76"/>
      <c r="WSC55" s="76"/>
      <c r="WSD55" s="76"/>
      <c r="WSE55" s="76"/>
      <c r="WSF55" s="76"/>
      <c r="WSG55" s="76"/>
      <c r="WSH55" s="76"/>
      <c r="WSI55" s="76"/>
      <c r="WSJ55" s="76"/>
      <c r="WSK55" s="76"/>
      <c r="WSL55" s="76"/>
      <c r="WSM55" s="76"/>
      <c r="WSN55" s="76"/>
      <c r="WSO55" s="76"/>
      <c r="WSP55" s="76"/>
      <c r="WSQ55" s="76"/>
      <c r="WSR55" s="76"/>
      <c r="WSS55" s="76"/>
      <c r="WST55" s="76"/>
      <c r="WSU55" s="76"/>
      <c r="WSV55" s="76"/>
      <c r="WSW55" s="76"/>
      <c r="WSX55" s="76"/>
      <c r="WSY55" s="76"/>
      <c r="WSZ55" s="76"/>
      <c r="WTA55" s="76"/>
      <c r="WTB55" s="76"/>
      <c r="WTC55" s="76"/>
      <c r="WTD55" s="76"/>
      <c r="WTE55" s="76"/>
      <c r="WTF55" s="76"/>
      <c r="WTG55" s="76"/>
      <c r="WTH55" s="76"/>
      <c r="WTI55" s="76"/>
      <c r="WTJ55" s="76"/>
      <c r="WTK55" s="76"/>
      <c r="WTL55" s="76"/>
      <c r="WTM55" s="76"/>
      <c r="WTN55" s="76"/>
      <c r="WTO55" s="76"/>
      <c r="WTP55" s="76"/>
      <c r="WTQ55" s="76"/>
      <c r="WTR55" s="76"/>
      <c r="WTS55" s="76"/>
      <c r="WTT55" s="76"/>
      <c r="WTU55" s="76"/>
      <c r="WTV55" s="76"/>
      <c r="WTW55" s="76"/>
      <c r="WTX55" s="76"/>
      <c r="WTY55" s="76"/>
      <c r="WTZ55" s="76"/>
      <c r="WUA55" s="76"/>
      <c r="WUB55" s="76"/>
      <c r="WUC55" s="76"/>
      <c r="WUD55" s="76"/>
      <c r="WUE55" s="76"/>
      <c r="WUF55" s="76"/>
      <c r="WUG55" s="76"/>
      <c r="WUH55" s="76"/>
      <c r="WUI55" s="76"/>
      <c r="WUJ55" s="76"/>
      <c r="WUK55" s="76"/>
      <c r="WUL55" s="76"/>
      <c r="WUM55" s="76"/>
      <c r="WUN55" s="76"/>
      <c r="WUO55" s="76"/>
      <c r="WUP55" s="76"/>
      <c r="WUQ55" s="76"/>
      <c r="WUR55" s="76"/>
      <c r="WUS55" s="76"/>
      <c r="WUT55" s="76"/>
      <c r="WUU55" s="76"/>
      <c r="WUV55" s="76"/>
      <c r="WUW55" s="76"/>
      <c r="WUX55" s="76"/>
      <c r="WUY55" s="76"/>
      <c r="WUZ55" s="76"/>
      <c r="WVA55" s="76"/>
      <c r="WVB55" s="76"/>
      <c r="WVC55" s="76"/>
      <c r="WVD55" s="76"/>
      <c r="WVE55" s="76"/>
      <c r="WVF55" s="76"/>
      <c r="WVG55" s="76"/>
      <c r="WVH55" s="76"/>
      <c r="WVI55" s="76"/>
      <c r="WVJ55" s="76"/>
      <c r="WVK55" s="76"/>
      <c r="WVL55" s="76"/>
      <c r="WVM55" s="76"/>
      <c r="WVN55" s="76"/>
      <c r="WVO55" s="76"/>
      <c r="WVP55" s="76"/>
      <c r="WVQ55" s="76"/>
      <c r="WVR55" s="76"/>
      <c r="WVS55" s="76"/>
      <c r="WVT55" s="76"/>
      <c r="WVU55" s="76"/>
      <c r="WVV55" s="76"/>
      <c r="WVW55" s="76"/>
      <c r="WVX55" s="76"/>
      <c r="WVY55" s="76"/>
      <c r="WVZ55" s="76"/>
      <c r="WWA55" s="76"/>
      <c r="WWB55" s="76"/>
      <c r="WWC55" s="76"/>
      <c r="WWD55" s="76"/>
      <c r="WWE55" s="76"/>
      <c r="WWF55" s="76"/>
      <c r="WWG55" s="76"/>
      <c r="WWH55" s="76"/>
      <c r="WWI55" s="76"/>
      <c r="WWJ55" s="76"/>
      <c r="WWK55" s="76"/>
      <c r="WWL55" s="76"/>
      <c r="WWM55" s="76"/>
      <c r="WWN55" s="76"/>
      <c r="WWO55" s="76"/>
      <c r="WWP55" s="76"/>
      <c r="WWQ55" s="76"/>
      <c r="WWR55" s="76"/>
      <c r="WWS55" s="76"/>
      <c r="WWT55" s="76"/>
      <c r="WWU55" s="76"/>
      <c r="WWV55" s="76"/>
      <c r="WWW55" s="76"/>
      <c r="WWX55" s="76"/>
      <c r="WWY55" s="76"/>
      <c r="WWZ55" s="76"/>
      <c r="WXA55" s="76"/>
    </row>
    <row r="56" spans="1:16173" s="77" customFormat="1" ht="34" customHeight="1" x14ac:dyDescent="0.55000000000000004">
      <c r="A56" s="76"/>
      <c r="B56" s="76"/>
      <c r="C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  <c r="BV56" s="76"/>
      <c r="BW56" s="76"/>
      <c r="BX56" s="76"/>
      <c r="BY56" s="76"/>
      <c r="BZ56" s="76"/>
      <c r="CA56" s="76"/>
      <c r="CB56" s="76"/>
      <c r="CC56" s="76"/>
      <c r="CD56" s="76"/>
      <c r="CE56" s="76"/>
      <c r="CF56" s="76"/>
      <c r="CG56" s="76"/>
      <c r="CH56" s="76"/>
      <c r="CI56" s="76"/>
      <c r="CJ56" s="76"/>
      <c r="CK56" s="76"/>
      <c r="CL56" s="76"/>
      <c r="CM56" s="76"/>
      <c r="CN56" s="76"/>
      <c r="CO56" s="76"/>
      <c r="CP56" s="76"/>
      <c r="CQ56" s="76"/>
      <c r="CR56" s="76"/>
      <c r="CS56" s="76"/>
      <c r="CT56" s="76"/>
      <c r="CU56" s="76"/>
      <c r="CV56" s="76"/>
      <c r="CW56" s="76"/>
      <c r="CX56" s="76"/>
      <c r="CY56" s="76"/>
      <c r="CZ56" s="76"/>
      <c r="DA56" s="76"/>
      <c r="DB56" s="76"/>
      <c r="DC56" s="76"/>
      <c r="DD56" s="76"/>
      <c r="DE56" s="76"/>
      <c r="DF56" s="76"/>
      <c r="DG56" s="76"/>
      <c r="DH56" s="76"/>
      <c r="DI56" s="76"/>
      <c r="DJ56" s="76"/>
      <c r="DK56" s="76"/>
      <c r="DL56" s="76"/>
      <c r="DM56" s="76"/>
      <c r="DN56" s="76"/>
      <c r="DO56" s="76"/>
      <c r="DP56" s="76"/>
      <c r="DQ56" s="76"/>
      <c r="DR56" s="76"/>
      <c r="DS56" s="76"/>
      <c r="DT56" s="76"/>
      <c r="DU56" s="76"/>
      <c r="DV56" s="76"/>
      <c r="DW56" s="76"/>
      <c r="DX56" s="76"/>
      <c r="DY56" s="76"/>
      <c r="DZ56" s="76"/>
      <c r="EA56" s="76"/>
      <c r="EB56" s="76"/>
      <c r="EC56" s="76"/>
      <c r="ED56" s="76"/>
      <c r="EE56" s="76"/>
      <c r="EF56" s="76"/>
      <c r="EG56" s="76"/>
      <c r="EH56" s="76"/>
      <c r="EI56" s="76"/>
      <c r="EJ56" s="76"/>
      <c r="EK56" s="76"/>
      <c r="EL56" s="76"/>
      <c r="EM56" s="76"/>
      <c r="EN56" s="76"/>
      <c r="EO56" s="76"/>
      <c r="EP56" s="76"/>
      <c r="EQ56" s="76"/>
      <c r="ER56" s="76"/>
      <c r="ES56" s="76"/>
      <c r="ET56" s="76"/>
      <c r="EU56" s="76"/>
      <c r="EV56" s="76"/>
      <c r="EW56" s="76"/>
      <c r="EX56" s="76"/>
      <c r="EY56" s="76"/>
      <c r="EZ56" s="76"/>
      <c r="FA56" s="76"/>
      <c r="FB56" s="76"/>
      <c r="FC56" s="76"/>
      <c r="FD56" s="76"/>
      <c r="FE56" s="76"/>
      <c r="FF56" s="76"/>
      <c r="FG56" s="76"/>
      <c r="FH56" s="76"/>
      <c r="FI56" s="76"/>
      <c r="FJ56" s="76"/>
      <c r="FK56" s="76"/>
      <c r="FL56" s="76"/>
      <c r="FM56" s="76"/>
      <c r="FN56" s="76"/>
      <c r="FO56" s="76"/>
      <c r="FP56" s="76"/>
      <c r="FQ56" s="76"/>
      <c r="FR56" s="76"/>
      <c r="FS56" s="76"/>
      <c r="FT56" s="76"/>
      <c r="FU56" s="76"/>
      <c r="FV56" s="76"/>
      <c r="FW56" s="76"/>
      <c r="FX56" s="76"/>
      <c r="FY56" s="76"/>
      <c r="FZ56" s="76"/>
      <c r="GA56" s="76"/>
      <c r="GB56" s="76"/>
      <c r="GC56" s="76"/>
      <c r="GD56" s="76"/>
      <c r="GE56" s="76"/>
      <c r="GF56" s="76"/>
      <c r="GG56" s="76"/>
      <c r="GH56" s="76"/>
      <c r="GI56" s="76"/>
      <c r="GJ56" s="76"/>
      <c r="GK56" s="76"/>
      <c r="GL56" s="76"/>
      <c r="GM56" s="76"/>
      <c r="GN56" s="76"/>
      <c r="GO56" s="76"/>
      <c r="GP56" s="76"/>
      <c r="GQ56" s="76"/>
      <c r="GR56" s="76"/>
      <c r="GS56" s="76"/>
      <c r="GT56" s="76"/>
      <c r="GU56" s="76"/>
      <c r="GV56" s="76"/>
      <c r="GW56" s="76"/>
      <c r="GX56" s="76"/>
      <c r="GY56" s="76"/>
      <c r="GZ56" s="76"/>
      <c r="HA56" s="76"/>
      <c r="HB56" s="76"/>
      <c r="HC56" s="76"/>
      <c r="HD56" s="76"/>
      <c r="HE56" s="76"/>
      <c r="HF56" s="76"/>
      <c r="HG56" s="76"/>
      <c r="HH56" s="76"/>
      <c r="HI56" s="76"/>
      <c r="HJ56" s="76"/>
      <c r="HK56" s="76"/>
      <c r="HL56" s="76"/>
      <c r="HM56" s="76"/>
      <c r="HN56" s="76"/>
      <c r="HO56" s="76"/>
      <c r="HP56" s="76"/>
      <c r="HQ56" s="76"/>
      <c r="HR56" s="76"/>
      <c r="HS56" s="76"/>
      <c r="HT56" s="76"/>
      <c r="HU56" s="76"/>
      <c r="HV56" s="76"/>
      <c r="HW56" s="76"/>
      <c r="HX56" s="76"/>
      <c r="HY56" s="76"/>
      <c r="HZ56" s="76"/>
      <c r="IA56" s="76"/>
      <c r="IB56" s="76"/>
      <c r="IC56" s="76"/>
      <c r="ID56" s="76"/>
      <c r="IE56" s="76"/>
      <c r="IF56" s="76"/>
      <c r="IG56" s="76"/>
      <c r="IH56" s="76"/>
      <c r="II56" s="76"/>
      <c r="IJ56" s="76"/>
      <c r="IK56" s="76"/>
      <c r="IL56" s="76"/>
      <c r="IM56" s="76"/>
      <c r="IN56" s="76"/>
      <c r="IO56" s="76"/>
      <c r="IP56" s="76"/>
      <c r="IQ56" s="76"/>
      <c r="IR56" s="76"/>
      <c r="IS56" s="76"/>
      <c r="IT56" s="76"/>
      <c r="IU56" s="76"/>
      <c r="IV56" s="76"/>
      <c r="IW56" s="76"/>
      <c r="IX56" s="76"/>
      <c r="IY56" s="76"/>
      <c r="IZ56" s="76"/>
      <c r="JA56" s="76"/>
      <c r="JB56" s="76"/>
      <c r="JC56" s="76"/>
      <c r="JD56" s="76"/>
      <c r="JE56" s="76"/>
      <c r="JF56" s="76"/>
      <c r="JG56" s="76"/>
      <c r="JH56" s="76"/>
      <c r="JI56" s="76"/>
      <c r="JJ56" s="76"/>
      <c r="JK56" s="76"/>
      <c r="JL56" s="76"/>
      <c r="JM56" s="76"/>
      <c r="JN56" s="76"/>
      <c r="JO56" s="76"/>
      <c r="JP56" s="76"/>
      <c r="JQ56" s="76"/>
      <c r="JR56" s="76"/>
      <c r="JS56" s="76"/>
      <c r="JT56" s="76"/>
      <c r="JU56" s="76"/>
      <c r="JV56" s="76"/>
      <c r="JW56" s="76"/>
      <c r="JX56" s="76"/>
      <c r="JY56" s="76"/>
      <c r="JZ56" s="76"/>
      <c r="KA56" s="76"/>
      <c r="KB56" s="76"/>
      <c r="KC56" s="76"/>
      <c r="KD56" s="76"/>
      <c r="KE56" s="76"/>
      <c r="KF56" s="76"/>
      <c r="KG56" s="76"/>
      <c r="KH56" s="76"/>
      <c r="KI56" s="76"/>
      <c r="KJ56" s="76"/>
      <c r="KK56" s="76"/>
      <c r="KL56" s="76"/>
      <c r="KM56" s="76"/>
      <c r="KN56" s="76"/>
      <c r="KO56" s="76"/>
      <c r="KP56" s="76"/>
      <c r="KQ56" s="76"/>
      <c r="KR56" s="76"/>
      <c r="KS56" s="76"/>
      <c r="KT56" s="76"/>
      <c r="KU56" s="76"/>
      <c r="KV56" s="76"/>
      <c r="KW56" s="76"/>
      <c r="KX56" s="76"/>
      <c r="KY56" s="76"/>
      <c r="KZ56" s="76"/>
      <c r="LA56" s="76"/>
      <c r="LB56" s="76"/>
      <c r="LC56" s="76"/>
      <c r="LD56" s="76"/>
      <c r="LE56" s="76"/>
      <c r="LF56" s="76"/>
      <c r="LG56" s="76"/>
      <c r="LH56" s="76"/>
      <c r="LI56" s="76"/>
      <c r="LJ56" s="76"/>
      <c r="LK56" s="76"/>
      <c r="LL56" s="76"/>
      <c r="LM56" s="76"/>
      <c r="LN56" s="76"/>
      <c r="LO56" s="76"/>
      <c r="LP56" s="76"/>
      <c r="LQ56" s="76"/>
      <c r="LR56" s="76"/>
      <c r="LS56" s="76"/>
      <c r="LT56" s="76"/>
      <c r="LU56" s="76"/>
      <c r="LV56" s="76"/>
      <c r="LW56" s="76"/>
      <c r="LX56" s="76"/>
      <c r="LY56" s="76"/>
      <c r="LZ56" s="76"/>
      <c r="MA56" s="76"/>
      <c r="MB56" s="76"/>
      <c r="MC56" s="76"/>
      <c r="MD56" s="76"/>
      <c r="ME56" s="76"/>
      <c r="MF56" s="76"/>
      <c r="MG56" s="76"/>
      <c r="MH56" s="76"/>
      <c r="MI56" s="76"/>
      <c r="MJ56" s="76"/>
      <c r="MK56" s="76"/>
      <c r="ML56" s="76"/>
      <c r="MM56" s="76"/>
      <c r="MN56" s="76"/>
      <c r="MO56" s="76"/>
      <c r="MP56" s="76"/>
      <c r="MQ56" s="76"/>
      <c r="MR56" s="76"/>
      <c r="MS56" s="76"/>
      <c r="MT56" s="76"/>
      <c r="MU56" s="76"/>
      <c r="MV56" s="76"/>
      <c r="MW56" s="76"/>
      <c r="MX56" s="76"/>
      <c r="MY56" s="76"/>
      <c r="MZ56" s="76"/>
      <c r="NA56" s="76"/>
      <c r="NB56" s="76"/>
      <c r="NC56" s="76"/>
      <c r="ND56" s="76"/>
      <c r="NE56" s="76"/>
      <c r="NF56" s="76"/>
      <c r="NG56" s="76"/>
      <c r="NH56" s="76"/>
      <c r="NI56" s="76"/>
      <c r="NJ56" s="76"/>
      <c r="NK56" s="76"/>
      <c r="NL56" s="76"/>
      <c r="NM56" s="76"/>
      <c r="NN56" s="76"/>
      <c r="NO56" s="76"/>
      <c r="NP56" s="76"/>
      <c r="NQ56" s="76"/>
      <c r="NR56" s="76"/>
      <c r="NS56" s="76"/>
      <c r="NT56" s="76"/>
      <c r="NU56" s="76"/>
      <c r="NV56" s="76"/>
      <c r="NW56" s="76"/>
      <c r="NX56" s="76"/>
      <c r="NY56" s="76"/>
      <c r="NZ56" s="76"/>
      <c r="OA56" s="76"/>
      <c r="OB56" s="76"/>
      <c r="OC56" s="76"/>
      <c r="OD56" s="76"/>
      <c r="OE56" s="76"/>
      <c r="OF56" s="76"/>
      <c r="OG56" s="76"/>
      <c r="OH56" s="76"/>
      <c r="OI56" s="76"/>
      <c r="OJ56" s="76"/>
      <c r="OK56" s="76"/>
      <c r="OL56" s="76"/>
      <c r="OM56" s="76"/>
      <c r="ON56" s="76"/>
      <c r="OO56" s="76"/>
      <c r="OP56" s="76"/>
      <c r="OQ56" s="76"/>
      <c r="OR56" s="76"/>
      <c r="OS56" s="76"/>
      <c r="OT56" s="76"/>
      <c r="OU56" s="76"/>
      <c r="OV56" s="76"/>
      <c r="OW56" s="76"/>
      <c r="OX56" s="76"/>
      <c r="OY56" s="76"/>
      <c r="OZ56" s="76"/>
      <c r="PA56" s="76"/>
      <c r="PB56" s="76"/>
      <c r="PC56" s="76"/>
      <c r="PD56" s="76"/>
      <c r="PE56" s="76"/>
      <c r="PF56" s="76"/>
      <c r="PG56" s="76"/>
      <c r="PH56" s="76"/>
      <c r="PI56" s="76"/>
      <c r="PJ56" s="76"/>
      <c r="PK56" s="76"/>
      <c r="PL56" s="76"/>
      <c r="PM56" s="76"/>
      <c r="PN56" s="76"/>
      <c r="PO56" s="76"/>
      <c r="PP56" s="76"/>
      <c r="PQ56" s="76"/>
      <c r="PR56" s="76"/>
      <c r="PS56" s="76"/>
      <c r="PT56" s="76"/>
      <c r="PU56" s="76"/>
      <c r="PV56" s="76"/>
      <c r="PW56" s="76"/>
      <c r="PX56" s="76"/>
      <c r="PY56" s="76"/>
      <c r="PZ56" s="76"/>
      <c r="QA56" s="76"/>
      <c r="QB56" s="76"/>
      <c r="QC56" s="76"/>
      <c r="QD56" s="76"/>
      <c r="QE56" s="76"/>
      <c r="QF56" s="76"/>
      <c r="QG56" s="76"/>
      <c r="QH56" s="76"/>
      <c r="QI56" s="76"/>
      <c r="QJ56" s="76"/>
      <c r="QK56" s="76"/>
      <c r="QL56" s="76"/>
      <c r="QM56" s="76"/>
      <c r="QN56" s="76"/>
      <c r="QO56" s="76"/>
      <c r="QP56" s="76"/>
      <c r="QQ56" s="76"/>
      <c r="QR56" s="76"/>
      <c r="QS56" s="76"/>
      <c r="QT56" s="76"/>
      <c r="QU56" s="76"/>
      <c r="QV56" s="76"/>
      <c r="QW56" s="76"/>
      <c r="QX56" s="76"/>
      <c r="QY56" s="76"/>
      <c r="QZ56" s="76"/>
      <c r="RA56" s="76"/>
      <c r="RB56" s="76"/>
      <c r="RC56" s="76"/>
      <c r="RD56" s="76"/>
      <c r="RE56" s="76"/>
      <c r="RF56" s="76"/>
      <c r="RG56" s="76"/>
      <c r="RH56" s="76"/>
      <c r="RI56" s="76"/>
      <c r="RJ56" s="76"/>
      <c r="RK56" s="76"/>
      <c r="RL56" s="76"/>
      <c r="RM56" s="76"/>
      <c r="RN56" s="76"/>
      <c r="RO56" s="76"/>
      <c r="RP56" s="76"/>
      <c r="RQ56" s="76"/>
      <c r="RR56" s="76"/>
      <c r="RS56" s="76"/>
      <c r="RT56" s="76"/>
      <c r="RU56" s="76"/>
      <c r="RV56" s="76"/>
      <c r="RW56" s="76"/>
      <c r="RX56" s="76"/>
      <c r="RY56" s="76"/>
      <c r="RZ56" s="76"/>
      <c r="SA56" s="76"/>
      <c r="SB56" s="76"/>
      <c r="SC56" s="76"/>
      <c r="SD56" s="76"/>
      <c r="SE56" s="76"/>
      <c r="SF56" s="76"/>
      <c r="SG56" s="76"/>
      <c r="SH56" s="76"/>
      <c r="SI56" s="76"/>
      <c r="SJ56" s="76"/>
      <c r="SK56" s="76"/>
      <c r="SL56" s="76"/>
      <c r="SM56" s="76"/>
      <c r="SN56" s="76"/>
      <c r="SO56" s="76"/>
      <c r="SP56" s="76"/>
      <c r="SQ56" s="76"/>
      <c r="SR56" s="76"/>
      <c r="SS56" s="76"/>
      <c r="ST56" s="76"/>
      <c r="SU56" s="76"/>
      <c r="SV56" s="76"/>
      <c r="SW56" s="76"/>
      <c r="SX56" s="76"/>
      <c r="SY56" s="76"/>
      <c r="SZ56" s="76"/>
      <c r="TA56" s="76"/>
      <c r="TB56" s="76"/>
      <c r="TC56" s="76"/>
      <c r="TD56" s="76"/>
      <c r="TE56" s="76"/>
      <c r="TF56" s="76"/>
      <c r="TG56" s="76"/>
      <c r="TH56" s="76"/>
      <c r="TI56" s="76"/>
      <c r="TJ56" s="76"/>
      <c r="TK56" s="76"/>
      <c r="TL56" s="76"/>
      <c r="TM56" s="76"/>
      <c r="TN56" s="76"/>
      <c r="TO56" s="76"/>
      <c r="TP56" s="76"/>
      <c r="TQ56" s="76"/>
      <c r="TR56" s="76"/>
      <c r="TS56" s="76"/>
      <c r="TT56" s="76"/>
      <c r="TU56" s="76"/>
      <c r="TV56" s="76"/>
      <c r="TW56" s="76"/>
      <c r="TX56" s="76"/>
      <c r="TY56" s="76"/>
      <c r="TZ56" s="76"/>
      <c r="UA56" s="76"/>
      <c r="UB56" s="76"/>
      <c r="UC56" s="76"/>
      <c r="UD56" s="76"/>
      <c r="UE56" s="76"/>
      <c r="UF56" s="76"/>
      <c r="UG56" s="76"/>
      <c r="UH56" s="76"/>
      <c r="UI56" s="76"/>
      <c r="UJ56" s="76"/>
      <c r="UK56" s="76"/>
      <c r="UL56" s="76"/>
      <c r="UM56" s="76"/>
      <c r="UN56" s="76"/>
      <c r="UO56" s="76"/>
      <c r="UP56" s="76"/>
      <c r="UQ56" s="76"/>
      <c r="UR56" s="76"/>
      <c r="US56" s="76"/>
      <c r="UT56" s="76"/>
      <c r="UU56" s="76"/>
      <c r="UV56" s="76"/>
      <c r="UW56" s="76"/>
      <c r="UX56" s="76"/>
      <c r="UY56" s="76"/>
      <c r="UZ56" s="76"/>
      <c r="VA56" s="76"/>
      <c r="VB56" s="76"/>
      <c r="VC56" s="76"/>
      <c r="VD56" s="76"/>
      <c r="VE56" s="76"/>
      <c r="VF56" s="76"/>
      <c r="VG56" s="76"/>
      <c r="VH56" s="76"/>
      <c r="VI56" s="76"/>
      <c r="VJ56" s="76"/>
      <c r="VK56" s="76"/>
      <c r="VL56" s="76"/>
      <c r="VM56" s="76"/>
      <c r="VN56" s="76"/>
      <c r="VO56" s="76"/>
      <c r="VP56" s="76"/>
      <c r="VQ56" s="76"/>
      <c r="VR56" s="76"/>
      <c r="VS56" s="76"/>
      <c r="VT56" s="76"/>
      <c r="VU56" s="76"/>
      <c r="VV56" s="76"/>
      <c r="VW56" s="76"/>
      <c r="VX56" s="76"/>
      <c r="VY56" s="76"/>
      <c r="VZ56" s="76"/>
      <c r="WA56" s="76"/>
      <c r="WB56" s="76"/>
      <c r="WC56" s="76"/>
      <c r="WD56" s="76"/>
      <c r="WE56" s="76"/>
      <c r="WF56" s="76"/>
      <c r="WG56" s="76"/>
      <c r="WH56" s="76"/>
      <c r="WI56" s="76"/>
      <c r="WJ56" s="76"/>
      <c r="WK56" s="76"/>
      <c r="WL56" s="76"/>
      <c r="WM56" s="76"/>
      <c r="WN56" s="76"/>
      <c r="WO56" s="76"/>
      <c r="WP56" s="76"/>
      <c r="WQ56" s="76"/>
      <c r="WR56" s="76"/>
      <c r="WS56" s="76"/>
      <c r="WT56" s="76"/>
      <c r="WU56" s="76"/>
      <c r="WV56" s="76"/>
      <c r="WW56" s="76"/>
      <c r="WX56" s="76"/>
      <c r="WY56" s="76"/>
      <c r="WZ56" s="76"/>
      <c r="XA56" s="76"/>
      <c r="XB56" s="76"/>
      <c r="XC56" s="76"/>
      <c r="XD56" s="76"/>
      <c r="XE56" s="76"/>
      <c r="XF56" s="76"/>
      <c r="XG56" s="76"/>
      <c r="XH56" s="76"/>
      <c r="XI56" s="76"/>
      <c r="XJ56" s="76"/>
      <c r="XK56" s="76"/>
      <c r="XL56" s="76"/>
      <c r="XM56" s="76"/>
      <c r="XN56" s="76"/>
      <c r="XO56" s="76"/>
      <c r="XP56" s="76"/>
      <c r="XQ56" s="76"/>
      <c r="XR56" s="76"/>
      <c r="XS56" s="76"/>
      <c r="XT56" s="76"/>
      <c r="XU56" s="76"/>
      <c r="XV56" s="76"/>
      <c r="XW56" s="76"/>
      <c r="XX56" s="76"/>
      <c r="XY56" s="76"/>
      <c r="XZ56" s="76"/>
      <c r="YA56" s="76"/>
      <c r="YB56" s="76"/>
      <c r="YC56" s="76"/>
      <c r="YD56" s="76"/>
      <c r="YE56" s="76"/>
      <c r="YF56" s="76"/>
      <c r="YG56" s="76"/>
      <c r="YH56" s="76"/>
      <c r="YI56" s="76"/>
      <c r="YJ56" s="76"/>
      <c r="YK56" s="76"/>
      <c r="YL56" s="76"/>
      <c r="YM56" s="76"/>
      <c r="YN56" s="76"/>
      <c r="YO56" s="76"/>
      <c r="YP56" s="76"/>
      <c r="YQ56" s="76"/>
      <c r="YR56" s="76"/>
      <c r="YS56" s="76"/>
      <c r="YT56" s="76"/>
      <c r="YU56" s="76"/>
      <c r="YV56" s="76"/>
      <c r="YW56" s="76"/>
      <c r="YX56" s="76"/>
      <c r="YY56" s="76"/>
      <c r="YZ56" s="76"/>
      <c r="ZA56" s="76"/>
      <c r="ZB56" s="76"/>
      <c r="ZC56" s="76"/>
      <c r="ZD56" s="76"/>
      <c r="ZE56" s="76"/>
      <c r="ZF56" s="76"/>
      <c r="ZG56" s="76"/>
      <c r="ZH56" s="76"/>
      <c r="ZI56" s="76"/>
      <c r="ZJ56" s="76"/>
      <c r="ZK56" s="76"/>
      <c r="ZL56" s="76"/>
      <c r="ZM56" s="76"/>
      <c r="ZN56" s="76"/>
      <c r="ZO56" s="76"/>
      <c r="ZP56" s="76"/>
      <c r="ZQ56" s="76"/>
      <c r="ZR56" s="76"/>
      <c r="ZS56" s="76"/>
      <c r="ZT56" s="76"/>
      <c r="ZU56" s="76"/>
      <c r="ZV56" s="76"/>
      <c r="ZW56" s="76"/>
      <c r="ZX56" s="76"/>
      <c r="ZY56" s="76"/>
      <c r="ZZ56" s="76"/>
      <c r="AAA56" s="76"/>
      <c r="AAB56" s="76"/>
      <c r="AAC56" s="76"/>
      <c r="AAD56" s="76"/>
      <c r="AAE56" s="76"/>
      <c r="AAF56" s="76"/>
      <c r="AAG56" s="76"/>
      <c r="AAH56" s="76"/>
      <c r="AAI56" s="76"/>
      <c r="AAJ56" s="76"/>
      <c r="AAK56" s="76"/>
      <c r="AAL56" s="76"/>
      <c r="AAM56" s="76"/>
      <c r="AAN56" s="76"/>
      <c r="AAO56" s="76"/>
      <c r="AAP56" s="76"/>
      <c r="AAQ56" s="76"/>
      <c r="AAR56" s="76"/>
      <c r="AAS56" s="76"/>
      <c r="AAT56" s="76"/>
      <c r="AAU56" s="76"/>
      <c r="AAV56" s="76"/>
      <c r="AAW56" s="76"/>
      <c r="AAX56" s="76"/>
      <c r="AAY56" s="76"/>
      <c r="AAZ56" s="76"/>
      <c r="ABA56" s="76"/>
      <c r="ABB56" s="76"/>
      <c r="ABC56" s="76"/>
      <c r="ABD56" s="76"/>
      <c r="ABE56" s="76"/>
      <c r="ABF56" s="76"/>
      <c r="ABG56" s="76"/>
      <c r="ABH56" s="76"/>
      <c r="ABI56" s="76"/>
      <c r="ABJ56" s="76"/>
      <c r="ABK56" s="76"/>
      <c r="ABL56" s="76"/>
      <c r="ABM56" s="76"/>
      <c r="ABN56" s="76"/>
      <c r="ABO56" s="76"/>
      <c r="ABP56" s="76"/>
      <c r="ABQ56" s="76"/>
      <c r="ABR56" s="76"/>
      <c r="ABS56" s="76"/>
      <c r="ABT56" s="76"/>
      <c r="ABU56" s="76"/>
      <c r="ABV56" s="76"/>
      <c r="ABW56" s="76"/>
      <c r="ABX56" s="76"/>
      <c r="ABY56" s="76"/>
      <c r="ABZ56" s="76"/>
      <c r="ACA56" s="76"/>
      <c r="ACB56" s="76"/>
      <c r="ACC56" s="76"/>
      <c r="ACD56" s="76"/>
      <c r="ACE56" s="76"/>
      <c r="ACF56" s="76"/>
      <c r="ACG56" s="76"/>
      <c r="ACH56" s="76"/>
      <c r="ACI56" s="76"/>
      <c r="ACJ56" s="76"/>
      <c r="ACK56" s="76"/>
      <c r="ACL56" s="76"/>
      <c r="ACM56" s="76"/>
      <c r="ACN56" s="76"/>
      <c r="ACO56" s="76"/>
      <c r="ACP56" s="76"/>
      <c r="ACQ56" s="76"/>
      <c r="ACR56" s="76"/>
      <c r="ACS56" s="76"/>
      <c r="ACT56" s="76"/>
      <c r="ACU56" s="76"/>
      <c r="ACV56" s="76"/>
      <c r="ACW56" s="76"/>
      <c r="ACX56" s="76"/>
      <c r="ACY56" s="76"/>
      <c r="ACZ56" s="76"/>
      <c r="ADA56" s="76"/>
      <c r="ADB56" s="76"/>
      <c r="ADC56" s="76"/>
      <c r="ADD56" s="76"/>
      <c r="ADE56" s="76"/>
      <c r="ADF56" s="76"/>
      <c r="ADG56" s="76"/>
      <c r="ADH56" s="76"/>
      <c r="ADI56" s="76"/>
      <c r="ADJ56" s="76"/>
      <c r="ADK56" s="76"/>
      <c r="ADL56" s="76"/>
      <c r="ADM56" s="76"/>
      <c r="ADN56" s="76"/>
      <c r="ADO56" s="76"/>
      <c r="ADP56" s="76"/>
      <c r="ADQ56" s="76"/>
      <c r="ADR56" s="76"/>
      <c r="ADS56" s="76"/>
      <c r="ADT56" s="76"/>
      <c r="ADU56" s="76"/>
      <c r="ADV56" s="76"/>
      <c r="ADW56" s="76"/>
      <c r="ADX56" s="76"/>
      <c r="ADY56" s="76"/>
      <c r="ADZ56" s="76"/>
      <c r="AEA56" s="76"/>
      <c r="AEB56" s="76"/>
      <c r="AEC56" s="76"/>
      <c r="AED56" s="76"/>
      <c r="AEE56" s="76"/>
      <c r="AEF56" s="76"/>
      <c r="AEG56" s="76"/>
      <c r="AEH56" s="76"/>
      <c r="AEI56" s="76"/>
      <c r="AEJ56" s="76"/>
      <c r="AEK56" s="76"/>
      <c r="AEL56" s="76"/>
      <c r="AEM56" s="76"/>
      <c r="AEN56" s="76"/>
      <c r="AEO56" s="76"/>
      <c r="AEP56" s="76"/>
      <c r="AEQ56" s="76"/>
      <c r="AER56" s="76"/>
      <c r="AES56" s="76"/>
      <c r="AET56" s="76"/>
      <c r="AEU56" s="76"/>
      <c r="AEV56" s="76"/>
      <c r="AEW56" s="76"/>
      <c r="AEX56" s="76"/>
      <c r="AEY56" s="76"/>
      <c r="AEZ56" s="76"/>
      <c r="AFA56" s="76"/>
      <c r="AFB56" s="76"/>
      <c r="AFC56" s="76"/>
      <c r="AFD56" s="76"/>
      <c r="AFE56" s="76"/>
      <c r="AFF56" s="76"/>
      <c r="AFG56" s="76"/>
      <c r="AFH56" s="76"/>
      <c r="AFI56" s="76"/>
      <c r="AFJ56" s="76"/>
      <c r="AFK56" s="76"/>
      <c r="AFL56" s="76"/>
      <c r="AFM56" s="76"/>
      <c r="AFN56" s="76"/>
      <c r="AFO56" s="76"/>
      <c r="AFP56" s="76"/>
      <c r="AFQ56" s="76"/>
      <c r="AFR56" s="76"/>
      <c r="AFS56" s="76"/>
      <c r="AFT56" s="76"/>
      <c r="AFU56" s="76"/>
      <c r="AFV56" s="76"/>
      <c r="AFW56" s="76"/>
      <c r="AFX56" s="76"/>
      <c r="AFY56" s="76"/>
      <c r="AFZ56" s="76"/>
      <c r="AGA56" s="76"/>
      <c r="AGB56" s="76"/>
      <c r="AGC56" s="76"/>
      <c r="AGD56" s="76"/>
      <c r="AGE56" s="76"/>
      <c r="AGF56" s="76"/>
      <c r="AGG56" s="76"/>
      <c r="AGH56" s="76"/>
      <c r="AGI56" s="76"/>
      <c r="AGJ56" s="76"/>
      <c r="AGK56" s="76"/>
      <c r="AGL56" s="76"/>
      <c r="AGM56" s="76"/>
      <c r="AGN56" s="76"/>
      <c r="AGO56" s="76"/>
      <c r="AGP56" s="76"/>
      <c r="AGQ56" s="76"/>
      <c r="AGR56" s="76"/>
      <c r="AGS56" s="76"/>
      <c r="AGT56" s="76"/>
      <c r="AGU56" s="76"/>
      <c r="AGV56" s="76"/>
      <c r="AGW56" s="76"/>
      <c r="AGX56" s="76"/>
      <c r="AGY56" s="76"/>
      <c r="AGZ56" s="76"/>
      <c r="AHA56" s="76"/>
      <c r="AHB56" s="76"/>
      <c r="AHC56" s="76"/>
      <c r="AHD56" s="76"/>
      <c r="AHE56" s="76"/>
      <c r="AHF56" s="76"/>
      <c r="AHG56" s="76"/>
      <c r="AHH56" s="76"/>
      <c r="AHI56" s="76"/>
      <c r="AHJ56" s="76"/>
      <c r="AHK56" s="76"/>
      <c r="AHL56" s="76"/>
      <c r="AHM56" s="76"/>
      <c r="AHN56" s="76"/>
      <c r="AHO56" s="76"/>
      <c r="AHP56" s="76"/>
      <c r="AHQ56" s="76"/>
      <c r="AHR56" s="76"/>
      <c r="AHS56" s="76"/>
      <c r="AHT56" s="76"/>
      <c r="AHU56" s="76"/>
      <c r="AHV56" s="76"/>
      <c r="AHW56" s="76"/>
      <c r="AHX56" s="76"/>
      <c r="AHY56" s="76"/>
      <c r="AHZ56" s="76"/>
      <c r="AIA56" s="76"/>
      <c r="AIB56" s="76"/>
      <c r="AIC56" s="76"/>
      <c r="AID56" s="76"/>
      <c r="AIE56" s="76"/>
      <c r="AIF56" s="76"/>
      <c r="AIG56" s="76"/>
      <c r="AIH56" s="76"/>
      <c r="AII56" s="76"/>
      <c r="AIJ56" s="76"/>
      <c r="AIK56" s="76"/>
      <c r="AIL56" s="76"/>
      <c r="AIM56" s="76"/>
      <c r="AIN56" s="76"/>
      <c r="AIO56" s="76"/>
      <c r="AIP56" s="76"/>
      <c r="AIQ56" s="76"/>
      <c r="AIR56" s="76"/>
      <c r="AIS56" s="76"/>
      <c r="AIT56" s="76"/>
      <c r="AIU56" s="76"/>
      <c r="AIV56" s="76"/>
      <c r="AIW56" s="76"/>
      <c r="AIX56" s="76"/>
      <c r="AIY56" s="76"/>
      <c r="AIZ56" s="76"/>
      <c r="AJA56" s="76"/>
      <c r="AJB56" s="76"/>
      <c r="AJC56" s="76"/>
      <c r="AJD56" s="76"/>
      <c r="AJE56" s="76"/>
      <c r="AJF56" s="76"/>
      <c r="AJG56" s="76"/>
      <c r="AJH56" s="76"/>
      <c r="AJI56" s="76"/>
      <c r="AJJ56" s="76"/>
      <c r="AJK56" s="76"/>
      <c r="AJL56" s="76"/>
      <c r="AJM56" s="76"/>
      <c r="AJN56" s="76"/>
      <c r="AJO56" s="76"/>
      <c r="AJP56" s="76"/>
      <c r="AJQ56" s="76"/>
      <c r="AJR56" s="76"/>
      <c r="AJS56" s="76"/>
      <c r="AJT56" s="76"/>
      <c r="AJU56" s="76"/>
      <c r="AJV56" s="76"/>
      <c r="AJW56" s="76"/>
      <c r="AJX56" s="76"/>
      <c r="AJY56" s="76"/>
      <c r="AJZ56" s="76"/>
      <c r="AKA56" s="76"/>
      <c r="AKB56" s="76"/>
      <c r="AKC56" s="76"/>
      <c r="AKD56" s="76"/>
      <c r="AKE56" s="76"/>
      <c r="AKF56" s="76"/>
      <c r="AKG56" s="76"/>
      <c r="AKH56" s="76"/>
      <c r="AKI56" s="76"/>
      <c r="AKJ56" s="76"/>
      <c r="AKK56" s="76"/>
      <c r="AKL56" s="76"/>
      <c r="AKM56" s="76"/>
      <c r="AKN56" s="76"/>
      <c r="AKO56" s="76"/>
      <c r="AKP56" s="76"/>
      <c r="AKQ56" s="76"/>
      <c r="AKR56" s="76"/>
      <c r="AKS56" s="76"/>
      <c r="AKT56" s="76"/>
      <c r="AKU56" s="76"/>
      <c r="AKV56" s="76"/>
      <c r="AKW56" s="76"/>
      <c r="AKX56" s="76"/>
      <c r="AKY56" s="76"/>
      <c r="AKZ56" s="76"/>
      <c r="ALA56" s="76"/>
      <c r="ALB56" s="76"/>
      <c r="ALC56" s="76"/>
      <c r="ALD56" s="76"/>
      <c r="ALE56" s="76"/>
      <c r="ALF56" s="76"/>
      <c r="ALG56" s="76"/>
      <c r="ALH56" s="76"/>
      <c r="ALI56" s="76"/>
      <c r="ALJ56" s="76"/>
      <c r="ALK56" s="76"/>
      <c r="ALL56" s="76"/>
      <c r="ALM56" s="76"/>
      <c r="ALN56" s="76"/>
      <c r="ALO56" s="76"/>
      <c r="ALP56" s="76"/>
      <c r="ALQ56" s="76"/>
      <c r="ALR56" s="76"/>
      <c r="ALS56" s="76"/>
      <c r="ALT56" s="76"/>
      <c r="ALU56" s="76"/>
      <c r="ALV56" s="76"/>
      <c r="ALW56" s="76"/>
      <c r="ALX56" s="76"/>
      <c r="ALY56" s="76"/>
      <c r="ALZ56" s="76"/>
      <c r="AMA56" s="76"/>
      <c r="AMB56" s="76"/>
      <c r="AMC56" s="76"/>
      <c r="AMD56" s="76"/>
      <c r="AME56" s="76"/>
      <c r="AMF56" s="76"/>
      <c r="AMG56" s="76"/>
      <c r="AMH56" s="76"/>
      <c r="AMI56" s="76"/>
      <c r="AMJ56" s="76"/>
      <c r="AMK56" s="76"/>
      <c r="AML56" s="76"/>
      <c r="AMM56" s="76"/>
      <c r="AMN56" s="76"/>
      <c r="AMO56" s="76"/>
      <c r="AMP56" s="76"/>
      <c r="AMQ56" s="76"/>
      <c r="AMR56" s="76"/>
      <c r="AMS56" s="76"/>
      <c r="AMT56" s="76"/>
      <c r="AMU56" s="76"/>
      <c r="AMV56" s="76"/>
      <c r="AMW56" s="76"/>
      <c r="AMX56" s="76"/>
      <c r="AMY56" s="76"/>
      <c r="AMZ56" s="76"/>
      <c r="ANA56" s="76"/>
      <c r="ANB56" s="76"/>
      <c r="ANC56" s="76"/>
      <c r="AND56" s="76"/>
      <c r="ANE56" s="76"/>
      <c r="ANF56" s="76"/>
      <c r="ANG56" s="76"/>
      <c r="ANH56" s="76"/>
      <c r="ANI56" s="76"/>
      <c r="ANJ56" s="76"/>
      <c r="ANK56" s="76"/>
      <c r="ANL56" s="76"/>
      <c r="ANM56" s="76"/>
      <c r="ANN56" s="76"/>
      <c r="ANO56" s="76"/>
      <c r="ANP56" s="76"/>
      <c r="ANQ56" s="76"/>
      <c r="ANR56" s="76"/>
      <c r="ANS56" s="76"/>
      <c r="ANT56" s="76"/>
      <c r="ANU56" s="76"/>
      <c r="ANV56" s="76"/>
      <c r="ANW56" s="76"/>
      <c r="ANX56" s="76"/>
      <c r="ANY56" s="76"/>
      <c r="ANZ56" s="76"/>
      <c r="AOA56" s="76"/>
      <c r="AOB56" s="76"/>
      <c r="AOC56" s="76"/>
      <c r="AOD56" s="76"/>
      <c r="AOE56" s="76"/>
      <c r="AOF56" s="76"/>
      <c r="AOG56" s="76"/>
      <c r="AOH56" s="76"/>
      <c r="AOI56" s="76"/>
      <c r="AOJ56" s="76"/>
      <c r="AOK56" s="76"/>
      <c r="AOL56" s="76"/>
      <c r="AOM56" s="76"/>
      <c r="AON56" s="76"/>
      <c r="AOO56" s="76"/>
      <c r="AOP56" s="76"/>
      <c r="AOQ56" s="76"/>
      <c r="AOR56" s="76"/>
      <c r="AOS56" s="76"/>
      <c r="AOT56" s="76"/>
      <c r="AOU56" s="76"/>
      <c r="AOV56" s="76"/>
      <c r="AOW56" s="76"/>
      <c r="AOX56" s="76"/>
      <c r="AOY56" s="76"/>
      <c r="AOZ56" s="76"/>
      <c r="APA56" s="76"/>
      <c r="APB56" s="76"/>
      <c r="APC56" s="76"/>
      <c r="APD56" s="76"/>
      <c r="APE56" s="76"/>
      <c r="APF56" s="76"/>
      <c r="APG56" s="76"/>
      <c r="APH56" s="76"/>
      <c r="API56" s="76"/>
      <c r="APJ56" s="76"/>
      <c r="APK56" s="76"/>
      <c r="APL56" s="76"/>
      <c r="APM56" s="76"/>
      <c r="APN56" s="76"/>
      <c r="APO56" s="76"/>
      <c r="APP56" s="76"/>
      <c r="APQ56" s="76"/>
      <c r="APR56" s="76"/>
      <c r="APS56" s="76"/>
      <c r="APT56" s="76"/>
      <c r="APU56" s="76"/>
      <c r="APV56" s="76"/>
      <c r="APW56" s="76"/>
      <c r="APX56" s="76"/>
      <c r="APY56" s="76"/>
      <c r="APZ56" s="76"/>
      <c r="AQA56" s="76"/>
      <c r="AQB56" s="76"/>
      <c r="AQC56" s="76"/>
      <c r="AQD56" s="76"/>
      <c r="AQE56" s="76"/>
      <c r="AQF56" s="76"/>
      <c r="AQG56" s="76"/>
      <c r="AQH56" s="76"/>
      <c r="AQI56" s="76"/>
      <c r="AQJ56" s="76"/>
      <c r="AQK56" s="76"/>
      <c r="AQL56" s="76"/>
      <c r="AQM56" s="76"/>
      <c r="AQN56" s="76"/>
      <c r="AQO56" s="76"/>
      <c r="AQP56" s="76"/>
      <c r="AQQ56" s="76"/>
      <c r="AQR56" s="76"/>
      <c r="AQS56" s="76"/>
      <c r="AQT56" s="76"/>
      <c r="AQU56" s="76"/>
      <c r="AQV56" s="76"/>
      <c r="AQW56" s="76"/>
      <c r="AQX56" s="76"/>
      <c r="AQY56" s="76"/>
      <c r="AQZ56" s="76"/>
      <c r="ARA56" s="76"/>
      <c r="ARB56" s="76"/>
      <c r="ARC56" s="76"/>
      <c r="ARD56" s="76"/>
      <c r="ARE56" s="76"/>
      <c r="ARF56" s="76"/>
      <c r="ARG56" s="76"/>
      <c r="ARH56" s="76"/>
      <c r="ARI56" s="76"/>
      <c r="ARJ56" s="76"/>
      <c r="ARK56" s="76"/>
      <c r="ARL56" s="76"/>
      <c r="ARM56" s="76"/>
      <c r="ARN56" s="76"/>
      <c r="ARO56" s="76"/>
      <c r="ARP56" s="76"/>
      <c r="ARQ56" s="76"/>
      <c r="ARR56" s="76"/>
      <c r="ARS56" s="76"/>
      <c r="ART56" s="76"/>
      <c r="ARU56" s="76"/>
      <c r="ARV56" s="76"/>
      <c r="ARW56" s="76"/>
      <c r="ARX56" s="76"/>
      <c r="ARY56" s="76"/>
      <c r="ARZ56" s="76"/>
      <c r="ASA56" s="76"/>
      <c r="ASB56" s="76"/>
      <c r="ASC56" s="76"/>
      <c r="ASD56" s="76"/>
      <c r="ASE56" s="76"/>
      <c r="ASF56" s="76"/>
      <c r="ASG56" s="76"/>
      <c r="ASH56" s="76"/>
      <c r="ASI56" s="76"/>
      <c r="ASJ56" s="76"/>
      <c r="ASK56" s="76"/>
      <c r="ASL56" s="76"/>
      <c r="ASM56" s="76"/>
      <c r="ASN56" s="76"/>
      <c r="ASO56" s="76"/>
      <c r="ASP56" s="76"/>
      <c r="ASQ56" s="76"/>
      <c r="ASR56" s="76"/>
      <c r="ASS56" s="76"/>
      <c r="AST56" s="76"/>
      <c r="ASU56" s="76"/>
      <c r="ASV56" s="76"/>
      <c r="ASW56" s="76"/>
      <c r="ASX56" s="76"/>
      <c r="ASY56" s="76"/>
      <c r="ASZ56" s="76"/>
      <c r="ATA56" s="76"/>
      <c r="ATB56" s="76"/>
      <c r="ATC56" s="76"/>
      <c r="ATD56" s="76"/>
      <c r="ATE56" s="76"/>
      <c r="ATF56" s="76"/>
      <c r="ATG56" s="76"/>
      <c r="ATH56" s="76"/>
      <c r="ATI56" s="76"/>
      <c r="ATJ56" s="76"/>
      <c r="ATK56" s="76"/>
      <c r="ATL56" s="76"/>
      <c r="ATM56" s="76"/>
      <c r="ATN56" s="76"/>
      <c r="ATO56" s="76"/>
      <c r="ATP56" s="76"/>
      <c r="ATQ56" s="76"/>
      <c r="ATR56" s="76"/>
      <c r="ATS56" s="76"/>
      <c r="ATT56" s="76"/>
      <c r="ATU56" s="76"/>
      <c r="ATV56" s="76"/>
      <c r="ATW56" s="76"/>
      <c r="ATX56" s="76"/>
      <c r="ATY56" s="76"/>
      <c r="ATZ56" s="76"/>
      <c r="AUA56" s="76"/>
      <c r="AUB56" s="76"/>
      <c r="AUC56" s="76"/>
      <c r="AUD56" s="76"/>
      <c r="AUE56" s="76"/>
      <c r="AUF56" s="76"/>
      <c r="AUG56" s="76"/>
      <c r="AUH56" s="76"/>
      <c r="AUI56" s="76"/>
      <c r="AUJ56" s="76"/>
      <c r="AUK56" s="76"/>
      <c r="AUL56" s="76"/>
      <c r="AUM56" s="76"/>
      <c r="AUN56" s="76"/>
      <c r="AUO56" s="76"/>
      <c r="AUP56" s="76"/>
      <c r="AUQ56" s="76"/>
      <c r="AUR56" s="76"/>
      <c r="AUS56" s="76"/>
      <c r="AUT56" s="76"/>
      <c r="AUU56" s="76"/>
      <c r="AUV56" s="76"/>
      <c r="AUW56" s="76"/>
      <c r="AUX56" s="76"/>
      <c r="AUY56" s="76"/>
      <c r="AUZ56" s="76"/>
      <c r="AVA56" s="76"/>
      <c r="AVB56" s="76"/>
      <c r="AVC56" s="76"/>
      <c r="AVD56" s="76"/>
      <c r="AVE56" s="76"/>
      <c r="AVF56" s="76"/>
      <c r="AVG56" s="76"/>
      <c r="AVH56" s="76"/>
      <c r="AVI56" s="76"/>
      <c r="AVJ56" s="76"/>
      <c r="AVK56" s="76"/>
      <c r="AVL56" s="76"/>
      <c r="AVM56" s="76"/>
      <c r="AVN56" s="76"/>
      <c r="AVO56" s="76"/>
      <c r="AVP56" s="76"/>
      <c r="AVQ56" s="76"/>
      <c r="AVR56" s="76"/>
      <c r="AVS56" s="76"/>
      <c r="AVT56" s="76"/>
      <c r="AVU56" s="76"/>
      <c r="AVV56" s="76"/>
      <c r="AVW56" s="76"/>
      <c r="AVX56" s="76"/>
      <c r="AVY56" s="76"/>
      <c r="AVZ56" s="76"/>
      <c r="AWA56" s="76"/>
      <c r="AWB56" s="76"/>
      <c r="AWC56" s="76"/>
      <c r="AWD56" s="76"/>
      <c r="AWE56" s="76"/>
      <c r="AWF56" s="76"/>
      <c r="AWG56" s="76"/>
      <c r="AWH56" s="76"/>
      <c r="AWI56" s="76"/>
      <c r="AWJ56" s="76"/>
      <c r="AWK56" s="76"/>
      <c r="AWL56" s="76"/>
      <c r="AWM56" s="76"/>
      <c r="AWN56" s="76"/>
      <c r="AWO56" s="76"/>
      <c r="AWP56" s="76"/>
      <c r="AWQ56" s="76"/>
      <c r="AWR56" s="76"/>
      <c r="AWS56" s="76"/>
      <c r="AWT56" s="76"/>
      <c r="AWU56" s="76"/>
      <c r="AWV56" s="76"/>
      <c r="AWW56" s="76"/>
      <c r="AWX56" s="76"/>
      <c r="AWY56" s="76"/>
      <c r="AWZ56" s="76"/>
      <c r="AXA56" s="76"/>
      <c r="AXB56" s="76"/>
      <c r="AXC56" s="76"/>
      <c r="AXD56" s="76"/>
      <c r="AXE56" s="76"/>
      <c r="AXF56" s="76"/>
      <c r="AXG56" s="76"/>
      <c r="AXH56" s="76"/>
      <c r="AXI56" s="76"/>
      <c r="AXJ56" s="76"/>
      <c r="AXK56" s="76"/>
      <c r="AXL56" s="76"/>
      <c r="AXM56" s="76"/>
      <c r="AXN56" s="76"/>
      <c r="AXO56" s="76"/>
      <c r="AXP56" s="76"/>
      <c r="AXQ56" s="76"/>
      <c r="AXR56" s="76"/>
      <c r="AXS56" s="76"/>
      <c r="AXT56" s="76"/>
      <c r="AXU56" s="76"/>
      <c r="AXV56" s="76"/>
      <c r="AXW56" s="76"/>
      <c r="AXX56" s="76"/>
      <c r="AXY56" s="76"/>
      <c r="AXZ56" s="76"/>
      <c r="AYA56" s="76"/>
      <c r="AYB56" s="76"/>
      <c r="AYC56" s="76"/>
      <c r="AYD56" s="76"/>
      <c r="AYE56" s="76"/>
      <c r="AYF56" s="76"/>
      <c r="AYG56" s="76"/>
      <c r="AYH56" s="76"/>
      <c r="AYI56" s="76"/>
      <c r="AYJ56" s="76"/>
      <c r="AYK56" s="76"/>
      <c r="AYL56" s="76"/>
      <c r="AYM56" s="76"/>
      <c r="AYN56" s="76"/>
      <c r="AYO56" s="76"/>
      <c r="AYP56" s="76"/>
      <c r="AYQ56" s="76"/>
      <c r="AYR56" s="76"/>
      <c r="AYS56" s="76"/>
      <c r="AYT56" s="76"/>
      <c r="AYU56" s="76"/>
      <c r="AYV56" s="76"/>
      <c r="AYW56" s="76"/>
      <c r="AYX56" s="76"/>
      <c r="AYY56" s="76"/>
      <c r="AYZ56" s="76"/>
      <c r="AZA56" s="76"/>
      <c r="AZB56" s="76"/>
      <c r="AZC56" s="76"/>
      <c r="AZD56" s="76"/>
      <c r="AZE56" s="76"/>
      <c r="AZF56" s="76"/>
      <c r="AZG56" s="76"/>
      <c r="AZH56" s="76"/>
      <c r="AZI56" s="76"/>
      <c r="AZJ56" s="76"/>
      <c r="AZK56" s="76"/>
      <c r="AZL56" s="76"/>
      <c r="AZM56" s="76"/>
      <c r="AZN56" s="76"/>
      <c r="AZO56" s="76"/>
      <c r="AZP56" s="76"/>
      <c r="AZQ56" s="76"/>
      <c r="AZR56" s="76"/>
      <c r="AZS56" s="76"/>
      <c r="AZT56" s="76"/>
      <c r="AZU56" s="76"/>
      <c r="AZV56" s="76"/>
      <c r="AZW56" s="76"/>
      <c r="AZX56" s="76"/>
      <c r="AZY56" s="76"/>
      <c r="AZZ56" s="76"/>
      <c r="BAA56" s="76"/>
      <c r="BAB56" s="76"/>
      <c r="BAC56" s="76"/>
      <c r="BAD56" s="76"/>
      <c r="BAE56" s="76"/>
      <c r="BAF56" s="76"/>
      <c r="BAG56" s="76"/>
      <c r="BAH56" s="76"/>
      <c r="BAI56" s="76"/>
      <c r="BAJ56" s="76"/>
      <c r="BAK56" s="76"/>
      <c r="BAL56" s="76"/>
      <c r="BAM56" s="76"/>
      <c r="BAN56" s="76"/>
      <c r="BAO56" s="76"/>
      <c r="BAP56" s="76"/>
      <c r="BAQ56" s="76"/>
      <c r="BAR56" s="76"/>
      <c r="BAS56" s="76"/>
      <c r="BAT56" s="76"/>
      <c r="BAU56" s="76"/>
      <c r="BAV56" s="76"/>
      <c r="BAW56" s="76"/>
      <c r="BAX56" s="76"/>
      <c r="BAY56" s="76"/>
      <c r="BAZ56" s="76"/>
      <c r="BBA56" s="76"/>
      <c r="BBB56" s="76"/>
      <c r="BBC56" s="76"/>
      <c r="BBD56" s="76"/>
      <c r="BBE56" s="76"/>
      <c r="BBF56" s="76"/>
      <c r="BBG56" s="76"/>
      <c r="BBH56" s="76"/>
      <c r="BBI56" s="76"/>
      <c r="BBJ56" s="76"/>
      <c r="BBK56" s="76"/>
      <c r="BBL56" s="76"/>
      <c r="BBM56" s="76"/>
      <c r="BBN56" s="76"/>
      <c r="BBO56" s="76"/>
      <c r="BBP56" s="76"/>
      <c r="BBQ56" s="76"/>
      <c r="BBR56" s="76"/>
      <c r="BBS56" s="76"/>
      <c r="BBT56" s="76"/>
      <c r="BBU56" s="76"/>
      <c r="BBV56" s="76"/>
      <c r="BBW56" s="76"/>
      <c r="BBX56" s="76"/>
      <c r="BBY56" s="76"/>
      <c r="BBZ56" s="76"/>
      <c r="BCA56" s="76"/>
      <c r="BCB56" s="76"/>
      <c r="BCC56" s="76"/>
      <c r="BCD56" s="76"/>
      <c r="BCE56" s="76"/>
      <c r="BCF56" s="76"/>
      <c r="BCG56" s="76"/>
      <c r="BCH56" s="76"/>
      <c r="BCI56" s="76"/>
      <c r="BCJ56" s="76"/>
      <c r="BCK56" s="76"/>
      <c r="BCL56" s="76"/>
      <c r="BCM56" s="76"/>
      <c r="BCN56" s="76"/>
      <c r="BCO56" s="76"/>
      <c r="BCP56" s="76"/>
      <c r="BCQ56" s="76"/>
      <c r="BCR56" s="76"/>
      <c r="BCS56" s="76"/>
      <c r="BCT56" s="76"/>
      <c r="BCU56" s="76"/>
      <c r="BCV56" s="76"/>
      <c r="BCW56" s="76"/>
      <c r="BCX56" s="76"/>
      <c r="BCY56" s="76"/>
      <c r="BCZ56" s="76"/>
      <c r="BDA56" s="76"/>
      <c r="BDB56" s="76"/>
      <c r="BDC56" s="76"/>
      <c r="BDD56" s="76"/>
      <c r="BDE56" s="76"/>
      <c r="BDF56" s="76"/>
      <c r="BDG56" s="76"/>
      <c r="BDH56" s="76"/>
      <c r="BDI56" s="76"/>
      <c r="BDJ56" s="76"/>
      <c r="BDK56" s="76"/>
      <c r="BDL56" s="76"/>
      <c r="BDM56" s="76"/>
      <c r="BDN56" s="76"/>
      <c r="BDO56" s="76"/>
      <c r="BDP56" s="76"/>
      <c r="BDQ56" s="76"/>
      <c r="BDR56" s="76"/>
      <c r="BDS56" s="76"/>
      <c r="BDT56" s="76"/>
      <c r="BDU56" s="76"/>
      <c r="BDV56" s="76"/>
      <c r="BDW56" s="76"/>
      <c r="BDX56" s="76"/>
      <c r="BDY56" s="76"/>
      <c r="BDZ56" s="76"/>
      <c r="BEA56" s="76"/>
      <c r="BEB56" s="76"/>
      <c r="BEC56" s="76"/>
      <c r="BED56" s="76"/>
      <c r="BEE56" s="76"/>
      <c r="BEF56" s="76"/>
      <c r="BEG56" s="76"/>
      <c r="BEH56" s="76"/>
      <c r="BEI56" s="76"/>
      <c r="BEJ56" s="76"/>
      <c r="BEK56" s="76"/>
      <c r="BEL56" s="76"/>
      <c r="BEM56" s="76"/>
      <c r="BEN56" s="76"/>
      <c r="BEO56" s="76"/>
      <c r="BEP56" s="76"/>
      <c r="BEQ56" s="76"/>
      <c r="BER56" s="76"/>
      <c r="BES56" s="76"/>
      <c r="BET56" s="76"/>
      <c r="BEU56" s="76"/>
      <c r="BEV56" s="76"/>
      <c r="BEW56" s="76"/>
      <c r="BEX56" s="76"/>
      <c r="BEY56" s="76"/>
      <c r="BEZ56" s="76"/>
      <c r="BFA56" s="76"/>
      <c r="BFB56" s="76"/>
      <c r="BFC56" s="76"/>
      <c r="BFD56" s="76"/>
      <c r="BFE56" s="76"/>
      <c r="BFF56" s="76"/>
      <c r="BFG56" s="76"/>
      <c r="BFH56" s="76"/>
      <c r="BFI56" s="76"/>
      <c r="BFJ56" s="76"/>
      <c r="BFK56" s="76"/>
      <c r="BFL56" s="76"/>
      <c r="BFM56" s="76"/>
      <c r="BFN56" s="76"/>
      <c r="BFO56" s="76"/>
      <c r="BFP56" s="76"/>
      <c r="BFQ56" s="76"/>
      <c r="BFR56" s="76"/>
      <c r="BFS56" s="76"/>
      <c r="BFT56" s="76"/>
      <c r="BFU56" s="76"/>
      <c r="BFV56" s="76"/>
      <c r="BFW56" s="76"/>
      <c r="BFX56" s="76"/>
      <c r="BFY56" s="76"/>
      <c r="BFZ56" s="76"/>
      <c r="BGA56" s="76"/>
      <c r="BGB56" s="76"/>
      <c r="BGC56" s="76"/>
      <c r="BGD56" s="76"/>
      <c r="BGE56" s="76"/>
      <c r="BGF56" s="76"/>
      <c r="BGG56" s="76"/>
      <c r="BGH56" s="76"/>
      <c r="BGI56" s="76"/>
      <c r="BGJ56" s="76"/>
      <c r="BGK56" s="76"/>
      <c r="BGL56" s="76"/>
      <c r="BGM56" s="76"/>
      <c r="BGN56" s="76"/>
      <c r="BGO56" s="76"/>
      <c r="BGP56" s="76"/>
      <c r="BGQ56" s="76"/>
      <c r="BGR56" s="76"/>
      <c r="BGS56" s="76"/>
      <c r="BGT56" s="76"/>
      <c r="BGU56" s="76"/>
      <c r="BGV56" s="76"/>
      <c r="BGW56" s="76"/>
      <c r="BGX56" s="76"/>
      <c r="BGY56" s="76"/>
      <c r="BGZ56" s="76"/>
      <c r="BHA56" s="76"/>
      <c r="BHB56" s="76"/>
      <c r="BHC56" s="76"/>
      <c r="BHD56" s="76"/>
      <c r="BHE56" s="76"/>
      <c r="BHF56" s="76"/>
      <c r="BHG56" s="76"/>
      <c r="BHH56" s="76"/>
      <c r="BHI56" s="76"/>
      <c r="BHJ56" s="76"/>
      <c r="BHK56" s="76"/>
      <c r="BHL56" s="76"/>
      <c r="BHM56" s="76"/>
      <c r="BHN56" s="76"/>
      <c r="BHO56" s="76"/>
      <c r="BHP56" s="76"/>
      <c r="BHQ56" s="76"/>
      <c r="BHR56" s="76"/>
      <c r="BHS56" s="76"/>
      <c r="BHT56" s="76"/>
      <c r="BHU56" s="76"/>
      <c r="BHV56" s="76"/>
      <c r="BHW56" s="76"/>
      <c r="BHX56" s="76"/>
      <c r="BHY56" s="76"/>
      <c r="BHZ56" s="76"/>
      <c r="BIA56" s="76"/>
      <c r="BIB56" s="76"/>
      <c r="BIC56" s="76"/>
      <c r="BID56" s="76"/>
      <c r="BIE56" s="76"/>
      <c r="BIF56" s="76"/>
      <c r="BIG56" s="76"/>
      <c r="BIH56" s="76"/>
      <c r="BII56" s="76"/>
      <c r="BIJ56" s="76"/>
      <c r="BIK56" s="76"/>
      <c r="BIL56" s="76"/>
      <c r="BIM56" s="76"/>
      <c r="BIN56" s="76"/>
      <c r="BIO56" s="76"/>
      <c r="BIP56" s="76"/>
      <c r="BIQ56" s="76"/>
      <c r="BIR56" s="76"/>
      <c r="BIS56" s="76"/>
      <c r="BIT56" s="76"/>
      <c r="BIU56" s="76"/>
      <c r="BIV56" s="76"/>
      <c r="BIW56" s="76"/>
      <c r="BIX56" s="76"/>
      <c r="BIY56" s="76"/>
      <c r="BIZ56" s="76"/>
      <c r="BJA56" s="76"/>
      <c r="BJB56" s="76"/>
      <c r="BJC56" s="76"/>
      <c r="BJD56" s="76"/>
      <c r="BJE56" s="76"/>
      <c r="BJF56" s="76"/>
      <c r="BJG56" s="76"/>
      <c r="BJH56" s="76"/>
      <c r="BJI56" s="76"/>
      <c r="BJJ56" s="76"/>
      <c r="BJK56" s="76"/>
      <c r="BJL56" s="76"/>
      <c r="BJM56" s="76"/>
      <c r="BJN56" s="76"/>
      <c r="BJO56" s="76"/>
      <c r="BJP56" s="76"/>
      <c r="BJQ56" s="76"/>
      <c r="BJR56" s="76"/>
      <c r="BJS56" s="76"/>
      <c r="BJT56" s="76"/>
      <c r="BJU56" s="76"/>
      <c r="BJV56" s="76"/>
      <c r="BJW56" s="76"/>
      <c r="BJX56" s="76"/>
      <c r="BJY56" s="76"/>
      <c r="BJZ56" s="76"/>
      <c r="BKA56" s="76"/>
      <c r="BKB56" s="76"/>
      <c r="BKC56" s="76"/>
      <c r="BKD56" s="76"/>
      <c r="BKE56" s="76"/>
      <c r="BKF56" s="76"/>
      <c r="BKG56" s="76"/>
      <c r="BKH56" s="76"/>
      <c r="BKI56" s="76"/>
      <c r="BKJ56" s="76"/>
      <c r="BKK56" s="76"/>
      <c r="BKL56" s="76"/>
      <c r="BKM56" s="76"/>
      <c r="BKN56" s="76"/>
      <c r="BKO56" s="76"/>
      <c r="BKP56" s="76"/>
      <c r="BKQ56" s="76"/>
      <c r="BKR56" s="76"/>
      <c r="BKS56" s="76"/>
      <c r="BKT56" s="76"/>
      <c r="BKU56" s="76"/>
      <c r="BKV56" s="76"/>
      <c r="BKW56" s="76"/>
      <c r="BKX56" s="76"/>
      <c r="BKY56" s="76"/>
      <c r="BKZ56" s="76"/>
      <c r="BLA56" s="76"/>
      <c r="BLB56" s="76"/>
      <c r="BLC56" s="76"/>
      <c r="BLD56" s="76"/>
      <c r="BLE56" s="76"/>
      <c r="BLF56" s="76"/>
      <c r="BLG56" s="76"/>
      <c r="BLH56" s="76"/>
      <c r="BLI56" s="76"/>
      <c r="BLJ56" s="76"/>
      <c r="BLK56" s="76"/>
      <c r="BLL56" s="76"/>
      <c r="BLM56" s="76"/>
      <c r="BLN56" s="76"/>
      <c r="BLO56" s="76"/>
      <c r="BLP56" s="76"/>
      <c r="BLQ56" s="76"/>
      <c r="BLR56" s="76"/>
      <c r="BLS56" s="76"/>
      <c r="BLT56" s="76"/>
      <c r="BLU56" s="76"/>
      <c r="BLV56" s="76"/>
      <c r="BLW56" s="76"/>
      <c r="BLX56" s="76"/>
      <c r="BLY56" s="76"/>
      <c r="BLZ56" s="76"/>
      <c r="BMA56" s="76"/>
      <c r="BMB56" s="76"/>
      <c r="BMC56" s="76"/>
      <c r="BMD56" s="76"/>
      <c r="BME56" s="76"/>
      <c r="BMF56" s="76"/>
      <c r="BMG56" s="76"/>
      <c r="BMH56" s="76"/>
      <c r="BMI56" s="76"/>
      <c r="BMJ56" s="76"/>
      <c r="BMK56" s="76"/>
      <c r="BML56" s="76"/>
      <c r="BMM56" s="76"/>
      <c r="BMN56" s="76"/>
      <c r="BMO56" s="76"/>
      <c r="BMP56" s="76"/>
      <c r="BMQ56" s="76"/>
      <c r="BMR56" s="76"/>
      <c r="BMS56" s="76"/>
      <c r="BMT56" s="76"/>
      <c r="BMU56" s="76"/>
      <c r="BMV56" s="76"/>
      <c r="BMW56" s="76"/>
      <c r="BMX56" s="76"/>
      <c r="BMY56" s="76"/>
      <c r="BMZ56" s="76"/>
      <c r="BNA56" s="76"/>
      <c r="BNB56" s="76"/>
      <c r="BNC56" s="76"/>
      <c r="BND56" s="76"/>
      <c r="BNE56" s="76"/>
      <c r="BNF56" s="76"/>
      <c r="BNG56" s="76"/>
      <c r="BNH56" s="76"/>
      <c r="BNI56" s="76"/>
      <c r="BNJ56" s="76"/>
      <c r="BNK56" s="76"/>
      <c r="BNL56" s="76"/>
      <c r="BNM56" s="76"/>
      <c r="BNN56" s="76"/>
      <c r="BNO56" s="76"/>
      <c r="BNP56" s="76"/>
      <c r="BNQ56" s="76"/>
      <c r="BNR56" s="76"/>
      <c r="BNS56" s="76"/>
      <c r="BNT56" s="76"/>
      <c r="BNU56" s="76"/>
      <c r="BNV56" s="76"/>
      <c r="BNW56" s="76"/>
      <c r="BNX56" s="76"/>
      <c r="BNY56" s="76"/>
      <c r="BNZ56" s="76"/>
      <c r="BOA56" s="76"/>
      <c r="BOB56" s="76"/>
      <c r="BOC56" s="76"/>
      <c r="BOD56" s="76"/>
      <c r="BOE56" s="76"/>
      <c r="BOF56" s="76"/>
      <c r="BOG56" s="76"/>
      <c r="BOH56" s="76"/>
      <c r="BOI56" s="76"/>
      <c r="BOJ56" s="76"/>
      <c r="BOK56" s="76"/>
      <c r="BOL56" s="76"/>
      <c r="BOM56" s="76"/>
      <c r="BON56" s="76"/>
      <c r="BOO56" s="76"/>
      <c r="BOP56" s="76"/>
      <c r="BOQ56" s="76"/>
      <c r="BOR56" s="76"/>
      <c r="BOS56" s="76"/>
      <c r="BOT56" s="76"/>
      <c r="BOU56" s="76"/>
      <c r="BOV56" s="76"/>
      <c r="BOW56" s="76"/>
      <c r="BOX56" s="76"/>
      <c r="BOY56" s="76"/>
      <c r="BOZ56" s="76"/>
      <c r="BPA56" s="76"/>
      <c r="BPB56" s="76"/>
      <c r="BPC56" s="76"/>
      <c r="BPD56" s="76"/>
      <c r="BPE56" s="76"/>
      <c r="BPF56" s="76"/>
      <c r="BPG56" s="76"/>
      <c r="BPH56" s="76"/>
      <c r="BPI56" s="76"/>
      <c r="BPJ56" s="76"/>
      <c r="BPK56" s="76"/>
      <c r="BPL56" s="76"/>
      <c r="BPM56" s="76"/>
      <c r="BPN56" s="76"/>
      <c r="BPO56" s="76"/>
      <c r="BPP56" s="76"/>
      <c r="BPQ56" s="76"/>
      <c r="BPR56" s="76"/>
      <c r="BPS56" s="76"/>
      <c r="BPT56" s="76"/>
      <c r="BPU56" s="76"/>
      <c r="BPV56" s="76"/>
      <c r="BPW56" s="76"/>
      <c r="BPX56" s="76"/>
      <c r="BPY56" s="76"/>
      <c r="BPZ56" s="76"/>
      <c r="BQA56" s="76"/>
      <c r="BQB56" s="76"/>
      <c r="BQC56" s="76"/>
      <c r="BQD56" s="76"/>
      <c r="BQE56" s="76"/>
      <c r="BQF56" s="76"/>
      <c r="BQG56" s="76"/>
      <c r="BQH56" s="76"/>
      <c r="BQI56" s="76"/>
      <c r="BQJ56" s="76"/>
      <c r="BQK56" s="76"/>
      <c r="BQL56" s="76"/>
      <c r="BQM56" s="76"/>
      <c r="BQN56" s="76"/>
      <c r="BQO56" s="76"/>
      <c r="BQP56" s="76"/>
      <c r="BQQ56" s="76"/>
      <c r="BQR56" s="76"/>
      <c r="BQS56" s="76"/>
      <c r="BQT56" s="76"/>
      <c r="BQU56" s="76"/>
      <c r="BQV56" s="76"/>
      <c r="BQW56" s="76"/>
      <c r="BQX56" s="76"/>
      <c r="BQY56" s="76"/>
      <c r="BQZ56" s="76"/>
      <c r="BRA56" s="76"/>
      <c r="BRB56" s="76"/>
      <c r="BRC56" s="76"/>
      <c r="BRD56" s="76"/>
      <c r="BRE56" s="76"/>
      <c r="BRF56" s="76"/>
      <c r="BRG56" s="76"/>
      <c r="BRH56" s="76"/>
      <c r="BRI56" s="76"/>
      <c r="BRJ56" s="76"/>
      <c r="BRK56" s="76"/>
      <c r="BRL56" s="76"/>
      <c r="BRM56" s="76"/>
      <c r="BRN56" s="76"/>
      <c r="BRO56" s="76"/>
      <c r="BRP56" s="76"/>
      <c r="BRQ56" s="76"/>
      <c r="BRR56" s="76"/>
      <c r="BRS56" s="76"/>
      <c r="BRT56" s="76"/>
      <c r="BRU56" s="76"/>
      <c r="BRV56" s="76"/>
      <c r="BRW56" s="76"/>
      <c r="BRX56" s="76"/>
      <c r="BRY56" s="76"/>
      <c r="BRZ56" s="76"/>
      <c r="BSA56" s="76"/>
      <c r="BSB56" s="76"/>
      <c r="BSC56" s="76"/>
      <c r="BSD56" s="76"/>
      <c r="BSE56" s="76"/>
      <c r="BSF56" s="76"/>
      <c r="BSG56" s="76"/>
      <c r="BSH56" s="76"/>
      <c r="BSI56" s="76"/>
      <c r="BSJ56" s="76"/>
      <c r="BSK56" s="76"/>
      <c r="BSL56" s="76"/>
      <c r="BSM56" s="76"/>
      <c r="BSN56" s="76"/>
      <c r="BSO56" s="76"/>
      <c r="BSP56" s="76"/>
      <c r="BSQ56" s="76"/>
      <c r="BSR56" s="76"/>
      <c r="BSS56" s="76"/>
      <c r="BST56" s="76"/>
      <c r="BSU56" s="76"/>
      <c r="BSV56" s="76"/>
      <c r="BSW56" s="76"/>
      <c r="BSX56" s="76"/>
      <c r="BSY56" s="76"/>
      <c r="BSZ56" s="76"/>
      <c r="BTA56" s="76"/>
      <c r="BTB56" s="76"/>
      <c r="BTC56" s="76"/>
      <c r="BTD56" s="76"/>
      <c r="BTE56" s="76"/>
      <c r="BTF56" s="76"/>
      <c r="BTG56" s="76"/>
      <c r="BTH56" s="76"/>
      <c r="BTI56" s="76"/>
      <c r="BTJ56" s="76"/>
      <c r="BTK56" s="76"/>
      <c r="BTL56" s="76"/>
      <c r="BTM56" s="76"/>
      <c r="BTN56" s="76"/>
      <c r="BTO56" s="76"/>
      <c r="BTP56" s="76"/>
      <c r="BTQ56" s="76"/>
      <c r="BTR56" s="76"/>
      <c r="BTS56" s="76"/>
      <c r="BTT56" s="76"/>
      <c r="BTU56" s="76"/>
      <c r="BTV56" s="76"/>
      <c r="BTW56" s="76"/>
      <c r="BTX56" s="76"/>
      <c r="BTY56" s="76"/>
      <c r="BTZ56" s="76"/>
      <c r="BUA56" s="76"/>
      <c r="BUB56" s="76"/>
      <c r="BUC56" s="76"/>
      <c r="BUD56" s="76"/>
      <c r="BUE56" s="76"/>
      <c r="BUF56" s="76"/>
      <c r="BUG56" s="76"/>
      <c r="BUH56" s="76"/>
      <c r="BUI56" s="76"/>
      <c r="BUJ56" s="76"/>
      <c r="BUK56" s="76"/>
      <c r="BUL56" s="76"/>
      <c r="BUM56" s="76"/>
      <c r="BUN56" s="76"/>
      <c r="BUO56" s="76"/>
      <c r="BUP56" s="76"/>
      <c r="BUQ56" s="76"/>
      <c r="BUR56" s="76"/>
      <c r="BUS56" s="76"/>
      <c r="BUT56" s="76"/>
      <c r="BUU56" s="76"/>
      <c r="BUV56" s="76"/>
      <c r="BUW56" s="76"/>
      <c r="BUX56" s="76"/>
      <c r="BUY56" s="76"/>
      <c r="BUZ56" s="76"/>
      <c r="BVA56" s="76"/>
      <c r="BVB56" s="76"/>
      <c r="BVC56" s="76"/>
      <c r="BVD56" s="76"/>
      <c r="BVE56" s="76"/>
      <c r="BVF56" s="76"/>
      <c r="BVG56" s="76"/>
      <c r="BVH56" s="76"/>
      <c r="BVI56" s="76"/>
      <c r="BVJ56" s="76"/>
      <c r="BVK56" s="76"/>
      <c r="BVL56" s="76"/>
      <c r="BVM56" s="76"/>
      <c r="BVN56" s="76"/>
      <c r="BVO56" s="76"/>
      <c r="BVP56" s="76"/>
      <c r="BVQ56" s="76"/>
      <c r="BVR56" s="76"/>
      <c r="BVS56" s="76"/>
      <c r="BVT56" s="76"/>
      <c r="BVU56" s="76"/>
      <c r="BVV56" s="76"/>
      <c r="BVW56" s="76"/>
      <c r="BVX56" s="76"/>
      <c r="BVY56" s="76"/>
      <c r="BVZ56" s="76"/>
      <c r="BWA56" s="76"/>
      <c r="BWB56" s="76"/>
      <c r="BWC56" s="76"/>
      <c r="BWD56" s="76"/>
      <c r="BWE56" s="76"/>
      <c r="BWF56" s="76"/>
      <c r="BWG56" s="76"/>
      <c r="BWH56" s="76"/>
      <c r="BWI56" s="76"/>
      <c r="BWJ56" s="76"/>
      <c r="BWK56" s="76"/>
      <c r="BWL56" s="76"/>
      <c r="BWM56" s="76"/>
      <c r="BWN56" s="76"/>
      <c r="BWO56" s="76"/>
      <c r="BWP56" s="76"/>
      <c r="BWQ56" s="76"/>
      <c r="BWR56" s="76"/>
      <c r="BWS56" s="76"/>
      <c r="BWT56" s="76"/>
      <c r="BWU56" s="76"/>
      <c r="BWV56" s="76"/>
      <c r="BWW56" s="76"/>
      <c r="BWX56" s="76"/>
      <c r="BWY56" s="76"/>
      <c r="BWZ56" s="76"/>
      <c r="BXA56" s="76"/>
      <c r="BXB56" s="76"/>
      <c r="BXC56" s="76"/>
      <c r="BXD56" s="76"/>
      <c r="BXE56" s="76"/>
      <c r="BXF56" s="76"/>
      <c r="BXG56" s="76"/>
      <c r="BXH56" s="76"/>
      <c r="BXI56" s="76"/>
      <c r="BXJ56" s="76"/>
      <c r="BXK56" s="76"/>
      <c r="BXL56" s="76"/>
      <c r="BXM56" s="76"/>
      <c r="BXN56" s="76"/>
      <c r="BXO56" s="76"/>
      <c r="BXP56" s="76"/>
      <c r="BXQ56" s="76"/>
      <c r="BXR56" s="76"/>
      <c r="BXS56" s="76"/>
      <c r="BXT56" s="76"/>
      <c r="BXU56" s="76"/>
      <c r="BXV56" s="76"/>
      <c r="BXW56" s="76"/>
      <c r="BXX56" s="76"/>
      <c r="BXY56" s="76"/>
      <c r="BXZ56" s="76"/>
      <c r="BYA56" s="76"/>
      <c r="BYB56" s="76"/>
      <c r="BYC56" s="76"/>
      <c r="BYD56" s="76"/>
      <c r="BYE56" s="76"/>
      <c r="BYF56" s="76"/>
      <c r="BYG56" s="76"/>
      <c r="BYH56" s="76"/>
      <c r="BYI56" s="76"/>
      <c r="BYJ56" s="76"/>
      <c r="BYK56" s="76"/>
      <c r="BYL56" s="76"/>
      <c r="BYM56" s="76"/>
      <c r="BYN56" s="76"/>
      <c r="BYO56" s="76"/>
      <c r="BYP56" s="76"/>
      <c r="BYQ56" s="76"/>
      <c r="BYR56" s="76"/>
      <c r="BYS56" s="76"/>
      <c r="BYT56" s="76"/>
      <c r="BYU56" s="76"/>
      <c r="BYV56" s="76"/>
      <c r="BYW56" s="76"/>
      <c r="BYX56" s="76"/>
      <c r="BYY56" s="76"/>
      <c r="BYZ56" s="76"/>
      <c r="BZA56" s="76"/>
      <c r="BZB56" s="76"/>
      <c r="BZC56" s="76"/>
      <c r="BZD56" s="76"/>
      <c r="BZE56" s="76"/>
      <c r="BZF56" s="76"/>
      <c r="BZG56" s="76"/>
      <c r="BZH56" s="76"/>
      <c r="BZI56" s="76"/>
      <c r="BZJ56" s="76"/>
      <c r="BZK56" s="76"/>
      <c r="BZL56" s="76"/>
      <c r="BZM56" s="76"/>
      <c r="BZN56" s="76"/>
      <c r="BZO56" s="76"/>
      <c r="BZP56" s="76"/>
      <c r="BZQ56" s="76"/>
      <c r="BZR56" s="76"/>
      <c r="BZS56" s="76"/>
      <c r="BZT56" s="76"/>
      <c r="BZU56" s="76"/>
      <c r="BZV56" s="76"/>
      <c r="BZW56" s="76"/>
      <c r="BZX56" s="76"/>
      <c r="BZY56" s="76"/>
      <c r="BZZ56" s="76"/>
      <c r="CAA56" s="76"/>
      <c r="CAB56" s="76"/>
      <c r="CAC56" s="76"/>
      <c r="CAD56" s="76"/>
      <c r="CAE56" s="76"/>
      <c r="CAF56" s="76"/>
      <c r="CAG56" s="76"/>
      <c r="CAH56" s="76"/>
      <c r="CAI56" s="76"/>
      <c r="CAJ56" s="76"/>
      <c r="CAK56" s="76"/>
      <c r="CAL56" s="76"/>
      <c r="CAM56" s="76"/>
      <c r="CAN56" s="76"/>
      <c r="CAO56" s="76"/>
      <c r="CAP56" s="76"/>
      <c r="CAQ56" s="76"/>
      <c r="CAR56" s="76"/>
      <c r="CAS56" s="76"/>
      <c r="CAT56" s="76"/>
      <c r="CAU56" s="76"/>
      <c r="CAV56" s="76"/>
      <c r="CAW56" s="76"/>
      <c r="CAX56" s="76"/>
      <c r="CAY56" s="76"/>
      <c r="CAZ56" s="76"/>
      <c r="CBA56" s="76"/>
      <c r="CBB56" s="76"/>
      <c r="CBC56" s="76"/>
      <c r="CBD56" s="76"/>
      <c r="CBE56" s="76"/>
      <c r="CBF56" s="76"/>
      <c r="CBG56" s="76"/>
      <c r="CBH56" s="76"/>
      <c r="CBI56" s="76"/>
      <c r="CBJ56" s="76"/>
      <c r="CBK56" s="76"/>
      <c r="CBL56" s="76"/>
      <c r="CBM56" s="76"/>
      <c r="CBN56" s="76"/>
      <c r="CBO56" s="76"/>
      <c r="CBP56" s="76"/>
      <c r="CBQ56" s="76"/>
      <c r="CBR56" s="76"/>
      <c r="CBS56" s="76"/>
      <c r="CBT56" s="76"/>
      <c r="CBU56" s="76"/>
      <c r="CBV56" s="76"/>
      <c r="CBW56" s="76"/>
      <c r="CBX56" s="76"/>
      <c r="CBY56" s="76"/>
      <c r="CBZ56" s="76"/>
      <c r="CCA56" s="76"/>
      <c r="CCB56" s="76"/>
      <c r="CCC56" s="76"/>
      <c r="CCD56" s="76"/>
      <c r="CCE56" s="76"/>
      <c r="CCF56" s="76"/>
      <c r="CCG56" s="76"/>
      <c r="CCH56" s="76"/>
      <c r="CCI56" s="76"/>
      <c r="CCJ56" s="76"/>
      <c r="CCK56" s="76"/>
      <c r="CCL56" s="76"/>
      <c r="CCM56" s="76"/>
      <c r="CCN56" s="76"/>
      <c r="CCO56" s="76"/>
      <c r="CCP56" s="76"/>
      <c r="CCQ56" s="76"/>
      <c r="CCR56" s="76"/>
      <c r="CCS56" s="76"/>
      <c r="CCT56" s="76"/>
      <c r="CCU56" s="76"/>
      <c r="CCV56" s="76"/>
      <c r="CCW56" s="76"/>
      <c r="CCX56" s="76"/>
      <c r="CCY56" s="76"/>
      <c r="CCZ56" s="76"/>
      <c r="CDA56" s="76"/>
      <c r="CDB56" s="76"/>
      <c r="CDC56" s="76"/>
      <c r="CDD56" s="76"/>
      <c r="CDE56" s="76"/>
      <c r="CDF56" s="76"/>
      <c r="CDG56" s="76"/>
      <c r="CDH56" s="76"/>
      <c r="CDI56" s="76"/>
      <c r="CDJ56" s="76"/>
      <c r="CDK56" s="76"/>
      <c r="CDL56" s="76"/>
      <c r="CDM56" s="76"/>
      <c r="CDN56" s="76"/>
      <c r="CDO56" s="76"/>
      <c r="CDP56" s="76"/>
      <c r="CDQ56" s="76"/>
      <c r="CDR56" s="76"/>
      <c r="CDS56" s="76"/>
      <c r="CDT56" s="76"/>
      <c r="CDU56" s="76"/>
      <c r="CDV56" s="76"/>
      <c r="CDW56" s="76"/>
      <c r="CDX56" s="76"/>
      <c r="CDY56" s="76"/>
      <c r="CDZ56" s="76"/>
      <c r="CEA56" s="76"/>
      <c r="CEB56" s="76"/>
      <c r="CEC56" s="76"/>
      <c r="CED56" s="76"/>
      <c r="CEE56" s="76"/>
      <c r="CEF56" s="76"/>
      <c r="CEG56" s="76"/>
      <c r="CEH56" s="76"/>
      <c r="CEI56" s="76"/>
      <c r="CEJ56" s="76"/>
      <c r="CEK56" s="76"/>
      <c r="CEL56" s="76"/>
      <c r="CEM56" s="76"/>
      <c r="CEN56" s="76"/>
      <c r="CEO56" s="76"/>
      <c r="CEP56" s="76"/>
      <c r="CEQ56" s="76"/>
      <c r="CER56" s="76"/>
      <c r="CES56" s="76"/>
      <c r="CET56" s="76"/>
      <c r="CEU56" s="76"/>
      <c r="CEV56" s="76"/>
      <c r="CEW56" s="76"/>
      <c r="CEX56" s="76"/>
      <c r="CEY56" s="76"/>
      <c r="CEZ56" s="76"/>
      <c r="CFA56" s="76"/>
      <c r="CFB56" s="76"/>
      <c r="CFC56" s="76"/>
      <c r="CFD56" s="76"/>
      <c r="CFE56" s="76"/>
      <c r="CFF56" s="76"/>
      <c r="CFG56" s="76"/>
      <c r="CFH56" s="76"/>
      <c r="CFI56" s="76"/>
      <c r="CFJ56" s="76"/>
      <c r="CFK56" s="76"/>
      <c r="CFL56" s="76"/>
      <c r="CFM56" s="76"/>
      <c r="CFN56" s="76"/>
      <c r="CFO56" s="76"/>
      <c r="CFP56" s="76"/>
      <c r="CFQ56" s="76"/>
      <c r="CFR56" s="76"/>
      <c r="CFS56" s="76"/>
      <c r="CFT56" s="76"/>
      <c r="CFU56" s="76"/>
      <c r="CFV56" s="76"/>
      <c r="CFW56" s="76"/>
      <c r="CFX56" s="76"/>
      <c r="CFY56" s="76"/>
      <c r="CFZ56" s="76"/>
      <c r="CGA56" s="76"/>
      <c r="CGB56" s="76"/>
      <c r="CGC56" s="76"/>
      <c r="CGD56" s="76"/>
      <c r="CGE56" s="76"/>
      <c r="CGF56" s="76"/>
      <c r="CGG56" s="76"/>
      <c r="CGH56" s="76"/>
      <c r="CGI56" s="76"/>
      <c r="CGJ56" s="76"/>
      <c r="CGK56" s="76"/>
      <c r="CGL56" s="76"/>
      <c r="CGM56" s="76"/>
      <c r="CGN56" s="76"/>
      <c r="CGO56" s="76"/>
      <c r="CGP56" s="76"/>
      <c r="CGQ56" s="76"/>
      <c r="CGR56" s="76"/>
      <c r="CGS56" s="76"/>
      <c r="CGT56" s="76"/>
      <c r="CGU56" s="76"/>
      <c r="CGV56" s="76"/>
      <c r="CGW56" s="76"/>
      <c r="CGX56" s="76"/>
      <c r="CGY56" s="76"/>
      <c r="CGZ56" s="76"/>
      <c r="CHA56" s="76"/>
      <c r="CHB56" s="76"/>
      <c r="CHC56" s="76"/>
      <c r="CHD56" s="76"/>
      <c r="CHE56" s="76"/>
      <c r="CHF56" s="76"/>
      <c r="CHG56" s="76"/>
      <c r="CHH56" s="76"/>
      <c r="CHI56" s="76"/>
      <c r="CHJ56" s="76"/>
      <c r="CHK56" s="76"/>
      <c r="CHL56" s="76"/>
      <c r="CHM56" s="76"/>
      <c r="CHN56" s="76"/>
      <c r="CHO56" s="76"/>
      <c r="CHP56" s="76"/>
      <c r="CHQ56" s="76"/>
      <c r="CHR56" s="76"/>
      <c r="CHS56" s="76"/>
      <c r="CHT56" s="76"/>
      <c r="CHU56" s="76"/>
      <c r="CHV56" s="76"/>
      <c r="CHW56" s="76"/>
      <c r="CHX56" s="76"/>
      <c r="CHY56" s="76"/>
      <c r="CHZ56" s="76"/>
      <c r="CIA56" s="76"/>
      <c r="CIB56" s="76"/>
      <c r="CIC56" s="76"/>
      <c r="CID56" s="76"/>
      <c r="CIE56" s="76"/>
      <c r="CIF56" s="76"/>
      <c r="CIG56" s="76"/>
      <c r="CIH56" s="76"/>
      <c r="CII56" s="76"/>
      <c r="CIJ56" s="76"/>
      <c r="CIK56" s="76"/>
      <c r="CIL56" s="76"/>
      <c r="CIM56" s="76"/>
      <c r="CIN56" s="76"/>
      <c r="CIO56" s="76"/>
      <c r="CIP56" s="76"/>
      <c r="CIQ56" s="76"/>
      <c r="CIR56" s="76"/>
      <c r="CIS56" s="76"/>
      <c r="CIT56" s="76"/>
      <c r="CIU56" s="76"/>
      <c r="CIV56" s="76"/>
      <c r="CIW56" s="76"/>
      <c r="CIX56" s="76"/>
      <c r="CIY56" s="76"/>
      <c r="CIZ56" s="76"/>
      <c r="CJA56" s="76"/>
      <c r="CJB56" s="76"/>
      <c r="CJC56" s="76"/>
      <c r="CJD56" s="76"/>
      <c r="CJE56" s="76"/>
      <c r="CJF56" s="76"/>
      <c r="CJG56" s="76"/>
      <c r="CJH56" s="76"/>
      <c r="CJI56" s="76"/>
      <c r="CJJ56" s="76"/>
      <c r="CJK56" s="76"/>
      <c r="CJL56" s="76"/>
      <c r="CJM56" s="76"/>
      <c r="CJN56" s="76"/>
      <c r="CJO56" s="76"/>
      <c r="CJP56" s="76"/>
      <c r="CJQ56" s="76"/>
      <c r="CJR56" s="76"/>
      <c r="CJS56" s="76"/>
      <c r="CJT56" s="76"/>
      <c r="CJU56" s="76"/>
      <c r="CJV56" s="76"/>
      <c r="CJW56" s="76"/>
      <c r="CJX56" s="76"/>
      <c r="CJY56" s="76"/>
      <c r="CJZ56" s="76"/>
      <c r="CKA56" s="76"/>
      <c r="CKB56" s="76"/>
      <c r="CKC56" s="76"/>
      <c r="CKD56" s="76"/>
      <c r="CKE56" s="76"/>
      <c r="CKF56" s="76"/>
      <c r="CKG56" s="76"/>
      <c r="CKH56" s="76"/>
      <c r="CKI56" s="76"/>
      <c r="CKJ56" s="76"/>
      <c r="CKK56" s="76"/>
      <c r="CKL56" s="76"/>
      <c r="CKM56" s="76"/>
      <c r="CKN56" s="76"/>
      <c r="CKO56" s="76"/>
      <c r="CKP56" s="76"/>
      <c r="CKQ56" s="76"/>
      <c r="CKR56" s="76"/>
      <c r="CKS56" s="76"/>
      <c r="CKT56" s="76"/>
      <c r="CKU56" s="76"/>
      <c r="CKV56" s="76"/>
      <c r="CKW56" s="76"/>
      <c r="CKX56" s="76"/>
      <c r="CKY56" s="76"/>
      <c r="CKZ56" s="76"/>
      <c r="CLA56" s="76"/>
      <c r="CLB56" s="76"/>
      <c r="CLC56" s="76"/>
      <c r="CLD56" s="76"/>
      <c r="CLE56" s="76"/>
      <c r="CLF56" s="76"/>
      <c r="CLG56" s="76"/>
      <c r="CLH56" s="76"/>
      <c r="CLI56" s="76"/>
      <c r="CLJ56" s="76"/>
      <c r="CLK56" s="76"/>
      <c r="CLL56" s="76"/>
      <c r="CLM56" s="76"/>
      <c r="CLN56" s="76"/>
      <c r="CLO56" s="76"/>
      <c r="CLP56" s="76"/>
      <c r="CLQ56" s="76"/>
      <c r="CLR56" s="76"/>
      <c r="CLS56" s="76"/>
      <c r="CLT56" s="76"/>
      <c r="CLU56" s="76"/>
      <c r="CLV56" s="76"/>
      <c r="CLW56" s="76"/>
      <c r="CLX56" s="76"/>
      <c r="CLY56" s="76"/>
      <c r="CLZ56" s="76"/>
      <c r="CMA56" s="76"/>
      <c r="CMB56" s="76"/>
      <c r="CMC56" s="76"/>
      <c r="CMD56" s="76"/>
      <c r="CME56" s="76"/>
      <c r="CMF56" s="76"/>
      <c r="CMG56" s="76"/>
      <c r="CMH56" s="76"/>
      <c r="CMI56" s="76"/>
      <c r="CMJ56" s="76"/>
      <c r="CMK56" s="76"/>
      <c r="CML56" s="76"/>
      <c r="CMM56" s="76"/>
      <c r="CMN56" s="76"/>
      <c r="CMO56" s="76"/>
      <c r="CMP56" s="76"/>
      <c r="CMQ56" s="76"/>
      <c r="CMR56" s="76"/>
      <c r="CMS56" s="76"/>
      <c r="CMT56" s="76"/>
      <c r="CMU56" s="76"/>
      <c r="CMV56" s="76"/>
      <c r="CMW56" s="76"/>
      <c r="CMX56" s="76"/>
      <c r="CMY56" s="76"/>
      <c r="CMZ56" s="76"/>
      <c r="CNA56" s="76"/>
      <c r="CNB56" s="76"/>
      <c r="CNC56" s="76"/>
      <c r="CND56" s="76"/>
      <c r="CNE56" s="76"/>
      <c r="CNF56" s="76"/>
      <c r="CNG56" s="76"/>
      <c r="CNH56" s="76"/>
      <c r="CNI56" s="76"/>
      <c r="CNJ56" s="76"/>
      <c r="CNK56" s="76"/>
      <c r="CNL56" s="76"/>
      <c r="CNM56" s="76"/>
      <c r="CNN56" s="76"/>
      <c r="CNO56" s="76"/>
      <c r="CNP56" s="76"/>
      <c r="CNQ56" s="76"/>
      <c r="CNR56" s="76"/>
      <c r="CNS56" s="76"/>
      <c r="CNT56" s="76"/>
      <c r="CNU56" s="76"/>
      <c r="CNV56" s="76"/>
      <c r="CNW56" s="76"/>
      <c r="CNX56" s="76"/>
      <c r="CNY56" s="76"/>
      <c r="CNZ56" s="76"/>
      <c r="COA56" s="76"/>
      <c r="COB56" s="76"/>
      <c r="COC56" s="76"/>
      <c r="COD56" s="76"/>
      <c r="COE56" s="76"/>
      <c r="COF56" s="76"/>
      <c r="COG56" s="76"/>
      <c r="COH56" s="76"/>
      <c r="COI56" s="76"/>
      <c r="COJ56" s="76"/>
      <c r="COK56" s="76"/>
      <c r="COL56" s="76"/>
      <c r="COM56" s="76"/>
      <c r="CON56" s="76"/>
      <c r="COO56" s="76"/>
      <c r="COP56" s="76"/>
      <c r="COQ56" s="76"/>
      <c r="COR56" s="76"/>
      <c r="COS56" s="76"/>
      <c r="COT56" s="76"/>
      <c r="COU56" s="76"/>
      <c r="COV56" s="76"/>
      <c r="COW56" s="76"/>
      <c r="COX56" s="76"/>
      <c r="COY56" s="76"/>
      <c r="COZ56" s="76"/>
      <c r="CPA56" s="76"/>
      <c r="CPB56" s="76"/>
      <c r="CPC56" s="76"/>
      <c r="CPD56" s="76"/>
      <c r="CPE56" s="76"/>
      <c r="CPF56" s="76"/>
      <c r="CPG56" s="76"/>
      <c r="CPH56" s="76"/>
      <c r="CPI56" s="76"/>
      <c r="CPJ56" s="76"/>
      <c r="CPK56" s="76"/>
      <c r="CPL56" s="76"/>
      <c r="CPM56" s="76"/>
      <c r="CPN56" s="76"/>
      <c r="CPO56" s="76"/>
      <c r="CPP56" s="76"/>
      <c r="CPQ56" s="76"/>
      <c r="CPR56" s="76"/>
      <c r="CPS56" s="76"/>
      <c r="CPT56" s="76"/>
      <c r="CPU56" s="76"/>
      <c r="CPV56" s="76"/>
      <c r="CPW56" s="76"/>
      <c r="CPX56" s="76"/>
      <c r="CPY56" s="76"/>
      <c r="CPZ56" s="76"/>
      <c r="CQA56" s="76"/>
      <c r="CQB56" s="76"/>
      <c r="CQC56" s="76"/>
      <c r="CQD56" s="76"/>
      <c r="CQE56" s="76"/>
      <c r="CQF56" s="76"/>
      <c r="CQG56" s="76"/>
      <c r="CQH56" s="76"/>
      <c r="CQI56" s="76"/>
      <c r="CQJ56" s="76"/>
      <c r="CQK56" s="76"/>
      <c r="CQL56" s="76"/>
      <c r="CQM56" s="76"/>
      <c r="CQN56" s="76"/>
      <c r="CQO56" s="76"/>
      <c r="CQP56" s="76"/>
      <c r="CQQ56" s="76"/>
      <c r="CQR56" s="76"/>
      <c r="CQS56" s="76"/>
      <c r="CQT56" s="76"/>
      <c r="CQU56" s="76"/>
      <c r="CQV56" s="76"/>
      <c r="CQW56" s="76"/>
      <c r="CQX56" s="76"/>
      <c r="CQY56" s="76"/>
      <c r="CQZ56" s="76"/>
      <c r="CRA56" s="76"/>
      <c r="CRB56" s="76"/>
      <c r="CRC56" s="76"/>
      <c r="CRD56" s="76"/>
      <c r="CRE56" s="76"/>
      <c r="CRF56" s="76"/>
      <c r="CRG56" s="76"/>
      <c r="CRH56" s="76"/>
      <c r="CRI56" s="76"/>
      <c r="CRJ56" s="76"/>
      <c r="CRK56" s="76"/>
      <c r="CRL56" s="76"/>
      <c r="CRM56" s="76"/>
      <c r="CRN56" s="76"/>
      <c r="CRO56" s="76"/>
      <c r="CRP56" s="76"/>
      <c r="CRQ56" s="76"/>
      <c r="CRR56" s="76"/>
      <c r="CRS56" s="76"/>
      <c r="CRT56" s="76"/>
      <c r="CRU56" s="76"/>
      <c r="CRV56" s="76"/>
      <c r="CRW56" s="76"/>
      <c r="CRX56" s="76"/>
      <c r="CRY56" s="76"/>
      <c r="CRZ56" s="76"/>
      <c r="CSA56" s="76"/>
      <c r="CSB56" s="76"/>
      <c r="CSC56" s="76"/>
      <c r="CSD56" s="76"/>
      <c r="CSE56" s="76"/>
      <c r="CSF56" s="76"/>
      <c r="CSG56" s="76"/>
      <c r="CSH56" s="76"/>
      <c r="CSI56" s="76"/>
      <c r="CSJ56" s="76"/>
      <c r="CSK56" s="76"/>
      <c r="CSL56" s="76"/>
      <c r="CSM56" s="76"/>
      <c r="CSN56" s="76"/>
      <c r="CSO56" s="76"/>
      <c r="CSP56" s="76"/>
      <c r="CSQ56" s="76"/>
      <c r="CSR56" s="76"/>
      <c r="CSS56" s="76"/>
      <c r="CST56" s="76"/>
      <c r="CSU56" s="76"/>
      <c r="CSV56" s="76"/>
      <c r="CSW56" s="76"/>
      <c r="CSX56" s="76"/>
      <c r="CSY56" s="76"/>
      <c r="CSZ56" s="76"/>
      <c r="CTA56" s="76"/>
      <c r="CTB56" s="76"/>
      <c r="CTC56" s="76"/>
      <c r="CTD56" s="76"/>
      <c r="CTE56" s="76"/>
      <c r="CTF56" s="76"/>
      <c r="CTG56" s="76"/>
      <c r="CTH56" s="76"/>
      <c r="CTI56" s="76"/>
      <c r="CTJ56" s="76"/>
      <c r="CTK56" s="76"/>
      <c r="CTL56" s="76"/>
      <c r="CTM56" s="76"/>
      <c r="CTN56" s="76"/>
      <c r="CTO56" s="76"/>
      <c r="CTP56" s="76"/>
      <c r="CTQ56" s="76"/>
      <c r="CTR56" s="76"/>
      <c r="CTS56" s="76"/>
      <c r="CTT56" s="76"/>
      <c r="CTU56" s="76"/>
      <c r="CTV56" s="76"/>
      <c r="CTW56" s="76"/>
      <c r="CTX56" s="76"/>
      <c r="CTY56" s="76"/>
      <c r="CTZ56" s="76"/>
      <c r="CUA56" s="76"/>
      <c r="CUB56" s="76"/>
      <c r="CUC56" s="76"/>
      <c r="CUD56" s="76"/>
      <c r="CUE56" s="76"/>
      <c r="CUF56" s="76"/>
      <c r="CUG56" s="76"/>
      <c r="CUH56" s="76"/>
      <c r="CUI56" s="76"/>
      <c r="CUJ56" s="76"/>
      <c r="CUK56" s="76"/>
      <c r="CUL56" s="76"/>
      <c r="CUM56" s="76"/>
      <c r="CUN56" s="76"/>
      <c r="CUO56" s="76"/>
      <c r="CUP56" s="76"/>
      <c r="CUQ56" s="76"/>
      <c r="CUR56" s="76"/>
      <c r="CUS56" s="76"/>
      <c r="CUT56" s="76"/>
      <c r="CUU56" s="76"/>
      <c r="CUV56" s="76"/>
      <c r="CUW56" s="76"/>
      <c r="CUX56" s="76"/>
      <c r="CUY56" s="76"/>
      <c r="CUZ56" s="76"/>
      <c r="CVA56" s="76"/>
      <c r="CVB56" s="76"/>
      <c r="CVC56" s="76"/>
      <c r="CVD56" s="76"/>
      <c r="CVE56" s="76"/>
      <c r="CVF56" s="76"/>
      <c r="CVG56" s="76"/>
      <c r="CVH56" s="76"/>
      <c r="CVI56" s="76"/>
      <c r="CVJ56" s="76"/>
      <c r="CVK56" s="76"/>
      <c r="CVL56" s="76"/>
      <c r="CVM56" s="76"/>
      <c r="CVN56" s="76"/>
      <c r="CVO56" s="76"/>
      <c r="CVP56" s="76"/>
      <c r="CVQ56" s="76"/>
      <c r="CVR56" s="76"/>
      <c r="CVS56" s="76"/>
      <c r="CVT56" s="76"/>
      <c r="CVU56" s="76"/>
      <c r="CVV56" s="76"/>
      <c r="CVW56" s="76"/>
      <c r="CVX56" s="76"/>
      <c r="CVY56" s="76"/>
      <c r="CVZ56" s="76"/>
      <c r="CWA56" s="76"/>
      <c r="CWB56" s="76"/>
      <c r="CWC56" s="76"/>
      <c r="CWD56" s="76"/>
      <c r="CWE56" s="76"/>
      <c r="CWF56" s="76"/>
      <c r="CWG56" s="76"/>
      <c r="CWH56" s="76"/>
      <c r="CWI56" s="76"/>
      <c r="CWJ56" s="76"/>
      <c r="CWK56" s="76"/>
      <c r="CWL56" s="76"/>
      <c r="CWM56" s="76"/>
      <c r="CWN56" s="76"/>
      <c r="CWO56" s="76"/>
      <c r="CWP56" s="76"/>
      <c r="CWQ56" s="76"/>
      <c r="CWR56" s="76"/>
      <c r="CWS56" s="76"/>
      <c r="CWT56" s="76"/>
      <c r="CWU56" s="76"/>
      <c r="CWV56" s="76"/>
      <c r="CWW56" s="76"/>
      <c r="CWX56" s="76"/>
      <c r="CWY56" s="76"/>
      <c r="CWZ56" s="76"/>
      <c r="CXA56" s="76"/>
      <c r="CXB56" s="76"/>
      <c r="CXC56" s="76"/>
      <c r="CXD56" s="76"/>
      <c r="CXE56" s="76"/>
      <c r="CXF56" s="76"/>
      <c r="CXG56" s="76"/>
      <c r="CXH56" s="76"/>
      <c r="CXI56" s="76"/>
      <c r="CXJ56" s="76"/>
      <c r="CXK56" s="76"/>
      <c r="CXL56" s="76"/>
      <c r="CXM56" s="76"/>
      <c r="CXN56" s="76"/>
      <c r="CXO56" s="76"/>
      <c r="CXP56" s="76"/>
      <c r="CXQ56" s="76"/>
      <c r="CXR56" s="76"/>
      <c r="CXS56" s="76"/>
      <c r="CXT56" s="76"/>
      <c r="CXU56" s="76"/>
      <c r="CXV56" s="76"/>
      <c r="CXW56" s="76"/>
      <c r="CXX56" s="76"/>
      <c r="CXY56" s="76"/>
      <c r="CXZ56" s="76"/>
      <c r="CYA56" s="76"/>
      <c r="CYB56" s="76"/>
      <c r="CYC56" s="76"/>
      <c r="CYD56" s="76"/>
      <c r="CYE56" s="76"/>
      <c r="CYF56" s="76"/>
      <c r="CYG56" s="76"/>
      <c r="CYH56" s="76"/>
      <c r="CYI56" s="76"/>
      <c r="CYJ56" s="76"/>
      <c r="CYK56" s="76"/>
      <c r="CYL56" s="76"/>
      <c r="CYM56" s="76"/>
      <c r="CYN56" s="76"/>
      <c r="CYO56" s="76"/>
      <c r="CYP56" s="76"/>
      <c r="CYQ56" s="76"/>
      <c r="CYR56" s="76"/>
      <c r="CYS56" s="76"/>
      <c r="CYT56" s="76"/>
      <c r="CYU56" s="76"/>
      <c r="CYV56" s="76"/>
      <c r="CYW56" s="76"/>
      <c r="CYX56" s="76"/>
      <c r="CYY56" s="76"/>
      <c r="CYZ56" s="76"/>
      <c r="CZA56" s="76"/>
      <c r="CZB56" s="76"/>
      <c r="CZC56" s="76"/>
      <c r="CZD56" s="76"/>
      <c r="CZE56" s="76"/>
      <c r="CZF56" s="76"/>
      <c r="CZG56" s="76"/>
      <c r="CZH56" s="76"/>
      <c r="CZI56" s="76"/>
      <c r="CZJ56" s="76"/>
      <c r="CZK56" s="76"/>
      <c r="CZL56" s="76"/>
      <c r="CZM56" s="76"/>
      <c r="CZN56" s="76"/>
      <c r="CZO56" s="76"/>
      <c r="CZP56" s="76"/>
      <c r="CZQ56" s="76"/>
      <c r="CZR56" s="76"/>
      <c r="CZS56" s="76"/>
      <c r="CZT56" s="76"/>
      <c r="CZU56" s="76"/>
      <c r="CZV56" s="76"/>
      <c r="CZW56" s="76"/>
      <c r="CZX56" s="76"/>
      <c r="CZY56" s="76"/>
      <c r="CZZ56" s="76"/>
      <c r="DAA56" s="76"/>
      <c r="DAB56" s="76"/>
      <c r="DAC56" s="76"/>
      <c r="DAD56" s="76"/>
      <c r="DAE56" s="76"/>
      <c r="DAF56" s="76"/>
      <c r="DAG56" s="76"/>
      <c r="DAH56" s="76"/>
      <c r="DAI56" s="76"/>
      <c r="DAJ56" s="76"/>
      <c r="DAK56" s="76"/>
      <c r="DAL56" s="76"/>
      <c r="DAM56" s="76"/>
      <c r="DAN56" s="76"/>
      <c r="DAO56" s="76"/>
      <c r="DAP56" s="76"/>
      <c r="DAQ56" s="76"/>
      <c r="DAR56" s="76"/>
      <c r="DAS56" s="76"/>
      <c r="DAT56" s="76"/>
      <c r="DAU56" s="76"/>
      <c r="DAV56" s="76"/>
      <c r="DAW56" s="76"/>
      <c r="DAX56" s="76"/>
      <c r="DAY56" s="76"/>
      <c r="DAZ56" s="76"/>
      <c r="DBA56" s="76"/>
      <c r="DBB56" s="76"/>
      <c r="DBC56" s="76"/>
      <c r="DBD56" s="76"/>
      <c r="DBE56" s="76"/>
      <c r="DBF56" s="76"/>
      <c r="DBG56" s="76"/>
      <c r="DBH56" s="76"/>
      <c r="DBI56" s="76"/>
      <c r="DBJ56" s="76"/>
      <c r="DBK56" s="76"/>
      <c r="DBL56" s="76"/>
      <c r="DBM56" s="76"/>
      <c r="DBN56" s="76"/>
      <c r="DBO56" s="76"/>
      <c r="DBP56" s="76"/>
      <c r="DBQ56" s="76"/>
      <c r="DBR56" s="76"/>
      <c r="DBS56" s="76"/>
      <c r="DBT56" s="76"/>
      <c r="DBU56" s="76"/>
      <c r="DBV56" s="76"/>
      <c r="DBW56" s="76"/>
      <c r="DBX56" s="76"/>
      <c r="DBY56" s="76"/>
      <c r="DBZ56" s="76"/>
      <c r="DCA56" s="76"/>
      <c r="DCB56" s="76"/>
      <c r="DCC56" s="76"/>
      <c r="DCD56" s="76"/>
      <c r="DCE56" s="76"/>
      <c r="DCF56" s="76"/>
      <c r="DCG56" s="76"/>
      <c r="DCH56" s="76"/>
      <c r="DCI56" s="76"/>
      <c r="DCJ56" s="76"/>
      <c r="DCK56" s="76"/>
      <c r="DCL56" s="76"/>
      <c r="DCM56" s="76"/>
      <c r="DCN56" s="76"/>
      <c r="DCO56" s="76"/>
      <c r="DCP56" s="76"/>
      <c r="DCQ56" s="76"/>
      <c r="DCR56" s="76"/>
      <c r="DCS56" s="76"/>
      <c r="DCT56" s="76"/>
      <c r="DCU56" s="76"/>
      <c r="DCV56" s="76"/>
      <c r="DCW56" s="76"/>
      <c r="DCX56" s="76"/>
      <c r="DCY56" s="76"/>
      <c r="DCZ56" s="76"/>
      <c r="DDA56" s="76"/>
      <c r="DDB56" s="76"/>
      <c r="DDC56" s="76"/>
      <c r="DDD56" s="76"/>
      <c r="DDE56" s="76"/>
      <c r="DDF56" s="76"/>
      <c r="DDG56" s="76"/>
      <c r="DDH56" s="76"/>
      <c r="DDI56" s="76"/>
      <c r="DDJ56" s="76"/>
      <c r="DDK56" s="76"/>
      <c r="DDL56" s="76"/>
      <c r="DDM56" s="76"/>
      <c r="DDN56" s="76"/>
      <c r="DDO56" s="76"/>
      <c r="DDP56" s="76"/>
      <c r="DDQ56" s="76"/>
      <c r="DDR56" s="76"/>
      <c r="DDS56" s="76"/>
      <c r="DDT56" s="76"/>
      <c r="DDU56" s="76"/>
      <c r="DDV56" s="76"/>
      <c r="DDW56" s="76"/>
      <c r="DDX56" s="76"/>
      <c r="DDY56" s="76"/>
      <c r="DDZ56" s="76"/>
      <c r="DEA56" s="76"/>
      <c r="DEB56" s="76"/>
      <c r="DEC56" s="76"/>
      <c r="DED56" s="76"/>
      <c r="DEE56" s="76"/>
      <c r="DEF56" s="76"/>
      <c r="DEG56" s="76"/>
      <c r="DEH56" s="76"/>
      <c r="DEI56" s="76"/>
      <c r="DEJ56" s="76"/>
      <c r="DEK56" s="76"/>
      <c r="DEL56" s="76"/>
      <c r="DEM56" s="76"/>
      <c r="DEN56" s="76"/>
      <c r="DEO56" s="76"/>
      <c r="DEP56" s="76"/>
      <c r="DEQ56" s="76"/>
      <c r="DER56" s="76"/>
      <c r="DES56" s="76"/>
      <c r="DET56" s="76"/>
      <c r="DEU56" s="76"/>
      <c r="DEV56" s="76"/>
      <c r="DEW56" s="76"/>
      <c r="DEX56" s="76"/>
      <c r="DEY56" s="76"/>
      <c r="DEZ56" s="76"/>
      <c r="DFA56" s="76"/>
      <c r="DFB56" s="76"/>
      <c r="DFC56" s="76"/>
      <c r="DFD56" s="76"/>
      <c r="DFE56" s="76"/>
      <c r="DFF56" s="76"/>
      <c r="DFG56" s="76"/>
      <c r="DFH56" s="76"/>
      <c r="DFI56" s="76"/>
      <c r="DFJ56" s="76"/>
      <c r="DFK56" s="76"/>
      <c r="DFL56" s="76"/>
      <c r="DFM56" s="76"/>
      <c r="DFN56" s="76"/>
      <c r="DFO56" s="76"/>
      <c r="DFP56" s="76"/>
      <c r="DFQ56" s="76"/>
      <c r="DFR56" s="76"/>
      <c r="DFS56" s="76"/>
      <c r="DFT56" s="76"/>
      <c r="DFU56" s="76"/>
      <c r="DFV56" s="76"/>
      <c r="DFW56" s="76"/>
      <c r="DFX56" s="76"/>
      <c r="DFY56" s="76"/>
      <c r="DFZ56" s="76"/>
      <c r="DGA56" s="76"/>
      <c r="DGB56" s="76"/>
      <c r="DGC56" s="76"/>
      <c r="DGD56" s="76"/>
      <c r="DGE56" s="76"/>
      <c r="DGF56" s="76"/>
      <c r="DGG56" s="76"/>
      <c r="DGH56" s="76"/>
      <c r="DGI56" s="76"/>
      <c r="DGJ56" s="76"/>
      <c r="DGK56" s="76"/>
      <c r="DGL56" s="76"/>
      <c r="DGM56" s="76"/>
      <c r="DGN56" s="76"/>
      <c r="DGO56" s="76"/>
      <c r="DGP56" s="76"/>
      <c r="DGQ56" s="76"/>
      <c r="DGR56" s="76"/>
      <c r="DGS56" s="76"/>
      <c r="DGT56" s="76"/>
      <c r="DGU56" s="76"/>
      <c r="DGV56" s="76"/>
      <c r="DGW56" s="76"/>
      <c r="DGX56" s="76"/>
      <c r="DGY56" s="76"/>
      <c r="DGZ56" s="76"/>
      <c r="DHA56" s="76"/>
      <c r="DHB56" s="76"/>
      <c r="DHC56" s="76"/>
      <c r="DHD56" s="76"/>
      <c r="DHE56" s="76"/>
      <c r="DHF56" s="76"/>
      <c r="DHG56" s="76"/>
      <c r="DHH56" s="76"/>
      <c r="DHI56" s="76"/>
      <c r="DHJ56" s="76"/>
      <c r="DHK56" s="76"/>
      <c r="DHL56" s="76"/>
      <c r="DHM56" s="76"/>
      <c r="DHN56" s="76"/>
      <c r="DHO56" s="76"/>
      <c r="DHP56" s="76"/>
      <c r="DHQ56" s="76"/>
      <c r="DHR56" s="76"/>
      <c r="DHS56" s="76"/>
      <c r="DHT56" s="76"/>
      <c r="DHU56" s="76"/>
      <c r="DHV56" s="76"/>
      <c r="DHW56" s="76"/>
      <c r="DHX56" s="76"/>
      <c r="DHY56" s="76"/>
      <c r="DHZ56" s="76"/>
      <c r="DIA56" s="76"/>
      <c r="DIB56" s="76"/>
      <c r="DIC56" s="76"/>
      <c r="DID56" s="76"/>
      <c r="DIE56" s="76"/>
      <c r="DIF56" s="76"/>
      <c r="DIG56" s="76"/>
      <c r="DIH56" s="76"/>
      <c r="DII56" s="76"/>
      <c r="DIJ56" s="76"/>
      <c r="DIK56" s="76"/>
      <c r="DIL56" s="76"/>
      <c r="DIM56" s="76"/>
      <c r="DIN56" s="76"/>
      <c r="DIO56" s="76"/>
      <c r="DIP56" s="76"/>
      <c r="DIQ56" s="76"/>
      <c r="DIR56" s="76"/>
      <c r="DIS56" s="76"/>
      <c r="DIT56" s="76"/>
      <c r="DIU56" s="76"/>
      <c r="DIV56" s="76"/>
      <c r="DIW56" s="76"/>
      <c r="DIX56" s="76"/>
      <c r="DIY56" s="76"/>
      <c r="DIZ56" s="76"/>
      <c r="DJA56" s="76"/>
      <c r="DJB56" s="76"/>
      <c r="DJC56" s="76"/>
      <c r="DJD56" s="76"/>
      <c r="DJE56" s="76"/>
      <c r="DJF56" s="76"/>
      <c r="DJG56" s="76"/>
      <c r="DJH56" s="76"/>
      <c r="DJI56" s="76"/>
      <c r="DJJ56" s="76"/>
      <c r="DJK56" s="76"/>
      <c r="DJL56" s="76"/>
      <c r="DJM56" s="76"/>
      <c r="DJN56" s="76"/>
      <c r="DJO56" s="76"/>
      <c r="DJP56" s="76"/>
      <c r="DJQ56" s="76"/>
      <c r="DJR56" s="76"/>
      <c r="DJS56" s="76"/>
      <c r="DJT56" s="76"/>
      <c r="DJU56" s="76"/>
      <c r="DJV56" s="76"/>
      <c r="DJW56" s="76"/>
      <c r="DJX56" s="76"/>
      <c r="DJY56" s="76"/>
      <c r="DJZ56" s="76"/>
      <c r="DKA56" s="76"/>
      <c r="DKB56" s="76"/>
      <c r="DKC56" s="76"/>
      <c r="DKD56" s="76"/>
      <c r="DKE56" s="76"/>
      <c r="DKF56" s="76"/>
      <c r="DKG56" s="76"/>
      <c r="DKH56" s="76"/>
      <c r="DKI56" s="76"/>
      <c r="DKJ56" s="76"/>
      <c r="DKK56" s="76"/>
      <c r="DKL56" s="76"/>
      <c r="DKM56" s="76"/>
      <c r="DKN56" s="76"/>
      <c r="DKO56" s="76"/>
      <c r="DKP56" s="76"/>
      <c r="DKQ56" s="76"/>
      <c r="DKR56" s="76"/>
      <c r="DKS56" s="76"/>
      <c r="DKT56" s="76"/>
      <c r="DKU56" s="76"/>
      <c r="DKV56" s="76"/>
      <c r="DKW56" s="76"/>
      <c r="DKX56" s="76"/>
      <c r="DKY56" s="76"/>
      <c r="DKZ56" s="76"/>
      <c r="DLA56" s="76"/>
      <c r="DLB56" s="76"/>
      <c r="DLC56" s="76"/>
      <c r="DLD56" s="76"/>
      <c r="DLE56" s="76"/>
      <c r="DLF56" s="76"/>
      <c r="DLG56" s="76"/>
      <c r="DLH56" s="76"/>
      <c r="DLI56" s="76"/>
      <c r="DLJ56" s="76"/>
      <c r="DLK56" s="76"/>
      <c r="DLL56" s="76"/>
      <c r="DLM56" s="76"/>
      <c r="DLN56" s="76"/>
      <c r="DLO56" s="76"/>
      <c r="DLP56" s="76"/>
      <c r="DLQ56" s="76"/>
      <c r="DLR56" s="76"/>
      <c r="DLS56" s="76"/>
      <c r="DLT56" s="76"/>
      <c r="DLU56" s="76"/>
      <c r="DLV56" s="76"/>
      <c r="DLW56" s="76"/>
      <c r="DLX56" s="76"/>
      <c r="DLY56" s="76"/>
      <c r="DLZ56" s="76"/>
      <c r="DMA56" s="76"/>
      <c r="DMB56" s="76"/>
      <c r="DMC56" s="76"/>
      <c r="DMD56" s="76"/>
      <c r="DME56" s="76"/>
      <c r="DMF56" s="76"/>
      <c r="DMG56" s="76"/>
      <c r="DMH56" s="76"/>
      <c r="DMI56" s="76"/>
      <c r="DMJ56" s="76"/>
      <c r="DMK56" s="76"/>
      <c r="DML56" s="76"/>
      <c r="DMM56" s="76"/>
      <c r="DMN56" s="76"/>
      <c r="DMO56" s="76"/>
      <c r="DMP56" s="76"/>
      <c r="DMQ56" s="76"/>
      <c r="DMR56" s="76"/>
      <c r="DMS56" s="76"/>
      <c r="DMT56" s="76"/>
      <c r="DMU56" s="76"/>
      <c r="DMV56" s="76"/>
      <c r="DMW56" s="76"/>
      <c r="DMX56" s="76"/>
      <c r="DMY56" s="76"/>
      <c r="DMZ56" s="76"/>
      <c r="DNA56" s="76"/>
      <c r="DNB56" s="76"/>
      <c r="DNC56" s="76"/>
      <c r="DND56" s="76"/>
      <c r="DNE56" s="76"/>
      <c r="DNF56" s="76"/>
      <c r="DNG56" s="76"/>
      <c r="DNH56" s="76"/>
      <c r="DNI56" s="76"/>
      <c r="DNJ56" s="76"/>
      <c r="DNK56" s="76"/>
      <c r="DNL56" s="76"/>
      <c r="DNM56" s="76"/>
      <c r="DNN56" s="76"/>
      <c r="DNO56" s="76"/>
      <c r="DNP56" s="76"/>
      <c r="DNQ56" s="76"/>
      <c r="DNR56" s="76"/>
      <c r="DNS56" s="76"/>
      <c r="DNT56" s="76"/>
      <c r="DNU56" s="76"/>
      <c r="DNV56" s="76"/>
      <c r="DNW56" s="76"/>
      <c r="DNX56" s="76"/>
      <c r="DNY56" s="76"/>
      <c r="DNZ56" s="76"/>
      <c r="DOA56" s="76"/>
      <c r="DOB56" s="76"/>
      <c r="DOC56" s="76"/>
      <c r="DOD56" s="76"/>
      <c r="DOE56" s="76"/>
      <c r="DOF56" s="76"/>
      <c r="DOG56" s="76"/>
      <c r="DOH56" s="76"/>
      <c r="DOI56" s="76"/>
      <c r="DOJ56" s="76"/>
      <c r="DOK56" s="76"/>
      <c r="DOL56" s="76"/>
      <c r="DOM56" s="76"/>
      <c r="DON56" s="76"/>
      <c r="DOO56" s="76"/>
      <c r="DOP56" s="76"/>
      <c r="DOQ56" s="76"/>
      <c r="DOR56" s="76"/>
      <c r="DOS56" s="76"/>
      <c r="DOT56" s="76"/>
      <c r="DOU56" s="76"/>
      <c r="DOV56" s="76"/>
      <c r="DOW56" s="76"/>
      <c r="DOX56" s="76"/>
      <c r="DOY56" s="76"/>
      <c r="DOZ56" s="76"/>
      <c r="DPA56" s="76"/>
      <c r="DPB56" s="76"/>
      <c r="DPC56" s="76"/>
      <c r="DPD56" s="76"/>
      <c r="DPE56" s="76"/>
      <c r="DPF56" s="76"/>
      <c r="DPG56" s="76"/>
      <c r="DPH56" s="76"/>
      <c r="DPI56" s="76"/>
      <c r="DPJ56" s="76"/>
      <c r="DPK56" s="76"/>
      <c r="DPL56" s="76"/>
      <c r="DPM56" s="76"/>
      <c r="DPN56" s="76"/>
      <c r="DPO56" s="76"/>
      <c r="DPP56" s="76"/>
      <c r="DPQ56" s="76"/>
      <c r="DPR56" s="76"/>
      <c r="DPS56" s="76"/>
      <c r="DPT56" s="76"/>
      <c r="DPU56" s="76"/>
      <c r="DPV56" s="76"/>
      <c r="DPW56" s="76"/>
      <c r="DPX56" s="76"/>
      <c r="DPY56" s="76"/>
      <c r="DPZ56" s="76"/>
      <c r="DQA56" s="76"/>
      <c r="DQB56" s="76"/>
      <c r="DQC56" s="76"/>
      <c r="DQD56" s="76"/>
      <c r="DQE56" s="76"/>
      <c r="DQF56" s="76"/>
      <c r="DQG56" s="76"/>
      <c r="DQH56" s="76"/>
      <c r="DQI56" s="76"/>
      <c r="DQJ56" s="76"/>
      <c r="DQK56" s="76"/>
      <c r="DQL56" s="76"/>
      <c r="DQM56" s="76"/>
      <c r="DQN56" s="76"/>
      <c r="DQO56" s="76"/>
      <c r="DQP56" s="76"/>
      <c r="DQQ56" s="76"/>
      <c r="DQR56" s="76"/>
      <c r="DQS56" s="76"/>
      <c r="DQT56" s="76"/>
      <c r="DQU56" s="76"/>
      <c r="DQV56" s="76"/>
      <c r="DQW56" s="76"/>
      <c r="DQX56" s="76"/>
      <c r="DQY56" s="76"/>
      <c r="DQZ56" s="76"/>
      <c r="DRA56" s="76"/>
      <c r="DRB56" s="76"/>
      <c r="DRC56" s="76"/>
      <c r="DRD56" s="76"/>
      <c r="DRE56" s="76"/>
      <c r="DRF56" s="76"/>
      <c r="DRG56" s="76"/>
      <c r="DRH56" s="76"/>
      <c r="DRI56" s="76"/>
      <c r="DRJ56" s="76"/>
      <c r="DRK56" s="76"/>
      <c r="DRL56" s="76"/>
      <c r="DRM56" s="76"/>
      <c r="DRN56" s="76"/>
      <c r="DRO56" s="76"/>
      <c r="DRP56" s="76"/>
      <c r="DRQ56" s="76"/>
      <c r="DRR56" s="76"/>
      <c r="DRS56" s="76"/>
      <c r="DRT56" s="76"/>
      <c r="DRU56" s="76"/>
      <c r="DRV56" s="76"/>
      <c r="DRW56" s="76"/>
      <c r="DRX56" s="76"/>
      <c r="DRY56" s="76"/>
      <c r="DRZ56" s="76"/>
      <c r="DSA56" s="76"/>
      <c r="DSB56" s="76"/>
      <c r="DSC56" s="76"/>
      <c r="DSD56" s="76"/>
      <c r="DSE56" s="76"/>
      <c r="DSF56" s="76"/>
      <c r="DSG56" s="76"/>
      <c r="DSH56" s="76"/>
      <c r="DSI56" s="76"/>
      <c r="DSJ56" s="76"/>
      <c r="DSK56" s="76"/>
      <c r="DSL56" s="76"/>
      <c r="DSM56" s="76"/>
      <c r="DSN56" s="76"/>
      <c r="DSO56" s="76"/>
      <c r="DSP56" s="76"/>
      <c r="DSQ56" s="76"/>
      <c r="DSR56" s="76"/>
      <c r="DSS56" s="76"/>
      <c r="DST56" s="76"/>
      <c r="DSU56" s="76"/>
      <c r="DSV56" s="76"/>
      <c r="DSW56" s="76"/>
      <c r="DSX56" s="76"/>
      <c r="DSY56" s="76"/>
      <c r="DSZ56" s="76"/>
      <c r="DTA56" s="76"/>
      <c r="DTB56" s="76"/>
      <c r="DTC56" s="76"/>
      <c r="DTD56" s="76"/>
      <c r="DTE56" s="76"/>
      <c r="DTF56" s="76"/>
      <c r="DTG56" s="76"/>
      <c r="DTH56" s="76"/>
      <c r="DTI56" s="76"/>
      <c r="DTJ56" s="76"/>
      <c r="DTK56" s="76"/>
      <c r="DTL56" s="76"/>
      <c r="DTM56" s="76"/>
      <c r="DTN56" s="76"/>
      <c r="DTO56" s="76"/>
      <c r="DTP56" s="76"/>
      <c r="DTQ56" s="76"/>
      <c r="DTR56" s="76"/>
      <c r="DTS56" s="76"/>
      <c r="DTT56" s="76"/>
      <c r="DTU56" s="76"/>
      <c r="DTV56" s="76"/>
      <c r="DTW56" s="76"/>
      <c r="DTX56" s="76"/>
      <c r="DTY56" s="76"/>
      <c r="DTZ56" s="76"/>
      <c r="DUA56" s="76"/>
      <c r="DUB56" s="76"/>
      <c r="DUC56" s="76"/>
      <c r="DUD56" s="76"/>
      <c r="DUE56" s="76"/>
      <c r="DUF56" s="76"/>
      <c r="DUG56" s="76"/>
      <c r="DUH56" s="76"/>
      <c r="DUI56" s="76"/>
      <c r="DUJ56" s="76"/>
      <c r="DUK56" s="76"/>
      <c r="DUL56" s="76"/>
      <c r="DUM56" s="76"/>
      <c r="DUN56" s="76"/>
      <c r="DUO56" s="76"/>
      <c r="DUP56" s="76"/>
      <c r="DUQ56" s="76"/>
      <c r="DUR56" s="76"/>
      <c r="DUS56" s="76"/>
      <c r="DUT56" s="76"/>
      <c r="DUU56" s="76"/>
      <c r="DUV56" s="76"/>
      <c r="DUW56" s="76"/>
      <c r="DUX56" s="76"/>
      <c r="DUY56" s="76"/>
      <c r="DUZ56" s="76"/>
      <c r="DVA56" s="76"/>
      <c r="DVB56" s="76"/>
      <c r="DVC56" s="76"/>
      <c r="DVD56" s="76"/>
      <c r="DVE56" s="76"/>
      <c r="DVF56" s="76"/>
      <c r="DVG56" s="76"/>
      <c r="DVH56" s="76"/>
      <c r="DVI56" s="76"/>
      <c r="DVJ56" s="76"/>
      <c r="DVK56" s="76"/>
      <c r="DVL56" s="76"/>
      <c r="DVM56" s="76"/>
      <c r="DVN56" s="76"/>
      <c r="DVO56" s="76"/>
      <c r="DVP56" s="76"/>
      <c r="DVQ56" s="76"/>
      <c r="DVR56" s="76"/>
      <c r="DVS56" s="76"/>
      <c r="DVT56" s="76"/>
      <c r="DVU56" s="76"/>
      <c r="DVV56" s="76"/>
      <c r="DVW56" s="76"/>
      <c r="DVX56" s="76"/>
      <c r="DVY56" s="76"/>
      <c r="DVZ56" s="76"/>
      <c r="DWA56" s="76"/>
      <c r="DWB56" s="76"/>
      <c r="DWC56" s="76"/>
      <c r="DWD56" s="76"/>
      <c r="DWE56" s="76"/>
      <c r="DWF56" s="76"/>
      <c r="DWG56" s="76"/>
      <c r="DWH56" s="76"/>
      <c r="DWI56" s="76"/>
      <c r="DWJ56" s="76"/>
      <c r="DWK56" s="76"/>
      <c r="DWL56" s="76"/>
      <c r="DWM56" s="76"/>
      <c r="DWN56" s="76"/>
      <c r="DWO56" s="76"/>
      <c r="DWP56" s="76"/>
      <c r="DWQ56" s="76"/>
      <c r="DWR56" s="76"/>
      <c r="DWS56" s="76"/>
      <c r="DWT56" s="76"/>
      <c r="DWU56" s="76"/>
      <c r="DWV56" s="76"/>
      <c r="DWW56" s="76"/>
      <c r="DWX56" s="76"/>
      <c r="DWY56" s="76"/>
      <c r="DWZ56" s="76"/>
      <c r="DXA56" s="76"/>
      <c r="DXB56" s="76"/>
      <c r="DXC56" s="76"/>
      <c r="DXD56" s="76"/>
      <c r="DXE56" s="76"/>
      <c r="DXF56" s="76"/>
      <c r="DXG56" s="76"/>
      <c r="DXH56" s="76"/>
      <c r="DXI56" s="76"/>
      <c r="DXJ56" s="76"/>
      <c r="DXK56" s="76"/>
      <c r="DXL56" s="76"/>
      <c r="DXM56" s="76"/>
      <c r="DXN56" s="76"/>
      <c r="DXO56" s="76"/>
      <c r="DXP56" s="76"/>
      <c r="DXQ56" s="76"/>
      <c r="DXR56" s="76"/>
      <c r="DXS56" s="76"/>
      <c r="DXT56" s="76"/>
      <c r="DXU56" s="76"/>
      <c r="DXV56" s="76"/>
      <c r="DXW56" s="76"/>
      <c r="DXX56" s="76"/>
      <c r="DXY56" s="76"/>
      <c r="DXZ56" s="76"/>
      <c r="DYA56" s="76"/>
      <c r="DYB56" s="76"/>
      <c r="DYC56" s="76"/>
      <c r="DYD56" s="76"/>
      <c r="DYE56" s="76"/>
      <c r="DYF56" s="76"/>
      <c r="DYG56" s="76"/>
      <c r="DYH56" s="76"/>
      <c r="DYI56" s="76"/>
      <c r="DYJ56" s="76"/>
      <c r="DYK56" s="76"/>
      <c r="DYL56" s="76"/>
      <c r="DYM56" s="76"/>
      <c r="DYN56" s="76"/>
      <c r="DYO56" s="76"/>
      <c r="DYP56" s="76"/>
      <c r="DYQ56" s="76"/>
      <c r="DYR56" s="76"/>
      <c r="DYS56" s="76"/>
      <c r="DYT56" s="76"/>
      <c r="DYU56" s="76"/>
      <c r="DYV56" s="76"/>
      <c r="DYW56" s="76"/>
      <c r="DYX56" s="76"/>
      <c r="DYY56" s="76"/>
      <c r="DYZ56" s="76"/>
      <c r="DZA56" s="76"/>
      <c r="DZB56" s="76"/>
      <c r="DZC56" s="76"/>
      <c r="DZD56" s="76"/>
      <c r="DZE56" s="76"/>
      <c r="DZF56" s="76"/>
      <c r="DZG56" s="76"/>
      <c r="DZH56" s="76"/>
      <c r="DZI56" s="76"/>
      <c r="DZJ56" s="76"/>
      <c r="DZK56" s="76"/>
      <c r="DZL56" s="76"/>
      <c r="DZM56" s="76"/>
      <c r="DZN56" s="76"/>
      <c r="DZO56" s="76"/>
      <c r="DZP56" s="76"/>
      <c r="DZQ56" s="76"/>
      <c r="DZR56" s="76"/>
      <c r="DZS56" s="76"/>
      <c r="DZT56" s="76"/>
      <c r="DZU56" s="76"/>
      <c r="DZV56" s="76"/>
      <c r="DZW56" s="76"/>
      <c r="DZX56" s="76"/>
      <c r="DZY56" s="76"/>
      <c r="DZZ56" s="76"/>
      <c r="EAA56" s="76"/>
      <c r="EAB56" s="76"/>
      <c r="EAC56" s="76"/>
      <c r="EAD56" s="76"/>
      <c r="EAE56" s="76"/>
      <c r="EAF56" s="76"/>
      <c r="EAG56" s="76"/>
      <c r="EAH56" s="76"/>
      <c r="EAI56" s="76"/>
      <c r="EAJ56" s="76"/>
      <c r="EAK56" s="76"/>
      <c r="EAL56" s="76"/>
      <c r="EAM56" s="76"/>
      <c r="EAN56" s="76"/>
      <c r="EAO56" s="76"/>
      <c r="EAP56" s="76"/>
      <c r="EAQ56" s="76"/>
      <c r="EAR56" s="76"/>
      <c r="EAS56" s="76"/>
      <c r="EAT56" s="76"/>
      <c r="EAU56" s="76"/>
      <c r="EAV56" s="76"/>
      <c r="EAW56" s="76"/>
      <c r="EAX56" s="76"/>
      <c r="EAY56" s="76"/>
      <c r="EAZ56" s="76"/>
      <c r="EBA56" s="76"/>
      <c r="EBB56" s="76"/>
      <c r="EBC56" s="76"/>
      <c r="EBD56" s="76"/>
      <c r="EBE56" s="76"/>
      <c r="EBF56" s="76"/>
      <c r="EBG56" s="76"/>
      <c r="EBH56" s="76"/>
      <c r="EBI56" s="76"/>
      <c r="EBJ56" s="76"/>
      <c r="EBK56" s="76"/>
      <c r="EBL56" s="76"/>
      <c r="EBM56" s="76"/>
      <c r="EBN56" s="76"/>
      <c r="EBO56" s="76"/>
      <c r="EBP56" s="76"/>
      <c r="EBQ56" s="76"/>
      <c r="EBR56" s="76"/>
      <c r="EBS56" s="76"/>
      <c r="EBT56" s="76"/>
      <c r="EBU56" s="76"/>
      <c r="EBV56" s="76"/>
      <c r="EBW56" s="76"/>
      <c r="EBX56" s="76"/>
      <c r="EBY56" s="76"/>
      <c r="EBZ56" s="76"/>
      <c r="ECA56" s="76"/>
      <c r="ECB56" s="76"/>
      <c r="ECC56" s="76"/>
      <c r="ECD56" s="76"/>
      <c r="ECE56" s="76"/>
      <c r="ECF56" s="76"/>
      <c r="ECG56" s="76"/>
      <c r="ECH56" s="76"/>
      <c r="ECI56" s="76"/>
      <c r="ECJ56" s="76"/>
      <c r="ECK56" s="76"/>
      <c r="ECL56" s="76"/>
      <c r="ECM56" s="76"/>
      <c r="ECN56" s="76"/>
      <c r="ECO56" s="76"/>
      <c r="ECP56" s="76"/>
      <c r="ECQ56" s="76"/>
      <c r="ECR56" s="76"/>
      <c r="ECS56" s="76"/>
      <c r="ECT56" s="76"/>
      <c r="ECU56" s="76"/>
      <c r="ECV56" s="76"/>
      <c r="ECW56" s="76"/>
      <c r="ECX56" s="76"/>
      <c r="ECY56" s="76"/>
      <c r="ECZ56" s="76"/>
      <c r="EDA56" s="76"/>
      <c r="EDB56" s="76"/>
      <c r="EDC56" s="76"/>
      <c r="EDD56" s="76"/>
      <c r="EDE56" s="76"/>
      <c r="EDF56" s="76"/>
      <c r="EDG56" s="76"/>
      <c r="EDH56" s="76"/>
      <c r="EDI56" s="76"/>
      <c r="EDJ56" s="76"/>
      <c r="EDK56" s="76"/>
      <c r="EDL56" s="76"/>
      <c r="EDM56" s="76"/>
      <c r="EDN56" s="76"/>
      <c r="EDO56" s="76"/>
      <c r="EDP56" s="76"/>
      <c r="EDQ56" s="76"/>
      <c r="EDR56" s="76"/>
      <c r="EDS56" s="76"/>
      <c r="EDT56" s="76"/>
      <c r="EDU56" s="76"/>
      <c r="EDV56" s="76"/>
      <c r="EDW56" s="76"/>
      <c r="EDX56" s="76"/>
      <c r="EDY56" s="76"/>
      <c r="EDZ56" s="76"/>
      <c r="EEA56" s="76"/>
      <c r="EEB56" s="76"/>
      <c r="EEC56" s="76"/>
      <c r="EED56" s="76"/>
      <c r="EEE56" s="76"/>
      <c r="EEF56" s="76"/>
      <c r="EEG56" s="76"/>
      <c r="EEH56" s="76"/>
      <c r="EEI56" s="76"/>
      <c r="EEJ56" s="76"/>
      <c r="EEK56" s="76"/>
      <c r="EEL56" s="76"/>
      <c r="EEM56" s="76"/>
      <c r="EEN56" s="76"/>
      <c r="EEO56" s="76"/>
      <c r="EEP56" s="76"/>
      <c r="EEQ56" s="76"/>
      <c r="EER56" s="76"/>
      <c r="EES56" s="76"/>
      <c r="EET56" s="76"/>
      <c r="EEU56" s="76"/>
      <c r="EEV56" s="76"/>
      <c r="EEW56" s="76"/>
      <c r="EEX56" s="76"/>
      <c r="EEY56" s="76"/>
      <c r="EEZ56" s="76"/>
      <c r="EFA56" s="76"/>
      <c r="EFB56" s="76"/>
      <c r="EFC56" s="76"/>
      <c r="EFD56" s="76"/>
      <c r="EFE56" s="76"/>
      <c r="EFF56" s="76"/>
      <c r="EFG56" s="76"/>
      <c r="EFH56" s="76"/>
      <c r="EFI56" s="76"/>
      <c r="EFJ56" s="76"/>
      <c r="EFK56" s="76"/>
      <c r="EFL56" s="76"/>
      <c r="EFM56" s="76"/>
      <c r="EFN56" s="76"/>
      <c r="EFO56" s="76"/>
      <c r="EFP56" s="76"/>
      <c r="EFQ56" s="76"/>
      <c r="EFR56" s="76"/>
      <c r="EFS56" s="76"/>
      <c r="EFT56" s="76"/>
      <c r="EFU56" s="76"/>
      <c r="EFV56" s="76"/>
      <c r="EFW56" s="76"/>
      <c r="EFX56" s="76"/>
      <c r="EFY56" s="76"/>
      <c r="EFZ56" s="76"/>
      <c r="EGA56" s="76"/>
      <c r="EGB56" s="76"/>
      <c r="EGC56" s="76"/>
      <c r="EGD56" s="76"/>
      <c r="EGE56" s="76"/>
      <c r="EGF56" s="76"/>
      <c r="EGG56" s="76"/>
      <c r="EGH56" s="76"/>
      <c r="EGI56" s="76"/>
      <c r="EGJ56" s="76"/>
      <c r="EGK56" s="76"/>
      <c r="EGL56" s="76"/>
      <c r="EGM56" s="76"/>
      <c r="EGN56" s="76"/>
      <c r="EGO56" s="76"/>
      <c r="EGP56" s="76"/>
      <c r="EGQ56" s="76"/>
      <c r="EGR56" s="76"/>
      <c r="EGS56" s="76"/>
      <c r="EGT56" s="76"/>
      <c r="EGU56" s="76"/>
      <c r="EGV56" s="76"/>
      <c r="EGW56" s="76"/>
      <c r="EGX56" s="76"/>
      <c r="EGY56" s="76"/>
      <c r="EGZ56" s="76"/>
      <c r="EHA56" s="76"/>
      <c r="EHB56" s="76"/>
      <c r="EHC56" s="76"/>
      <c r="EHD56" s="76"/>
      <c r="EHE56" s="76"/>
      <c r="EHF56" s="76"/>
      <c r="EHG56" s="76"/>
      <c r="EHH56" s="76"/>
      <c r="EHI56" s="76"/>
      <c r="EHJ56" s="76"/>
      <c r="EHK56" s="76"/>
      <c r="EHL56" s="76"/>
      <c r="EHM56" s="76"/>
      <c r="EHN56" s="76"/>
      <c r="EHO56" s="76"/>
      <c r="EHP56" s="76"/>
      <c r="EHQ56" s="76"/>
      <c r="EHR56" s="76"/>
      <c r="EHS56" s="76"/>
      <c r="EHT56" s="76"/>
      <c r="EHU56" s="76"/>
      <c r="EHV56" s="76"/>
      <c r="EHW56" s="76"/>
      <c r="EHX56" s="76"/>
      <c r="EHY56" s="76"/>
      <c r="EHZ56" s="76"/>
      <c r="EIA56" s="76"/>
      <c r="EIB56" s="76"/>
      <c r="EIC56" s="76"/>
      <c r="EID56" s="76"/>
      <c r="EIE56" s="76"/>
      <c r="EIF56" s="76"/>
      <c r="EIG56" s="76"/>
      <c r="EIH56" s="76"/>
      <c r="EII56" s="76"/>
      <c r="EIJ56" s="76"/>
      <c r="EIK56" s="76"/>
      <c r="EIL56" s="76"/>
      <c r="EIM56" s="76"/>
      <c r="EIN56" s="76"/>
      <c r="EIO56" s="76"/>
      <c r="EIP56" s="76"/>
      <c r="EIQ56" s="76"/>
      <c r="EIR56" s="76"/>
      <c r="EIS56" s="76"/>
      <c r="EIT56" s="76"/>
      <c r="EIU56" s="76"/>
      <c r="EIV56" s="76"/>
      <c r="EIW56" s="76"/>
      <c r="EIX56" s="76"/>
      <c r="EIY56" s="76"/>
      <c r="EIZ56" s="76"/>
      <c r="EJA56" s="76"/>
      <c r="EJB56" s="76"/>
      <c r="EJC56" s="76"/>
      <c r="EJD56" s="76"/>
      <c r="EJE56" s="76"/>
      <c r="EJF56" s="76"/>
      <c r="EJG56" s="76"/>
      <c r="EJH56" s="76"/>
      <c r="EJI56" s="76"/>
      <c r="EJJ56" s="76"/>
      <c r="EJK56" s="76"/>
      <c r="EJL56" s="76"/>
      <c r="EJM56" s="76"/>
      <c r="EJN56" s="76"/>
      <c r="EJO56" s="76"/>
      <c r="EJP56" s="76"/>
      <c r="EJQ56" s="76"/>
      <c r="EJR56" s="76"/>
      <c r="EJS56" s="76"/>
      <c r="EJT56" s="76"/>
      <c r="EJU56" s="76"/>
      <c r="EJV56" s="76"/>
      <c r="EJW56" s="76"/>
      <c r="EJX56" s="76"/>
      <c r="EJY56" s="76"/>
      <c r="EJZ56" s="76"/>
      <c r="EKA56" s="76"/>
      <c r="EKB56" s="76"/>
      <c r="EKC56" s="76"/>
      <c r="EKD56" s="76"/>
      <c r="EKE56" s="76"/>
      <c r="EKF56" s="76"/>
      <c r="EKG56" s="76"/>
      <c r="EKH56" s="76"/>
      <c r="EKI56" s="76"/>
      <c r="EKJ56" s="76"/>
      <c r="EKK56" s="76"/>
      <c r="EKL56" s="76"/>
      <c r="EKM56" s="76"/>
      <c r="EKN56" s="76"/>
      <c r="EKO56" s="76"/>
      <c r="EKP56" s="76"/>
      <c r="EKQ56" s="76"/>
      <c r="EKR56" s="76"/>
      <c r="EKS56" s="76"/>
      <c r="EKT56" s="76"/>
      <c r="EKU56" s="76"/>
      <c r="EKV56" s="76"/>
      <c r="EKW56" s="76"/>
      <c r="EKX56" s="76"/>
      <c r="EKY56" s="76"/>
      <c r="EKZ56" s="76"/>
      <c r="ELA56" s="76"/>
      <c r="ELB56" s="76"/>
      <c r="ELC56" s="76"/>
      <c r="ELD56" s="76"/>
      <c r="ELE56" s="76"/>
      <c r="ELF56" s="76"/>
      <c r="ELG56" s="76"/>
      <c r="ELH56" s="76"/>
      <c r="ELI56" s="76"/>
      <c r="ELJ56" s="76"/>
      <c r="ELK56" s="76"/>
      <c r="ELL56" s="76"/>
      <c r="ELM56" s="76"/>
      <c r="ELN56" s="76"/>
      <c r="ELO56" s="76"/>
      <c r="ELP56" s="76"/>
      <c r="ELQ56" s="76"/>
      <c r="ELR56" s="76"/>
      <c r="ELS56" s="76"/>
      <c r="ELT56" s="76"/>
      <c r="ELU56" s="76"/>
      <c r="ELV56" s="76"/>
      <c r="ELW56" s="76"/>
      <c r="ELX56" s="76"/>
      <c r="ELY56" s="76"/>
      <c r="ELZ56" s="76"/>
      <c r="EMA56" s="76"/>
      <c r="EMB56" s="76"/>
      <c r="EMC56" s="76"/>
      <c r="EMD56" s="76"/>
      <c r="EME56" s="76"/>
      <c r="EMF56" s="76"/>
      <c r="EMG56" s="76"/>
      <c r="EMH56" s="76"/>
      <c r="EMI56" s="76"/>
      <c r="EMJ56" s="76"/>
      <c r="EMK56" s="76"/>
      <c r="EML56" s="76"/>
      <c r="EMM56" s="76"/>
      <c r="EMN56" s="76"/>
      <c r="EMO56" s="76"/>
      <c r="EMP56" s="76"/>
      <c r="EMQ56" s="76"/>
      <c r="EMR56" s="76"/>
      <c r="EMS56" s="76"/>
      <c r="EMT56" s="76"/>
      <c r="EMU56" s="76"/>
      <c r="EMV56" s="76"/>
      <c r="EMW56" s="76"/>
      <c r="EMX56" s="76"/>
      <c r="EMY56" s="76"/>
      <c r="EMZ56" s="76"/>
      <c r="ENA56" s="76"/>
      <c r="ENB56" s="76"/>
      <c r="ENC56" s="76"/>
      <c r="END56" s="76"/>
      <c r="ENE56" s="76"/>
      <c r="ENF56" s="76"/>
      <c r="ENG56" s="76"/>
      <c r="ENH56" s="76"/>
      <c r="ENI56" s="76"/>
      <c r="ENJ56" s="76"/>
      <c r="ENK56" s="76"/>
      <c r="ENL56" s="76"/>
      <c r="ENM56" s="76"/>
      <c r="ENN56" s="76"/>
      <c r="ENO56" s="76"/>
      <c r="ENP56" s="76"/>
      <c r="ENQ56" s="76"/>
      <c r="ENR56" s="76"/>
      <c r="ENS56" s="76"/>
      <c r="ENT56" s="76"/>
      <c r="ENU56" s="76"/>
      <c r="ENV56" s="76"/>
      <c r="ENW56" s="76"/>
      <c r="ENX56" s="76"/>
      <c r="ENY56" s="76"/>
      <c r="ENZ56" s="76"/>
      <c r="EOA56" s="76"/>
      <c r="EOB56" s="76"/>
      <c r="EOC56" s="76"/>
      <c r="EOD56" s="76"/>
      <c r="EOE56" s="76"/>
      <c r="EOF56" s="76"/>
      <c r="EOG56" s="76"/>
      <c r="EOH56" s="76"/>
      <c r="EOI56" s="76"/>
      <c r="EOJ56" s="76"/>
      <c r="EOK56" s="76"/>
      <c r="EOL56" s="76"/>
      <c r="EOM56" s="76"/>
      <c r="EON56" s="76"/>
      <c r="EOO56" s="76"/>
      <c r="EOP56" s="76"/>
      <c r="EOQ56" s="76"/>
      <c r="EOR56" s="76"/>
      <c r="EOS56" s="76"/>
      <c r="EOT56" s="76"/>
      <c r="EOU56" s="76"/>
      <c r="EOV56" s="76"/>
      <c r="EOW56" s="76"/>
      <c r="EOX56" s="76"/>
      <c r="EOY56" s="76"/>
      <c r="EOZ56" s="76"/>
      <c r="EPA56" s="76"/>
      <c r="EPB56" s="76"/>
      <c r="EPC56" s="76"/>
      <c r="EPD56" s="76"/>
      <c r="EPE56" s="76"/>
      <c r="EPF56" s="76"/>
      <c r="EPG56" s="76"/>
      <c r="EPH56" s="76"/>
      <c r="EPI56" s="76"/>
      <c r="EPJ56" s="76"/>
      <c r="EPK56" s="76"/>
      <c r="EPL56" s="76"/>
      <c r="EPM56" s="76"/>
      <c r="EPN56" s="76"/>
      <c r="EPO56" s="76"/>
      <c r="EPP56" s="76"/>
      <c r="EPQ56" s="76"/>
      <c r="EPR56" s="76"/>
      <c r="EPS56" s="76"/>
      <c r="EPT56" s="76"/>
      <c r="EPU56" s="76"/>
      <c r="EPV56" s="76"/>
      <c r="EPW56" s="76"/>
      <c r="EPX56" s="76"/>
      <c r="EPY56" s="76"/>
      <c r="EPZ56" s="76"/>
      <c r="EQA56" s="76"/>
      <c r="EQB56" s="76"/>
      <c r="EQC56" s="76"/>
      <c r="EQD56" s="76"/>
      <c r="EQE56" s="76"/>
      <c r="EQF56" s="76"/>
      <c r="EQG56" s="76"/>
      <c r="EQH56" s="76"/>
      <c r="EQI56" s="76"/>
      <c r="EQJ56" s="76"/>
      <c r="EQK56" s="76"/>
      <c r="EQL56" s="76"/>
      <c r="EQM56" s="76"/>
      <c r="EQN56" s="76"/>
      <c r="EQO56" s="76"/>
      <c r="EQP56" s="76"/>
      <c r="EQQ56" s="76"/>
      <c r="EQR56" s="76"/>
      <c r="EQS56" s="76"/>
      <c r="EQT56" s="76"/>
      <c r="EQU56" s="76"/>
      <c r="EQV56" s="76"/>
      <c r="EQW56" s="76"/>
      <c r="EQX56" s="76"/>
      <c r="EQY56" s="76"/>
      <c r="EQZ56" s="76"/>
      <c r="ERA56" s="76"/>
      <c r="ERB56" s="76"/>
      <c r="ERC56" s="76"/>
      <c r="ERD56" s="76"/>
      <c r="ERE56" s="76"/>
      <c r="ERF56" s="76"/>
      <c r="ERG56" s="76"/>
      <c r="ERH56" s="76"/>
      <c r="ERI56" s="76"/>
      <c r="ERJ56" s="76"/>
      <c r="ERK56" s="76"/>
      <c r="ERL56" s="76"/>
      <c r="ERM56" s="76"/>
      <c r="ERN56" s="76"/>
      <c r="ERO56" s="76"/>
      <c r="ERP56" s="76"/>
      <c r="ERQ56" s="76"/>
      <c r="ERR56" s="76"/>
      <c r="ERS56" s="76"/>
      <c r="ERT56" s="76"/>
      <c r="ERU56" s="76"/>
      <c r="ERV56" s="76"/>
      <c r="ERW56" s="76"/>
      <c r="ERX56" s="76"/>
      <c r="ERY56" s="76"/>
      <c r="ERZ56" s="76"/>
      <c r="ESA56" s="76"/>
      <c r="ESB56" s="76"/>
      <c r="ESC56" s="76"/>
      <c r="ESD56" s="76"/>
      <c r="ESE56" s="76"/>
      <c r="ESF56" s="76"/>
      <c r="ESG56" s="76"/>
      <c r="ESH56" s="76"/>
      <c r="ESI56" s="76"/>
      <c r="ESJ56" s="76"/>
      <c r="ESK56" s="76"/>
      <c r="ESL56" s="76"/>
      <c r="ESM56" s="76"/>
      <c r="ESN56" s="76"/>
      <c r="ESO56" s="76"/>
      <c r="ESP56" s="76"/>
      <c r="ESQ56" s="76"/>
      <c r="ESR56" s="76"/>
      <c r="ESS56" s="76"/>
      <c r="EST56" s="76"/>
      <c r="ESU56" s="76"/>
      <c r="ESV56" s="76"/>
      <c r="ESW56" s="76"/>
      <c r="ESX56" s="76"/>
      <c r="ESY56" s="76"/>
      <c r="ESZ56" s="76"/>
      <c r="ETA56" s="76"/>
      <c r="ETB56" s="76"/>
      <c r="ETC56" s="76"/>
      <c r="ETD56" s="76"/>
      <c r="ETE56" s="76"/>
      <c r="ETF56" s="76"/>
      <c r="ETG56" s="76"/>
      <c r="ETH56" s="76"/>
      <c r="ETI56" s="76"/>
      <c r="ETJ56" s="76"/>
      <c r="ETK56" s="76"/>
      <c r="ETL56" s="76"/>
      <c r="ETM56" s="76"/>
      <c r="ETN56" s="76"/>
      <c r="ETO56" s="76"/>
      <c r="ETP56" s="76"/>
      <c r="ETQ56" s="76"/>
      <c r="ETR56" s="76"/>
      <c r="ETS56" s="76"/>
      <c r="ETT56" s="76"/>
      <c r="ETU56" s="76"/>
      <c r="ETV56" s="76"/>
      <c r="ETW56" s="76"/>
      <c r="ETX56" s="76"/>
      <c r="ETY56" s="76"/>
      <c r="ETZ56" s="76"/>
      <c r="EUA56" s="76"/>
      <c r="EUB56" s="76"/>
      <c r="EUC56" s="76"/>
      <c r="EUD56" s="76"/>
      <c r="EUE56" s="76"/>
      <c r="EUF56" s="76"/>
      <c r="EUG56" s="76"/>
      <c r="EUH56" s="76"/>
      <c r="EUI56" s="76"/>
      <c r="EUJ56" s="76"/>
      <c r="EUK56" s="76"/>
      <c r="EUL56" s="76"/>
      <c r="EUM56" s="76"/>
      <c r="EUN56" s="76"/>
      <c r="EUO56" s="76"/>
      <c r="EUP56" s="76"/>
      <c r="EUQ56" s="76"/>
      <c r="EUR56" s="76"/>
      <c r="EUS56" s="76"/>
      <c r="EUT56" s="76"/>
      <c r="EUU56" s="76"/>
      <c r="EUV56" s="76"/>
      <c r="EUW56" s="76"/>
      <c r="EUX56" s="76"/>
      <c r="EUY56" s="76"/>
      <c r="EUZ56" s="76"/>
      <c r="EVA56" s="76"/>
      <c r="EVB56" s="76"/>
      <c r="EVC56" s="76"/>
      <c r="EVD56" s="76"/>
      <c r="EVE56" s="76"/>
      <c r="EVF56" s="76"/>
      <c r="EVG56" s="76"/>
      <c r="EVH56" s="76"/>
      <c r="EVI56" s="76"/>
      <c r="EVJ56" s="76"/>
      <c r="EVK56" s="76"/>
      <c r="EVL56" s="76"/>
      <c r="EVM56" s="76"/>
      <c r="EVN56" s="76"/>
      <c r="EVO56" s="76"/>
      <c r="EVP56" s="76"/>
      <c r="EVQ56" s="76"/>
      <c r="EVR56" s="76"/>
      <c r="EVS56" s="76"/>
      <c r="EVT56" s="76"/>
      <c r="EVU56" s="76"/>
      <c r="EVV56" s="76"/>
      <c r="EVW56" s="76"/>
      <c r="EVX56" s="76"/>
      <c r="EVY56" s="76"/>
      <c r="EVZ56" s="76"/>
      <c r="EWA56" s="76"/>
      <c r="EWB56" s="76"/>
      <c r="EWC56" s="76"/>
      <c r="EWD56" s="76"/>
      <c r="EWE56" s="76"/>
      <c r="EWF56" s="76"/>
      <c r="EWG56" s="76"/>
      <c r="EWH56" s="76"/>
      <c r="EWI56" s="76"/>
      <c r="EWJ56" s="76"/>
      <c r="EWK56" s="76"/>
      <c r="EWL56" s="76"/>
      <c r="EWM56" s="76"/>
      <c r="EWN56" s="76"/>
      <c r="EWO56" s="76"/>
      <c r="EWP56" s="76"/>
      <c r="EWQ56" s="76"/>
      <c r="EWR56" s="76"/>
      <c r="EWS56" s="76"/>
      <c r="EWT56" s="76"/>
      <c r="EWU56" s="76"/>
      <c r="EWV56" s="76"/>
      <c r="EWW56" s="76"/>
      <c r="EWX56" s="76"/>
      <c r="EWY56" s="76"/>
      <c r="EWZ56" s="76"/>
      <c r="EXA56" s="76"/>
      <c r="EXB56" s="76"/>
      <c r="EXC56" s="76"/>
      <c r="EXD56" s="76"/>
      <c r="EXE56" s="76"/>
      <c r="EXF56" s="76"/>
      <c r="EXG56" s="76"/>
      <c r="EXH56" s="76"/>
      <c r="EXI56" s="76"/>
      <c r="EXJ56" s="76"/>
      <c r="EXK56" s="76"/>
      <c r="EXL56" s="76"/>
      <c r="EXM56" s="76"/>
      <c r="EXN56" s="76"/>
      <c r="EXO56" s="76"/>
      <c r="EXP56" s="76"/>
      <c r="EXQ56" s="76"/>
      <c r="EXR56" s="76"/>
      <c r="EXS56" s="76"/>
      <c r="EXT56" s="76"/>
      <c r="EXU56" s="76"/>
      <c r="EXV56" s="76"/>
      <c r="EXW56" s="76"/>
      <c r="EXX56" s="76"/>
      <c r="EXY56" s="76"/>
      <c r="EXZ56" s="76"/>
      <c r="EYA56" s="76"/>
      <c r="EYB56" s="76"/>
      <c r="EYC56" s="76"/>
      <c r="EYD56" s="76"/>
      <c r="EYE56" s="76"/>
      <c r="EYF56" s="76"/>
      <c r="EYG56" s="76"/>
      <c r="EYH56" s="76"/>
      <c r="EYI56" s="76"/>
      <c r="EYJ56" s="76"/>
      <c r="EYK56" s="76"/>
      <c r="EYL56" s="76"/>
      <c r="EYM56" s="76"/>
      <c r="EYN56" s="76"/>
      <c r="EYO56" s="76"/>
      <c r="EYP56" s="76"/>
      <c r="EYQ56" s="76"/>
      <c r="EYR56" s="76"/>
      <c r="EYS56" s="76"/>
      <c r="EYT56" s="76"/>
      <c r="EYU56" s="76"/>
      <c r="EYV56" s="76"/>
      <c r="EYW56" s="76"/>
      <c r="EYX56" s="76"/>
      <c r="EYY56" s="76"/>
      <c r="EYZ56" s="76"/>
      <c r="EZA56" s="76"/>
      <c r="EZB56" s="76"/>
      <c r="EZC56" s="76"/>
      <c r="EZD56" s="76"/>
      <c r="EZE56" s="76"/>
      <c r="EZF56" s="76"/>
      <c r="EZG56" s="76"/>
      <c r="EZH56" s="76"/>
      <c r="EZI56" s="76"/>
      <c r="EZJ56" s="76"/>
      <c r="EZK56" s="76"/>
      <c r="EZL56" s="76"/>
      <c r="EZM56" s="76"/>
      <c r="EZN56" s="76"/>
      <c r="EZO56" s="76"/>
      <c r="EZP56" s="76"/>
      <c r="EZQ56" s="76"/>
      <c r="EZR56" s="76"/>
      <c r="EZS56" s="76"/>
      <c r="EZT56" s="76"/>
      <c r="EZU56" s="76"/>
      <c r="EZV56" s="76"/>
      <c r="EZW56" s="76"/>
      <c r="EZX56" s="76"/>
      <c r="EZY56" s="76"/>
      <c r="EZZ56" s="76"/>
      <c r="FAA56" s="76"/>
      <c r="FAB56" s="76"/>
      <c r="FAC56" s="76"/>
      <c r="FAD56" s="76"/>
      <c r="FAE56" s="76"/>
      <c r="FAF56" s="76"/>
      <c r="FAG56" s="76"/>
      <c r="FAH56" s="76"/>
      <c r="FAI56" s="76"/>
      <c r="FAJ56" s="76"/>
      <c r="FAK56" s="76"/>
      <c r="FAL56" s="76"/>
      <c r="FAM56" s="76"/>
      <c r="FAN56" s="76"/>
      <c r="FAO56" s="76"/>
      <c r="FAP56" s="76"/>
      <c r="FAQ56" s="76"/>
      <c r="FAR56" s="76"/>
      <c r="FAS56" s="76"/>
      <c r="FAT56" s="76"/>
      <c r="FAU56" s="76"/>
      <c r="FAV56" s="76"/>
      <c r="FAW56" s="76"/>
      <c r="FAX56" s="76"/>
      <c r="FAY56" s="76"/>
      <c r="FAZ56" s="76"/>
      <c r="FBA56" s="76"/>
      <c r="FBB56" s="76"/>
      <c r="FBC56" s="76"/>
      <c r="FBD56" s="76"/>
      <c r="FBE56" s="76"/>
      <c r="FBF56" s="76"/>
      <c r="FBG56" s="76"/>
      <c r="FBH56" s="76"/>
      <c r="FBI56" s="76"/>
      <c r="FBJ56" s="76"/>
      <c r="FBK56" s="76"/>
      <c r="FBL56" s="76"/>
      <c r="FBM56" s="76"/>
      <c r="FBN56" s="76"/>
      <c r="FBO56" s="76"/>
      <c r="FBP56" s="76"/>
      <c r="FBQ56" s="76"/>
      <c r="FBR56" s="76"/>
      <c r="FBS56" s="76"/>
      <c r="FBT56" s="76"/>
      <c r="FBU56" s="76"/>
      <c r="FBV56" s="76"/>
      <c r="FBW56" s="76"/>
      <c r="FBX56" s="76"/>
      <c r="FBY56" s="76"/>
      <c r="FBZ56" s="76"/>
      <c r="FCA56" s="76"/>
      <c r="FCB56" s="76"/>
      <c r="FCC56" s="76"/>
      <c r="FCD56" s="76"/>
      <c r="FCE56" s="76"/>
      <c r="FCF56" s="76"/>
      <c r="FCG56" s="76"/>
      <c r="FCH56" s="76"/>
      <c r="FCI56" s="76"/>
      <c r="FCJ56" s="76"/>
      <c r="FCK56" s="76"/>
      <c r="FCL56" s="76"/>
      <c r="FCM56" s="76"/>
      <c r="FCN56" s="76"/>
      <c r="FCO56" s="76"/>
      <c r="FCP56" s="76"/>
      <c r="FCQ56" s="76"/>
      <c r="FCR56" s="76"/>
      <c r="FCS56" s="76"/>
      <c r="FCT56" s="76"/>
      <c r="FCU56" s="76"/>
      <c r="FCV56" s="76"/>
      <c r="FCW56" s="76"/>
      <c r="FCX56" s="76"/>
      <c r="FCY56" s="76"/>
      <c r="FCZ56" s="76"/>
      <c r="FDA56" s="76"/>
      <c r="FDB56" s="76"/>
      <c r="FDC56" s="76"/>
      <c r="FDD56" s="76"/>
      <c r="FDE56" s="76"/>
      <c r="FDF56" s="76"/>
      <c r="FDG56" s="76"/>
      <c r="FDH56" s="76"/>
      <c r="FDI56" s="76"/>
      <c r="FDJ56" s="76"/>
      <c r="FDK56" s="76"/>
      <c r="FDL56" s="76"/>
      <c r="FDM56" s="76"/>
      <c r="FDN56" s="76"/>
      <c r="FDO56" s="76"/>
      <c r="FDP56" s="76"/>
      <c r="FDQ56" s="76"/>
      <c r="FDR56" s="76"/>
      <c r="FDS56" s="76"/>
      <c r="FDT56" s="76"/>
      <c r="FDU56" s="76"/>
      <c r="FDV56" s="76"/>
      <c r="FDW56" s="76"/>
      <c r="FDX56" s="76"/>
      <c r="FDY56" s="76"/>
      <c r="FDZ56" s="76"/>
      <c r="FEA56" s="76"/>
      <c r="FEB56" s="76"/>
      <c r="FEC56" s="76"/>
      <c r="FED56" s="76"/>
      <c r="FEE56" s="76"/>
      <c r="FEF56" s="76"/>
      <c r="FEG56" s="76"/>
      <c r="FEH56" s="76"/>
      <c r="FEI56" s="76"/>
      <c r="FEJ56" s="76"/>
      <c r="FEK56" s="76"/>
      <c r="FEL56" s="76"/>
      <c r="FEM56" s="76"/>
      <c r="FEN56" s="76"/>
      <c r="FEO56" s="76"/>
      <c r="FEP56" s="76"/>
      <c r="FEQ56" s="76"/>
      <c r="FER56" s="76"/>
      <c r="FES56" s="76"/>
      <c r="FET56" s="76"/>
      <c r="FEU56" s="76"/>
      <c r="FEV56" s="76"/>
      <c r="FEW56" s="76"/>
      <c r="FEX56" s="76"/>
      <c r="FEY56" s="76"/>
      <c r="FEZ56" s="76"/>
      <c r="FFA56" s="76"/>
      <c r="FFB56" s="76"/>
      <c r="FFC56" s="76"/>
      <c r="FFD56" s="76"/>
      <c r="FFE56" s="76"/>
      <c r="FFF56" s="76"/>
      <c r="FFG56" s="76"/>
      <c r="FFH56" s="76"/>
      <c r="FFI56" s="76"/>
      <c r="FFJ56" s="76"/>
      <c r="FFK56" s="76"/>
      <c r="FFL56" s="76"/>
      <c r="FFM56" s="76"/>
      <c r="FFN56" s="76"/>
      <c r="FFO56" s="76"/>
      <c r="FFP56" s="76"/>
      <c r="FFQ56" s="76"/>
      <c r="FFR56" s="76"/>
      <c r="FFS56" s="76"/>
      <c r="FFT56" s="76"/>
      <c r="FFU56" s="76"/>
      <c r="FFV56" s="76"/>
      <c r="FFW56" s="76"/>
      <c r="FFX56" s="76"/>
      <c r="FFY56" s="76"/>
      <c r="FFZ56" s="76"/>
      <c r="FGA56" s="76"/>
      <c r="FGB56" s="76"/>
      <c r="FGC56" s="76"/>
      <c r="FGD56" s="76"/>
      <c r="FGE56" s="76"/>
      <c r="FGF56" s="76"/>
      <c r="FGG56" s="76"/>
      <c r="FGH56" s="76"/>
      <c r="FGI56" s="76"/>
      <c r="FGJ56" s="76"/>
      <c r="FGK56" s="76"/>
      <c r="FGL56" s="76"/>
      <c r="FGM56" s="76"/>
      <c r="FGN56" s="76"/>
      <c r="FGO56" s="76"/>
      <c r="FGP56" s="76"/>
      <c r="FGQ56" s="76"/>
      <c r="FGR56" s="76"/>
      <c r="FGS56" s="76"/>
      <c r="FGT56" s="76"/>
      <c r="FGU56" s="76"/>
      <c r="FGV56" s="76"/>
      <c r="FGW56" s="76"/>
      <c r="FGX56" s="76"/>
      <c r="FGY56" s="76"/>
      <c r="FGZ56" s="76"/>
      <c r="FHA56" s="76"/>
      <c r="FHB56" s="76"/>
      <c r="FHC56" s="76"/>
      <c r="FHD56" s="76"/>
      <c r="FHE56" s="76"/>
      <c r="FHF56" s="76"/>
      <c r="FHG56" s="76"/>
      <c r="FHH56" s="76"/>
      <c r="FHI56" s="76"/>
      <c r="FHJ56" s="76"/>
      <c r="FHK56" s="76"/>
      <c r="FHL56" s="76"/>
      <c r="FHM56" s="76"/>
      <c r="FHN56" s="76"/>
      <c r="FHO56" s="76"/>
      <c r="FHP56" s="76"/>
      <c r="FHQ56" s="76"/>
      <c r="FHR56" s="76"/>
      <c r="FHS56" s="76"/>
      <c r="FHT56" s="76"/>
      <c r="FHU56" s="76"/>
      <c r="FHV56" s="76"/>
      <c r="FHW56" s="76"/>
      <c r="FHX56" s="76"/>
      <c r="FHY56" s="76"/>
      <c r="FHZ56" s="76"/>
      <c r="FIA56" s="76"/>
      <c r="FIB56" s="76"/>
      <c r="FIC56" s="76"/>
      <c r="FID56" s="76"/>
      <c r="FIE56" s="76"/>
      <c r="FIF56" s="76"/>
      <c r="FIG56" s="76"/>
      <c r="FIH56" s="76"/>
      <c r="FII56" s="76"/>
      <c r="FIJ56" s="76"/>
      <c r="FIK56" s="76"/>
      <c r="FIL56" s="76"/>
      <c r="FIM56" s="76"/>
      <c r="FIN56" s="76"/>
      <c r="FIO56" s="76"/>
      <c r="FIP56" s="76"/>
      <c r="FIQ56" s="76"/>
      <c r="FIR56" s="76"/>
      <c r="FIS56" s="76"/>
      <c r="FIT56" s="76"/>
      <c r="FIU56" s="76"/>
      <c r="FIV56" s="76"/>
      <c r="FIW56" s="76"/>
      <c r="FIX56" s="76"/>
      <c r="FIY56" s="76"/>
      <c r="FIZ56" s="76"/>
      <c r="FJA56" s="76"/>
      <c r="FJB56" s="76"/>
      <c r="FJC56" s="76"/>
      <c r="FJD56" s="76"/>
      <c r="FJE56" s="76"/>
      <c r="FJF56" s="76"/>
      <c r="FJG56" s="76"/>
      <c r="FJH56" s="76"/>
      <c r="FJI56" s="76"/>
      <c r="FJJ56" s="76"/>
      <c r="FJK56" s="76"/>
      <c r="FJL56" s="76"/>
      <c r="FJM56" s="76"/>
      <c r="FJN56" s="76"/>
      <c r="FJO56" s="76"/>
      <c r="FJP56" s="76"/>
      <c r="FJQ56" s="76"/>
      <c r="FJR56" s="76"/>
      <c r="FJS56" s="76"/>
      <c r="FJT56" s="76"/>
      <c r="FJU56" s="76"/>
      <c r="FJV56" s="76"/>
      <c r="FJW56" s="76"/>
      <c r="FJX56" s="76"/>
      <c r="FJY56" s="76"/>
      <c r="FJZ56" s="76"/>
      <c r="FKA56" s="76"/>
      <c r="FKB56" s="76"/>
      <c r="FKC56" s="76"/>
      <c r="FKD56" s="76"/>
      <c r="FKE56" s="76"/>
      <c r="FKF56" s="76"/>
      <c r="FKG56" s="76"/>
      <c r="FKH56" s="76"/>
      <c r="FKI56" s="76"/>
      <c r="FKJ56" s="76"/>
      <c r="FKK56" s="76"/>
      <c r="FKL56" s="76"/>
      <c r="FKM56" s="76"/>
      <c r="FKN56" s="76"/>
      <c r="FKO56" s="76"/>
      <c r="FKP56" s="76"/>
      <c r="FKQ56" s="76"/>
      <c r="FKR56" s="76"/>
      <c r="FKS56" s="76"/>
      <c r="FKT56" s="76"/>
      <c r="FKU56" s="76"/>
      <c r="FKV56" s="76"/>
      <c r="FKW56" s="76"/>
      <c r="FKX56" s="76"/>
      <c r="FKY56" s="76"/>
      <c r="FKZ56" s="76"/>
      <c r="FLA56" s="76"/>
      <c r="FLB56" s="76"/>
      <c r="FLC56" s="76"/>
      <c r="FLD56" s="76"/>
      <c r="FLE56" s="76"/>
      <c r="FLF56" s="76"/>
      <c r="FLG56" s="76"/>
      <c r="FLH56" s="76"/>
      <c r="FLI56" s="76"/>
      <c r="FLJ56" s="76"/>
      <c r="FLK56" s="76"/>
      <c r="FLL56" s="76"/>
      <c r="FLM56" s="76"/>
      <c r="FLN56" s="76"/>
      <c r="FLO56" s="76"/>
      <c r="FLP56" s="76"/>
      <c r="FLQ56" s="76"/>
      <c r="FLR56" s="76"/>
      <c r="FLS56" s="76"/>
      <c r="FLT56" s="76"/>
      <c r="FLU56" s="76"/>
      <c r="FLV56" s="76"/>
      <c r="FLW56" s="76"/>
      <c r="FLX56" s="76"/>
      <c r="FLY56" s="76"/>
      <c r="FLZ56" s="76"/>
      <c r="FMA56" s="76"/>
      <c r="FMB56" s="76"/>
      <c r="FMC56" s="76"/>
      <c r="FMD56" s="76"/>
      <c r="FME56" s="76"/>
      <c r="FMF56" s="76"/>
      <c r="FMG56" s="76"/>
      <c r="FMH56" s="76"/>
      <c r="FMI56" s="76"/>
      <c r="FMJ56" s="76"/>
      <c r="FMK56" s="76"/>
      <c r="FML56" s="76"/>
      <c r="FMM56" s="76"/>
      <c r="FMN56" s="76"/>
      <c r="FMO56" s="76"/>
      <c r="FMP56" s="76"/>
      <c r="FMQ56" s="76"/>
      <c r="FMR56" s="76"/>
      <c r="FMS56" s="76"/>
      <c r="FMT56" s="76"/>
      <c r="FMU56" s="76"/>
      <c r="FMV56" s="76"/>
      <c r="FMW56" s="76"/>
      <c r="FMX56" s="76"/>
      <c r="FMY56" s="76"/>
      <c r="FMZ56" s="76"/>
      <c r="FNA56" s="76"/>
      <c r="FNB56" s="76"/>
      <c r="FNC56" s="76"/>
      <c r="FND56" s="76"/>
      <c r="FNE56" s="76"/>
      <c r="FNF56" s="76"/>
      <c r="FNG56" s="76"/>
      <c r="FNH56" s="76"/>
      <c r="FNI56" s="76"/>
      <c r="FNJ56" s="76"/>
      <c r="FNK56" s="76"/>
      <c r="FNL56" s="76"/>
      <c r="FNM56" s="76"/>
      <c r="FNN56" s="76"/>
      <c r="FNO56" s="76"/>
      <c r="FNP56" s="76"/>
      <c r="FNQ56" s="76"/>
      <c r="FNR56" s="76"/>
      <c r="FNS56" s="76"/>
      <c r="FNT56" s="76"/>
      <c r="FNU56" s="76"/>
      <c r="FNV56" s="76"/>
      <c r="FNW56" s="76"/>
      <c r="FNX56" s="76"/>
      <c r="FNY56" s="76"/>
      <c r="FNZ56" s="76"/>
      <c r="FOA56" s="76"/>
      <c r="FOB56" s="76"/>
      <c r="FOC56" s="76"/>
      <c r="FOD56" s="76"/>
      <c r="FOE56" s="76"/>
      <c r="FOF56" s="76"/>
      <c r="FOG56" s="76"/>
      <c r="FOH56" s="76"/>
      <c r="FOI56" s="76"/>
      <c r="FOJ56" s="76"/>
      <c r="FOK56" s="76"/>
      <c r="FOL56" s="76"/>
      <c r="FOM56" s="76"/>
      <c r="FON56" s="76"/>
      <c r="FOO56" s="76"/>
      <c r="FOP56" s="76"/>
      <c r="FOQ56" s="76"/>
      <c r="FOR56" s="76"/>
      <c r="FOS56" s="76"/>
      <c r="FOT56" s="76"/>
      <c r="FOU56" s="76"/>
      <c r="FOV56" s="76"/>
      <c r="FOW56" s="76"/>
      <c r="FOX56" s="76"/>
      <c r="FOY56" s="76"/>
      <c r="FOZ56" s="76"/>
      <c r="FPA56" s="76"/>
      <c r="FPB56" s="76"/>
      <c r="FPC56" s="76"/>
      <c r="FPD56" s="76"/>
      <c r="FPE56" s="76"/>
      <c r="FPF56" s="76"/>
      <c r="FPG56" s="76"/>
      <c r="FPH56" s="76"/>
      <c r="FPI56" s="76"/>
      <c r="FPJ56" s="76"/>
      <c r="FPK56" s="76"/>
      <c r="FPL56" s="76"/>
      <c r="FPM56" s="76"/>
      <c r="FPN56" s="76"/>
      <c r="FPO56" s="76"/>
      <c r="FPP56" s="76"/>
      <c r="FPQ56" s="76"/>
      <c r="FPR56" s="76"/>
      <c r="FPS56" s="76"/>
      <c r="FPT56" s="76"/>
      <c r="FPU56" s="76"/>
      <c r="FPV56" s="76"/>
      <c r="FPW56" s="76"/>
      <c r="FPX56" s="76"/>
      <c r="FPY56" s="76"/>
      <c r="FPZ56" s="76"/>
      <c r="FQA56" s="76"/>
      <c r="FQB56" s="76"/>
      <c r="FQC56" s="76"/>
      <c r="FQD56" s="76"/>
      <c r="FQE56" s="76"/>
      <c r="FQF56" s="76"/>
      <c r="FQG56" s="76"/>
      <c r="FQH56" s="76"/>
      <c r="FQI56" s="76"/>
      <c r="FQJ56" s="76"/>
      <c r="FQK56" s="76"/>
      <c r="FQL56" s="76"/>
      <c r="FQM56" s="76"/>
      <c r="FQN56" s="76"/>
      <c r="FQO56" s="76"/>
      <c r="FQP56" s="76"/>
      <c r="FQQ56" s="76"/>
      <c r="FQR56" s="76"/>
      <c r="FQS56" s="76"/>
      <c r="FQT56" s="76"/>
      <c r="FQU56" s="76"/>
      <c r="FQV56" s="76"/>
      <c r="FQW56" s="76"/>
      <c r="FQX56" s="76"/>
      <c r="FQY56" s="76"/>
      <c r="FQZ56" s="76"/>
      <c r="FRA56" s="76"/>
      <c r="FRB56" s="76"/>
      <c r="FRC56" s="76"/>
      <c r="FRD56" s="76"/>
      <c r="FRE56" s="76"/>
      <c r="FRF56" s="76"/>
      <c r="FRG56" s="76"/>
      <c r="FRH56" s="76"/>
      <c r="FRI56" s="76"/>
      <c r="FRJ56" s="76"/>
      <c r="FRK56" s="76"/>
      <c r="FRL56" s="76"/>
      <c r="FRM56" s="76"/>
      <c r="FRN56" s="76"/>
      <c r="FRO56" s="76"/>
      <c r="FRP56" s="76"/>
      <c r="FRQ56" s="76"/>
      <c r="FRR56" s="76"/>
      <c r="FRS56" s="76"/>
      <c r="FRT56" s="76"/>
      <c r="FRU56" s="76"/>
      <c r="FRV56" s="76"/>
      <c r="FRW56" s="76"/>
      <c r="FRX56" s="76"/>
      <c r="FRY56" s="76"/>
      <c r="FRZ56" s="76"/>
      <c r="FSA56" s="76"/>
      <c r="FSB56" s="76"/>
      <c r="FSC56" s="76"/>
      <c r="FSD56" s="76"/>
      <c r="FSE56" s="76"/>
      <c r="FSF56" s="76"/>
      <c r="FSG56" s="76"/>
      <c r="FSH56" s="76"/>
      <c r="FSI56" s="76"/>
      <c r="FSJ56" s="76"/>
      <c r="FSK56" s="76"/>
      <c r="FSL56" s="76"/>
      <c r="FSM56" s="76"/>
      <c r="FSN56" s="76"/>
      <c r="FSO56" s="76"/>
      <c r="FSP56" s="76"/>
      <c r="FSQ56" s="76"/>
      <c r="FSR56" s="76"/>
      <c r="FSS56" s="76"/>
      <c r="FST56" s="76"/>
      <c r="FSU56" s="76"/>
      <c r="FSV56" s="76"/>
      <c r="FSW56" s="76"/>
      <c r="FSX56" s="76"/>
      <c r="FSY56" s="76"/>
      <c r="FSZ56" s="76"/>
      <c r="FTA56" s="76"/>
      <c r="FTB56" s="76"/>
      <c r="FTC56" s="76"/>
      <c r="FTD56" s="76"/>
      <c r="FTE56" s="76"/>
      <c r="FTF56" s="76"/>
      <c r="FTG56" s="76"/>
      <c r="FTH56" s="76"/>
      <c r="FTI56" s="76"/>
      <c r="FTJ56" s="76"/>
      <c r="FTK56" s="76"/>
      <c r="FTL56" s="76"/>
      <c r="FTM56" s="76"/>
      <c r="FTN56" s="76"/>
      <c r="FTO56" s="76"/>
      <c r="FTP56" s="76"/>
      <c r="FTQ56" s="76"/>
      <c r="FTR56" s="76"/>
      <c r="FTS56" s="76"/>
      <c r="FTT56" s="76"/>
      <c r="FTU56" s="76"/>
      <c r="FTV56" s="76"/>
      <c r="FTW56" s="76"/>
      <c r="FTX56" s="76"/>
      <c r="FTY56" s="76"/>
      <c r="FTZ56" s="76"/>
      <c r="FUA56" s="76"/>
      <c r="FUB56" s="76"/>
      <c r="FUC56" s="76"/>
      <c r="FUD56" s="76"/>
      <c r="FUE56" s="76"/>
      <c r="FUF56" s="76"/>
      <c r="FUG56" s="76"/>
      <c r="FUH56" s="76"/>
      <c r="FUI56" s="76"/>
      <c r="FUJ56" s="76"/>
      <c r="FUK56" s="76"/>
      <c r="FUL56" s="76"/>
      <c r="FUM56" s="76"/>
      <c r="FUN56" s="76"/>
      <c r="FUO56" s="76"/>
      <c r="FUP56" s="76"/>
      <c r="FUQ56" s="76"/>
      <c r="FUR56" s="76"/>
      <c r="FUS56" s="76"/>
      <c r="FUT56" s="76"/>
      <c r="FUU56" s="76"/>
      <c r="FUV56" s="76"/>
      <c r="FUW56" s="76"/>
      <c r="FUX56" s="76"/>
      <c r="FUY56" s="76"/>
      <c r="FUZ56" s="76"/>
      <c r="FVA56" s="76"/>
      <c r="FVB56" s="76"/>
      <c r="FVC56" s="76"/>
      <c r="FVD56" s="76"/>
      <c r="FVE56" s="76"/>
      <c r="FVF56" s="76"/>
      <c r="FVG56" s="76"/>
      <c r="FVH56" s="76"/>
      <c r="FVI56" s="76"/>
      <c r="FVJ56" s="76"/>
      <c r="FVK56" s="76"/>
      <c r="FVL56" s="76"/>
      <c r="FVM56" s="76"/>
      <c r="FVN56" s="76"/>
      <c r="FVO56" s="76"/>
      <c r="FVP56" s="76"/>
      <c r="FVQ56" s="76"/>
      <c r="FVR56" s="76"/>
      <c r="FVS56" s="76"/>
      <c r="FVT56" s="76"/>
      <c r="FVU56" s="76"/>
      <c r="FVV56" s="76"/>
      <c r="FVW56" s="76"/>
      <c r="FVX56" s="76"/>
      <c r="FVY56" s="76"/>
      <c r="FVZ56" s="76"/>
      <c r="FWA56" s="76"/>
      <c r="FWB56" s="76"/>
      <c r="FWC56" s="76"/>
      <c r="FWD56" s="76"/>
      <c r="FWE56" s="76"/>
      <c r="FWF56" s="76"/>
      <c r="FWG56" s="76"/>
      <c r="FWH56" s="76"/>
      <c r="FWI56" s="76"/>
      <c r="FWJ56" s="76"/>
      <c r="FWK56" s="76"/>
      <c r="FWL56" s="76"/>
      <c r="FWM56" s="76"/>
      <c r="FWN56" s="76"/>
      <c r="FWO56" s="76"/>
      <c r="FWP56" s="76"/>
      <c r="FWQ56" s="76"/>
      <c r="FWR56" s="76"/>
      <c r="FWS56" s="76"/>
      <c r="FWT56" s="76"/>
      <c r="FWU56" s="76"/>
      <c r="FWV56" s="76"/>
      <c r="FWW56" s="76"/>
      <c r="FWX56" s="76"/>
      <c r="FWY56" s="76"/>
      <c r="FWZ56" s="76"/>
      <c r="FXA56" s="76"/>
      <c r="FXB56" s="76"/>
      <c r="FXC56" s="76"/>
      <c r="FXD56" s="76"/>
      <c r="FXE56" s="76"/>
      <c r="FXF56" s="76"/>
      <c r="FXG56" s="76"/>
      <c r="FXH56" s="76"/>
      <c r="FXI56" s="76"/>
      <c r="FXJ56" s="76"/>
      <c r="FXK56" s="76"/>
      <c r="FXL56" s="76"/>
      <c r="FXM56" s="76"/>
      <c r="FXN56" s="76"/>
      <c r="FXO56" s="76"/>
      <c r="FXP56" s="76"/>
      <c r="FXQ56" s="76"/>
      <c r="FXR56" s="76"/>
      <c r="FXS56" s="76"/>
      <c r="FXT56" s="76"/>
      <c r="FXU56" s="76"/>
      <c r="FXV56" s="76"/>
      <c r="FXW56" s="76"/>
      <c r="FXX56" s="76"/>
      <c r="FXY56" s="76"/>
      <c r="FXZ56" s="76"/>
      <c r="FYA56" s="76"/>
      <c r="FYB56" s="76"/>
      <c r="FYC56" s="76"/>
      <c r="FYD56" s="76"/>
      <c r="FYE56" s="76"/>
      <c r="FYF56" s="76"/>
      <c r="FYG56" s="76"/>
      <c r="FYH56" s="76"/>
      <c r="FYI56" s="76"/>
      <c r="FYJ56" s="76"/>
      <c r="FYK56" s="76"/>
      <c r="FYL56" s="76"/>
      <c r="FYM56" s="76"/>
      <c r="FYN56" s="76"/>
      <c r="FYO56" s="76"/>
      <c r="FYP56" s="76"/>
      <c r="FYQ56" s="76"/>
      <c r="FYR56" s="76"/>
      <c r="FYS56" s="76"/>
      <c r="FYT56" s="76"/>
      <c r="FYU56" s="76"/>
      <c r="FYV56" s="76"/>
      <c r="FYW56" s="76"/>
      <c r="FYX56" s="76"/>
      <c r="FYY56" s="76"/>
      <c r="FYZ56" s="76"/>
      <c r="FZA56" s="76"/>
      <c r="FZB56" s="76"/>
      <c r="FZC56" s="76"/>
      <c r="FZD56" s="76"/>
      <c r="FZE56" s="76"/>
      <c r="FZF56" s="76"/>
      <c r="FZG56" s="76"/>
      <c r="FZH56" s="76"/>
      <c r="FZI56" s="76"/>
      <c r="FZJ56" s="76"/>
      <c r="FZK56" s="76"/>
      <c r="FZL56" s="76"/>
      <c r="FZM56" s="76"/>
      <c r="FZN56" s="76"/>
      <c r="FZO56" s="76"/>
      <c r="FZP56" s="76"/>
      <c r="FZQ56" s="76"/>
      <c r="FZR56" s="76"/>
      <c r="FZS56" s="76"/>
      <c r="FZT56" s="76"/>
      <c r="FZU56" s="76"/>
      <c r="FZV56" s="76"/>
      <c r="FZW56" s="76"/>
      <c r="FZX56" s="76"/>
      <c r="FZY56" s="76"/>
      <c r="FZZ56" s="76"/>
      <c r="GAA56" s="76"/>
      <c r="GAB56" s="76"/>
      <c r="GAC56" s="76"/>
      <c r="GAD56" s="76"/>
      <c r="GAE56" s="76"/>
      <c r="GAF56" s="76"/>
      <c r="GAG56" s="76"/>
      <c r="GAH56" s="76"/>
      <c r="GAI56" s="76"/>
      <c r="GAJ56" s="76"/>
      <c r="GAK56" s="76"/>
      <c r="GAL56" s="76"/>
      <c r="GAM56" s="76"/>
      <c r="GAN56" s="76"/>
      <c r="GAO56" s="76"/>
      <c r="GAP56" s="76"/>
      <c r="GAQ56" s="76"/>
      <c r="GAR56" s="76"/>
      <c r="GAS56" s="76"/>
      <c r="GAT56" s="76"/>
      <c r="GAU56" s="76"/>
      <c r="GAV56" s="76"/>
      <c r="GAW56" s="76"/>
      <c r="GAX56" s="76"/>
      <c r="GAY56" s="76"/>
      <c r="GAZ56" s="76"/>
      <c r="GBA56" s="76"/>
      <c r="GBB56" s="76"/>
      <c r="GBC56" s="76"/>
      <c r="GBD56" s="76"/>
      <c r="GBE56" s="76"/>
      <c r="GBF56" s="76"/>
      <c r="GBG56" s="76"/>
      <c r="GBH56" s="76"/>
      <c r="GBI56" s="76"/>
      <c r="GBJ56" s="76"/>
      <c r="GBK56" s="76"/>
      <c r="GBL56" s="76"/>
      <c r="GBM56" s="76"/>
      <c r="GBN56" s="76"/>
      <c r="GBO56" s="76"/>
      <c r="GBP56" s="76"/>
      <c r="GBQ56" s="76"/>
      <c r="GBR56" s="76"/>
      <c r="GBS56" s="76"/>
      <c r="GBT56" s="76"/>
      <c r="GBU56" s="76"/>
      <c r="GBV56" s="76"/>
      <c r="GBW56" s="76"/>
      <c r="GBX56" s="76"/>
      <c r="GBY56" s="76"/>
      <c r="GBZ56" s="76"/>
      <c r="GCA56" s="76"/>
      <c r="GCB56" s="76"/>
      <c r="GCC56" s="76"/>
      <c r="GCD56" s="76"/>
      <c r="GCE56" s="76"/>
      <c r="GCF56" s="76"/>
      <c r="GCG56" s="76"/>
      <c r="GCH56" s="76"/>
      <c r="GCI56" s="76"/>
      <c r="GCJ56" s="76"/>
      <c r="GCK56" s="76"/>
      <c r="GCL56" s="76"/>
      <c r="GCM56" s="76"/>
      <c r="GCN56" s="76"/>
      <c r="GCO56" s="76"/>
      <c r="GCP56" s="76"/>
      <c r="GCQ56" s="76"/>
      <c r="GCR56" s="76"/>
      <c r="GCS56" s="76"/>
      <c r="GCT56" s="76"/>
      <c r="GCU56" s="76"/>
      <c r="GCV56" s="76"/>
      <c r="GCW56" s="76"/>
      <c r="GCX56" s="76"/>
      <c r="GCY56" s="76"/>
      <c r="GCZ56" s="76"/>
      <c r="GDA56" s="76"/>
      <c r="GDB56" s="76"/>
      <c r="GDC56" s="76"/>
      <c r="GDD56" s="76"/>
      <c r="GDE56" s="76"/>
      <c r="GDF56" s="76"/>
      <c r="GDG56" s="76"/>
      <c r="GDH56" s="76"/>
      <c r="GDI56" s="76"/>
      <c r="GDJ56" s="76"/>
      <c r="GDK56" s="76"/>
      <c r="GDL56" s="76"/>
      <c r="GDM56" s="76"/>
      <c r="GDN56" s="76"/>
      <c r="GDO56" s="76"/>
      <c r="GDP56" s="76"/>
      <c r="GDQ56" s="76"/>
      <c r="GDR56" s="76"/>
      <c r="GDS56" s="76"/>
      <c r="GDT56" s="76"/>
      <c r="GDU56" s="76"/>
      <c r="GDV56" s="76"/>
      <c r="GDW56" s="76"/>
      <c r="GDX56" s="76"/>
      <c r="GDY56" s="76"/>
      <c r="GDZ56" s="76"/>
      <c r="GEA56" s="76"/>
      <c r="GEB56" s="76"/>
      <c r="GEC56" s="76"/>
      <c r="GED56" s="76"/>
      <c r="GEE56" s="76"/>
      <c r="GEF56" s="76"/>
      <c r="GEG56" s="76"/>
      <c r="GEH56" s="76"/>
      <c r="GEI56" s="76"/>
      <c r="GEJ56" s="76"/>
      <c r="GEK56" s="76"/>
      <c r="GEL56" s="76"/>
      <c r="GEM56" s="76"/>
      <c r="GEN56" s="76"/>
      <c r="GEO56" s="76"/>
      <c r="GEP56" s="76"/>
      <c r="GEQ56" s="76"/>
      <c r="GER56" s="76"/>
      <c r="GES56" s="76"/>
      <c r="GET56" s="76"/>
      <c r="GEU56" s="76"/>
      <c r="GEV56" s="76"/>
      <c r="GEW56" s="76"/>
      <c r="GEX56" s="76"/>
      <c r="GEY56" s="76"/>
      <c r="GEZ56" s="76"/>
      <c r="GFA56" s="76"/>
      <c r="GFB56" s="76"/>
      <c r="GFC56" s="76"/>
      <c r="GFD56" s="76"/>
      <c r="GFE56" s="76"/>
      <c r="GFF56" s="76"/>
      <c r="GFG56" s="76"/>
      <c r="GFH56" s="76"/>
      <c r="GFI56" s="76"/>
      <c r="GFJ56" s="76"/>
      <c r="GFK56" s="76"/>
      <c r="GFL56" s="76"/>
      <c r="GFM56" s="76"/>
      <c r="GFN56" s="76"/>
      <c r="GFO56" s="76"/>
      <c r="GFP56" s="76"/>
      <c r="GFQ56" s="76"/>
      <c r="GFR56" s="76"/>
      <c r="GFS56" s="76"/>
      <c r="GFT56" s="76"/>
      <c r="GFU56" s="76"/>
      <c r="GFV56" s="76"/>
      <c r="GFW56" s="76"/>
      <c r="GFX56" s="76"/>
      <c r="GFY56" s="76"/>
      <c r="GFZ56" s="76"/>
      <c r="GGA56" s="76"/>
      <c r="GGB56" s="76"/>
      <c r="GGC56" s="76"/>
      <c r="GGD56" s="76"/>
      <c r="GGE56" s="76"/>
      <c r="GGF56" s="76"/>
      <c r="GGG56" s="76"/>
      <c r="GGH56" s="76"/>
      <c r="GGI56" s="76"/>
      <c r="GGJ56" s="76"/>
      <c r="GGK56" s="76"/>
      <c r="GGL56" s="76"/>
      <c r="GGM56" s="76"/>
      <c r="GGN56" s="76"/>
      <c r="GGO56" s="76"/>
      <c r="GGP56" s="76"/>
      <c r="GGQ56" s="76"/>
      <c r="GGR56" s="76"/>
      <c r="GGS56" s="76"/>
      <c r="GGT56" s="76"/>
      <c r="GGU56" s="76"/>
      <c r="GGV56" s="76"/>
      <c r="GGW56" s="76"/>
      <c r="GGX56" s="76"/>
      <c r="GGY56" s="76"/>
      <c r="GGZ56" s="76"/>
      <c r="GHA56" s="76"/>
      <c r="GHB56" s="76"/>
      <c r="GHC56" s="76"/>
      <c r="GHD56" s="76"/>
      <c r="GHE56" s="76"/>
      <c r="GHF56" s="76"/>
      <c r="GHG56" s="76"/>
      <c r="GHH56" s="76"/>
      <c r="GHI56" s="76"/>
      <c r="GHJ56" s="76"/>
      <c r="GHK56" s="76"/>
      <c r="GHL56" s="76"/>
      <c r="GHM56" s="76"/>
      <c r="GHN56" s="76"/>
      <c r="GHO56" s="76"/>
      <c r="GHP56" s="76"/>
      <c r="GHQ56" s="76"/>
      <c r="GHR56" s="76"/>
      <c r="GHS56" s="76"/>
      <c r="GHT56" s="76"/>
      <c r="GHU56" s="76"/>
      <c r="GHV56" s="76"/>
      <c r="GHW56" s="76"/>
      <c r="GHX56" s="76"/>
      <c r="GHY56" s="76"/>
      <c r="GHZ56" s="76"/>
      <c r="GIA56" s="76"/>
      <c r="GIB56" s="76"/>
      <c r="GIC56" s="76"/>
      <c r="GID56" s="76"/>
      <c r="GIE56" s="76"/>
      <c r="GIF56" s="76"/>
      <c r="GIG56" s="76"/>
      <c r="GIH56" s="76"/>
      <c r="GII56" s="76"/>
      <c r="GIJ56" s="76"/>
      <c r="GIK56" s="76"/>
      <c r="GIL56" s="76"/>
      <c r="GIM56" s="76"/>
      <c r="GIN56" s="76"/>
      <c r="GIO56" s="76"/>
      <c r="GIP56" s="76"/>
      <c r="GIQ56" s="76"/>
      <c r="GIR56" s="76"/>
      <c r="GIS56" s="76"/>
      <c r="GIT56" s="76"/>
      <c r="GIU56" s="76"/>
      <c r="GIV56" s="76"/>
      <c r="GIW56" s="76"/>
      <c r="GIX56" s="76"/>
      <c r="GIY56" s="76"/>
      <c r="GIZ56" s="76"/>
      <c r="GJA56" s="76"/>
      <c r="GJB56" s="76"/>
      <c r="GJC56" s="76"/>
      <c r="GJD56" s="76"/>
      <c r="GJE56" s="76"/>
      <c r="GJF56" s="76"/>
      <c r="GJG56" s="76"/>
      <c r="GJH56" s="76"/>
      <c r="GJI56" s="76"/>
      <c r="GJJ56" s="76"/>
      <c r="GJK56" s="76"/>
      <c r="GJL56" s="76"/>
      <c r="GJM56" s="76"/>
      <c r="GJN56" s="76"/>
      <c r="GJO56" s="76"/>
      <c r="GJP56" s="76"/>
      <c r="GJQ56" s="76"/>
      <c r="GJR56" s="76"/>
      <c r="GJS56" s="76"/>
      <c r="GJT56" s="76"/>
      <c r="GJU56" s="76"/>
      <c r="GJV56" s="76"/>
      <c r="GJW56" s="76"/>
      <c r="GJX56" s="76"/>
      <c r="GJY56" s="76"/>
      <c r="GJZ56" s="76"/>
      <c r="GKA56" s="76"/>
      <c r="GKB56" s="76"/>
      <c r="GKC56" s="76"/>
      <c r="GKD56" s="76"/>
      <c r="GKE56" s="76"/>
      <c r="GKF56" s="76"/>
      <c r="GKG56" s="76"/>
      <c r="GKH56" s="76"/>
      <c r="GKI56" s="76"/>
      <c r="GKJ56" s="76"/>
      <c r="GKK56" s="76"/>
      <c r="GKL56" s="76"/>
      <c r="GKM56" s="76"/>
      <c r="GKN56" s="76"/>
      <c r="GKO56" s="76"/>
      <c r="GKP56" s="76"/>
      <c r="GKQ56" s="76"/>
      <c r="GKR56" s="76"/>
      <c r="GKS56" s="76"/>
      <c r="GKT56" s="76"/>
      <c r="GKU56" s="76"/>
      <c r="GKV56" s="76"/>
      <c r="GKW56" s="76"/>
      <c r="GKX56" s="76"/>
      <c r="GKY56" s="76"/>
      <c r="GKZ56" s="76"/>
      <c r="GLA56" s="76"/>
      <c r="GLB56" s="76"/>
      <c r="GLC56" s="76"/>
      <c r="GLD56" s="76"/>
      <c r="GLE56" s="76"/>
      <c r="GLF56" s="76"/>
      <c r="GLG56" s="76"/>
      <c r="GLH56" s="76"/>
      <c r="GLI56" s="76"/>
      <c r="GLJ56" s="76"/>
      <c r="GLK56" s="76"/>
      <c r="GLL56" s="76"/>
      <c r="GLM56" s="76"/>
      <c r="GLN56" s="76"/>
      <c r="GLO56" s="76"/>
      <c r="GLP56" s="76"/>
      <c r="GLQ56" s="76"/>
      <c r="GLR56" s="76"/>
      <c r="GLS56" s="76"/>
      <c r="GLT56" s="76"/>
      <c r="GLU56" s="76"/>
      <c r="GLV56" s="76"/>
      <c r="GLW56" s="76"/>
      <c r="GLX56" s="76"/>
      <c r="GLY56" s="76"/>
      <c r="GLZ56" s="76"/>
      <c r="GMA56" s="76"/>
      <c r="GMB56" s="76"/>
      <c r="GMC56" s="76"/>
      <c r="GMD56" s="76"/>
      <c r="GME56" s="76"/>
      <c r="GMF56" s="76"/>
      <c r="GMG56" s="76"/>
      <c r="GMH56" s="76"/>
      <c r="GMI56" s="76"/>
      <c r="GMJ56" s="76"/>
      <c r="GMK56" s="76"/>
      <c r="GML56" s="76"/>
      <c r="GMM56" s="76"/>
      <c r="GMN56" s="76"/>
      <c r="GMO56" s="76"/>
      <c r="GMP56" s="76"/>
      <c r="GMQ56" s="76"/>
      <c r="GMR56" s="76"/>
      <c r="GMS56" s="76"/>
      <c r="GMT56" s="76"/>
      <c r="GMU56" s="76"/>
      <c r="GMV56" s="76"/>
      <c r="GMW56" s="76"/>
      <c r="GMX56" s="76"/>
      <c r="GMY56" s="76"/>
      <c r="GMZ56" s="76"/>
      <c r="GNA56" s="76"/>
      <c r="GNB56" s="76"/>
      <c r="GNC56" s="76"/>
      <c r="GND56" s="76"/>
      <c r="GNE56" s="76"/>
      <c r="GNF56" s="76"/>
      <c r="GNG56" s="76"/>
      <c r="GNH56" s="76"/>
      <c r="GNI56" s="76"/>
      <c r="GNJ56" s="76"/>
      <c r="GNK56" s="76"/>
      <c r="GNL56" s="76"/>
      <c r="GNM56" s="76"/>
      <c r="GNN56" s="76"/>
      <c r="GNO56" s="76"/>
      <c r="GNP56" s="76"/>
      <c r="GNQ56" s="76"/>
      <c r="GNR56" s="76"/>
      <c r="GNS56" s="76"/>
      <c r="GNT56" s="76"/>
      <c r="GNU56" s="76"/>
      <c r="GNV56" s="76"/>
      <c r="GNW56" s="76"/>
      <c r="GNX56" s="76"/>
      <c r="GNY56" s="76"/>
      <c r="GNZ56" s="76"/>
      <c r="GOA56" s="76"/>
      <c r="GOB56" s="76"/>
      <c r="GOC56" s="76"/>
      <c r="GOD56" s="76"/>
      <c r="GOE56" s="76"/>
      <c r="GOF56" s="76"/>
      <c r="GOG56" s="76"/>
      <c r="GOH56" s="76"/>
      <c r="GOI56" s="76"/>
      <c r="GOJ56" s="76"/>
      <c r="GOK56" s="76"/>
      <c r="GOL56" s="76"/>
      <c r="GOM56" s="76"/>
      <c r="GON56" s="76"/>
      <c r="GOO56" s="76"/>
      <c r="GOP56" s="76"/>
      <c r="GOQ56" s="76"/>
      <c r="GOR56" s="76"/>
      <c r="GOS56" s="76"/>
      <c r="GOT56" s="76"/>
      <c r="GOU56" s="76"/>
      <c r="GOV56" s="76"/>
      <c r="GOW56" s="76"/>
      <c r="GOX56" s="76"/>
      <c r="GOY56" s="76"/>
      <c r="GOZ56" s="76"/>
      <c r="GPA56" s="76"/>
      <c r="GPB56" s="76"/>
      <c r="GPC56" s="76"/>
      <c r="GPD56" s="76"/>
      <c r="GPE56" s="76"/>
      <c r="GPF56" s="76"/>
      <c r="GPG56" s="76"/>
      <c r="GPH56" s="76"/>
      <c r="GPI56" s="76"/>
      <c r="GPJ56" s="76"/>
      <c r="GPK56" s="76"/>
      <c r="GPL56" s="76"/>
      <c r="GPM56" s="76"/>
      <c r="GPN56" s="76"/>
      <c r="GPO56" s="76"/>
      <c r="GPP56" s="76"/>
      <c r="GPQ56" s="76"/>
      <c r="GPR56" s="76"/>
      <c r="GPS56" s="76"/>
      <c r="GPT56" s="76"/>
      <c r="GPU56" s="76"/>
      <c r="GPV56" s="76"/>
      <c r="GPW56" s="76"/>
      <c r="GPX56" s="76"/>
      <c r="GPY56" s="76"/>
      <c r="GPZ56" s="76"/>
      <c r="GQA56" s="76"/>
      <c r="GQB56" s="76"/>
      <c r="GQC56" s="76"/>
      <c r="GQD56" s="76"/>
      <c r="GQE56" s="76"/>
      <c r="GQF56" s="76"/>
      <c r="GQG56" s="76"/>
      <c r="GQH56" s="76"/>
      <c r="GQI56" s="76"/>
      <c r="GQJ56" s="76"/>
      <c r="GQK56" s="76"/>
      <c r="GQL56" s="76"/>
      <c r="GQM56" s="76"/>
      <c r="GQN56" s="76"/>
      <c r="GQO56" s="76"/>
      <c r="GQP56" s="76"/>
      <c r="GQQ56" s="76"/>
      <c r="GQR56" s="76"/>
      <c r="GQS56" s="76"/>
      <c r="GQT56" s="76"/>
      <c r="GQU56" s="76"/>
      <c r="GQV56" s="76"/>
      <c r="GQW56" s="76"/>
      <c r="GQX56" s="76"/>
      <c r="GQY56" s="76"/>
      <c r="GQZ56" s="76"/>
      <c r="GRA56" s="76"/>
      <c r="GRB56" s="76"/>
      <c r="GRC56" s="76"/>
      <c r="GRD56" s="76"/>
      <c r="GRE56" s="76"/>
      <c r="GRF56" s="76"/>
      <c r="GRG56" s="76"/>
      <c r="GRH56" s="76"/>
      <c r="GRI56" s="76"/>
      <c r="GRJ56" s="76"/>
      <c r="GRK56" s="76"/>
      <c r="GRL56" s="76"/>
      <c r="GRM56" s="76"/>
      <c r="GRN56" s="76"/>
      <c r="GRO56" s="76"/>
      <c r="GRP56" s="76"/>
      <c r="GRQ56" s="76"/>
      <c r="GRR56" s="76"/>
      <c r="GRS56" s="76"/>
      <c r="GRT56" s="76"/>
      <c r="GRU56" s="76"/>
      <c r="GRV56" s="76"/>
      <c r="GRW56" s="76"/>
      <c r="GRX56" s="76"/>
      <c r="GRY56" s="76"/>
      <c r="GRZ56" s="76"/>
      <c r="GSA56" s="76"/>
      <c r="GSB56" s="76"/>
      <c r="GSC56" s="76"/>
      <c r="GSD56" s="76"/>
      <c r="GSE56" s="76"/>
      <c r="GSF56" s="76"/>
      <c r="GSG56" s="76"/>
      <c r="GSH56" s="76"/>
      <c r="GSI56" s="76"/>
      <c r="GSJ56" s="76"/>
      <c r="GSK56" s="76"/>
      <c r="GSL56" s="76"/>
      <c r="GSM56" s="76"/>
      <c r="GSN56" s="76"/>
      <c r="GSO56" s="76"/>
      <c r="GSP56" s="76"/>
      <c r="GSQ56" s="76"/>
      <c r="GSR56" s="76"/>
      <c r="GSS56" s="76"/>
      <c r="GST56" s="76"/>
      <c r="GSU56" s="76"/>
      <c r="GSV56" s="76"/>
      <c r="GSW56" s="76"/>
      <c r="GSX56" s="76"/>
      <c r="GSY56" s="76"/>
      <c r="GSZ56" s="76"/>
      <c r="GTA56" s="76"/>
      <c r="GTB56" s="76"/>
      <c r="GTC56" s="76"/>
      <c r="GTD56" s="76"/>
      <c r="GTE56" s="76"/>
      <c r="GTF56" s="76"/>
      <c r="GTG56" s="76"/>
      <c r="GTH56" s="76"/>
      <c r="GTI56" s="76"/>
      <c r="GTJ56" s="76"/>
      <c r="GTK56" s="76"/>
      <c r="GTL56" s="76"/>
      <c r="GTM56" s="76"/>
      <c r="GTN56" s="76"/>
      <c r="GTO56" s="76"/>
      <c r="GTP56" s="76"/>
      <c r="GTQ56" s="76"/>
      <c r="GTR56" s="76"/>
      <c r="GTS56" s="76"/>
      <c r="GTT56" s="76"/>
      <c r="GTU56" s="76"/>
      <c r="GTV56" s="76"/>
      <c r="GTW56" s="76"/>
      <c r="GTX56" s="76"/>
      <c r="GTY56" s="76"/>
      <c r="GTZ56" s="76"/>
      <c r="GUA56" s="76"/>
      <c r="GUB56" s="76"/>
      <c r="GUC56" s="76"/>
      <c r="GUD56" s="76"/>
      <c r="GUE56" s="76"/>
      <c r="GUF56" s="76"/>
      <c r="GUG56" s="76"/>
      <c r="GUH56" s="76"/>
      <c r="GUI56" s="76"/>
      <c r="GUJ56" s="76"/>
      <c r="GUK56" s="76"/>
      <c r="GUL56" s="76"/>
      <c r="GUM56" s="76"/>
      <c r="GUN56" s="76"/>
      <c r="GUO56" s="76"/>
      <c r="GUP56" s="76"/>
      <c r="GUQ56" s="76"/>
      <c r="GUR56" s="76"/>
      <c r="GUS56" s="76"/>
      <c r="GUT56" s="76"/>
      <c r="GUU56" s="76"/>
      <c r="GUV56" s="76"/>
      <c r="GUW56" s="76"/>
      <c r="GUX56" s="76"/>
      <c r="GUY56" s="76"/>
      <c r="GUZ56" s="76"/>
      <c r="GVA56" s="76"/>
      <c r="GVB56" s="76"/>
      <c r="GVC56" s="76"/>
      <c r="GVD56" s="76"/>
      <c r="GVE56" s="76"/>
      <c r="GVF56" s="76"/>
      <c r="GVG56" s="76"/>
      <c r="GVH56" s="76"/>
      <c r="GVI56" s="76"/>
      <c r="GVJ56" s="76"/>
      <c r="GVK56" s="76"/>
      <c r="GVL56" s="76"/>
      <c r="GVM56" s="76"/>
      <c r="GVN56" s="76"/>
      <c r="GVO56" s="76"/>
      <c r="GVP56" s="76"/>
      <c r="GVQ56" s="76"/>
      <c r="GVR56" s="76"/>
      <c r="GVS56" s="76"/>
      <c r="GVT56" s="76"/>
      <c r="GVU56" s="76"/>
      <c r="GVV56" s="76"/>
      <c r="GVW56" s="76"/>
      <c r="GVX56" s="76"/>
      <c r="GVY56" s="76"/>
      <c r="GVZ56" s="76"/>
      <c r="GWA56" s="76"/>
      <c r="GWB56" s="76"/>
      <c r="GWC56" s="76"/>
      <c r="GWD56" s="76"/>
      <c r="GWE56" s="76"/>
      <c r="GWF56" s="76"/>
      <c r="GWG56" s="76"/>
      <c r="GWH56" s="76"/>
      <c r="GWI56" s="76"/>
      <c r="GWJ56" s="76"/>
      <c r="GWK56" s="76"/>
      <c r="GWL56" s="76"/>
      <c r="GWM56" s="76"/>
      <c r="GWN56" s="76"/>
      <c r="GWO56" s="76"/>
      <c r="GWP56" s="76"/>
      <c r="GWQ56" s="76"/>
      <c r="GWR56" s="76"/>
      <c r="GWS56" s="76"/>
      <c r="GWT56" s="76"/>
      <c r="GWU56" s="76"/>
      <c r="GWV56" s="76"/>
      <c r="GWW56" s="76"/>
      <c r="GWX56" s="76"/>
      <c r="GWY56" s="76"/>
      <c r="GWZ56" s="76"/>
      <c r="GXA56" s="76"/>
      <c r="GXB56" s="76"/>
      <c r="GXC56" s="76"/>
      <c r="GXD56" s="76"/>
      <c r="GXE56" s="76"/>
      <c r="GXF56" s="76"/>
      <c r="GXG56" s="76"/>
      <c r="GXH56" s="76"/>
      <c r="GXI56" s="76"/>
      <c r="GXJ56" s="76"/>
      <c r="GXK56" s="76"/>
      <c r="GXL56" s="76"/>
      <c r="GXM56" s="76"/>
      <c r="GXN56" s="76"/>
      <c r="GXO56" s="76"/>
      <c r="GXP56" s="76"/>
      <c r="GXQ56" s="76"/>
      <c r="GXR56" s="76"/>
      <c r="GXS56" s="76"/>
      <c r="GXT56" s="76"/>
      <c r="GXU56" s="76"/>
      <c r="GXV56" s="76"/>
      <c r="GXW56" s="76"/>
      <c r="GXX56" s="76"/>
      <c r="GXY56" s="76"/>
      <c r="GXZ56" s="76"/>
      <c r="GYA56" s="76"/>
      <c r="GYB56" s="76"/>
      <c r="GYC56" s="76"/>
      <c r="GYD56" s="76"/>
      <c r="GYE56" s="76"/>
      <c r="GYF56" s="76"/>
      <c r="GYG56" s="76"/>
      <c r="GYH56" s="76"/>
      <c r="GYI56" s="76"/>
      <c r="GYJ56" s="76"/>
      <c r="GYK56" s="76"/>
      <c r="GYL56" s="76"/>
      <c r="GYM56" s="76"/>
      <c r="GYN56" s="76"/>
      <c r="GYO56" s="76"/>
      <c r="GYP56" s="76"/>
      <c r="GYQ56" s="76"/>
      <c r="GYR56" s="76"/>
      <c r="GYS56" s="76"/>
      <c r="GYT56" s="76"/>
      <c r="GYU56" s="76"/>
      <c r="GYV56" s="76"/>
      <c r="GYW56" s="76"/>
      <c r="GYX56" s="76"/>
      <c r="GYY56" s="76"/>
      <c r="GYZ56" s="76"/>
      <c r="GZA56" s="76"/>
      <c r="GZB56" s="76"/>
      <c r="GZC56" s="76"/>
      <c r="GZD56" s="76"/>
      <c r="GZE56" s="76"/>
      <c r="GZF56" s="76"/>
      <c r="GZG56" s="76"/>
      <c r="GZH56" s="76"/>
      <c r="GZI56" s="76"/>
      <c r="GZJ56" s="76"/>
      <c r="GZK56" s="76"/>
      <c r="GZL56" s="76"/>
      <c r="GZM56" s="76"/>
      <c r="GZN56" s="76"/>
      <c r="GZO56" s="76"/>
      <c r="GZP56" s="76"/>
      <c r="GZQ56" s="76"/>
      <c r="GZR56" s="76"/>
      <c r="GZS56" s="76"/>
      <c r="GZT56" s="76"/>
      <c r="GZU56" s="76"/>
      <c r="GZV56" s="76"/>
      <c r="GZW56" s="76"/>
      <c r="GZX56" s="76"/>
      <c r="GZY56" s="76"/>
      <c r="GZZ56" s="76"/>
      <c r="HAA56" s="76"/>
      <c r="HAB56" s="76"/>
      <c r="HAC56" s="76"/>
      <c r="HAD56" s="76"/>
      <c r="HAE56" s="76"/>
      <c r="HAF56" s="76"/>
      <c r="HAG56" s="76"/>
      <c r="HAH56" s="76"/>
      <c r="HAI56" s="76"/>
      <c r="HAJ56" s="76"/>
      <c r="HAK56" s="76"/>
      <c r="HAL56" s="76"/>
      <c r="HAM56" s="76"/>
      <c r="HAN56" s="76"/>
      <c r="HAO56" s="76"/>
      <c r="HAP56" s="76"/>
      <c r="HAQ56" s="76"/>
      <c r="HAR56" s="76"/>
      <c r="HAS56" s="76"/>
      <c r="HAT56" s="76"/>
      <c r="HAU56" s="76"/>
      <c r="HAV56" s="76"/>
      <c r="HAW56" s="76"/>
      <c r="HAX56" s="76"/>
      <c r="HAY56" s="76"/>
      <c r="HAZ56" s="76"/>
      <c r="HBA56" s="76"/>
      <c r="HBB56" s="76"/>
      <c r="HBC56" s="76"/>
      <c r="HBD56" s="76"/>
      <c r="HBE56" s="76"/>
      <c r="HBF56" s="76"/>
      <c r="HBG56" s="76"/>
      <c r="HBH56" s="76"/>
      <c r="HBI56" s="76"/>
      <c r="HBJ56" s="76"/>
      <c r="HBK56" s="76"/>
      <c r="HBL56" s="76"/>
      <c r="HBM56" s="76"/>
      <c r="HBN56" s="76"/>
      <c r="HBO56" s="76"/>
      <c r="HBP56" s="76"/>
      <c r="HBQ56" s="76"/>
      <c r="HBR56" s="76"/>
      <c r="HBS56" s="76"/>
      <c r="HBT56" s="76"/>
      <c r="HBU56" s="76"/>
      <c r="HBV56" s="76"/>
      <c r="HBW56" s="76"/>
      <c r="HBX56" s="76"/>
      <c r="HBY56" s="76"/>
      <c r="HBZ56" s="76"/>
      <c r="HCA56" s="76"/>
      <c r="HCB56" s="76"/>
      <c r="HCC56" s="76"/>
      <c r="HCD56" s="76"/>
      <c r="HCE56" s="76"/>
      <c r="HCF56" s="76"/>
      <c r="HCG56" s="76"/>
      <c r="HCH56" s="76"/>
      <c r="HCI56" s="76"/>
      <c r="HCJ56" s="76"/>
      <c r="HCK56" s="76"/>
      <c r="HCL56" s="76"/>
      <c r="HCM56" s="76"/>
      <c r="HCN56" s="76"/>
      <c r="HCO56" s="76"/>
      <c r="HCP56" s="76"/>
      <c r="HCQ56" s="76"/>
      <c r="HCR56" s="76"/>
      <c r="HCS56" s="76"/>
      <c r="HCT56" s="76"/>
      <c r="HCU56" s="76"/>
      <c r="HCV56" s="76"/>
      <c r="HCW56" s="76"/>
      <c r="HCX56" s="76"/>
      <c r="HCY56" s="76"/>
      <c r="HCZ56" s="76"/>
      <c r="HDA56" s="76"/>
      <c r="HDB56" s="76"/>
      <c r="HDC56" s="76"/>
      <c r="HDD56" s="76"/>
      <c r="HDE56" s="76"/>
      <c r="HDF56" s="76"/>
      <c r="HDG56" s="76"/>
      <c r="HDH56" s="76"/>
      <c r="HDI56" s="76"/>
      <c r="HDJ56" s="76"/>
      <c r="HDK56" s="76"/>
      <c r="HDL56" s="76"/>
      <c r="HDM56" s="76"/>
      <c r="HDN56" s="76"/>
      <c r="HDO56" s="76"/>
      <c r="HDP56" s="76"/>
      <c r="HDQ56" s="76"/>
      <c r="HDR56" s="76"/>
      <c r="HDS56" s="76"/>
      <c r="HDT56" s="76"/>
      <c r="HDU56" s="76"/>
      <c r="HDV56" s="76"/>
      <c r="HDW56" s="76"/>
      <c r="HDX56" s="76"/>
      <c r="HDY56" s="76"/>
      <c r="HDZ56" s="76"/>
      <c r="HEA56" s="76"/>
      <c r="HEB56" s="76"/>
      <c r="HEC56" s="76"/>
      <c r="HED56" s="76"/>
      <c r="HEE56" s="76"/>
      <c r="HEF56" s="76"/>
      <c r="HEG56" s="76"/>
      <c r="HEH56" s="76"/>
      <c r="HEI56" s="76"/>
      <c r="HEJ56" s="76"/>
      <c r="HEK56" s="76"/>
      <c r="HEL56" s="76"/>
      <c r="HEM56" s="76"/>
      <c r="HEN56" s="76"/>
      <c r="HEO56" s="76"/>
      <c r="HEP56" s="76"/>
      <c r="HEQ56" s="76"/>
      <c r="HER56" s="76"/>
      <c r="HES56" s="76"/>
      <c r="HET56" s="76"/>
      <c r="HEU56" s="76"/>
      <c r="HEV56" s="76"/>
      <c r="HEW56" s="76"/>
      <c r="HEX56" s="76"/>
      <c r="HEY56" s="76"/>
      <c r="HEZ56" s="76"/>
      <c r="HFA56" s="76"/>
      <c r="HFB56" s="76"/>
      <c r="HFC56" s="76"/>
      <c r="HFD56" s="76"/>
      <c r="HFE56" s="76"/>
      <c r="HFF56" s="76"/>
      <c r="HFG56" s="76"/>
      <c r="HFH56" s="76"/>
      <c r="HFI56" s="76"/>
      <c r="HFJ56" s="76"/>
      <c r="HFK56" s="76"/>
      <c r="HFL56" s="76"/>
      <c r="HFM56" s="76"/>
      <c r="HFN56" s="76"/>
      <c r="HFO56" s="76"/>
      <c r="HFP56" s="76"/>
      <c r="HFQ56" s="76"/>
      <c r="HFR56" s="76"/>
      <c r="HFS56" s="76"/>
      <c r="HFT56" s="76"/>
      <c r="HFU56" s="76"/>
      <c r="HFV56" s="76"/>
      <c r="HFW56" s="76"/>
      <c r="HFX56" s="76"/>
      <c r="HFY56" s="76"/>
      <c r="HFZ56" s="76"/>
      <c r="HGA56" s="76"/>
      <c r="HGB56" s="76"/>
      <c r="HGC56" s="76"/>
      <c r="HGD56" s="76"/>
      <c r="HGE56" s="76"/>
      <c r="HGF56" s="76"/>
      <c r="HGG56" s="76"/>
      <c r="HGH56" s="76"/>
      <c r="HGI56" s="76"/>
      <c r="HGJ56" s="76"/>
      <c r="HGK56" s="76"/>
      <c r="HGL56" s="76"/>
      <c r="HGM56" s="76"/>
      <c r="HGN56" s="76"/>
      <c r="HGO56" s="76"/>
      <c r="HGP56" s="76"/>
      <c r="HGQ56" s="76"/>
      <c r="HGR56" s="76"/>
      <c r="HGS56" s="76"/>
      <c r="HGT56" s="76"/>
      <c r="HGU56" s="76"/>
      <c r="HGV56" s="76"/>
      <c r="HGW56" s="76"/>
      <c r="HGX56" s="76"/>
      <c r="HGY56" s="76"/>
      <c r="HGZ56" s="76"/>
      <c r="HHA56" s="76"/>
      <c r="HHB56" s="76"/>
      <c r="HHC56" s="76"/>
      <c r="HHD56" s="76"/>
      <c r="HHE56" s="76"/>
      <c r="HHF56" s="76"/>
      <c r="HHG56" s="76"/>
      <c r="HHH56" s="76"/>
      <c r="HHI56" s="76"/>
      <c r="HHJ56" s="76"/>
      <c r="HHK56" s="76"/>
      <c r="HHL56" s="76"/>
      <c r="HHM56" s="76"/>
      <c r="HHN56" s="76"/>
      <c r="HHO56" s="76"/>
      <c r="HHP56" s="76"/>
      <c r="HHQ56" s="76"/>
      <c r="HHR56" s="76"/>
      <c r="HHS56" s="76"/>
      <c r="HHT56" s="76"/>
      <c r="HHU56" s="76"/>
      <c r="HHV56" s="76"/>
      <c r="HHW56" s="76"/>
      <c r="HHX56" s="76"/>
      <c r="HHY56" s="76"/>
      <c r="HHZ56" s="76"/>
      <c r="HIA56" s="76"/>
      <c r="HIB56" s="76"/>
      <c r="HIC56" s="76"/>
      <c r="HID56" s="76"/>
      <c r="HIE56" s="76"/>
      <c r="HIF56" s="76"/>
      <c r="HIG56" s="76"/>
      <c r="HIH56" s="76"/>
      <c r="HII56" s="76"/>
      <c r="HIJ56" s="76"/>
      <c r="HIK56" s="76"/>
      <c r="HIL56" s="76"/>
      <c r="HIM56" s="76"/>
      <c r="HIN56" s="76"/>
      <c r="HIO56" s="76"/>
      <c r="HIP56" s="76"/>
      <c r="HIQ56" s="76"/>
      <c r="HIR56" s="76"/>
      <c r="HIS56" s="76"/>
      <c r="HIT56" s="76"/>
      <c r="HIU56" s="76"/>
      <c r="HIV56" s="76"/>
      <c r="HIW56" s="76"/>
      <c r="HIX56" s="76"/>
      <c r="HIY56" s="76"/>
      <c r="HIZ56" s="76"/>
      <c r="HJA56" s="76"/>
      <c r="HJB56" s="76"/>
      <c r="HJC56" s="76"/>
      <c r="HJD56" s="76"/>
      <c r="HJE56" s="76"/>
      <c r="HJF56" s="76"/>
      <c r="HJG56" s="76"/>
      <c r="HJH56" s="76"/>
      <c r="HJI56" s="76"/>
      <c r="HJJ56" s="76"/>
      <c r="HJK56" s="76"/>
      <c r="HJL56" s="76"/>
      <c r="HJM56" s="76"/>
      <c r="HJN56" s="76"/>
      <c r="HJO56" s="76"/>
      <c r="HJP56" s="76"/>
      <c r="HJQ56" s="76"/>
      <c r="HJR56" s="76"/>
      <c r="HJS56" s="76"/>
      <c r="HJT56" s="76"/>
      <c r="HJU56" s="76"/>
      <c r="HJV56" s="76"/>
      <c r="HJW56" s="76"/>
      <c r="HJX56" s="76"/>
      <c r="HJY56" s="76"/>
      <c r="HJZ56" s="76"/>
      <c r="HKA56" s="76"/>
      <c r="HKB56" s="76"/>
      <c r="HKC56" s="76"/>
      <c r="HKD56" s="76"/>
      <c r="HKE56" s="76"/>
      <c r="HKF56" s="76"/>
      <c r="HKG56" s="76"/>
      <c r="HKH56" s="76"/>
      <c r="HKI56" s="76"/>
      <c r="HKJ56" s="76"/>
      <c r="HKK56" s="76"/>
      <c r="HKL56" s="76"/>
      <c r="HKM56" s="76"/>
      <c r="HKN56" s="76"/>
      <c r="HKO56" s="76"/>
      <c r="HKP56" s="76"/>
      <c r="HKQ56" s="76"/>
      <c r="HKR56" s="76"/>
      <c r="HKS56" s="76"/>
      <c r="HKT56" s="76"/>
      <c r="HKU56" s="76"/>
      <c r="HKV56" s="76"/>
      <c r="HKW56" s="76"/>
      <c r="HKX56" s="76"/>
      <c r="HKY56" s="76"/>
      <c r="HKZ56" s="76"/>
      <c r="HLA56" s="76"/>
      <c r="HLB56" s="76"/>
      <c r="HLC56" s="76"/>
      <c r="HLD56" s="76"/>
      <c r="HLE56" s="76"/>
      <c r="HLF56" s="76"/>
      <c r="HLG56" s="76"/>
      <c r="HLH56" s="76"/>
      <c r="HLI56" s="76"/>
      <c r="HLJ56" s="76"/>
      <c r="HLK56" s="76"/>
      <c r="HLL56" s="76"/>
      <c r="HLM56" s="76"/>
      <c r="HLN56" s="76"/>
      <c r="HLO56" s="76"/>
      <c r="HLP56" s="76"/>
      <c r="HLQ56" s="76"/>
      <c r="HLR56" s="76"/>
      <c r="HLS56" s="76"/>
      <c r="HLT56" s="76"/>
      <c r="HLU56" s="76"/>
      <c r="HLV56" s="76"/>
      <c r="HLW56" s="76"/>
      <c r="HLX56" s="76"/>
      <c r="HLY56" s="76"/>
      <c r="HLZ56" s="76"/>
      <c r="HMA56" s="76"/>
      <c r="HMB56" s="76"/>
      <c r="HMC56" s="76"/>
      <c r="HMD56" s="76"/>
      <c r="HME56" s="76"/>
      <c r="HMF56" s="76"/>
      <c r="HMG56" s="76"/>
      <c r="HMH56" s="76"/>
      <c r="HMI56" s="76"/>
      <c r="HMJ56" s="76"/>
      <c r="HMK56" s="76"/>
      <c r="HML56" s="76"/>
      <c r="HMM56" s="76"/>
      <c r="HMN56" s="76"/>
      <c r="HMO56" s="76"/>
      <c r="HMP56" s="76"/>
      <c r="HMQ56" s="76"/>
      <c r="HMR56" s="76"/>
      <c r="HMS56" s="76"/>
      <c r="HMT56" s="76"/>
      <c r="HMU56" s="76"/>
      <c r="HMV56" s="76"/>
      <c r="HMW56" s="76"/>
      <c r="HMX56" s="76"/>
      <c r="HMY56" s="76"/>
      <c r="HMZ56" s="76"/>
      <c r="HNA56" s="76"/>
      <c r="HNB56" s="76"/>
      <c r="HNC56" s="76"/>
      <c r="HND56" s="76"/>
      <c r="HNE56" s="76"/>
      <c r="HNF56" s="76"/>
      <c r="HNG56" s="76"/>
      <c r="HNH56" s="76"/>
      <c r="HNI56" s="76"/>
      <c r="HNJ56" s="76"/>
      <c r="HNK56" s="76"/>
      <c r="HNL56" s="76"/>
      <c r="HNM56" s="76"/>
      <c r="HNN56" s="76"/>
      <c r="HNO56" s="76"/>
      <c r="HNP56" s="76"/>
      <c r="HNQ56" s="76"/>
      <c r="HNR56" s="76"/>
      <c r="HNS56" s="76"/>
      <c r="HNT56" s="76"/>
      <c r="HNU56" s="76"/>
      <c r="HNV56" s="76"/>
      <c r="HNW56" s="76"/>
      <c r="HNX56" s="76"/>
      <c r="HNY56" s="76"/>
      <c r="HNZ56" s="76"/>
      <c r="HOA56" s="76"/>
      <c r="HOB56" s="76"/>
      <c r="HOC56" s="76"/>
      <c r="HOD56" s="76"/>
      <c r="HOE56" s="76"/>
      <c r="HOF56" s="76"/>
      <c r="HOG56" s="76"/>
      <c r="HOH56" s="76"/>
      <c r="HOI56" s="76"/>
      <c r="HOJ56" s="76"/>
      <c r="HOK56" s="76"/>
      <c r="HOL56" s="76"/>
      <c r="HOM56" s="76"/>
      <c r="HON56" s="76"/>
      <c r="HOO56" s="76"/>
      <c r="HOP56" s="76"/>
      <c r="HOQ56" s="76"/>
      <c r="HOR56" s="76"/>
      <c r="HOS56" s="76"/>
      <c r="HOT56" s="76"/>
      <c r="HOU56" s="76"/>
      <c r="HOV56" s="76"/>
      <c r="HOW56" s="76"/>
      <c r="HOX56" s="76"/>
      <c r="HOY56" s="76"/>
      <c r="HOZ56" s="76"/>
      <c r="HPA56" s="76"/>
      <c r="HPB56" s="76"/>
      <c r="HPC56" s="76"/>
      <c r="HPD56" s="76"/>
      <c r="HPE56" s="76"/>
      <c r="HPF56" s="76"/>
      <c r="HPG56" s="76"/>
      <c r="HPH56" s="76"/>
      <c r="HPI56" s="76"/>
      <c r="HPJ56" s="76"/>
      <c r="HPK56" s="76"/>
      <c r="HPL56" s="76"/>
      <c r="HPM56" s="76"/>
      <c r="HPN56" s="76"/>
      <c r="HPO56" s="76"/>
      <c r="HPP56" s="76"/>
      <c r="HPQ56" s="76"/>
      <c r="HPR56" s="76"/>
      <c r="HPS56" s="76"/>
      <c r="HPT56" s="76"/>
      <c r="HPU56" s="76"/>
      <c r="HPV56" s="76"/>
      <c r="HPW56" s="76"/>
      <c r="HPX56" s="76"/>
      <c r="HPY56" s="76"/>
      <c r="HPZ56" s="76"/>
      <c r="HQA56" s="76"/>
      <c r="HQB56" s="76"/>
      <c r="HQC56" s="76"/>
      <c r="HQD56" s="76"/>
      <c r="HQE56" s="76"/>
      <c r="HQF56" s="76"/>
      <c r="HQG56" s="76"/>
      <c r="HQH56" s="76"/>
      <c r="HQI56" s="76"/>
      <c r="HQJ56" s="76"/>
      <c r="HQK56" s="76"/>
      <c r="HQL56" s="76"/>
      <c r="HQM56" s="76"/>
      <c r="HQN56" s="76"/>
      <c r="HQO56" s="76"/>
      <c r="HQP56" s="76"/>
      <c r="HQQ56" s="76"/>
      <c r="HQR56" s="76"/>
      <c r="HQS56" s="76"/>
      <c r="HQT56" s="76"/>
      <c r="HQU56" s="76"/>
      <c r="HQV56" s="76"/>
      <c r="HQW56" s="76"/>
      <c r="HQX56" s="76"/>
      <c r="HQY56" s="76"/>
      <c r="HQZ56" s="76"/>
      <c r="HRA56" s="76"/>
      <c r="HRB56" s="76"/>
      <c r="HRC56" s="76"/>
      <c r="HRD56" s="76"/>
      <c r="HRE56" s="76"/>
      <c r="HRF56" s="76"/>
      <c r="HRG56" s="76"/>
      <c r="HRH56" s="76"/>
      <c r="HRI56" s="76"/>
      <c r="HRJ56" s="76"/>
      <c r="HRK56" s="76"/>
      <c r="HRL56" s="76"/>
      <c r="HRM56" s="76"/>
      <c r="HRN56" s="76"/>
      <c r="HRO56" s="76"/>
      <c r="HRP56" s="76"/>
      <c r="HRQ56" s="76"/>
      <c r="HRR56" s="76"/>
      <c r="HRS56" s="76"/>
      <c r="HRT56" s="76"/>
      <c r="HRU56" s="76"/>
      <c r="HRV56" s="76"/>
      <c r="HRW56" s="76"/>
      <c r="HRX56" s="76"/>
      <c r="HRY56" s="76"/>
      <c r="HRZ56" s="76"/>
      <c r="HSA56" s="76"/>
      <c r="HSB56" s="76"/>
      <c r="HSC56" s="76"/>
      <c r="HSD56" s="76"/>
      <c r="HSE56" s="76"/>
      <c r="HSF56" s="76"/>
      <c r="HSG56" s="76"/>
      <c r="HSH56" s="76"/>
      <c r="HSI56" s="76"/>
      <c r="HSJ56" s="76"/>
      <c r="HSK56" s="76"/>
      <c r="HSL56" s="76"/>
      <c r="HSM56" s="76"/>
      <c r="HSN56" s="76"/>
      <c r="HSO56" s="76"/>
      <c r="HSP56" s="76"/>
      <c r="HSQ56" s="76"/>
      <c r="HSR56" s="76"/>
      <c r="HSS56" s="76"/>
      <c r="HST56" s="76"/>
      <c r="HSU56" s="76"/>
      <c r="HSV56" s="76"/>
      <c r="HSW56" s="76"/>
      <c r="HSX56" s="76"/>
      <c r="HSY56" s="76"/>
      <c r="HSZ56" s="76"/>
      <c r="HTA56" s="76"/>
      <c r="HTB56" s="76"/>
      <c r="HTC56" s="76"/>
      <c r="HTD56" s="76"/>
      <c r="HTE56" s="76"/>
      <c r="HTF56" s="76"/>
      <c r="HTG56" s="76"/>
      <c r="HTH56" s="76"/>
      <c r="HTI56" s="76"/>
      <c r="HTJ56" s="76"/>
      <c r="HTK56" s="76"/>
      <c r="HTL56" s="76"/>
      <c r="HTM56" s="76"/>
      <c r="HTN56" s="76"/>
      <c r="HTO56" s="76"/>
      <c r="HTP56" s="76"/>
      <c r="HTQ56" s="76"/>
      <c r="HTR56" s="76"/>
      <c r="HTS56" s="76"/>
      <c r="HTT56" s="76"/>
      <c r="HTU56" s="76"/>
      <c r="HTV56" s="76"/>
      <c r="HTW56" s="76"/>
      <c r="HTX56" s="76"/>
      <c r="HTY56" s="76"/>
      <c r="HTZ56" s="76"/>
      <c r="HUA56" s="76"/>
      <c r="HUB56" s="76"/>
      <c r="HUC56" s="76"/>
      <c r="HUD56" s="76"/>
      <c r="HUE56" s="76"/>
      <c r="HUF56" s="76"/>
      <c r="HUG56" s="76"/>
      <c r="HUH56" s="76"/>
      <c r="HUI56" s="76"/>
      <c r="HUJ56" s="76"/>
      <c r="HUK56" s="76"/>
      <c r="HUL56" s="76"/>
      <c r="HUM56" s="76"/>
      <c r="HUN56" s="76"/>
      <c r="HUO56" s="76"/>
      <c r="HUP56" s="76"/>
      <c r="HUQ56" s="76"/>
      <c r="HUR56" s="76"/>
      <c r="HUS56" s="76"/>
      <c r="HUT56" s="76"/>
      <c r="HUU56" s="76"/>
      <c r="HUV56" s="76"/>
      <c r="HUW56" s="76"/>
      <c r="HUX56" s="76"/>
      <c r="HUY56" s="76"/>
      <c r="HUZ56" s="76"/>
      <c r="HVA56" s="76"/>
      <c r="HVB56" s="76"/>
      <c r="HVC56" s="76"/>
      <c r="HVD56" s="76"/>
      <c r="HVE56" s="76"/>
      <c r="HVF56" s="76"/>
      <c r="HVG56" s="76"/>
      <c r="HVH56" s="76"/>
      <c r="HVI56" s="76"/>
      <c r="HVJ56" s="76"/>
      <c r="HVK56" s="76"/>
      <c r="HVL56" s="76"/>
      <c r="HVM56" s="76"/>
      <c r="HVN56" s="76"/>
      <c r="HVO56" s="76"/>
      <c r="HVP56" s="76"/>
      <c r="HVQ56" s="76"/>
      <c r="HVR56" s="76"/>
      <c r="HVS56" s="76"/>
      <c r="HVT56" s="76"/>
      <c r="HVU56" s="76"/>
      <c r="HVV56" s="76"/>
      <c r="HVW56" s="76"/>
      <c r="HVX56" s="76"/>
      <c r="HVY56" s="76"/>
      <c r="HVZ56" s="76"/>
      <c r="HWA56" s="76"/>
      <c r="HWB56" s="76"/>
      <c r="HWC56" s="76"/>
      <c r="HWD56" s="76"/>
      <c r="HWE56" s="76"/>
      <c r="HWF56" s="76"/>
      <c r="HWG56" s="76"/>
      <c r="HWH56" s="76"/>
      <c r="HWI56" s="76"/>
      <c r="HWJ56" s="76"/>
      <c r="HWK56" s="76"/>
      <c r="HWL56" s="76"/>
      <c r="HWM56" s="76"/>
      <c r="HWN56" s="76"/>
      <c r="HWO56" s="76"/>
      <c r="HWP56" s="76"/>
      <c r="HWQ56" s="76"/>
      <c r="HWR56" s="76"/>
      <c r="HWS56" s="76"/>
      <c r="HWT56" s="76"/>
      <c r="HWU56" s="76"/>
      <c r="HWV56" s="76"/>
      <c r="HWW56" s="76"/>
      <c r="HWX56" s="76"/>
      <c r="HWY56" s="76"/>
      <c r="HWZ56" s="76"/>
      <c r="HXA56" s="76"/>
      <c r="HXB56" s="76"/>
      <c r="HXC56" s="76"/>
      <c r="HXD56" s="76"/>
      <c r="HXE56" s="76"/>
      <c r="HXF56" s="76"/>
      <c r="HXG56" s="76"/>
      <c r="HXH56" s="76"/>
      <c r="HXI56" s="76"/>
      <c r="HXJ56" s="76"/>
      <c r="HXK56" s="76"/>
      <c r="HXL56" s="76"/>
      <c r="HXM56" s="76"/>
      <c r="HXN56" s="76"/>
      <c r="HXO56" s="76"/>
      <c r="HXP56" s="76"/>
      <c r="HXQ56" s="76"/>
      <c r="HXR56" s="76"/>
      <c r="HXS56" s="76"/>
      <c r="HXT56" s="76"/>
      <c r="HXU56" s="76"/>
      <c r="HXV56" s="76"/>
      <c r="HXW56" s="76"/>
      <c r="HXX56" s="76"/>
      <c r="HXY56" s="76"/>
      <c r="HXZ56" s="76"/>
      <c r="HYA56" s="76"/>
      <c r="HYB56" s="76"/>
      <c r="HYC56" s="76"/>
      <c r="HYD56" s="76"/>
      <c r="HYE56" s="76"/>
      <c r="HYF56" s="76"/>
      <c r="HYG56" s="76"/>
      <c r="HYH56" s="76"/>
      <c r="HYI56" s="76"/>
      <c r="HYJ56" s="76"/>
      <c r="HYK56" s="76"/>
      <c r="HYL56" s="76"/>
      <c r="HYM56" s="76"/>
      <c r="HYN56" s="76"/>
      <c r="HYO56" s="76"/>
      <c r="HYP56" s="76"/>
      <c r="HYQ56" s="76"/>
      <c r="HYR56" s="76"/>
      <c r="HYS56" s="76"/>
      <c r="HYT56" s="76"/>
      <c r="HYU56" s="76"/>
      <c r="HYV56" s="76"/>
      <c r="HYW56" s="76"/>
      <c r="HYX56" s="76"/>
      <c r="HYY56" s="76"/>
      <c r="HYZ56" s="76"/>
      <c r="HZA56" s="76"/>
      <c r="HZB56" s="76"/>
      <c r="HZC56" s="76"/>
      <c r="HZD56" s="76"/>
      <c r="HZE56" s="76"/>
      <c r="HZF56" s="76"/>
      <c r="HZG56" s="76"/>
      <c r="HZH56" s="76"/>
      <c r="HZI56" s="76"/>
      <c r="HZJ56" s="76"/>
      <c r="HZK56" s="76"/>
      <c r="HZL56" s="76"/>
      <c r="HZM56" s="76"/>
      <c r="HZN56" s="76"/>
      <c r="HZO56" s="76"/>
      <c r="HZP56" s="76"/>
      <c r="HZQ56" s="76"/>
      <c r="HZR56" s="76"/>
      <c r="HZS56" s="76"/>
      <c r="HZT56" s="76"/>
      <c r="HZU56" s="76"/>
      <c r="HZV56" s="76"/>
      <c r="HZW56" s="76"/>
      <c r="HZX56" s="76"/>
      <c r="HZY56" s="76"/>
      <c r="HZZ56" s="76"/>
      <c r="IAA56" s="76"/>
      <c r="IAB56" s="76"/>
      <c r="IAC56" s="76"/>
      <c r="IAD56" s="76"/>
      <c r="IAE56" s="76"/>
      <c r="IAF56" s="76"/>
      <c r="IAG56" s="76"/>
      <c r="IAH56" s="76"/>
      <c r="IAI56" s="76"/>
      <c r="IAJ56" s="76"/>
      <c r="IAK56" s="76"/>
      <c r="IAL56" s="76"/>
      <c r="IAM56" s="76"/>
      <c r="IAN56" s="76"/>
      <c r="IAO56" s="76"/>
      <c r="IAP56" s="76"/>
      <c r="IAQ56" s="76"/>
      <c r="IAR56" s="76"/>
      <c r="IAS56" s="76"/>
      <c r="IAT56" s="76"/>
      <c r="IAU56" s="76"/>
      <c r="IAV56" s="76"/>
      <c r="IAW56" s="76"/>
      <c r="IAX56" s="76"/>
      <c r="IAY56" s="76"/>
      <c r="IAZ56" s="76"/>
      <c r="IBA56" s="76"/>
      <c r="IBB56" s="76"/>
      <c r="IBC56" s="76"/>
      <c r="IBD56" s="76"/>
      <c r="IBE56" s="76"/>
      <c r="IBF56" s="76"/>
      <c r="IBG56" s="76"/>
      <c r="IBH56" s="76"/>
      <c r="IBI56" s="76"/>
      <c r="IBJ56" s="76"/>
      <c r="IBK56" s="76"/>
      <c r="IBL56" s="76"/>
      <c r="IBM56" s="76"/>
      <c r="IBN56" s="76"/>
      <c r="IBO56" s="76"/>
      <c r="IBP56" s="76"/>
      <c r="IBQ56" s="76"/>
      <c r="IBR56" s="76"/>
      <c r="IBS56" s="76"/>
      <c r="IBT56" s="76"/>
      <c r="IBU56" s="76"/>
      <c r="IBV56" s="76"/>
      <c r="IBW56" s="76"/>
      <c r="IBX56" s="76"/>
      <c r="IBY56" s="76"/>
      <c r="IBZ56" s="76"/>
      <c r="ICA56" s="76"/>
      <c r="ICB56" s="76"/>
      <c r="ICC56" s="76"/>
      <c r="ICD56" s="76"/>
      <c r="ICE56" s="76"/>
      <c r="ICF56" s="76"/>
      <c r="ICG56" s="76"/>
      <c r="ICH56" s="76"/>
      <c r="ICI56" s="76"/>
      <c r="ICJ56" s="76"/>
      <c r="ICK56" s="76"/>
      <c r="ICL56" s="76"/>
      <c r="ICM56" s="76"/>
      <c r="ICN56" s="76"/>
      <c r="ICO56" s="76"/>
      <c r="ICP56" s="76"/>
      <c r="ICQ56" s="76"/>
      <c r="ICR56" s="76"/>
      <c r="ICS56" s="76"/>
      <c r="ICT56" s="76"/>
      <c r="ICU56" s="76"/>
      <c r="ICV56" s="76"/>
      <c r="ICW56" s="76"/>
      <c r="ICX56" s="76"/>
      <c r="ICY56" s="76"/>
      <c r="ICZ56" s="76"/>
      <c r="IDA56" s="76"/>
      <c r="IDB56" s="76"/>
      <c r="IDC56" s="76"/>
      <c r="IDD56" s="76"/>
      <c r="IDE56" s="76"/>
      <c r="IDF56" s="76"/>
      <c r="IDG56" s="76"/>
      <c r="IDH56" s="76"/>
      <c r="IDI56" s="76"/>
      <c r="IDJ56" s="76"/>
      <c r="IDK56" s="76"/>
      <c r="IDL56" s="76"/>
      <c r="IDM56" s="76"/>
      <c r="IDN56" s="76"/>
      <c r="IDO56" s="76"/>
      <c r="IDP56" s="76"/>
      <c r="IDQ56" s="76"/>
      <c r="IDR56" s="76"/>
      <c r="IDS56" s="76"/>
      <c r="IDT56" s="76"/>
      <c r="IDU56" s="76"/>
      <c r="IDV56" s="76"/>
      <c r="IDW56" s="76"/>
      <c r="IDX56" s="76"/>
      <c r="IDY56" s="76"/>
      <c r="IDZ56" s="76"/>
      <c r="IEA56" s="76"/>
      <c r="IEB56" s="76"/>
      <c r="IEC56" s="76"/>
      <c r="IED56" s="76"/>
      <c r="IEE56" s="76"/>
      <c r="IEF56" s="76"/>
      <c r="IEG56" s="76"/>
      <c r="IEH56" s="76"/>
      <c r="IEI56" s="76"/>
      <c r="IEJ56" s="76"/>
      <c r="IEK56" s="76"/>
      <c r="IEL56" s="76"/>
      <c r="IEM56" s="76"/>
      <c r="IEN56" s="76"/>
      <c r="IEO56" s="76"/>
      <c r="IEP56" s="76"/>
      <c r="IEQ56" s="76"/>
      <c r="IER56" s="76"/>
      <c r="IES56" s="76"/>
      <c r="IET56" s="76"/>
      <c r="IEU56" s="76"/>
      <c r="IEV56" s="76"/>
      <c r="IEW56" s="76"/>
      <c r="IEX56" s="76"/>
      <c r="IEY56" s="76"/>
      <c r="IEZ56" s="76"/>
      <c r="IFA56" s="76"/>
      <c r="IFB56" s="76"/>
      <c r="IFC56" s="76"/>
      <c r="IFD56" s="76"/>
      <c r="IFE56" s="76"/>
      <c r="IFF56" s="76"/>
      <c r="IFG56" s="76"/>
      <c r="IFH56" s="76"/>
      <c r="IFI56" s="76"/>
      <c r="IFJ56" s="76"/>
      <c r="IFK56" s="76"/>
      <c r="IFL56" s="76"/>
      <c r="IFM56" s="76"/>
      <c r="IFN56" s="76"/>
      <c r="IFO56" s="76"/>
      <c r="IFP56" s="76"/>
      <c r="IFQ56" s="76"/>
      <c r="IFR56" s="76"/>
      <c r="IFS56" s="76"/>
      <c r="IFT56" s="76"/>
      <c r="IFU56" s="76"/>
      <c r="IFV56" s="76"/>
      <c r="IFW56" s="76"/>
      <c r="IFX56" s="76"/>
      <c r="IFY56" s="76"/>
      <c r="IFZ56" s="76"/>
      <c r="IGA56" s="76"/>
      <c r="IGB56" s="76"/>
      <c r="IGC56" s="76"/>
      <c r="IGD56" s="76"/>
      <c r="IGE56" s="76"/>
      <c r="IGF56" s="76"/>
      <c r="IGG56" s="76"/>
      <c r="IGH56" s="76"/>
      <c r="IGI56" s="76"/>
      <c r="IGJ56" s="76"/>
      <c r="IGK56" s="76"/>
      <c r="IGL56" s="76"/>
      <c r="IGM56" s="76"/>
      <c r="IGN56" s="76"/>
      <c r="IGO56" s="76"/>
      <c r="IGP56" s="76"/>
      <c r="IGQ56" s="76"/>
      <c r="IGR56" s="76"/>
      <c r="IGS56" s="76"/>
      <c r="IGT56" s="76"/>
      <c r="IGU56" s="76"/>
      <c r="IGV56" s="76"/>
      <c r="IGW56" s="76"/>
      <c r="IGX56" s="76"/>
      <c r="IGY56" s="76"/>
      <c r="IGZ56" s="76"/>
      <c r="IHA56" s="76"/>
      <c r="IHB56" s="76"/>
      <c r="IHC56" s="76"/>
      <c r="IHD56" s="76"/>
      <c r="IHE56" s="76"/>
      <c r="IHF56" s="76"/>
      <c r="IHG56" s="76"/>
      <c r="IHH56" s="76"/>
      <c r="IHI56" s="76"/>
      <c r="IHJ56" s="76"/>
      <c r="IHK56" s="76"/>
      <c r="IHL56" s="76"/>
      <c r="IHM56" s="76"/>
      <c r="IHN56" s="76"/>
      <c r="IHO56" s="76"/>
      <c r="IHP56" s="76"/>
      <c r="IHQ56" s="76"/>
      <c r="IHR56" s="76"/>
      <c r="IHS56" s="76"/>
      <c r="IHT56" s="76"/>
      <c r="IHU56" s="76"/>
      <c r="IHV56" s="76"/>
      <c r="IHW56" s="76"/>
      <c r="IHX56" s="76"/>
      <c r="IHY56" s="76"/>
      <c r="IHZ56" s="76"/>
      <c r="IIA56" s="76"/>
      <c r="IIB56" s="76"/>
      <c r="IIC56" s="76"/>
      <c r="IID56" s="76"/>
      <c r="IIE56" s="76"/>
      <c r="IIF56" s="76"/>
      <c r="IIG56" s="76"/>
      <c r="IIH56" s="76"/>
      <c r="III56" s="76"/>
      <c r="IIJ56" s="76"/>
      <c r="IIK56" s="76"/>
      <c r="IIL56" s="76"/>
      <c r="IIM56" s="76"/>
      <c r="IIN56" s="76"/>
      <c r="IIO56" s="76"/>
      <c r="IIP56" s="76"/>
      <c r="IIQ56" s="76"/>
      <c r="IIR56" s="76"/>
      <c r="IIS56" s="76"/>
      <c r="IIT56" s="76"/>
      <c r="IIU56" s="76"/>
      <c r="IIV56" s="76"/>
      <c r="IIW56" s="76"/>
      <c r="IIX56" s="76"/>
      <c r="IIY56" s="76"/>
      <c r="IIZ56" s="76"/>
      <c r="IJA56" s="76"/>
      <c r="IJB56" s="76"/>
      <c r="IJC56" s="76"/>
      <c r="IJD56" s="76"/>
      <c r="IJE56" s="76"/>
      <c r="IJF56" s="76"/>
      <c r="IJG56" s="76"/>
      <c r="IJH56" s="76"/>
      <c r="IJI56" s="76"/>
      <c r="IJJ56" s="76"/>
      <c r="IJK56" s="76"/>
      <c r="IJL56" s="76"/>
      <c r="IJM56" s="76"/>
      <c r="IJN56" s="76"/>
      <c r="IJO56" s="76"/>
      <c r="IJP56" s="76"/>
      <c r="IJQ56" s="76"/>
      <c r="IJR56" s="76"/>
      <c r="IJS56" s="76"/>
      <c r="IJT56" s="76"/>
      <c r="IJU56" s="76"/>
      <c r="IJV56" s="76"/>
      <c r="IJW56" s="76"/>
      <c r="IJX56" s="76"/>
      <c r="IJY56" s="76"/>
      <c r="IJZ56" s="76"/>
      <c r="IKA56" s="76"/>
      <c r="IKB56" s="76"/>
      <c r="IKC56" s="76"/>
      <c r="IKD56" s="76"/>
      <c r="IKE56" s="76"/>
      <c r="IKF56" s="76"/>
      <c r="IKG56" s="76"/>
      <c r="IKH56" s="76"/>
      <c r="IKI56" s="76"/>
      <c r="IKJ56" s="76"/>
      <c r="IKK56" s="76"/>
      <c r="IKL56" s="76"/>
      <c r="IKM56" s="76"/>
      <c r="IKN56" s="76"/>
      <c r="IKO56" s="76"/>
      <c r="IKP56" s="76"/>
      <c r="IKQ56" s="76"/>
      <c r="IKR56" s="76"/>
      <c r="IKS56" s="76"/>
      <c r="IKT56" s="76"/>
      <c r="IKU56" s="76"/>
      <c r="IKV56" s="76"/>
      <c r="IKW56" s="76"/>
      <c r="IKX56" s="76"/>
      <c r="IKY56" s="76"/>
      <c r="IKZ56" s="76"/>
      <c r="ILA56" s="76"/>
      <c r="ILB56" s="76"/>
      <c r="ILC56" s="76"/>
      <c r="ILD56" s="76"/>
      <c r="ILE56" s="76"/>
      <c r="ILF56" s="76"/>
      <c r="ILG56" s="76"/>
      <c r="ILH56" s="76"/>
      <c r="ILI56" s="76"/>
      <c r="ILJ56" s="76"/>
      <c r="ILK56" s="76"/>
      <c r="ILL56" s="76"/>
      <c r="ILM56" s="76"/>
      <c r="ILN56" s="76"/>
      <c r="ILO56" s="76"/>
      <c r="ILP56" s="76"/>
      <c r="ILQ56" s="76"/>
      <c r="ILR56" s="76"/>
      <c r="ILS56" s="76"/>
      <c r="ILT56" s="76"/>
      <c r="ILU56" s="76"/>
      <c r="ILV56" s="76"/>
      <c r="ILW56" s="76"/>
      <c r="ILX56" s="76"/>
      <c r="ILY56" s="76"/>
      <c r="ILZ56" s="76"/>
      <c r="IMA56" s="76"/>
      <c r="IMB56" s="76"/>
      <c r="IMC56" s="76"/>
      <c r="IMD56" s="76"/>
      <c r="IME56" s="76"/>
      <c r="IMF56" s="76"/>
      <c r="IMG56" s="76"/>
      <c r="IMH56" s="76"/>
      <c r="IMI56" s="76"/>
      <c r="IMJ56" s="76"/>
      <c r="IMK56" s="76"/>
      <c r="IML56" s="76"/>
      <c r="IMM56" s="76"/>
      <c r="IMN56" s="76"/>
      <c r="IMO56" s="76"/>
      <c r="IMP56" s="76"/>
      <c r="IMQ56" s="76"/>
      <c r="IMR56" s="76"/>
      <c r="IMS56" s="76"/>
      <c r="IMT56" s="76"/>
      <c r="IMU56" s="76"/>
      <c r="IMV56" s="76"/>
      <c r="IMW56" s="76"/>
      <c r="IMX56" s="76"/>
      <c r="IMY56" s="76"/>
      <c r="IMZ56" s="76"/>
      <c r="INA56" s="76"/>
      <c r="INB56" s="76"/>
      <c r="INC56" s="76"/>
      <c r="IND56" s="76"/>
      <c r="INE56" s="76"/>
      <c r="INF56" s="76"/>
      <c r="ING56" s="76"/>
      <c r="INH56" s="76"/>
      <c r="INI56" s="76"/>
      <c r="INJ56" s="76"/>
      <c r="INK56" s="76"/>
      <c r="INL56" s="76"/>
      <c r="INM56" s="76"/>
      <c r="INN56" s="76"/>
      <c r="INO56" s="76"/>
      <c r="INP56" s="76"/>
      <c r="INQ56" s="76"/>
      <c r="INR56" s="76"/>
      <c r="INS56" s="76"/>
      <c r="INT56" s="76"/>
      <c r="INU56" s="76"/>
      <c r="INV56" s="76"/>
      <c r="INW56" s="76"/>
      <c r="INX56" s="76"/>
      <c r="INY56" s="76"/>
      <c r="INZ56" s="76"/>
      <c r="IOA56" s="76"/>
      <c r="IOB56" s="76"/>
      <c r="IOC56" s="76"/>
      <c r="IOD56" s="76"/>
      <c r="IOE56" s="76"/>
      <c r="IOF56" s="76"/>
      <c r="IOG56" s="76"/>
      <c r="IOH56" s="76"/>
      <c r="IOI56" s="76"/>
      <c r="IOJ56" s="76"/>
      <c r="IOK56" s="76"/>
      <c r="IOL56" s="76"/>
      <c r="IOM56" s="76"/>
      <c r="ION56" s="76"/>
      <c r="IOO56" s="76"/>
      <c r="IOP56" s="76"/>
      <c r="IOQ56" s="76"/>
      <c r="IOR56" s="76"/>
      <c r="IOS56" s="76"/>
      <c r="IOT56" s="76"/>
      <c r="IOU56" s="76"/>
      <c r="IOV56" s="76"/>
      <c r="IOW56" s="76"/>
      <c r="IOX56" s="76"/>
      <c r="IOY56" s="76"/>
      <c r="IOZ56" s="76"/>
      <c r="IPA56" s="76"/>
      <c r="IPB56" s="76"/>
      <c r="IPC56" s="76"/>
      <c r="IPD56" s="76"/>
      <c r="IPE56" s="76"/>
      <c r="IPF56" s="76"/>
      <c r="IPG56" s="76"/>
      <c r="IPH56" s="76"/>
      <c r="IPI56" s="76"/>
      <c r="IPJ56" s="76"/>
      <c r="IPK56" s="76"/>
      <c r="IPL56" s="76"/>
      <c r="IPM56" s="76"/>
      <c r="IPN56" s="76"/>
      <c r="IPO56" s="76"/>
      <c r="IPP56" s="76"/>
      <c r="IPQ56" s="76"/>
      <c r="IPR56" s="76"/>
      <c r="IPS56" s="76"/>
      <c r="IPT56" s="76"/>
      <c r="IPU56" s="76"/>
      <c r="IPV56" s="76"/>
      <c r="IPW56" s="76"/>
      <c r="IPX56" s="76"/>
      <c r="IPY56" s="76"/>
      <c r="IPZ56" s="76"/>
      <c r="IQA56" s="76"/>
      <c r="IQB56" s="76"/>
      <c r="IQC56" s="76"/>
      <c r="IQD56" s="76"/>
      <c r="IQE56" s="76"/>
      <c r="IQF56" s="76"/>
      <c r="IQG56" s="76"/>
      <c r="IQH56" s="76"/>
      <c r="IQI56" s="76"/>
      <c r="IQJ56" s="76"/>
      <c r="IQK56" s="76"/>
      <c r="IQL56" s="76"/>
      <c r="IQM56" s="76"/>
      <c r="IQN56" s="76"/>
      <c r="IQO56" s="76"/>
      <c r="IQP56" s="76"/>
      <c r="IQQ56" s="76"/>
      <c r="IQR56" s="76"/>
      <c r="IQS56" s="76"/>
      <c r="IQT56" s="76"/>
      <c r="IQU56" s="76"/>
      <c r="IQV56" s="76"/>
      <c r="IQW56" s="76"/>
      <c r="IQX56" s="76"/>
      <c r="IQY56" s="76"/>
      <c r="IQZ56" s="76"/>
      <c r="IRA56" s="76"/>
      <c r="IRB56" s="76"/>
      <c r="IRC56" s="76"/>
      <c r="IRD56" s="76"/>
      <c r="IRE56" s="76"/>
      <c r="IRF56" s="76"/>
      <c r="IRG56" s="76"/>
      <c r="IRH56" s="76"/>
      <c r="IRI56" s="76"/>
      <c r="IRJ56" s="76"/>
      <c r="IRK56" s="76"/>
      <c r="IRL56" s="76"/>
      <c r="IRM56" s="76"/>
      <c r="IRN56" s="76"/>
      <c r="IRO56" s="76"/>
      <c r="IRP56" s="76"/>
      <c r="IRQ56" s="76"/>
      <c r="IRR56" s="76"/>
      <c r="IRS56" s="76"/>
      <c r="IRT56" s="76"/>
      <c r="IRU56" s="76"/>
      <c r="IRV56" s="76"/>
      <c r="IRW56" s="76"/>
      <c r="IRX56" s="76"/>
      <c r="IRY56" s="76"/>
      <c r="IRZ56" s="76"/>
      <c r="ISA56" s="76"/>
      <c r="ISB56" s="76"/>
      <c r="ISC56" s="76"/>
      <c r="ISD56" s="76"/>
      <c r="ISE56" s="76"/>
      <c r="ISF56" s="76"/>
      <c r="ISG56" s="76"/>
      <c r="ISH56" s="76"/>
      <c r="ISI56" s="76"/>
      <c r="ISJ56" s="76"/>
      <c r="ISK56" s="76"/>
      <c r="ISL56" s="76"/>
      <c r="ISM56" s="76"/>
      <c r="ISN56" s="76"/>
      <c r="ISO56" s="76"/>
      <c r="ISP56" s="76"/>
      <c r="ISQ56" s="76"/>
      <c r="ISR56" s="76"/>
      <c r="ISS56" s="76"/>
      <c r="IST56" s="76"/>
      <c r="ISU56" s="76"/>
      <c r="ISV56" s="76"/>
      <c r="ISW56" s="76"/>
      <c r="ISX56" s="76"/>
      <c r="ISY56" s="76"/>
      <c r="ISZ56" s="76"/>
      <c r="ITA56" s="76"/>
      <c r="ITB56" s="76"/>
      <c r="ITC56" s="76"/>
      <c r="ITD56" s="76"/>
      <c r="ITE56" s="76"/>
      <c r="ITF56" s="76"/>
      <c r="ITG56" s="76"/>
      <c r="ITH56" s="76"/>
      <c r="ITI56" s="76"/>
      <c r="ITJ56" s="76"/>
      <c r="ITK56" s="76"/>
      <c r="ITL56" s="76"/>
      <c r="ITM56" s="76"/>
      <c r="ITN56" s="76"/>
      <c r="ITO56" s="76"/>
      <c r="ITP56" s="76"/>
      <c r="ITQ56" s="76"/>
      <c r="ITR56" s="76"/>
      <c r="ITS56" s="76"/>
      <c r="ITT56" s="76"/>
      <c r="ITU56" s="76"/>
      <c r="ITV56" s="76"/>
      <c r="ITW56" s="76"/>
      <c r="ITX56" s="76"/>
      <c r="ITY56" s="76"/>
      <c r="ITZ56" s="76"/>
      <c r="IUA56" s="76"/>
      <c r="IUB56" s="76"/>
      <c r="IUC56" s="76"/>
      <c r="IUD56" s="76"/>
      <c r="IUE56" s="76"/>
      <c r="IUF56" s="76"/>
      <c r="IUG56" s="76"/>
      <c r="IUH56" s="76"/>
      <c r="IUI56" s="76"/>
      <c r="IUJ56" s="76"/>
      <c r="IUK56" s="76"/>
      <c r="IUL56" s="76"/>
      <c r="IUM56" s="76"/>
      <c r="IUN56" s="76"/>
      <c r="IUO56" s="76"/>
      <c r="IUP56" s="76"/>
      <c r="IUQ56" s="76"/>
      <c r="IUR56" s="76"/>
      <c r="IUS56" s="76"/>
      <c r="IUT56" s="76"/>
      <c r="IUU56" s="76"/>
      <c r="IUV56" s="76"/>
      <c r="IUW56" s="76"/>
      <c r="IUX56" s="76"/>
      <c r="IUY56" s="76"/>
      <c r="IUZ56" s="76"/>
      <c r="IVA56" s="76"/>
      <c r="IVB56" s="76"/>
      <c r="IVC56" s="76"/>
      <c r="IVD56" s="76"/>
      <c r="IVE56" s="76"/>
      <c r="IVF56" s="76"/>
      <c r="IVG56" s="76"/>
      <c r="IVH56" s="76"/>
      <c r="IVI56" s="76"/>
      <c r="IVJ56" s="76"/>
      <c r="IVK56" s="76"/>
      <c r="IVL56" s="76"/>
      <c r="IVM56" s="76"/>
      <c r="IVN56" s="76"/>
      <c r="IVO56" s="76"/>
      <c r="IVP56" s="76"/>
      <c r="IVQ56" s="76"/>
      <c r="IVR56" s="76"/>
      <c r="IVS56" s="76"/>
      <c r="IVT56" s="76"/>
      <c r="IVU56" s="76"/>
      <c r="IVV56" s="76"/>
      <c r="IVW56" s="76"/>
      <c r="IVX56" s="76"/>
      <c r="IVY56" s="76"/>
      <c r="IVZ56" s="76"/>
      <c r="IWA56" s="76"/>
      <c r="IWB56" s="76"/>
      <c r="IWC56" s="76"/>
      <c r="IWD56" s="76"/>
      <c r="IWE56" s="76"/>
      <c r="IWF56" s="76"/>
      <c r="IWG56" s="76"/>
      <c r="IWH56" s="76"/>
      <c r="IWI56" s="76"/>
      <c r="IWJ56" s="76"/>
      <c r="IWK56" s="76"/>
      <c r="IWL56" s="76"/>
      <c r="IWM56" s="76"/>
      <c r="IWN56" s="76"/>
      <c r="IWO56" s="76"/>
      <c r="IWP56" s="76"/>
      <c r="IWQ56" s="76"/>
      <c r="IWR56" s="76"/>
      <c r="IWS56" s="76"/>
      <c r="IWT56" s="76"/>
      <c r="IWU56" s="76"/>
      <c r="IWV56" s="76"/>
      <c r="IWW56" s="76"/>
      <c r="IWX56" s="76"/>
      <c r="IWY56" s="76"/>
      <c r="IWZ56" s="76"/>
      <c r="IXA56" s="76"/>
      <c r="IXB56" s="76"/>
      <c r="IXC56" s="76"/>
      <c r="IXD56" s="76"/>
      <c r="IXE56" s="76"/>
      <c r="IXF56" s="76"/>
      <c r="IXG56" s="76"/>
      <c r="IXH56" s="76"/>
      <c r="IXI56" s="76"/>
      <c r="IXJ56" s="76"/>
      <c r="IXK56" s="76"/>
      <c r="IXL56" s="76"/>
      <c r="IXM56" s="76"/>
      <c r="IXN56" s="76"/>
      <c r="IXO56" s="76"/>
      <c r="IXP56" s="76"/>
      <c r="IXQ56" s="76"/>
      <c r="IXR56" s="76"/>
      <c r="IXS56" s="76"/>
      <c r="IXT56" s="76"/>
      <c r="IXU56" s="76"/>
      <c r="IXV56" s="76"/>
      <c r="IXW56" s="76"/>
      <c r="IXX56" s="76"/>
      <c r="IXY56" s="76"/>
      <c r="IXZ56" s="76"/>
      <c r="IYA56" s="76"/>
      <c r="IYB56" s="76"/>
      <c r="IYC56" s="76"/>
      <c r="IYD56" s="76"/>
      <c r="IYE56" s="76"/>
      <c r="IYF56" s="76"/>
      <c r="IYG56" s="76"/>
      <c r="IYH56" s="76"/>
      <c r="IYI56" s="76"/>
      <c r="IYJ56" s="76"/>
      <c r="IYK56" s="76"/>
      <c r="IYL56" s="76"/>
      <c r="IYM56" s="76"/>
      <c r="IYN56" s="76"/>
      <c r="IYO56" s="76"/>
      <c r="IYP56" s="76"/>
      <c r="IYQ56" s="76"/>
      <c r="IYR56" s="76"/>
      <c r="IYS56" s="76"/>
      <c r="IYT56" s="76"/>
      <c r="IYU56" s="76"/>
      <c r="IYV56" s="76"/>
      <c r="IYW56" s="76"/>
      <c r="IYX56" s="76"/>
      <c r="IYY56" s="76"/>
      <c r="IYZ56" s="76"/>
      <c r="IZA56" s="76"/>
      <c r="IZB56" s="76"/>
      <c r="IZC56" s="76"/>
      <c r="IZD56" s="76"/>
      <c r="IZE56" s="76"/>
      <c r="IZF56" s="76"/>
      <c r="IZG56" s="76"/>
      <c r="IZH56" s="76"/>
      <c r="IZI56" s="76"/>
      <c r="IZJ56" s="76"/>
      <c r="IZK56" s="76"/>
      <c r="IZL56" s="76"/>
      <c r="IZM56" s="76"/>
      <c r="IZN56" s="76"/>
      <c r="IZO56" s="76"/>
      <c r="IZP56" s="76"/>
      <c r="IZQ56" s="76"/>
      <c r="IZR56" s="76"/>
      <c r="IZS56" s="76"/>
      <c r="IZT56" s="76"/>
      <c r="IZU56" s="76"/>
      <c r="IZV56" s="76"/>
      <c r="IZW56" s="76"/>
      <c r="IZX56" s="76"/>
      <c r="IZY56" s="76"/>
      <c r="IZZ56" s="76"/>
      <c r="JAA56" s="76"/>
      <c r="JAB56" s="76"/>
      <c r="JAC56" s="76"/>
      <c r="JAD56" s="76"/>
      <c r="JAE56" s="76"/>
      <c r="JAF56" s="76"/>
      <c r="JAG56" s="76"/>
      <c r="JAH56" s="76"/>
      <c r="JAI56" s="76"/>
      <c r="JAJ56" s="76"/>
      <c r="JAK56" s="76"/>
      <c r="JAL56" s="76"/>
      <c r="JAM56" s="76"/>
      <c r="JAN56" s="76"/>
      <c r="JAO56" s="76"/>
      <c r="JAP56" s="76"/>
      <c r="JAQ56" s="76"/>
      <c r="JAR56" s="76"/>
      <c r="JAS56" s="76"/>
      <c r="JAT56" s="76"/>
      <c r="JAU56" s="76"/>
      <c r="JAV56" s="76"/>
      <c r="JAW56" s="76"/>
      <c r="JAX56" s="76"/>
      <c r="JAY56" s="76"/>
      <c r="JAZ56" s="76"/>
      <c r="JBA56" s="76"/>
      <c r="JBB56" s="76"/>
      <c r="JBC56" s="76"/>
      <c r="JBD56" s="76"/>
      <c r="JBE56" s="76"/>
      <c r="JBF56" s="76"/>
      <c r="JBG56" s="76"/>
      <c r="JBH56" s="76"/>
      <c r="JBI56" s="76"/>
      <c r="JBJ56" s="76"/>
      <c r="JBK56" s="76"/>
      <c r="JBL56" s="76"/>
      <c r="JBM56" s="76"/>
      <c r="JBN56" s="76"/>
      <c r="JBO56" s="76"/>
      <c r="JBP56" s="76"/>
      <c r="JBQ56" s="76"/>
      <c r="JBR56" s="76"/>
      <c r="JBS56" s="76"/>
      <c r="JBT56" s="76"/>
      <c r="JBU56" s="76"/>
      <c r="JBV56" s="76"/>
      <c r="JBW56" s="76"/>
      <c r="JBX56" s="76"/>
      <c r="JBY56" s="76"/>
      <c r="JBZ56" s="76"/>
      <c r="JCA56" s="76"/>
      <c r="JCB56" s="76"/>
      <c r="JCC56" s="76"/>
      <c r="JCD56" s="76"/>
      <c r="JCE56" s="76"/>
      <c r="JCF56" s="76"/>
      <c r="JCG56" s="76"/>
      <c r="JCH56" s="76"/>
      <c r="JCI56" s="76"/>
      <c r="JCJ56" s="76"/>
      <c r="JCK56" s="76"/>
      <c r="JCL56" s="76"/>
      <c r="JCM56" s="76"/>
      <c r="JCN56" s="76"/>
      <c r="JCO56" s="76"/>
      <c r="JCP56" s="76"/>
      <c r="JCQ56" s="76"/>
      <c r="JCR56" s="76"/>
      <c r="JCS56" s="76"/>
      <c r="JCT56" s="76"/>
      <c r="JCU56" s="76"/>
      <c r="JCV56" s="76"/>
      <c r="JCW56" s="76"/>
      <c r="JCX56" s="76"/>
      <c r="JCY56" s="76"/>
      <c r="JCZ56" s="76"/>
      <c r="JDA56" s="76"/>
      <c r="JDB56" s="76"/>
      <c r="JDC56" s="76"/>
      <c r="JDD56" s="76"/>
      <c r="JDE56" s="76"/>
      <c r="JDF56" s="76"/>
      <c r="JDG56" s="76"/>
      <c r="JDH56" s="76"/>
      <c r="JDI56" s="76"/>
      <c r="JDJ56" s="76"/>
      <c r="JDK56" s="76"/>
      <c r="JDL56" s="76"/>
      <c r="JDM56" s="76"/>
      <c r="JDN56" s="76"/>
      <c r="JDO56" s="76"/>
      <c r="JDP56" s="76"/>
      <c r="JDQ56" s="76"/>
      <c r="JDR56" s="76"/>
      <c r="JDS56" s="76"/>
      <c r="JDT56" s="76"/>
      <c r="JDU56" s="76"/>
      <c r="JDV56" s="76"/>
      <c r="JDW56" s="76"/>
      <c r="JDX56" s="76"/>
      <c r="JDY56" s="76"/>
      <c r="JDZ56" s="76"/>
      <c r="JEA56" s="76"/>
      <c r="JEB56" s="76"/>
      <c r="JEC56" s="76"/>
      <c r="JED56" s="76"/>
      <c r="JEE56" s="76"/>
      <c r="JEF56" s="76"/>
      <c r="JEG56" s="76"/>
      <c r="JEH56" s="76"/>
      <c r="JEI56" s="76"/>
      <c r="JEJ56" s="76"/>
      <c r="JEK56" s="76"/>
      <c r="JEL56" s="76"/>
      <c r="JEM56" s="76"/>
      <c r="JEN56" s="76"/>
      <c r="JEO56" s="76"/>
      <c r="JEP56" s="76"/>
      <c r="JEQ56" s="76"/>
      <c r="JER56" s="76"/>
      <c r="JES56" s="76"/>
      <c r="JET56" s="76"/>
      <c r="JEU56" s="76"/>
      <c r="JEV56" s="76"/>
      <c r="JEW56" s="76"/>
      <c r="JEX56" s="76"/>
      <c r="JEY56" s="76"/>
      <c r="JEZ56" s="76"/>
      <c r="JFA56" s="76"/>
      <c r="JFB56" s="76"/>
      <c r="JFC56" s="76"/>
      <c r="JFD56" s="76"/>
      <c r="JFE56" s="76"/>
      <c r="JFF56" s="76"/>
      <c r="JFG56" s="76"/>
      <c r="JFH56" s="76"/>
      <c r="JFI56" s="76"/>
      <c r="JFJ56" s="76"/>
      <c r="JFK56" s="76"/>
      <c r="JFL56" s="76"/>
      <c r="JFM56" s="76"/>
      <c r="JFN56" s="76"/>
      <c r="JFO56" s="76"/>
      <c r="JFP56" s="76"/>
      <c r="JFQ56" s="76"/>
      <c r="JFR56" s="76"/>
      <c r="JFS56" s="76"/>
      <c r="JFT56" s="76"/>
      <c r="JFU56" s="76"/>
      <c r="JFV56" s="76"/>
      <c r="JFW56" s="76"/>
      <c r="JFX56" s="76"/>
      <c r="JFY56" s="76"/>
      <c r="JFZ56" s="76"/>
      <c r="JGA56" s="76"/>
      <c r="JGB56" s="76"/>
      <c r="JGC56" s="76"/>
      <c r="JGD56" s="76"/>
      <c r="JGE56" s="76"/>
      <c r="JGF56" s="76"/>
      <c r="JGG56" s="76"/>
      <c r="JGH56" s="76"/>
      <c r="JGI56" s="76"/>
      <c r="JGJ56" s="76"/>
      <c r="JGK56" s="76"/>
      <c r="JGL56" s="76"/>
      <c r="JGM56" s="76"/>
      <c r="JGN56" s="76"/>
      <c r="JGO56" s="76"/>
      <c r="JGP56" s="76"/>
      <c r="JGQ56" s="76"/>
      <c r="JGR56" s="76"/>
      <c r="JGS56" s="76"/>
      <c r="JGT56" s="76"/>
      <c r="JGU56" s="76"/>
      <c r="JGV56" s="76"/>
      <c r="JGW56" s="76"/>
      <c r="JGX56" s="76"/>
      <c r="JGY56" s="76"/>
      <c r="JGZ56" s="76"/>
      <c r="JHA56" s="76"/>
      <c r="JHB56" s="76"/>
      <c r="JHC56" s="76"/>
      <c r="JHD56" s="76"/>
      <c r="JHE56" s="76"/>
      <c r="JHF56" s="76"/>
      <c r="JHG56" s="76"/>
      <c r="JHH56" s="76"/>
      <c r="JHI56" s="76"/>
      <c r="JHJ56" s="76"/>
      <c r="JHK56" s="76"/>
      <c r="JHL56" s="76"/>
      <c r="JHM56" s="76"/>
      <c r="JHN56" s="76"/>
      <c r="JHO56" s="76"/>
      <c r="JHP56" s="76"/>
      <c r="JHQ56" s="76"/>
      <c r="JHR56" s="76"/>
      <c r="JHS56" s="76"/>
      <c r="JHT56" s="76"/>
      <c r="JHU56" s="76"/>
      <c r="JHV56" s="76"/>
      <c r="JHW56" s="76"/>
      <c r="JHX56" s="76"/>
      <c r="JHY56" s="76"/>
      <c r="JHZ56" s="76"/>
      <c r="JIA56" s="76"/>
      <c r="JIB56" s="76"/>
      <c r="JIC56" s="76"/>
      <c r="JID56" s="76"/>
      <c r="JIE56" s="76"/>
      <c r="JIF56" s="76"/>
      <c r="JIG56" s="76"/>
      <c r="JIH56" s="76"/>
      <c r="JII56" s="76"/>
      <c r="JIJ56" s="76"/>
      <c r="JIK56" s="76"/>
      <c r="JIL56" s="76"/>
      <c r="JIM56" s="76"/>
      <c r="JIN56" s="76"/>
      <c r="JIO56" s="76"/>
      <c r="JIP56" s="76"/>
      <c r="JIQ56" s="76"/>
      <c r="JIR56" s="76"/>
      <c r="JIS56" s="76"/>
      <c r="JIT56" s="76"/>
      <c r="JIU56" s="76"/>
      <c r="JIV56" s="76"/>
      <c r="JIW56" s="76"/>
      <c r="JIX56" s="76"/>
      <c r="JIY56" s="76"/>
      <c r="JIZ56" s="76"/>
      <c r="JJA56" s="76"/>
      <c r="JJB56" s="76"/>
      <c r="JJC56" s="76"/>
      <c r="JJD56" s="76"/>
      <c r="JJE56" s="76"/>
      <c r="JJF56" s="76"/>
      <c r="JJG56" s="76"/>
      <c r="JJH56" s="76"/>
      <c r="JJI56" s="76"/>
      <c r="JJJ56" s="76"/>
      <c r="JJK56" s="76"/>
      <c r="JJL56" s="76"/>
      <c r="JJM56" s="76"/>
      <c r="JJN56" s="76"/>
      <c r="JJO56" s="76"/>
      <c r="JJP56" s="76"/>
      <c r="JJQ56" s="76"/>
      <c r="JJR56" s="76"/>
      <c r="JJS56" s="76"/>
      <c r="JJT56" s="76"/>
      <c r="JJU56" s="76"/>
      <c r="JJV56" s="76"/>
      <c r="JJW56" s="76"/>
      <c r="JJX56" s="76"/>
      <c r="JJY56" s="76"/>
      <c r="JJZ56" s="76"/>
      <c r="JKA56" s="76"/>
      <c r="JKB56" s="76"/>
      <c r="JKC56" s="76"/>
      <c r="JKD56" s="76"/>
      <c r="JKE56" s="76"/>
      <c r="JKF56" s="76"/>
      <c r="JKG56" s="76"/>
      <c r="JKH56" s="76"/>
      <c r="JKI56" s="76"/>
      <c r="JKJ56" s="76"/>
      <c r="JKK56" s="76"/>
      <c r="JKL56" s="76"/>
      <c r="JKM56" s="76"/>
      <c r="JKN56" s="76"/>
      <c r="JKO56" s="76"/>
      <c r="JKP56" s="76"/>
      <c r="JKQ56" s="76"/>
      <c r="JKR56" s="76"/>
      <c r="JKS56" s="76"/>
      <c r="JKT56" s="76"/>
      <c r="JKU56" s="76"/>
      <c r="JKV56" s="76"/>
      <c r="JKW56" s="76"/>
      <c r="JKX56" s="76"/>
      <c r="JKY56" s="76"/>
      <c r="JKZ56" s="76"/>
      <c r="JLA56" s="76"/>
      <c r="JLB56" s="76"/>
      <c r="JLC56" s="76"/>
      <c r="JLD56" s="76"/>
      <c r="JLE56" s="76"/>
      <c r="JLF56" s="76"/>
      <c r="JLG56" s="76"/>
      <c r="JLH56" s="76"/>
      <c r="JLI56" s="76"/>
      <c r="JLJ56" s="76"/>
      <c r="JLK56" s="76"/>
      <c r="JLL56" s="76"/>
      <c r="JLM56" s="76"/>
      <c r="JLN56" s="76"/>
      <c r="JLO56" s="76"/>
      <c r="JLP56" s="76"/>
      <c r="JLQ56" s="76"/>
      <c r="JLR56" s="76"/>
      <c r="JLS56" s="76"/>
      <c r="JLT56" s="76"/>
      <c r="JLU56" s="76"/>
      <c r="JLV56" s="76"/>
      <c r="JLW56" s="76"/>
      <c r="JLX56" s="76"/>
      <c r="JLY56" s="76"/>
      <c r="JLZ56" s="76"/>
      <c r="JMA56" s="76"/>
      <c r="JMB56" s="76"/>
      <c r="JMC56" s="76"/>
      <c r="JMD56" s="76"/>
      <c r="JME56" s="76"/>
      <c r="JMF56" s="76"/>
      <c r="JMG56" s="76"/>
      <c r="JMH56" s="76"/>
      <c r="JMI56" s="76"/>
      <c r="JMJ56" s="76"/>
      <c r="JMK56" s="76"/>
      <c r="JML56" s="76"/>
      <c r="JMM56" s="76"/>
      <c r="JMN56" s="76"/>
      <c r="JMO56" s="76"/>
      <c r="JMP56" s="76"/>
      <c r="JMQ56" s="76"/>
      <c r="JMR56" s="76"/>
      <c r="JMS56" s="76"/>
      <c r="JMT56" s="76"/>
      <c r="JMU56" s="76"/>
      <c r="JMV56" s="76"/>
      <c r="JMW56" s="76"/>
      <c r="JMX56" s="76"/>
      <c r="JMY56" s="76"/>
      <c r="JMZ56" s="76"/>
      <c r="JNA56" s="76"/>
      <c r="JNB56" s="76"/>
      <c r="JNC56" s="76"/>
      <c r="JND56" s="76"/>
      <c r="JNE56" s="76"/>
      <c r="JNF56" s="76"/>
      <c r="JNG56" s="76"/>
      <c r="JNH56" s="76"/>
      <c r="JNI56" s="76"/>
      <c r="JNJ56" s="76"/>
      <c r="JNK56" s="76"/>
      <c r="JNL56" s="76"/>
      <c r="JNM56" s="76"/>
      <c r="JNN56" s="76"/>
      <c r="JNO56" s="76"/>
      <c r="JNP56" s="76"/>
      <c r="JNQ56" s="76"/>
      <c r="JNR56" s="76"/>
      <c r="JNS56" s="76"/>
      <c r="JNT56" s="76"/>
      <c r="JNU56" s="76"/>
      <c r="JNV56" s="76"/>
      <c r="JNW56" s="76"/>
      <c r="JNX56" s="76"/>
      <c r="JNY56" s="76"/>
      <c r="JNZ56" s="76"/>
      <c r="JOA56" s="76"/>
      <c r="JOB56" s="76"/>
      <c r="JOC56" s="76"/>
      <c r="JOD56" s="76"/>
      <c r="JOE56" s="76"/>
      <c r="JOF56" s="76"/>
      <c r="JOG56" s="76"/>
      <c r="JOH56" s="76"/>
      <c r="JOI56" s="76"/>
      <c r="JOJ56" s="76"/>
      <c r="JOK56" s="76"/>
      <c r="JOL56" s="76"/>
      <c r="JOM56" s="76"/>
      <c r="JON56" s="76"/>
      <c r="JOO56" s="76"/>
      <c r="JOP56" s="76"/>
      <c r="JOQ56" s="76"/>
      <c r="JOR56" s="76"/>
      <c r="JOS56" s="76"/>
      <c r="JOT56" s="76"/>
      <c r="JOU56" s="76"/>
      <c r="JOV56" s="76"/>
      <c r="JOW56" s="76"/>
      <c r="JOX56" s="76"/>
      <c r="JOY56" s="76"/>
      <c r="JOZ56" s="76"/>
      <c r="JPA56" s="76"/>
      <c r="JPB56" s="76"/>
      <c r="JPC56" s="76"/>
      <c r="JPD56" s="76"/>
      <c r="JPE56" s="76"/>
      <c r="JPF56" s="76"/>
      <c r="JPG56" s="76"/>
      <c r="JPH56" s="76"/>
      <c r="JPI56" s="76"/>
      <c r="JPJ56" s="76"/>
      <c r="JPK56" s="76"/>
      <c r="JPL56" s="76"/>
      <c r="JPM56" s="76"/>
      <c r="JPN56" s="76"/>
      <c r="JPO56" s="76"/>
      <c r="JPP56" s="76"/>
      <c r="JPQ56" s="76"/>
      <c r="JPR56" s="76"/>
      <c r="JPS56" s="76"/>
      <c r="JPT56" s="76"/>
      <c r="JPU56" s="76"/>
      <c r="JPV56" s="76"/>
      <c r="JPW56" s="76"/>
      <c r="JPX56" s="76"/>
      <c r="JPY56" s="76"/>
      <c r="JPZ56" s="76"/>
      <c r="JQA56" s="76"/>
      <c r="JQB56" s="76"/>
      <c r="JQC56" s="76"/>
      <c r="JQD56" s="76"/>
      <c r="JQE56" s="76"/>
      <c r="JQF56" s="76"/>
      <c r="JQG56" s="76"/>
      <c r="JQH56" s="76"/>
      <c r="JQI56" s="76"/>
      <c r="JQJ56" s="76"/>
      <c r="JQK56" s="76"/>
      <c r="JQL56" s="76"/>
      <c r="JQM56" s="76"/>
      <c r="JQN56" s="76"/>
      <c r="JQO56" s="76"/>
      <c r="JQP56" s="76"/>
      <c r="JQQ56" s="76"/>
      <c r="JQR56" s="76"/>
      <c r="JQS56" s="76"/>
      <c r="JQT56" s="76"/>
      <c r="JQU56" s="76"/>
      <c r="JQV56" s="76"/>
      <c r="JQW56" s="76"/>
      <c r="JQX56" s="76"/>
      <c r="JQY56" s="76"/>
      <c r="JQZ56" s="76"/>
      <c r="JRA56" s="76"/>
      <c r="JRB56" s="76"/>
      <c r="JRC56" s="76"/>
      <c r="JRD56" s="76"/>
      <c r="JRE56" s="76"/>
      <c r="JRF56" s="76"/>
      <c r="JRG56" s="76"/>
      <c r="JRH56" s="76"/>
      <c r="JRI56" s="76"/>
      <c r="JRJ56" s="76"/>
      <c r="JRK56" s="76"/>
      <c r="JRL56" s="76"/>
      <c r="JRM56" s="76"/>
      <c r="JRN56" s="76"/>
      <c r="JRO56" s="76"/>
      <c r="JRP56" s="76"/>
      <c r="JRQ56" s="76"/>
      <c r="JRR56" s="76"/>
      <c r="JRS56" s="76"/>
      <c r="JRT56" s="76"/>
      <c r="JRU56" s="76"/>
      <c r="JRV56" s="76"/>
      <c r="JRW56" s="76"/>
      <c r="JRX56" s="76"/>
      <c r="JRY56" s="76"/>
      <c r="JRZ56" s="76"/>
      <c r="JSA56" s="76"/>
      <c r="JSB56" s="76"/>
      <c r="JSC56" s="76"/>
      <c r="JSD56" s="76"/>
      <c r="JSE56" s="76"/>
      <c r="JSF56" s="76"/>
      <c r="JSG56" s="76"/>
      <c r="JSH56" s="76"/>
      <c r="JSI56" s="76"/>
      <c r="JSJ56" s="76"/>
      <c r="JSK56" s="76"/>
      <c r="JSL56" s="76"/>
      <c r="JSM56" s="76"/>
      <c r="JSN56" s="76"/>
      <c r="JSO56" s="76"/>
      <c r="JSP56" s="76"/>
      <c r="JSQ56" s="76"/>
      <c r="JSR56" s="76"/>
      <c r="JSS56" s="76"/>
      <c r="JST56" s="76"/>
      <c r="JSU56" s="76"/>
      <c r="JSV56" s="76"/>
      <c r="JSW56" s="76"/>
      <c r="JSX56" s="76"/>
      <c r="JSY56" s="76"/>
      <c r="JSZ56" s="76"/>
      <c r="JTA56" s="76"/>
      <c r="JTB56" s="76"/>
      <c r="JTC56" s="76"/>
      <c r="JTD56" s="76"/>
      <c r="JTE56" s="76"/>
      <c r="JTF56" s="76"/>
      <c r="JTG56" s="76"/>
      <c r="JTH56" s="76"/>
      <c r="JTI56" s="76"/>
      <c r="JTJ56" s="76"/>
      <c r="JTK56" s="76"/>
      <c r="JTL56" s="76"/>
      <c r="JTM56" s="76"/>
      <c r="JTN56" s="76"/>
      <c r="JTO56" s="76"/>
      <c r="JTP56" s="76"/>
      <c r="JTQ56" s="76"/>
      <c r="JTR56" s="76"/>
      <c r="JTS56" s="76"/>
      <c r="JTT56" s="76"/>
      <c r="JTU56" s="76"/>
      <c r="JTV56" s="76"/>
      <c r="JTW56" s="76"/>
      <c r="JTX56" s="76"/>
      <c r="JTY56" s="76"/>
      <c r="JTZ56" s="76"/>
      <c r="JUA56" s="76"/>
      <c r="JUB56" s="76"/>
      <c r="JUC56" s="76"/>
      <c r="JUD56" s="76"/>
      <c r="JUE56" s="76"/>
      <c r="JUF56" s="76"/>
      <c r="JUG56" s="76"/>
      <c r="JUH56" s="76"/>
      <c r="JUI56" s="76"/>
      <c r="JUJ56" s="76"/>
      <c r="JUK56" s="76"/>
      <c r="JUL56" s="76"/>
      <c r="JUM56" s="76"/>
      <c r="JUN56" s="76"/>
      <c r="JUO56" s="76"/>
      <c r="JUP56" s="76"/>
      <c r="JUQ56" s="76"/>
      <c r="JUR56" s="76"/>
      <c r="JUS56" s="76"/>
      <c r="JUT56" s="76"/>
      <c r="JUU56" s="76"/>
      <c r="JUV56" s="76"/>
      <c r="JUW56" s="76"/>
      <c r="JUX56" s="76"/>
      <c r="JUY56" s="76"/>
      <c r="JUZ56" s="76"/>
      <c r="JVA56" s="76"/>
      <c r="JVB56" s="76"/>
      <c r="JVC56" s="76"/>
      <c r="JVD56" s="76"/>
      <c r="JVE56" s="76"/>
      <c r="JVF56" s="76"/>
      <c r="JVG56" s="76"/>
      <c r="JVH56" s="76"/>
      <c r="JVI56" s="76"/>
      <c r="JVJ56" s="76"/>
      <c r="JVK56" s="76"/>
      <c r="JVL56" s="76"/>
      <c r="JVM56" s="76"/>
      <c r="JVN56" s="76"/>
      <c r="JVO56" s="76"/>
      <c r="JVP56" s="76"/>
      <c r="JVQ56" s="76"/>
      <c r="JVR56" s="76"/>
      <c r="JVS56" s="76"/>
      <c r="JVT56" s="76"/>
      <c r="JVU56" s="76"/>
      <c r="JVV56" s="76"/>
      <c r="JVW56" s="76"/>
      <c r="JVX56" s="76"/>
      <c r="JVY56" s="76"/>
      <c r="JVZ56" s="76"/>
      <c r="JWA56" s="76"/>
      <c r="JWB56" s="76"/>
      <c r="JWC56" s="76"/>
      <c r="JWD56" s="76"/>
      <c r="JWE56" s="76"/>
      <c r="JWF56" s="76"/>
      <c r="JWG56" s="76"/>
      <c r="JWH56" s="76"/>
      <c r="JWI56" s="76"/>
      <c r="JWJ56" s="76"/>
      <c r="JWK56" s="76"/>
      <c r="JWL56" s="76"/>
      <c r="JWM56" s="76"/>
      <c r="JWN56" s="76"/>
      <c r="JWO56" s="76"/>
      <c r="JWP56" s="76"/>
      <c r="JWQ56" s="76"/>
      <c r="JWR56" s="76"/>
      <c r="JWS56" s="76"/>
      <c r="JWT56" s="76"/>
      <c r="JWU56" s="76"/>
      <c r="JWV56" s="76"/>
      <c r="JWW56" s="76"/>
      <c r="JWX56" s="76"/>
      <c r="JWY56" s="76"/>
      <c r="JWZ56" s="76"/>
      <c r="JXA56" s="76"/>
      <c r="JXB56" s="76"/>
      <c r="JXC56" s="76"/>
      <c r="JXD56" s="76"/>
      <c r="JXE56" s="76"/>
      <c r="JXF56" s="76"/>
      <c r="JXG56" s="76"/>
      <c r="JXH56" s="76"/>
      <c r="JXI56" s="76"/>
      <c r="JXJ56" s="76"/>
      <c r="JXK56" s="76"/>
      <c r="JXL56" s="76"/>
      <c r="JXM56" s="76"/>
      <c r="JXN56" s="76"/>
      <c r="JXO56" s="76"/>
      <c r="JXP56" s="76"/>
      <c r="JXQ56" s="76"/>
      <c r="JXR56" s="76"/>
      <c r="JXS56" s="76"/>
      <c r="JXT56" s="76"/>
      <c r="JXU56" s="76"/>
      <c r="JXV56" s="76"/>
      <c r="JXW56" s="76"/>
      <c r="JXX56" s="76"/>
      <c r="JXY56" s="76"/>
      <c r="JXZ56" s="76"/>
      <c r="JYA56" s="76"/>
      <c r="JYB56" s="76"/>
      <c r="JYC56" s="76"/>
      <c r="JYD56" s="76"/>
      <c r="JYE56" s="76"/>
      <c r="JYF56" s="76"/>
      <c r="JYG56" s="76"/>
      <c r="JYH56" s="76"/>
      <c r="JYI56" s="76"/>
      <c r="JYJ56" s="76"/>
      <c r="JYK56" s="76"/>
      <c r="JYL56" s="76"/>
      <c r="JYM56" s="76"/>
      <c r="JYN56" s="76"/>
      <c r="JYO56" s="76"/>
      <c r="JYP56" s="76"/>
      <c r="JYQ56" s="76"/>
      <c r="JYR56" s="76"/>
      <c r="JYS56" s="76"/>
      <c r="JYT56" s="76"/>
      <c r="JYU56" s="76"/>
      <c r="JYV56" s="76"/>
      <c r="JYW56" s="76"/>
      <c r="JYX56" s="76"/>
      <c r="JYY56" s="76"/>
      <c r="JYZ56" s="76"/>
      <c r="JZA56" s="76"/>
      <c r="JZB56" s="76"/>
      <c r="JZC56" s="76"/>
      <c r="JZD56" s="76"/>
      <c r="JZE56" s="76"/>
      <c r="JZF56" s="76"/>
      <c r="JZG56" s="76"/>
      <c r="JZH56" s="76"/>
      <c r="JZI56" s="76"/>
      <c r="JZJ56" s="76"/>
      <c r="JZK56" s="76"/>
      <c r="JZL56" s="76"/>
      <c r="JZM56" s="76"/>
      <c r="JZN56" s="76"/>
      <c r="JZO56" s="76"/>
      <c r="JZP56" s="76"/>
      <c r="JZQ56" s="76"/>
      <c r="JZR56" s="76"/>
      <c r="JZS56" s="76"/>
      <c r="JZT56" s="76"/>
      <c r="JZU56" s="76"/>
      <c r="JZV56" s="76"/>
      <c r="JZW56" s="76"/>
      <c r="JZX56" s="76"/>
      <c r="JZY56" s="76"/>
      <c r="JZZ56" s="76"/>
      <c r="KAA56" s="76"/>
      <c r="KAB56" s="76"/>
      <c r="KAC56" s="76"/>
      <c r="KAD56" s="76"/>
      <c r="KAE56" s="76"/>
      <c r="KAF56" s="76"/>
      <c r="KAG56" s="76"/>
      <c r="KAH56" s="76"/>
      <c r="KAI56" s="76"/>
      <c r="KAJ56" s="76"/>
      <c r="KAK56" s="76"/>
      <c r="KAL56" s="76"/>
      <c r="KAM56" s="76"/>
      <c r="KAN56" s="76"/>
      <c r="KAO56" s="76"/>
      <c r="KAP56" s="76"/>
      <c r="KAQ56" s="76"/>
      <c r="KAR56" s="76"/>
      <c r="KAS56" s="76"/>
      <c r="KAT56" s="76"/>
      <c r="KAU56" s="76"/>
      <c r="KAV56" s="76"/>
      <c r="KAW56" s="76"/>
      <c r="KAX56" s="76"/>
      <c r="KAY56" s="76"/>
      <c r="KAZ56" s="76"/>
      <c r="KBA56" s="76"/>
      <c r="KBB56" s="76"/>
      <c r="KBC56" s="76"/>
      <c r="KBD56" s="76"/>
      <c r="KBE56" s="76"/>
      <c r="KBF56" s="76"/>
      <c r="KBG56" s="76"/>
      <c r="KBH56" s="76"/>
      <c r="KBI56" s="76"/>
      <c r="KBJ56" s="76"/>
      <c r="KBK56" s="76"/>
      <c r="KBL56" s="76"/>
      <c r="KBM56" s="76"/>
      <c r="KBN56" s="76"/>
      <c r="KBO56" s="76"/>
      <c r="KBP56" s="76"/>
      <c r="KBQ56" s="76"/>
      <c r="KBR56" s="76"/>
      <c r="KBS56" s="76"/>
      <c r="KBT56" s="76"/>
      <c r="KBU56" s="76"/>
      <c r="KBV56" s="76"/>
      <c r="KBW56" s="76"/>
      <c r="KBX56" s="76"/>
      <c r="KBY56" s="76"/>
      <c r="KBZ56" s="76"/>
      <c r="KCA56" s="76"/>
      <c r="KCB56" s="76"/>
      <c r="KCC56" s="76"/>
      <c r="KCD56" s="76"/>
      <c r="KCE56" s="76"/>
      <c r="KCF56" s="76"/>
      <c r="KCG56" s="76"/>
      <c r="KCH56" s="76"/>
      <c r="KCI56" s="76"/>
      <c r="KCJ56" s="76"/>
      <c r="KCK56" s="76"/>
      <c r="KCL56" s="76"/>
      <c r="KCM56" s="76"/>
      <c r="KCN56" s="76"/>
      <c r="KCO56" s="76"/>
      <c r="KCP56" s="76"/>
      <c r="KCQ56" s="76"/>
      <c r="KCR56" s="76"/>
      <c r="KCS56" s="76"/>
      <c r="KCT56" s="76"/>
      <c r="KCU56" s="76"/>
      <c r="KCV56" s="76"/>
      <c r="KCW56" s="76"/>
      <c r="KCX56" s="76"/>
      <c r="KCY56" s="76"/>
      <c r="KCZ56" s="76"/>
      <c r="KDA56" s="76"/>
      <c r="KDB56" s="76"/>
      <c r="KDC56" s="76"/>
      <c r="KDD56" s="76"/>
      <c r="KDE56" s="76"/>
      <c r="KDF56" s="76"/>
      <c r="KDG56" s="76"/>
      <c r="KDH56" s="76"/>
      <c r="KDI56" s="76"/>
      <c r="KDJ56" s="76"/>
      <c r="KDK56" s="76"/>
      <c r="KDL56" s="76"/>
      <c r="KDM56" s="76"/>
      <c r="KDN56" s="76"/>
      <c r="KDO56" s="76"/>
      <c r="KDP56" s="76"/>
      <c r="KDQ56" s="76"/>
      <c r="KDR56" s="76"/>
      <c r="KDS56" s="76"/>
      <c r="KDT56" s="76"/>
      <c r="KDU56" s="76"/>
      <c r="KDV56" s="76"/>
      <c r="KDW56" s="76"/>
      <c r="KDX56" s="76"/>
      <c r="KDY56" s="76"/>
      <c r="KDZ56" s="76"/>
      <c r="KEA56" s="76"/>
      <c r="KEB56" s="76"/>
      <c r="KEC56" s="76"/>
      <c r="KED56" s="76"/>
      <c r="KEE56" s="76"/>
      <c r="KEF56" s="76"/>
      <c r="KEG56" s="76"/>
      <c r="KEH56" s="76"/>
      <c r="KEI56" s="76"/>
      <c r="KEJ56" s="76"/>
      <c r="KEK56" s="76"/>
      <c r="KEL56" s="76"/>
      <c r="KEM56" s="76"/>
      <c r="KEN56" s="76"/>
      <c r="KEO56" s="76"/>
      <c r="KEP56" s="76"/>
      <c r="KEQ56" s="76"/>
      <c r="KER56" s="76"/>
      <c r="KES56" s="76"/>
      <c r="KET56" s="76"/>
      <c r="KEU56" s="76"/>
      <c r="KEV56" s="76"/>
      <c r="KEW56" s="76"/>
      <c r="KEX56" s="76"/>
      <c r="KEY56" s="76"/>
      <c r="KEZ56" s="76"/>
      <c r="KFA56" s="76"/>
      <c r="KFB56" s="76"/>
      <c r="KFC56" s="76"/>
      <c r="KFD56" s="76"/>
      <c r="KFE56" s="76"/>
      <c r="KFF56" s="76"/>
      <c r="KFG56" s="76"/>
      <c r="KFH56" s="76"/>
      <c r="KFI56" s="76"/>
      <c r="KFJ56" s="76"/>
      <c r="KFK56" s="76"/>
      <c r="KFL56" s="76"/>
      <c r="KFM56" s="76"/>
      <c r="KFN56" s="76"/>
      <c r="KFO56" s="76"/>
      <c r="KFP56" s="76"/>
      <c r="KFQ56" s="76"/>
      <c r="KFR56" s="76"/>
      <c r="KFS56" s="76"/>
      <c r="KFT56" s="76"/>
      <c r="KFU56" s="76"/>
      <c r="KFV56" s="76"/>
      <c r="KFW56" s="76"/>
      <c r="KFX56" s="76"/>
      <c r="KFY56" s="76"/>
      <c r="KFZ56" s="76"/>
      <c r="KGA56" s="76"/>
      <c r="KGB56" s="76"/>
      <c r="KGC56" s="76"/>
      <c r="KGD56" s="76"/>
      <c r="KGE56" s="76"/>
      <c r="KGF56" s="76"/>
      <c r="KGG56" s="76"/>
      <c r="KGH56" s="76"/>
      <c r="KGI56" s="76"/>
      <c r="KGJ56" s="76"/>
      <c r="KGK56" s="76"/>
      <c r="KGL56" s="76"/>
      <c r="KGM56" s="76"/>
      <c r="KGN56" s="76"/>
      <c r="KGO56" s="76"/>
      <c r="KGP56" s="76"/>
      <c r="KGQ56" s="76"/>
      <c r="KGR56" s="76"/>
      <c r="KGS56" s="76"/>
      <c r="KGT56" s="76"/>
      <c r="KGU56" s="76"/>
      <c r="KGV56" s="76"/>
      <c r="KGW56" s="76"/>
      <c r="KGX56" s="76"/>
      <c r="KGY56" s="76"/>
      <c r="KGZ56" s="76"/>
      <c r="KHA56" s="76"/>
      <c r="KHB56" s="76"/>
      <c r="KHC56" s="76"/>
      <c r="KHD56" s="76"/>
      <c r="KHE56" s="76"/>
      <c r="KHF56" s="76"/>
      <c r="KHG56" s="76"/>
      <c r="KHH56" s="76"/>
      <c r="KHI56" s="76"/>
      <c r="KHJ56" s="76"/>
      <c r="KHK56" s="76"/>
      <c r="KHL56" s="76"/>
      <c r="KHM56" s="76"/>
      <c r="KHN56" s="76"/>
      <c r="KHO56" s="76"/>
      <c r="KHP56" s="76"/>
      <c r="KHQ56" s="76"/>
      <c r="KHR56" s="76"/>
      <c r="KHS56" s="76"/>
      <c r="KHT56" s="76"/>
      <c r="KHU56" s="76"/>
      <c r="KHV56" s="76"/>
      <c r="KHW56" s="76"/>
      <c r="KHX56" s="76"/>
      <c r="KHY56" s="76"/>
      <c r="KHZ56" s="76"/>
      <c r="KIA56" s="76"/>
      <c r="KIB56" s="76"/>
      <c r="KIC56" s="76"/>
      <c r="KID56" s="76"/>
      <c r="KIE56" s="76"/>
      <c r="KIF56" s="76"/>
      <c r="KIG56" s="76"/>
      <c r="KIH56" s="76"/>
      <c r="KII56" s="76"/>
      <c r="KIJ56" s="76"/>
      <c r="KIK56" s="76"/>
      <c r="KIL56" s="76"/>
      <c r="KIM56" s="76"/>
      <c r="KIN56" s="76"/>
      <c r="KIO56" s="76"/>
      <c r="KIP56" s="76"/>
      <c r="KIQ56" s="76"/>
      <c r="KIR56" s="76"/>
      <c r="KIS56" s="76"/>
      <c r="KIT56" s="76"/>
      <c r="KIU56" s="76"/>
      <c r="KIV56" s="76"/>
      <c r="KIW56" s="76"/>
      <c r="KIX56" s="76"/>
      <c r="KIY56" s="76"/>
      <c r="KIZ56" s="76"/>
      <c r="KJA56" s="76"/>
      <c r="KJB56" s="76"/>
      <c r="KJC56" s="76"/>
      <c r="KJD56" s="76"/>
      <c r="KJE56" s="76"/>
      <c r="KJF56" s="76"/>
      <c r="KJG56" s="76"/>
      <c r="KJH56" s="76"/>
      <c r="KJI56" s="76"/>
      <c r="KJJ56" s="76"/>
      <c r="KJK56" s="76"/>
      <c r="KJL56" s="76"/>
      <c r="KJM56" s="76"/>
      <c r="KJN56" s="76"/>
      <c r="KJO56" s="76"/>
      <c r="KJP56" s="76"/>
      <c r="KJQ56" s="76"/>
      <c r="KJR56" s="76"/>
      <c r="KJS56" s="76"/>
      <c r="KJT56" s="76"/>
      <c r="KJU56" s="76"/>
      <c r="KJV56" s="76"/>
      <c r="KJW56" s="76"/>
      <c r="KJX56" s="76"/>
      <c r="KJY56" s="76"/>
      <c r="KJZ56" s="76"/>
      <c r="KKA56" s="76"/>
      <c r="KKB56" s="76"/>
      <c r="KKC56" s="76"/>
      <c r="KKD56" s="76"/>
      <c r="KKE56" s="76"/>
      <c r="KKF56" s="76"/>
      <c r="KKG56" s="76"/>
      <c r="KKH56" s="76"/>
      <c r="KKI56" s="76"/>
      <c r="KKJ56" s="76"/>
      <c r="KKK56" s="76"/>
      <c r="KKL56" s="76"/>
      <c r="KKM56" s="76"/>
      <c r="KKN56" s="76"/>
      <c r="KKO56" s="76"/>
      <c r="KKP56" s="76"/>
      <c r="KKQ56" s="76"/>
      <c r="KKR56" s="76"/>
      <c r="KKS56" s="76"/>
      <c r="KKT56" s="76"/>
      <c r="KKU56" s="76"/>
      <c r="KKV56" s="76"/>
      <c r="KKW56" s="76"/>
      <c r="KKX56" s="76"/>
      <c r="KKY56" s="76"/>
      <c r="KKZ56" s="76"/>
      <c r="KLA56" s="76"/>
      <c r="KLB56" s="76"/>
      <c r="KLC56" s="76"/>
      <c r="KLD56" s="76"/>
      <c r="KLE56" s="76"/>
      <c r="KLF56" s="76"/>
      <c r="KLG56" s="76"/>
      <c r="KLH56" s="76"/>
      <c r="KLI56" s="76"/>
      <c r="KLJ56" s="76"/>
      <c r="KLK56" s="76"/>
      <c r="KLL56" s="76"/>
      <c r="KLM56" s="76"/>
      <c r="KLN56" s="76"/>
      <c r="KLO56" s="76"/>
      <c r="KLP56" s="76"/>
      <c r="KLQ56" s="76"/>
      <c r="KLR56" s="76"/>
      <c r="KLS56" s="76"/>
      <c r="KLT56" s="76"/>
      <c r="KLU56" s="76"/>
      <c r="KLV56" s="76"/>
      <c r="KLW56" s="76"/>
      <c r="KLX56" s="76"/>
      <c r="KLY56" s="76"/>
      <c r="KLZ56" s="76"/>
      <c r="KMA56" s="76"/>
      <c r="KMB56" s="76"/>
      <c r="KMC56" s="76"/>
      <c r="KMD56" s="76"/>
      <c r="KME56" s="76"/>
      <c r="KMF56" s="76"/>
      <c r="KMG56" s="76"/>
      <c r="KMH56" s="76"/>
      <c r="KMI56" s="76"/>
      <c r="KMJ56" s="76"/>
      <c r="KMK56" s="76"/>
      <c r="KML56" s="76"/>
      <c r="KMM56" s="76"/>
      <c r="KMN56" s="76"/>
      <c r="KMO56" s="76"/>
      <c r="KMP56" s="76"/>
      <c r="KMQ56" s="76"/>
      <c r="KMR56" s="76"/>
      <c r="KMS56" s="76"/>
      <c r="KMT56" s="76"/>
      <c r="KMU56" s="76"/>
      <c r="KMV56" s="76"/>
      <c r="KMW56" s="76"/>
      <c r="KMX56" s="76"/>
      <c r="KMY56" s="76"/>
      <c r="KMZ56" s="76"/>
      <c r="KNA56" s="76"/>
      <c r="KNB56" s="76"/>
      <c r="KNC56" s="76"/>
      <c r="KND56" s="76"/>
      <c r="KNE56" s="76"/>
      <c r="KNF56" s="76"/>
      <c r="KNG56" s="76"/>
      <c r="KNH56" s="76"/>
      <c r="KNI56" s="76"/>
      <c r="KNJ56" s="76"/>
      <c r="KNK56" s="76"/>
      <c r="KNL56" s="76"/>
      <c r="KNM56" s="76"/>
      <c r="KNN56" s="76"/>
      <c r="KNO56" s="76"/>
      <c r="KNP56" s="76"/>
      <c r="KNQ56" s="76"/>
      <c r="KNR56" s="76"/>
      <c r="KNS56" s="76"/>
      <c r="KNT56" s="76"/>
      <c r="KNU56" s="76"/>
      <c r="KNV56" s="76"/>
      <c r="KNW56" s="76"/>
      <c r="KNX56" s="76"/>
      <c r="KNY56" s="76"/>
      <c r="KNZ56" s="76"/>
      <c r="KOA56" s="76"/>
      <c r="KOB56" s="76"/>
      <c r="KOC56" s="76"/>
      <c r="KOD56" s="76"/>
      <c r="KOE56" s="76"/>
      <c r="KOF56" s="76"/>
      <c r="KOG56" s="76"/>
      <c r="KOH56" s="76"/>
      <c r="KOI56" s="76"/>
      <c r="KOJ56" s="76"/>
      <c r="KOK56" s="76"/>
      <c r="KOL56" s="76"/>
      <c r="KOM56" s="76"/>
      <c r="KON56" s="76"/>
      <c r="KOO56" s="76"/>
      <c r="KOP56" s="76"/>
      <c r="KOQ56" s="76"/>
      <c r="KOR56" s="76"/>
      <c r="KOS56" s="76"/>
      <c r="KOT56" s="76"/>
      <c r="KOU56" s="76"/>
      <c r="KOV56" s="76"/>
      <c r="KOW56" s="76"/>
      <c r="KOX56" s="76"/>
      <c r="KOY56" s="76"/>
      <c r="KOZ56" s="76"/>
      <c r="KPA56" s="76"/>
      <c r="KPB56" s="76"/>
      <c r="KPC56" s="76"/>
      <c r="KPD56" s="76"/>
      <c r="KPE56" s="76"/>
      <c r="KPF56" s="76"/>
      <c r="KPG56" s="76"/>
      <c r="KPH56" s="76"/>
      <c r="KPI56" s="76"/>
      <c r="KPJ56" s="76"/>
      <c r="KPK56" s="76"/>
      <c r="KPL56" s="76"/>
      <c r="KPM56" s="76"/>
      <c r="KPN56" s="76"/>
      <c r="KPO56" s="76"/>
      <c r="KPP56" s="76"/>
      <c r="KPQ56" s="76"/>
      <c r="KPR56" s="76"/>
      <c r="KPS56" s="76"/>
      <c r="KPT56" s="76"/>
      <c r="KPU56" s="76"/>
      <c r="KPV56" s="76"/>
      <c r="KPW56" s="76"/>
      <c r="KPX56" s="76"/>
      <c r="KPY56" s="76"/>
      <c r="KPZ56" s="76"/>
      <c r="KQA56" s="76"/>
      <c r="KQB56" s="76"/>
      <c r="KQC56" s="76"/>
      <c r="KQD56" s="76"/>
      <c r="KQE56" s="76"/>
      <c r="KQF56" s="76"/>
      <c r="KQG56" s="76"/>
      <c r="KQH56" s="76"/>
      <c r="KQI56" s="76"/>
      <c r="KQJ56" s="76"/>
      <c r="KQK56" s="76"/>
      <c r="KQL56" s="76"/>
      <c r="KQM56" s="76"/>
      <c r="KQN56" s="76"/>
      <c r="KQO56" s="76"/>
      <c r="KQP56" s="76"/>
      <c r="KQQ56" s="76"/>
      <c r="KQR56" s="76"/>
      <c r="KQS56" s="76"/>
      <c r="KQT56" s="76"/>
      <c r="KQU56" s="76"/>
      <c r="KQV56" s="76"/>
      <c r="KQW56" s="76"/>
      <c r="KQX56" s="76"/>
      <c r="KQY56" s="76"/>
      <c r="KQZ56" s="76"/>
      <c r="KRA56" s="76"/>
      <c r="KRB56" s="76"/>
      <c r="KRC56" s="76"/>
      <c r="KRD56" s="76"/>
      <c r="KRE56" s="76"/>
      <c r="KRF56" s="76"/>
      <c r="KRG56" s="76"/>
      <c r="KRH56" s="76"/>
      <c r="KRI56" s="76"/>
      <c r="KRJ56" s="76"/>
      <c r="KRK56" s="76"/>
      <c r="KRL56" s="76"/>
      <c r="KRM56" s="76"/>
      <c r="KRN56" s="76"/>
      <c r="KRO56" s="76"/>
      <c r="KRP56" s="76"/>
      <c r="KRQ56" s="76"/>
      <c r="KRR56" s="76"/>
      <c r="KRS56" s="76"/>
      <c r="KRT56" s="76"/>
      <c r="KRU56" s="76"/>
      <c r="KRV56" s="76"/>
      <c r="KRW56" s="76"/>
      <c r="KRX56" s="76"/>
      <c r="KRY56" s="76"/>
      <c r="KRZ56" s="76"/>
      <c r="KSA56" s="76"/>
      <c r="KSB56" s="76"/>
      <c r="KSC56" s="76"/>
      <c r="KSD56" s="76"/>
      <c r="KSE56" s="76"/>
      <c r="KSF56" s="76"/>
      <c r="KSG56" s="76"/>
      <c r="KSH56" s="76"/>
      <c r="KSI56" s="76"/>
      <c r="KSJ56" s="76"/>
      <c r="KSK56" s="76"/>
      <c r="KSL56" s="76"/>
      <c r="KSM56" s="76"/>
      <c r="KSN56" s="76"/>
      <c r="KSO56" s="76"/>
      <c r="KSP56" s="76"/>
      <c r="KSQ56" s="76"/>
      <c r="KSR56" s="76"/>
      <c r="KSS56" s="76"/>
      <c r="KST56" s="76"/>
      <c r="KSU56" s="76"/>
      <c r="KSV56" s="76"/>
      <c r="KSW56" s="76"/>
      <c r="KSX56" s="76"/>
      <c r="KSY56" s="76"/>
      <c r="KSZ56" s="76"/>
      <c r="KTA56" s="76"/>
      <c r="KTB56" s="76"/>
      <c r="KTC56" s="76"/>
      <c r="KTD56" s="76"/>
      <c r="KTE56" s="76"/>
      <c r="KTF56" s="76"/>
      <c r="KTG56" s="76"/>
      <c r="KTH56" s="76"/>
      <c r="KTI56" s="76"/>
      <c r="KTJ56" s="76"/>
      <c r="KTK56" s="76"/>
      <c r="KTL56" s="76"/>
      <c r="KTM56" s="76"/>
      <c r="KTN56" s="76"/>
      <c r="KTO56" s="76"/>
      <c r="KTP56" s="76"/>
      <c r="KTQ56" s="76"/>
      <c r="KTR56" s="76"/>
      <c r="KTS56" s="76"/>
      <c r="KTT56" s="76"/>
      <c r="KTU56" s="76"/>
      <c r="KTV56" s="76"/>
      <c r="KTW56" s="76"/>
      <c r="KTX56" s="76"/>
      <c r="KTY56" s="76"/>
      <c r="KTZ56" s="76"/>
      <c r="KUA56" s="76"/>
      <c r="KUB56" s="76"/>
      <c r="KUC56" s="76"/>
      <c r="KUD56" s="76"/>
      <c r="KUE56" s="76"/>
      <c r="KUF56" s="76"/>
      <c r="KUG56" s="76"/>
      <c r="KUH56" s="76"/>
      <c r="KUI56" s="76"/>
      <c r="KUJ56" s="76"/>
      <c r="KUK56" s="76"/>
      <c r="KUL56" s="76"/>
      <c r="KUM56" s="76"/>
      <c r="KUN56" s="76"/>
      <c r="KUO56" s="76"/>
      <c r="KUP56" s="76"/>
      <c r="KUQ56" s="76"/>
      <c r="KUR56" s="76"/>
      <c r="KUS56" s="76"/>
      <c r="KUT56" s="76"/>
      <c r="KUU56" s="76"/>
      <c r="KUV56" s="76"/>
      <c r="KUW56" s="76"/>
      <c r="KUX56" s="76"/>
      <c r="KUY56" s="76"/>
      <c r="KUZ56" s="76"/>
      <c r="KVA56" s="76"/>
      <c r="KVB56" s="76"/>
      <c r="KVC56" s="76"/>
      <c r="KVD56" s="76"/>
      <c r="KVE56" s="76"/>
      <c r="KVF56" s="76"/>
      <c r="KVG56" s="76"/>
      <c r="KVH56" s="76"/>
      <c r="KVI56" s="76"/>
      <c r="KVJ56" s="76"/>
      <c r="KVK56" s="76"/>
      <c r="KVL56" s="76"/>
      <c r="KVM56" s="76"/>
      <c r="KVN56" s="76"/>
      <c r="KVO56" s="76"/>
      <c r="KVP56" s="76"/>
      <c r="KVQ56" s="76"/>
      <c r="KVR56" s="76"/>
      <c r="KVS56" s="76"/>
      <c r="KVT56" s="76"/>
      <c r="KVU56" s="76"/>
      <c r="KVV56" s="76"/>
      <c r="KVW56" s="76"/>
      <c r="KVX56" s="76"/>
      <c r="KVY56" s="76"/>
      <c r="KVZ56" s="76"/>
      <c r="KWA56" s="76"/>
      <c r="KWB56" s="76"/>
      <c r="KWC56" s="76"/>
      <c r="KWD56" s="76"/>
      <c r="KWE56" s="76"/>
      <c r="KWF56" s="76"/>
      <c r="KWG56" s="76"/>
      <c r="KWH56" s="76"/>
      <c r="KWI56" s="76"/>
      <c r="KWJ56" s="76"/>
      <c r="KWK56" s="76"/>
      <c r="KWL56" s="76"/>
      <c r="KWM56" s="76"/>
      <c r="KWN56" s="76"/>
      <c r="KWO56" s="76"/>
      <c r="KWP56" s="76"/>
      <c r="KWQ56" s="76"/>
      <c r="KWR56" s="76"/>
      <c r="KWS56" s="76"/>
      <c r="KWT56" s="76"/>
      <c r="KWU56" s="76"/>
      <c r="KWV56" s="76"/>
      <c r="KWW56" s="76"/>
      <c r="KWX56" s="76"/>
      <c r="KWY56" s="76"/>
      <c r="KWZ56" s="76"/>
      <c r="KXA56" s="76"/>
      <c r="KXB56" s="76"/>
      <c r="KXC56" s="76"/>
      <c r="KXD56" s="76"/>
      <c r="KXE56" s="76"/>
      <c r="KXF56" s="76"/>
      <c r="KXG56" s="76"/>
      <c r="KXH56" s="76"/>
      <c r="KXI56" s="76"/>
      <c r="KXJ56" s="76"/>
      <c r="KXK56" s="76"/>
      <c r="KXL56" s="76"/>
      <c r="KXM56" s="76"/>
      <c r="KXN56" s="76"/>
      <c r="KXO56" s="76"/>
      <c r="KXP56" s="76"/>
      <c r="KXQ56" s="76"/>
      <c r="KXR56" s="76"/>
      <c r="KXS56" s="76"/>
      <c r="KXT56" s="76"/>
      <c r="KXU56" s="76"/>
      <c r="KXV56" s="76"/>
      <c r="KXW56" s="76"/>
      <c r="KXX56" s="76"/>
      <c r="KXY56" s="76"/>
      <c r="KXZ56" s="76"/>
      <c r="KYA56" s="76"/>
      <c r="KYB56" s="76"/>
      <c r="KYC56" s="76"/>
      <c r="KYD56" s="76"/>
      <c r="KYE56" s="76"/>
      <c r="KYF56" s="76"/>
      <c r="KYG56" s="76"/>
      <c r="KYH56" s="76"/>
      <c r="KYI56" s="76"/>
      <c r="KYJ56" s="76"/>
      <c r="KYK56" s="76"/>
      <c r="KYL56" s="76"/>
      <c r="KYM56" s="76"/>
      <c r="KYN56" s="76"/>
      <c r="KYO56" s="76"/>
      <c r="KYP56" s="76"/>
      <c r="KYQ56" s="76"/>
      <c r="KYR56" s="76"/>
      <c r="KYS56" s="76"/>
      <c r="KYT56" s="76"/>
      <c r="KYU56" s="76"/>
      <c r="KYV56" s="76"/>
      <c r="KYW56" s="76"/>
      <c r="KYX56" s="76"/>
      <c r="KYY56" s="76"/>
      <c r="KYZ56" s="76"/>
      <c r="KZA56" s="76"/>
      <c r="KZB56" s="76"/>
      <c r="KZC56" s="76"/>
      <c r="KZD56" s="76"/>
      <c r="KZE56" s="76"/>
      <c r="KZF56" s="76"/>
      <c r="KZG56" s="76"/>
      <c r="KZH56" s="76"/>
      <c r="KZI56" s="76"/>
      <c r="KZJ56" s="76"/>
      <c r="KZK56" s="76"/>
      <c r="KZL56" s="76"/>
      <c r="KZM56" s="76"/>
      <c r="KZN56" s="76"/>
      <c r="KZO56" s="76"/>
      <c r="KZP56" s="76"/>
      <c r="KZQ56" s="76"/>
      <c r="KZR56" s="76"/>
      <c r="KZS56" s="76"/>
      <c r="KZT56" s="76"/>
      <c r="KZU56" s="76"/>
      <c r="KZV56" s="76"/>
      <c r="KZW56" s="76"/>
      <c r="KZX56" s="76"/>
      <c r="KZY56" s="76"/>
      <c r="KZZ56" s="76"/>
      <c r="LAA56" s="76"/>
      <c r="LAB56" s="76"/>
      <c r="LAC56" s="76"/>
      <c r="LAD56" s="76"/>
      <c r="LAE56" s="76"/>
      <c r="LAF56" s="76"/>
      <c r="LAG56" s="76"/>
      <c r="LAH56" s="76"/>
      <c r="LAI56" s="76"/>
      <c r="LAJ56" s="76"/>
      <c r="LAK56" s="76"/>
      <c r="LAL56" s="76"/>
      <c r="LAM56" s="76"/>
      <c r="LAN56" s="76"/>
      <c r="LAO56" s="76"/>
      <c r="LAP56" s="76"/>
      <c r="LAQ56" s="76"/>
      <c r="LAR56" s="76"/>
      <c r="LAS56" s="76"/>
      <c r="LAT56" s="76"/>
      <c r="LAU56" s="76"/>
      <c r="LAV56" s="76"/>
      <c r="LAW56" s="76"/>
      <c r="LAX56" s="76"/>
      <c r="LAY56" s="76"/>
      <c r="LAZ56" s="76"/>
      <c r="LBA56" s="76"/>
      <c r="LBB56" s="76"/>
      <c r="LBC56" s="76"/>
      <c r="LBD56" s="76"/>
      <c r="LBE56" s="76"/>
      <c r="LBF56" s="76"/>
      <c r="LBG56" s="76"/>
      <c r="LBH56" s="76"/>
      <c r="LBI56" s="76"/>
      <c r="LBJ56" s="76"/>
      <c r="LBK56" s="76"/>
      <c r="LBL56" s="76"/>
      <c r="LBM56" s="76"/>
      <c r="LBN56" s="76"/>
      <c r="LBO56" s="76"/>
      <c r="LBP56" s="76"/>
      <c r="LBQ56" s="76"/>
      <c r="LBR56" s="76"/>
      <c r="LBS56" s="76"/>
      <c r="LBT56" s="76"/>
      <c r="LBU56" s="76"/>
      <c r="LBV56" s="76"/>
      <c r="LBW56" s="76"/>
      <c r="LBX56" s="76"/>
      <c r="LBY56" s="76"/>
      <c r="LBZ56" s="76"/>
      <c r="LCA56" s="76"/>
      <c r="LCB56" s="76"/>
      <c r="LCC56" s="76"/>
      <c r="LCD56" s="76"/>
      <c r="LCE56" s="76"/>
      <c r="LCF56" s="76"/>
      <c r="LCG56" s="76"/>
      <c r="LCH56" s="76"/>
      <c r="LCI56" s="76"/>
      <c r="LCJ56" s="76"/>
      <c r="LCK56" s="76"/>
      <c r="LCL56" s="76"/>
      <c r="LCM56" s="76"/>
      <c r="LCN56" s="76"/>
      <c r="LCO56" s="76"/>
      <c r="LCP56" s="76"/>
      <c r="LCQ56" s="76"/>
      <c r="LCR56" s="76"/>
      <c r="LCS56" s="76"/>
      <c r="LCT56" s="76"/>
      <c r="LCU56" s="76"/>
      <c r="LCV56" s="76"/>
      <c r="LCW56" s="76"/>
      <c r="LCX56" s="76"/>
      <c r="LCY56" s="76"/>
      <c r="LCZ56" s="76"/>
      <c r="LDA56" s="76"/>
      <c r="LDB56" s="76"/>
      <c r="LDC56" s="76"/>
      <c r="LDD56" s="76"/>
      <c r="LDE56" s="76"/>
      <c r="LDF56" s="76"/>
      <c r="LDG56" s="76"/>
      <c r="LDH56" s="76"/>
      <c r="LDI56" s="76"/>
      <c r="LDJ56" s="76"/>
      <c r="LDK56" s="76"/>
      <c r="LDL56" s="76"/>
      <c r="LDM56" s="76"/>
      <c r="LDN56" s="76"/>
      <c r="LDO56" s="76"/>
      <c r="LDP56" s="76"/>
      <c r="LDQ56" s="76"/>
      <c r="LDR56" s="76"/>
      <c r="LDS56" s="76"/>
      <c r="LDT56" s="76"/>
      <c r="LDU56" s="76"/>
      <c r="LDV56" s="76"/>
      <c r="LDW56" s="76"/>
      <c r="LDX56" s="76"/>
      <c r="LDY56" s="76"/>
      <c r="LDZ56" s="76"/>
      <c r="LEA56" s="76"/>
      <c r="LEB56" s="76"/>
      <c r="LEC56" s="76"/>
      <c r="LED56" s="76"/>
      <c r="LEE56" s="76"/>
      <c r="LEF56" s="76"/>
      <c r="LEG56" s="76"/>
      <c r="LEH56" s="76"/>
      <c r="LEI56" s="76"/>
      <c r="LEJ56" s="76"/>
      <c r="LEK56" s="76"/>
      <c r="LEL56" s="76"/>
      <c r="LEM56" s="76"/>
      <c r="LEN56" s="76"/>
      <c r="LEO56" s="76"/>
      <c r="LEP56" s="76"/>
      <c r="LEQ56" s="76"/>
      <c r="LER56" s="76"/>
      <c r="LES56" s="76"/>
      <c r="LET56" s="76"/>
      <c r="LEU56" s="76"/>
      <c r="LEV56" s="76"/>
      <c r="LEW56" s="76"/>
      <c r="LEX56" s="76"/>
      <c r="LEY56" s="76"/>
      <c r="LEZ56" s="76"/>
      <c r="LFA56" s="76"/>
      <c r="LFB56" s="76"/>
      <c r="LFC56" s="76"/>
      <c r="LFD56" s="76"/>
      <c r="LFE56" s="76"/>
      <c r="LFF56" s="76"/>
      <c r="LFG56" s="76"/>
      <c r="LFH56" s="76"/>
      <c r="LFI56" s="76"/>
      <c r="LFJ56" s="76"/>
      <c r="LFK56" s="76"/>
      <c r="LFL56" s="76"/>
      <c r="LFM56" s="76"/>
      <c r="LFN56" s="76"/>
      <c r="LFO56" s="76"/>
      <c r="LFP56" s="76"/>
      <c r="LFQ56" s="76"/>
      <c r="LFR56" s="76"/>
      <c r="LFS56" s="76"/>
      <c r="LFT56" s="76"/>
      <c r="LFU56" s="76"/>
      <c r="LFV56" s="76"/>
      <c r="LFW56" s="76"/>
      <c r="LFX56" s="76"/>
      <c r="LFY56" s="76"/>
      <c r="LFZ56" s="76"/>
      <c r="LGA56" s="76"/>
      <c r="LGB56" s="76"/>
      <c r="LGC56" s="76"/>
      <c r="LGD56" s="76"/>
      <c r="LGE56" s="76"/>
      <c r="LGF56" s="76"/>
      <c r="LGG56" s="76"/>
      <c r="LGH56" s="76"/>
      <c r="LGI56" s="76"/>
      <c r="LGJ56" s="76"/>
      <c r="LGK56" s="76"/>
      <c r="LGL56" s="76"/>
      <c r="LGM56" s="76"/>
      <c r="LGN56" s="76"/>
      <c r="LGO56" s="76"/>
      <c r="LGP56" s="76"/>
      <c r="LGQ56" s="76"/>
      <c r="LGR56" s="76"/>
      <c r="LGS56" s="76"/>
      <c r="LGT56" s="76"/>
      <c r="LGU56" s="76"/>
      <c r="LGV56" s="76"/>
      <c r="LGW56" s="76"/>
      <c r="LGX56" s="76"/>
      <c r="LGY56" s="76"/>
      <c r="LGZ56" s="76"/>
      <c r="LHA56" s="76"/>
      <c r="LHB56" s="76"/>
      <c r="LHC56" s="76"/>
      <c r="LHD56" s="76"/>
      <c r="LHE56" s="76"/>
      <c r="LHF56" s="76"/>
      <c r="LHG56" s="76"/>
      <c r="LHH56" s="76"/>
      <c r="LHI56" s="76"/>
      <c r="LHJ56" s="76"/>
      <c r="LHK56" s="76"/>
      <c r="LHL56" s="76"/>
      <c r="LHM56" s="76"/>
      <c r="LHN56" s="76"/>
      <c r="LHO56" s="76"/>
      <c r="LHP56" s="76"/>
      <c r="LHQ56" s="76"/>
      <c r="LHR56" s="76"/>
      <c r="LHS56" s="76"/>
      <c r="LHT56" s="76"/>
      <c r="LHU56" s="76"/>
      <c r="LHV56" s="76"/>
      <c r="LHW56" s="76"/>
      <c r="LHX56" s="76"/>
      <c r="LHY56" s="76"/>
      <c r="LHZ56" s="76"/>
      <c r="LIA56" s="76"/>
      <c r="LIB56" s="76"/>
      <c r="LIC56" s="76"/>
      <c r="LID56" s="76"/>
      <c r="LIE56" s="76"/>
      <c r="LIF56" s="76"/>
      <c r="LIG56" s="76"/>
      <c r="LIH56" s="76"/>
      <c r="LII56" s="76"/>
      <c r="LIJ56" s="76"/>
      <c r="LIK56" s="76"/>
      <c r="LIL56" s="76"/>
      <c r="LIM56" s="76"/>
      <c r="LIN56" s="76"/>
      <c r="LIO56" s="76"/>
      <c r="LIP56" s="76"/>
      <c r="LIQ56" s="76"/>
      <c r="LIR56" s="76"/>
      <c r="LIS56" s="76"/>
      <c r="LIT56" s="76"/>
      <c r="LIU56" s="76"/>
      <c r="LIV56" s="76"/>
      <c r="LIW56" s="76"/>
      <c r="LIX56" s="76"/>
      <c r="LIY56" s="76"/>
      <c r="LIZ56" s="76"/>
      <c r="LJA56" s="76"/>
      <c r="LJB56" s="76"/>
      <c r="LJC56" s="76"/>
      <c r="LJD56" s="76"/>
      <c r="LJE56" s="76"/>
      <c r="LJF56" s="76"/>
      <c r="LJG56" s="76"/>
      <c r="LJH56" s="76"/>
      <c r="LJI56" s="76"/>
      <c r="LJJ56" s="76"/>
      <c r="LJK56" s="76"/>
      <c r="LJL56" s="76"/>
      <c r="LJM56" s="76"/>
      <c r="LJN56" s="76"/>
      <c r="LJO56" s="76"/>
      <c r="LJP56" s="76"/>
      <c r="LJQ56" s="76"/>
      <c r="LJR56" s="76"/>
      <c r="LJS56" s="76"/>
      <c r="LJT56" s="76"/>
      <c r="LJU56" s="76"/>
      <c r="LJV56" s="76"/>
      <c r="LJW56" s="76"/>
      <c r="LJX56" s="76"/>
      <c r="LJY56" s="76"/>
      <c r="LJZ56" s="76"/>
      <c r="LKA56" s="76"/>
      <c r="LKB56" s="76"/>
      <c r="LKC56" s="76"/>
      <c r="LKD56" s="76"/>
      <c r="LKE56" s="76"/>
      <c r="LKF56" s="76"/>
      <c r="LKG56" s="76"/>
      <c r="LKH56" s="76"/>
      <c r="LKI56" s="76"/>
      <c r="LKJ56" s="76"/>
      <c r="LKK56" s="76"/>
      <c r="LKL56" s="76"/>
      <c r="LKM56" s="76"/>
      <c r="LKN56" s="76"/>
      <c r="LKO56" s="76"/>
      <c r="LKP56" s="76"/>
      <c r="LKQ56" s="76"/>
      <c r="LKR56" s="76"/>
      <c r="LKS56" s="76"/>
      <c r="LKT56" s="76"/>
      <c r="LKU56" s="76"/>
      <c r="LKV56" s="76"/>
      <c r="LKW56" s="76"/>
      <c r="LKX56" s="76"/>
      <c r="LKY56" s="76"/>
      <c r="LKZ56" s="76"/>
      <c r="LLA56" s="76"/>
      <c r="LLB56" s="76"/>
      <c r="LLC56" s="76"/>
      <c r="LLD56" s="76"/>
      <c r="LLE56" s="76"/>
      <c r="LLF56" s="76"/>
      <c r="LLG56" s="76"/>
      <c r="LLH56" s="76"/>
      <c r="LLI56" s="76"/>
      <c r="LLJ56" s="76"/>
      <c r="LLK56" s="76"/>
      <c r="LLL56" s="76"/>
      <c r="LLM56" s="76"/>
      <c r="LLN56" s="76"/>
      <c r="LLO56" s="76"/>
      <c r="LLP56" s="76"/>
      <c r="LLQ56" s="76"/>
      <c r="LLR56" s="76"/>
      <c r="LLS56" s="76"/>
      <c r="LLT56" s="76"/>
      <c r="LLU56" s="76"/>
      <c r="LLV56" s="76"/>
      <c r="LLW56" s="76"/>
      <c r="LLX56" s="76"/>
      <c r="LLY56" s="76"/>
      <c r="LLZ56" s="76"/>
      <c r="LMA56" s="76"/>
      <c r="LMB56" s="76"/>
      <c r="LMC56" s="76"/>
      <c r="LMD56" s="76"/>
      <c r="LME56" s="76"/>
      <c r="LMF56" s="76"/>
      <c r="LMG56" s="76"/>
      <c r="LMH56" s="76"/>
      <c r="LMI56" s="76"/>
      <c r="LMJ56" s="76"/>
      <c r="LMK56" s="76"/>
      <c r="LML56" s="76"/>
      <c r="LMM56" s="76"/>
      <c r="LMN56" s="76"/>
      <c r="LMO56" s="76"/>
      <c r="LMP56" s="76"/>
      <c r="LMQ56" s="76"/>
      <c r="LMR56" s="76"/>
      <c r="LMS56" s="76"/>
      <c r="LMT56" s="76"/>
      <c r="LMU56" s="76"/>
      <c r="LMV56" s="76"/>
      <c r="LMW56" s="76"/>
      <c r="LMX56" s="76"/>
      <c r="LMY56" s="76"/>
      <c r="LMZ56" s="76"/>
      <c r="LNA56" s="76"/>
      <c r="LNB56" s="76"/>
      <c r="LNC56" s="76"/>
      <c r="LND56" s="76"/>
      <c r="LNE56" s="76"/>
      <c r="LNF56" s="76"/>
      <c r="LNG56" s="76"/>
      <c r="LNH56" s="76"/>
      <c r="LNI56" s="76"/>
      <c r="LNJ56" s="76"/>
      <c r="LNK56" s="76"/>
      <c r="LNL56" s="76"/>
      <c r="LNM56" s="76"/>
      <c r="LNN56" s="76"/>
      <c r="LNO56" s="76"/>
      <c r="LNP56" s="76"/>
      <c r="LNQ56" s="76"/>
      <c r="LNR56" s="76"/>
      <c r="LNS56" s="76"/>
      <c r="LNT56" s="76"/>
      <c r="LNU56" s="76"/>
      <c r="LNV56" s="76"/>
      <c r="LNW56" s="76"/>
      <c r="LNX56" s="76"/>
      <c r="LNY56" s="76"/>
      <c r="LNZ56" s="76"/>
      <c r="LOA56" s="76"/>
      <c r="LOB56" s="76"/>
      <c r="LOC56" s="76"/>
      <c r="LOD56" s="76"/>
      <c r="LOE56" s="76"/>
      <c r="LOF56" s="76"/>
      <c r="LOG56" s="76"/>
      <c r="LOH56" s="76"/>
      <c r="LOI56" s="76"/>
      <c r="LOJ56" s="76"/>
      <c r="LOK56" s="76"/>
      <c r="LOL56" s="76"/>
      <c r="LOM56" s="76"/>
      <c r="LON56" s="76"/>
      <c r="LOO56" s="76"/>
      <c r="LOP56" s="76"/>
      <c r="LOQ56" s="76"/>
      <c r="LOR56" s="76"/>
      <c r="LOS56" s="76"/>
      <c r="LOT56" s="76"/>
      <c r="LOU56" s="76"/>
      <c r="LOV56" s="76"/>
      <c r="LOW56" s="76"/>
      <c r="LOX56" s="76"/>
      <c r="LOY56" s="76"/>
      <c r="LOZ56" s="76"/>
      <c r="LPA56" s="76"/>
      <c r="LPB56" s="76"/>
      <c r="LPC56" s="76"/>
      <c r="LPD56" s="76"/>
      <c r="LPE56" s="76"/>
      <c r="LPF56" s="76"/>
      <c r="LPG56" s="76"/>
      <c r="LPH56" s="76"/>
      <c r="LPI56" s="76"/>
      <c r="LPJ56" s="76"/>
      <c r="LPK56" s="76"/>
      <c r="LPL56" s="76"/>
      <c r="LPM56" s="76"/>
      <c r="LPN56" s="76"/>
      <c r="LPO56" s="76"/>
      <c r="LPP56" s="76"/>
      <c r="LPQ56" s="76"/>
      <c r="LPR56" s="76"/>
      <c r="LPS56" s="76"/>
      <c r="LPT56" s="76"/>
      <c r="LPU56" s="76"/>
      <c r="LPV56" s="76"/>
      <c r="LPW56" s="76"/>
      <c r="LPX56" s="76"/>
      <c r="LPY56" s="76"/>
      <c r="LPZ56" s="76"/>
      <c r="LQA56" s="76"/>
      <c r="LQB56" s="76"/>
      <c r="LQC56" s="76"/>
      <c r="LQD56" s="76"/>
      <c r="LQE56" s="76"/>
      <c r="LQF56" s="76"/>
      <c r="LQG56" s="76"/>
      <c r="LQH56" s="76"/>
      <c r="LQI56" s="76"/>
      <c r="LQJ56" s="76"/>
      <c r="LQK56" s="76"/>
      <c r="LQL56" s="76"/>
      <c r="LQM56" s="76"/>
      <c r="LQN56" s="76"/>
      <c r="LQO56" s="76"/>
      <c r="LQP56" s="76"/>
      <c r="LQQ56" s="76"/>
      <c r="LQR56" s="76"/>
      <c r="LQS56" s="76"/>
      <c r="LQT56" s="76"/>
      <c r="LQU56" s="76"/>
      <c r="LQV56" s="76"/>
      <c r="LQW56" s="76"/>
      <c r="LQX56" s="76"/>
      <c r="LQY56" s="76"/>
      <c r="LQZ56" s="76"/>
      <c r="LRA56" s="76"/>
      <c r="LRB56" s="76"/>
      <c r="LRC56" s="76"/>
      <c r="LRD56" s="76"/>
      <c r="LRE56" s="76"/>
      <c r="LRF56" s="76"/>
      <c r="LRG56" s="76"/>
      <c r="LRH56" s="76"/>
      <c r="LRI56" s="76"/>
      <c r="LRJ56" s="76"/>
      <c r="LRK56" s="76"/>
      <c r="LRL56" s="76"/>
      <c r="LRM56" s="76"/>
      <c r="LRN56" s="76"/>
      <c r="LRO56" s="76"/>
      <c r="LRP56" s="76"/>
      <c r="LRQ56" s="76"/>
      <c r="LRR56" s="76"/>
      <c r="LRS56" s="76"/>
      <c r="LRT56" s="76"/>
      <c r="LRU56" s="76"/>
      <c r="LRV56" s="76"/>
      <c r="LRW56" s="76"/>
      <c r="LRX56" s="76"/>
      <c r="LRY56" s="76"/>
      <c r="LRZ56" s="76"/>
      <c r="LSA56" s="76"/>
      <c r="LSB56" s="76"/>
      <c r="LSC56" s="76"/>
      <c r="LSD56" s="76"/>
      <c r="LSE56" s="76"/>
      <c r="LSF56" s="76"/>
      <c r="LSG56" s="76"/>
      <c r="LSH56" s="76"/>
      <c r="LSI56" s="76"/>
      <c r="LSJ56" s="76"/>
      <c r="LSK56" s="76"/>
      <c r="LSL56" s="76"/>
      <c r="LSM56" s="76"/>
      <c r="LSN56" s="76"/>
      <c r="LSO56" s="76"/>
      <c r="LSP56" s="76"/>
      <c r="LSQ56" s="76"/>
      <c r="LSR56" s="76"/>
      <c r="LSS56" s="76"/>
      <c r="LST56" s="76"/>
      <c r="LSU56" s="76"/>
      <c r="LSV56" s="76"/>
      <c r="LSW56" s="76"/>
      <c r="LSX56" s="76"/>
      <c r="LSY56" s="76"/>
      <c r="LSZ56" s="76"/>
      <c r="LTA56" s="76"/>
      <c r="LTB56" s="76"/>
      <c r="LTC56" s="76"/>
      <c r="LTD56" s="76"/>
      <c r="LTE56" s="76"/>
      <c r="LTF56" s="76"/>
      <c r="LTG56" s="76"/>
      <c r="LTH56" s="76"/>
      <c r="LTI56" s="76"/>
      <c r="LTJ56" s="76"/>
      <c r="LTK56" s="76"/>
      <c r="LTL56" s="76"/>
      <c r="LTM56" s="76"/>
      <c r="LTN56" s="76"/>
      <c r="LTO56" s="76"/>
      <c r="LTP56" s="76"/>
      <c r="LTQ56" s="76"/>
      <c r="LTR56" s="76"/>
      <c r="LTS56" s="76"/>
      <c r="LTT56" s="76"/>
      <c r="LTU56" s="76"/>
      <c r="LTV56" s="76"/>
      <c r="LTW56" s="76"/>
      <c r="LTX56" s="76"/>
      <c r="LTY56" s="76"/>
      <c r="LTZ56" s="76"/>
      <c r="LUA56" s="76"/>
      <c r="LUB56" s="76"/>
      <c r="LUC56" s="76"/>
      <c r="LUD56" s="76"/>
      <c r="LUE56" s="76"/>
      <c r="LUF56" s="76"/>
      <c r="LUG56" s="76"/>
      <c r="LUH56" s="76"/>
      <c r="LUI56" s="76"/>
      <c r="LUJ56" s="76"/>
      <c r="LUK56" s="76"/>
      <c r="LUL56" s="76"/>
      <c r="LUM56" s="76"/>
      <c r="LUN56" s="76"/>
      <c r="LUO56" s="76"/>
      <c r="LUP56" s="76"/>
      <c r="LUQ56" s="76"/>
      <c r="LUR56" s="76"/>
      <c r="LUS56" s="76"/>
      <c r="LUT56" s="76"/>
      <c r="LUU56" s="76"/>
      <c r="LUV56" s="76"/>
      <c r="LUW56" s="76"/>
      <c r="LUX56" s="76"/>
      <c r="LUY56" s="76"/>
      <c r="LUZ56" s="76"/>
      <c r="LVA56" s="76"/>
      <c r="LVB56" s="76"/>
      <c r="LVC56" s="76"/>
      <c r="LVD56" s="76"/>
      <c r="LVE56" s="76"/>
      <c r="LVF56" s="76"/>
      <c r="LVG56" s="76"/>
      <c r="LVH56" s="76"/>
      <c r="LVI56" s="76"/>
      <c r="LVJ56" s="76"/>
      <c r="LVK56" s="76"/>
      <c r="LVL56" s="76"/>
      <c r="LVM56" s="76"/>
      <c r="LVN56" s="76"/>
      <c r="LVO56" s="76"/>
      <c r="LVP56" s="76"/>
      <c r="LVQ56" s="76"/>
      <c r="LVR56" s="76"/>
      <c r="LVS56" s="76"/>
      <c r="LVT56" s="76"/>
      <c r="LVU56" s="76"/>
      <c r="LVV56" s="76"/>
      <c r="LVW56" s="76"/>
      <c r="LVX56" s="76"/>
      <c r="LVY56" s="76"/>
      <c r="LVZ56" s="76"/>
      <c r="LWA56" s="76"/>
      <c r="LWB56" s="76"/>
      <c r="LWC56" s="76"/>
      <c r="LWD56" s="76"/>
      <c r="LWE56" s="76"/>
      <c r="LWF56" s="76"/>
      <c r="LWG56" s="76"/>
      <c r="LWH56" s="76"/>
      <c r="LWI56" s="76"/>
      <c r="LWJ56" s="76"/>
      <c r="LWK56" s="76"/>
      <c r="LWL56" s="76"/>
      <c r="LWM56" s="76"/>
      <c r="LWN56" s="76"/>
      <c r="LWO56" s="76"/>
      <c r="LWP56" s="76"/>
      <c r="LWQ56" s="76"/>
      <c r="LWR56" s="76"/>
      <c r="LWS56" s="76"/>
      <c r="LWT56" s="76"/>
      <c r="LWU56" s="76"/>
      <c r="LWV56" s="76"/>
      <c r="LWW56" s="76"/>
      <c r="LWX56" s="76"/>
      <c r="LWY56" s="76"/>
      <c r="LWZ56" s="76"/>
      <c r="LXA56" s="76"/>
      <c r="LXB56" s="76"/>
      <c r="LXC56" s="76"/>
      <c r="LXD56" s="76"/>
      <c r="LXE56" s="76"/>
      <c r="LXF56" s="76"/>
      <c r="LXG56" s="76"/>
      <c r="LXH56" s="76"/>
      <c r="LXI56" s="76"/>
      <c r="LXJ56" s="76"/>
      <c r="LXK56" s="76"/>
      <c r="LXL56" s="76"/>
      <c r="LXM56" s="76"/>
      <c r="LXN56" s="76"/>
      <c r="LXO56" s="76"/>
      <c r="LXP56" s="76"/>
      <c r="LXQ56" s="76"/>
      <c r="LXR56" s="76"/>
      <c r="LXS56" s="76"/>
      <c r="LXT56" s="76"/>
      <c r="LXU56" s="76"/>
      <c r="LXV56" s="76"/>
      <c r="LXW56" s="76"/>
      <c r="LXX56" s="76"/>
      <c r="LXY56" s="76"/>
      <c r="LXZ56" s="76"/>
      <c r="LYA56" s="76"/>
      <c r="LYB56" s="76"/>
      <c r="LYC56" s="76"/>
      <c r="LYD56" s="76"/>
      <c r="LYE56" s="76"/>
      <c r="LYF56" s="76"/>
      <c r="LYG56" s="76"/>
      <c r="LYH56" s="76"/>
      <c r="LYI56" s="76"/>
      <c r="LYJ56" s="76"/>
      <c r="LYK56" s="76"/>
      <c r="LYL56" s="76"/>
      <c r="LYM56" s="76"/>
      <c r="LYN56" s="76"/>
      <c r="LYO56" s="76"/>
      <c r="LYP56" s="76"/>
      <c r="LYQ56" s="76"/>
      <c r="LYR56" s="76"/>
      <c r="LYS56" s="76"/>
      <c r="LYT56" s="76"/>
      <c r="LYU56" s="76"/>
      <c r="LYV56" s="76"/>
      <c r="LYW56" s="76"/>
      <c r="LYX56" s="76"/>
      <c r="LYY56" s="76"/>
      <c r="LYZ56" s="76"/>
      <c r="LZA56" s="76"/>
      <c r="LZB56" s="76"/>
      <c r="LZC56" s="76"/>
      <c r="LZD56" s="76"/>
      <c r="LZE56" s="76"/>
      <c r="LZF56" s="76"/>
      <c r="LZG56" s="76"/>
      <c r="LZH56" s="76"/>
      <c r="LZI56" s="76"/>
      <c r="LZJ56" s="76"/>
      <c r="LZK56" s="76"/>
      <c r="LZL56" s="76"/>
      <c r="LZM56" s="76"/>
      <c r="LZN56" s="76"/>
      <c r="LZO56" s="76"/>
      <c r="LZP56" s="76"/>
      <c r="LZQ56" s="76"/>
      <c r="LZR56" s="76"/>
      <c r="LZS56" s="76"/>
      <c r="LZT56" s="76"/>
      <c r="LZU56" s="76"/>
      <c r="LZV56" s="76"/>
      <c r="LZW56" s="76"/>
      <c r="LZX56" s="76"/>
      <c r="LZY56" s="76"/>
      <c r="LZZ56" s="76"/>
      <c r="MAA56" s="76"/>
      <c r="MAB56" s="76"/>
      <c r="MAC56" s="76"/>
      <c r="MAD56" s="76"/>
      <c r="MAE56" s="76"/>
      <c r="MAF56" s="76"/>
      <c r="MAG56" s="76"/>
      <c r="MAH56" s="76"/>
      <c r="MAI56" s="76"/>
      <c r="MAJ56" s="76"/>
      <c r="MAK56" s="76"/>
      <c r="MAL56" s="76"/>
      <c r="MAM56" s="76"/>
      <c r="MAN56" s="76"/>
      <c r="MAO56" s="76"/>
      <c r="MAP56" s="76"/>
      <c r="MAQ56" s="76"/>
      <c r="MAR56" s="76"/>
      <c r="MAS56" s="76"/>
      <c r="MAT56" s="76"/>
      <c r="MAU56" s="76"/>
      <c r="MAV56" s="76"/>
      <c r="MAW56" s="76"/>
      <c r="MAX56" s="76"/>
      <c r="MAY56" s="76"/>
      <c r="MAZ56" s="76"/>
      <c r="MBA56" s="76"/>
      <c r="MBB56" s="76"/>
      <c r="MBC56" s="76"/>
      <c r="MBD56" s="76"/>
      <c r="MBE56" s="76"/>
      <c r="MBF56" s="76"/>
      <c r="MBG56" s="76"/>
      <c r="MBH56" s="76"/>
      <c r="MBI56" s="76"/>
      <c r="MBJ56" s="76"/>
      <c r="MBK56" s="76"/>
      <c r="MBL56" s="76"/>
      <c r="MBM56" s="76"/>
      <c r="MBN56" s="76"/>
      <c r="MBO56" s="76"/>
      <c r="MBP56" s="76"/>
      <c r="MBQ56" s="76"/>
      <c r="MBR56" s="76"/>
      <c r="MBS56" s="76"/>
      <c r="MBT56" s="76"/>
      <c r="MBU56" s="76"/>
      <c r="MBV56" s="76"/>
      <c r="MBW56" s="76"/>
      <c r="MBX56" s="76"/>
      <c r="MBY56" s="76"/>
      <c r="MBZ56" s="76"/>
      <c r="MCA56" s="76"/>
      <c r="MCB56" s="76"/>
      <c r="MCC56" s="76"/>
      <c r="MCD56" s="76"/>
      <c r="MCE56" s="76"/>
      <c r="MCF56" s="76"/>
      <c r="MCG56" s="76"/>
      <c r="MCH56" s="76"/>
      <c r="MCI56" s="76"/>
      <c r="MCJ56" s="76"/>
      <c r="MCK56" s="76"/>
      <c r="MCL56" s="76"/>
      <c r="MCM56" s="76"/>
      <c r="MCN56" s="76"/>
      <c r="MCO56" s="76"/>
      <c r="MCP56" s="76"/>
      <c r="MCQ56" s="76"/>
      <c r="MCR56" s="76"/>
      <c r="MCS56" s="76"/>
      <c r="MCT56" s="76"/>
      <c r="MCU56" s="76"/>
      <c r="MCV56" s="76"/>
      <c r="MCW56" s="76"/>
      <c r="MCX56" s="76"/>
      <c r="MCY56" s="76"/>
      <c r="MCZ56" s="76"/>
      <c r="MDA56" s="76"/>
      <c r="MDB56" s="76"/>
      <c r="MDC56" s="76"/>
      <c r="MDD56" s="76"/>
      <c r="MDE56" s="76"/>
      <c r="MDF56" s="76"/>
      <c r="MDG56" s="76"/>
      <c r="MDH56" s="76"/>
      <c r="MDI56" s="76"/>
      <c r="MDJ56" s="76"/>
      <c r="MDK56" s="76"/>
      <c r="MDL56" s="76"/>
      <c r="MDM56" s="76"/>
      <c r="MDN56" s="76"/>
      <c r="MDO56" s="76"/>
      <c r="MDP56" s="76"/>
      <c r="MDQ56" s="76"/>
      <c r="MDR56" s="76"/>
      <c r="MDS56" s="76"/>
      <c r="MDT56" s="76"/>
      <c r="MDU56" s="76"/>
      <c r="MDV56" s="76"/>
      <c r="MDW56" s="76"/>
      <c r="MDX56" s="76"/>
      <c r="MDY56" s="76"/>
      <c r="MDZ56" s="76"/>
      <c r="MEA56" s="76"/>
      <c r="MEB56" s="76"/>
      <c r="MEC56" s="76"/>
      <c r="MED56" s="76"/>
      <c r="MEE56" s="76"/>
      <c r="MEF56" s="76"/>
      <c r="MEG56" s="76"/>
      <c r="MEH56" s="76"/>
      <c r="MEI56" s="76"/>
      <c r="MEJ56" s="76"/>
      <c r="MEK56" s="76"/>
      <c r="MEL56" s="76"/>
      <c r="MEM56" s="76"/>
      <c r="MEN56" s="76"/>
      <c r="MEO56" s="76"/>
      <c r="MEP56" s="76"/>
      <c r="MEQ56" s="76"/>
      <c r="MER56" s="76"/>
      <c r="MES56" s="76"/>
      <c r="MET56" s="76"/>
      <c r="MEU56" s="76"/>
      <c r="MEV56" s="76"/>
      <c r="MEW56" s="76"/>
      <c r="MEX56" s="76"/>
      <c r="MEY56" s="76"/>
      <c r="MEZ56" s="76"/>
      <c r="MFA56" s="76"/>
      <c r="MFB56" s="76"/>
      <c r="MFC56" s="76"/>
      <c r="MFD56" s="76"/>
      <c r="MFE56" s="76"/>
      <c r="MFF56" s="76"/>
      <c r="MFG56" s="76"/>
      <c r="MFH56" s="76"/>
      <c r="MFI56" s="76"/>
      <c r="MFJ56" s="76"/>
      <c r="MFK56" s="76"/>
      <c r="MFL56" s="76"/>
      <c r="MFM56" s="76"/>
      <c r="MFN56" s="76"/>
      <c r="MFO56" s="76"/>
      <c r="MFP56" s="76"/>
      <c r="MFQ56" s="76"/>
      <c r="MFR56" s="76"/>
      <c r="MFS56" s="76"/>
      <c r="MFT56" s="76"/>
      <c r="MFU56" s="76"/>
      <c r="MFV56" s="76"/>
      <c r="MFW56" s="76"/>
      <c r="MFX56" s="76"/>
      <c r="MFY56" s="76"/>
      <c r="MFZ56" s="76"/>
      <c r="MGA56" s="76"/>
      <c r="MGB56" s="76"/>
      <c r="MGC56" s="76"/>
      <c r="MGD56" s="76"/>
      <c r="MGE56" s="76"/>
      <c r="MGF56" s="76"/>
      <c r="MGG56" s="76"/>
      <c r="MGH56" s="76"/>
      <c r="MGI56" s="76"/>
      <c r="MGJ56" s="76"/>
      <c r="MGK56" s="76"/>
      <c r="MGL56" s="76"/>
      <c r="MGM56" s="76"/>
      <c r="MGN56" s="76"/>
      <c r="MGO56" s="76"/>
      <c r="MGP56" s="76"/>
      <c r="MGQ56" s="76"/>
      <c r="MGR56" s="76"/>
      <c r="MGS56" s="76"/>
      <c r="MGT56" s="76"/>
      <c r="MGU56" s="76"/>
      <c r="MGV56" s="76"/>
      <c r="MGW56" s="76"/>
      <c r="MGX56" s="76"/>
      <c r="MGY56" s="76"/>
      <c r="MGZ56" s="76"/>
      <c r="MHA56" s="76"/>
      <c r="MHB56" s="76"/>
      <c r="MHC56" s="76"/>
      <c r="MHD56" s="76"/>
      <c r="MHE56" s="76"/>
      <c r="MHF56" s="76"/>
      <c r="MHG56" s="76"/>
      <c r="MHH56" s="76"/>
      <c r="MHI56" s="76"/>
      <c r="MHJ56" s="76"/>
      <c r="MHK56" s="76"/>
      <c r="MHL56" s="76"/>
      <c r="MHM56" s="76"/>
      <c r="MHN56" s="76"/>
      <c r="MHO56" s="76"/>
      <c r="MHP56" s="76"/>
      <c r="MHQ56" s="76"/>
      <c r="MHR56" s="76"/>
      <c r="MHS56" s="76"/>
      <c r="MHT56" s="76"/>
      <c r="MHU56" s="76"/>
      <c r="MHV56" s="76"/>
      <c r="MHW56" s="76"/>
      <c r="MHX56" s="76"/>
      <c r="MHY56" s="76"/>
      <c r="MHZ56" s="76"/>
      <c r="MIA56" s="76"/>
      <c r="MIB56" s="76"/>
      <c r="MIC56" s="76"/>
      <c r="MID56" s="76"/>
      <c r="MIE56" s="76"/>
      <c r="MIF56" s="76"/>
      <c r="MIG56" s="76"/>
      <c r="MIH56" s="76"/>
      <c r="MII56" s="76"/>
      <c r="MIJ56" s="76"/>
      <c r="MIK56" s="76"/>
      <c r="MIL56" s="76"/>
      <c r="MIM56" s="76"/>
      <c r="MIN56" s="76"/>
      <c r="MIO56" s="76"/>
      <c r="MIP56" s="76"/>
      <c r="MIQ56" s="76"/>
      <c r="MIR56" s="76"/>
      <c r="MIS56" s="76"/>
      <c r="MIT56" s="76"/>
      <c r="MIU56" s="76"/>
      <c r="MIV56" s="76"/>
      <c r="MIW56" s="76"/>
      <c r="MIX56" s="76"/>
      <c r="MIY56" s="76"/>
      <c r="MIZ56" s="76"/>
      <c r="MJA56" s="76"/>
      <c r="MJB56" s="76"/>
      <c r="MJC56" s="76"/>
      <c r="MJD56" s="76"/>
      <c r="MJE56" s="76"/>
      <c r="MJF56" s="76"/>
      <c r="MJG56" s="76"/>
      <c r="MJH56" s="76"/>
      <c r="MJI56" s="76"/>
      <c r="MJJ56" s="76"/>
      <c r="MJK56" s="76"/>
      <c r="MJL56" s="76"/>
      <c r="MJM56" s="76"/>
      <c r="MJN56" s="76"/>
      <c r="MJO56" s="76"/>
      <c r="MJP56" s="76"/>
      <c r="MJQ56" s="76"/>
      <c r="MJR56" s="76"/>
      <c r="MJS56" s="76"/>
      <c r="MJT56" s="76"/>
      <c r="MJU56" s="76"/>
      <c r="MJV56" s="76"/>
      <c r="MJW56" s="76"/>
      <c r="MJX56" s="76"/>
      <c r="MJY56" s="76"/>
      <c r="MJZ56" s="76"/>
      <c r="MKA56" s="76"/>
      <c r="MKB56" s="76"/>
      <c r="MKC56" s="76"/>
      <c r="MKD56" s="76"/>
      <c r="MKE56" s="76"/>
      <c r="MKF56" s="76"/>
      <c r="MKG56" s="76"/>
      <c r="MKH56" s="76"/>
      <c r="MKI56" s="76"/>
      <c r="MKJ56" s="76"/>
      <c r="MKK56" s="76"/>
      <c r="MKL56" s="76"/>
      <c r="MKM56" s="76"/>
      <c r="MKN56" s="76"/>
      <c r="MKO56" s="76"/>
      <c r="MKP56" s="76"/>
      <c r="MKQ56" s="76"/>
      <c r="MKR56" s="76"/>
      <c r="MKS56" s="76"/>
      <c r="MKT56" s="76"/>
      <c r="MKU56" s="76"/>
      <c r="MKV56" s="76"/>
      <c r="MKW56" s="76"/>
      <c r="MKX56" s="76"/>
      <c r="MKY56" s="76"/>
      <c r="MKZ56" s="76"/>
      <c r="MLA56" s="76"/>
      <c r="MLB56" s="76"/>
      <c r="MLC56" s="76"/>
      <c r="MLD56" s="76"/>
      <c r="MLE56" s="76"/>
      <c r="MLF56" s="76"/>
      <c r="MLG56" s="76"/>
      <c r="MLH56" s="76"/>
      <c r="MLI56" s="76"/>
      <c r="MLJ56" s="76"/>
      <c r="MLK56" s="76"/>
      <c r="MLL56" s="76"/>
      <c r="MLM56" s="76"/>
      <c r="MLN56" s="76"/>
      <c r="MLO56" s="76"/>
      <c r="MLP56" s="76"/>
      <c r="MLQ56" s="76"/>
      <c r="MLR56" s="76"/>
      <c r="MLS56" s="76"/>
      <c r="MLT56" s="76"/>
      <c r="MLU56" s="76"/>
      <c r="MLV56" s="76"/>
      <c r="MLW56" s="76"/>
      <c r="MLX56" s="76"/>
      <c r="MLY56" s="76"/>
      <c r="MLZ56" s="76"/>
      <c r="MMA56" s="76"/>
      <c r="MMB56" s="76"/>
      <c r="MMC56" s="76"/>
      <c r="MMD56" s="76"/>
      <c r="MME56" s="76"/>
      <c r="MMF56" s="76"/>
      <c r="MMG56" s="76"/>
      <c r="MMH56" s="76"/>
      <c r="MMI56" s="76"/>
      <c r="MMJ56" s="76"/>
      <c r="MMK56" s="76"/>
      <c r="MML56" s="76"/>
      <c r="MMM56" s="76"/>
      <c r="MMN56" s="76"/>
      <c r="MMO56" s="76"/>
      <c r="MMP56" s="76"/>
      <c r="MMQ56" s="76"/>
      <c r="MMR56" s="76"/>
      <c r="MMS56" s="76"/>
      <c r="MMT56" s="76"/>
      <c r="MMU56" s="76"/>
      <c r="MMV56" s="76"/>
      <c r="MMW56" s="76"/>
      <c r="MMX56" s="76"/>
      <c r="MMY56" s="76"/>
      <c r="MMZ56" s="76"/>
      <c r="MNA56" s="76"/>
      <c r="MNB56" s="76"/>
      <c r="MNC56" s="76"/>
      <c r="MND56" s="76"/>
      <c r="MNE56" s="76"/>
      <c r="MNF56" s="76"/>
      <c r="MNG56" s="76"/>
      <c r="MNH56" s="76"/>
      <c r="MNI56" s="76"/>
      <c r="MNJ56" s="76"/>
      <c r="MNK56" s="76"/>
      <c r="MNL56" s="76"/>
      <c r="MNM56" s="76"/>
      <c r="MNN56" s="76"/>
      <c r="MNO56" s="76"/>
      <c r="MNP56" s="76"/>
      <c r="MNQ56" s="76"/>
      <c r="MNR56" s="76"/>
      <c r="MNS56" s="76"/>
      <c r="MNT56" s="76"/>
      <c r="MNU56" s="76"/>
      <c r="MNV56" s="76"/>
      <c r="MNW56" s="76"/>
      <c r="MNX56" s="76"/>
      <c r="MNY56" s="76"/>
      <c r="MNZ56" s="76"/>
      <c r="MOA56" s="76"/>
      <c r="MOB56" s="76"/>
      <c r="MOC56" s="76"/>
      <c r="MOD56" s="76"/>
      <c r="MOE56" s="76"/>
      <c r="MOF56" s="76"/>
      <c r="MOG56" s="76"/>
      <c r="MOH56" s="76"/>
      <c r="MOI56" s="76"/>
      <c r="MOJ56" s="76"/>
      <c r="MOK56" s="76"/>
      <c r="MOL56" s="76"/>
      <c r="MOM56" s="76"/>
      <c r="MON56" s="76"/>
      <c r="MOO56" s="76"/>
      <c r="MOP56" s="76"/>
      <c r="MOQ56" s="76"/>
      <c r="MOR56" s="76"/>
      <c r="MOS56" s="76"/>
      <c r="MOT56" s="76"/>
      <c r="MOU56" s="76"/>
      <c r="MOV56" s="76"/>
      <c r="MOW56" s="76"/>
      <c r="MOX56" s="76"/>
      <c r="MOY56" s="76"/>
      <c r="MOZ56" s="76"/>
      <c r="MPA56" s="76"/>
      <c r="MPB56" s="76"/>
      <c r="MPC56" s="76"/>
      <c r="MPD56" s="76"/>
      <c r="MPE56" s="76"/>
      <c r="MPF56" s="76"/>
      <c r="MPG56" s="76"/>
      <c r="MPH56" s="76"/>
      <c r="MPI56" s="76"/>
      <c r="MPJ56" s="76"/>
      <c r="MPK56" s="76"/>
      <c r="MPL56" s="76"/>
      <c r="MPM56" s="76"/>
      <c r="MPN56" s="76"/>
      <c r="MPO56" s="76"/>
      <c r="MPP56" s="76"/>
      <c r="MPQ56" s="76"/>
      <c r="MPR56" s="76"/>
      <c r="MPS56" s="76"/>
      <c r="MPT56" s="76"/>
      <c r="MPU56" s="76"/>
      <c r="MPV56" s="76"/>
      <c r="MPW56" s="76"/>
      <c r="MPX56" s="76"/>
      <c r="MPY56" s="76"/>
      <c r="MPZ56" s="76"/>
      <c r="MQA56" s="76"/>
      <c r="MQB56" s="76"/>
      <c r="MQC56" s="76"/>
      <c r="MQD56" s="76"/>
      <c r="MQE56" s="76"/>
      <c r="MQF56" s="76"/>
      <c r="MQG56" s="76"/>
      <c r="MQH56" s="76"/>
      <c r="MQI56" s="76"/>
      <c r="MQJ56" s="76"/>
      <c r="MQK56" s="76"/>
      <c r="MQL56" s="76"/>
      <c r="MQM56" s="76"/>
      <c r="MQN56" s="76"/>
      <c r="MQO56" s="76"/>
      <c r="MQP56" s="76"/>
      <c r="MQQ56" s="76"/>
      <c r="MQR56" s="76"/>
      <c r="MQS56" s="76"/>
      <c r="MQT56" s="76"/>
      <c r="MQU56" s="76"/>
      <c r="MQV56" s="76"/>
      <c r="MQW56" s="76"/>
      <c r="MQX56" s="76"/>
      <c r="MQY56" s="76"/>
      <c r="MQZ56" s="76"/>
      <c r="MRA56" s="76"/>
      <c r="MRB56" s="76"/>
      <c r="MRC56" s="76"/>
      <c r="MRD56" s="76"/>
      <c r="MRE56" s="76"/>
      <c r="MRF56" s="76"/>
      <c r="MRG56" s="76"/>
      <c r="MRH56" s="76"/>
      <c r="MRI56" s="76"/>
      <c r="MRJ56" s="76"/>
      <c r="MRK56" s="76"/>
      <c r="MRL56" s="76"/>
      <c r="MRM56" s="76"/>
      <c r="MRN56" s="76"/>
      <c r="MRO56" s="76"/>
      <c r="MRP56" s="76"/>
      <c r="MRQ56" s="76"/>
      <c r="MRR56" s="76"/>
      <c r="MRS56" s="76"/>
      <c r="MRT56" s="76"/>
      <c r="MRU56" s="76"/>
      <c r="MRV56" s="76"/>
      <c r="MRW56" s="76"/>
      <c r="MRX56" s="76"/>
      <c r="MRY56" s="76"/>
      <c r="MRZ56" s="76"/>
      <c r="MSA56" s="76"/>
      <c r="MSB56" s="76"/>
      <c r="MSC56" s="76"/>
      <c r="MSD56" s="76"/>
      <c r="MSE56" s="76"/>
      <c r="MSF56" s="76"/>
      <c r="MSG56" s="76"/>
      <c r="MSH56" s="76"/>
      <c r="MSI56" s="76"/>
      <c r="MSJ56" s="76"/>
      <c r="MSK56" s="76"/>
      <c r="MSL56" s="76"/>
      <c r="MSM56" s="76"/>
      <c r="MSN56" s="76"/>
      <c r="MSO56" s="76"/>
      <c r="MSP56" s="76"/>
      <c r="MSQ56" s="76"/>
      <c r="MSR56" s="76"/>
      <c r="MSS56" s="76"/>
      <c r="MST56" s="76"/>
      <c r="MSU56" s="76"/>
      <c r="MSV56" s="76"/>
      <c r="MSW56" s="76"/>
      <c r="MSX56" s="76"/>
      <c r="MSY56" s="76"/>
      <c r="MSZ56" s="76"/>
      <c r="MTA56" s="76"/>
      <c r="MTB56" s="76"/>
      <c r="MTC56" s="76"/>
      <c r="MTD56" s="76"/>
      <c r="MTE56" s="76"/>
      <c r="MTF56" s="76"/>
      <c r="MTG56" s="76"/>
      <c r="MTH56" s="76"/>
      <c r="MTI56" s="76"/>
      <c r="MTJ56" s="76"/>
      <c r="MTK56" s="76"/>
      <c r="MTL56" s="76"/>
      <c r="MTM56" s="76"/>
      <c r="MTN56" s="76"/>
      <c r="MTO56" s="76"/>
      <c r="MTP56" s="76"/>
      <c r="MTQ56" s="76"/>
      <c r="MTR56" s="76"/>
      <c r="MTS56" s="76"/>
      <c r="MTT56" s="76"/>
      <c r="MTU56" s="76"/>
      <c r="MTV56" s="76"/>
      <c r="MTW56" s="76"/>
      <c r="MTX56" s="76"/>
      <c r="MTY56" s="76"/>
      <c r="MTZ56" s="76"/>
      <c r="MUA56" s="76"/>
      <c r="MUB56" s="76"/>
      <c r="MUC56" s="76"/>
      <c r="MUD56" s="76"/>
      <c r="MUE56" s="76"/>
      <c r="MUF56" s="76"/>
      <c r="MUG56" s="76"/>
      <c r="MUH56" s="76"/>
      <c r="MUI56" s="76"/>
      <c r="MUJ56" s="76"/>
      <c r="MUK56" s="76"/>
      <c r="MUL56" s="76"/>
      <c r="MUM56" s="76"/>
      <c r="MUN56" s="76"/>
      <c r="MUO56" s="76"/>
      <c r="MUP56" s="76"/>
      <c r="MUQ56" s="76"/>
      <c r="MUR56" s="76"/>
      <c r="MUS56" s="76"/>
      <c r="MUT56" s="76"/>
      <c r="MUU56" s="76"/>
      <c r="MUV56" s="76"/>
      <c r="MUW56" s="76"/>
      <c r="MUX56" s="76"/>
      <c r="MUY56" s="76"/>
      <c r="MUZ56" s="76"/>
      <c r="MVA56" s="76"/>
      <c r="MVB56" s="76"/>
      <c r="MVC56" s="76"/>
      <c r="MVD56" s="76"/>
      <c r="MVE56" s="76"/>
      <c r="MVF56" s="76"/>
      <c r="MVG56" s="76"/>
      <c r="MVH56" s="76"/>
      <c r="MVI56" s="76"/>
      <c r="MVJ56" s="76"/>
      <c r="MVK56" s="76"/>
      <c r="MVL56" s="76"/>
      <c r="MVM56" s="76"/>
      <c r="MVN56" s="76"/>
      <c r="MVO56" s="76"/>
      <c r="MVP56" s="76"/>
      <c r="MVQ56" s="76"/>
      <c r="MVR56" s="76"/>
      <c r="MVS56" s="76"/>
      <c r="MVT56" s="76"/>
      <c r="MVU56" s="76"/>
      <c r="MVV56" s="76"/>
      <c r="MVW56" s="76"/>
      <c r="MVX56" s="76"/>
      <c r="MVY56" s="76"/>
      <c r="MVZ56" s="76"/>
      <c r="MWA56" s="76"/>
      <c r="MWB56" s="76"/>
      <c r="MWC56" s="76"/>
      <c r="MWD56" s="76"/>
      <c r="MWE56" s="76"/>
      <c r="MWF56" s="76"/>
      <c r="MWG56" s="76"/>
      <c r="MWH56" s="76"/>
      <c r="MWI56" s="76"/>
      <c r="MWJ56" s="76"/>
      <c r="MWK56" s="76"/>
      <c r="MWL56" s="76"/>
      <c r="MWM56" s="76"/>
      <c r="MWN56" s="76"/>
      <c r="MWO56" s="76"/>
      <c r="MWP56" s="76"/>
      <c r="MWQ56" s="76"/>
      <c r="MWR56" s="76"/>
      <c r="MWS56" s="76"/>
      <c r="MWT56" s="76"/>
      <c r="MWU56" s="76"/>
      <c r="MWV56" s="76"/>
      <c r="MWW56" s="76"/>
      <c r="MWX56" s="76"/>
      <c r="MWY56" s="76"/>
      <c r="MWZ56" s="76"/>
      <c r="MXA56" s="76"/>
      <c r="MXB56" s="76"/>
      <c r="MXC56" s="76"/>
      <c r="MXD56" s="76"/>
      <c r="MXE56" s="76"/>
      <c r="MXF56" s="76"/>
      <c r="MXG56" s="76"/>
      <c r="MXH56" s="76"/>
      <c r="MXI56" s="76"/>
      <c r="MXJ56" s="76"/>
      <c r="MXK56" s="76"/>
      <c r="MXL56" s="76"/>
      <c r="MXM56" s="76"/>
      <c r="MXN56" s="76"/>
      <c r="MXO56" s="76"/>
      <c r="MXP56" s="76"/>
      <c r="MXQ56" s="76"/>
      <c r="MXR56" s="76"/>
      <c r="MXS56" s="76"/>
      <c r="MXT56" s="76"/>
      <c r="MXU56" s="76"/>
      <c r="MXV56" s="76"/>
      <c r="MXW56" s="76"/>
      <c r="MXX56" s="76"/>
      <c r="MXY56" s="76"/>
      <c r="MXZ56" s="76"/>
      <c r="MYA56" s="76"/>
      <c r="MYB56" s="76"/>
      <c r="MYC56" s="76"/>
      <c r="MYD56" s="76"/>
      <c r="MYE56" s="76"/>
      <c r="MYF56" s="76"/>
      <c r="MYG56" s="76"/>
      <c r="MYH56" s="76"/>
      <c r="MYI56" s="76"/>
      <c r="MYJ56" s="76"/>
      <c r="MYK56" s="76"/>
      <c r="MYL56" s="76"/>
      <c r="MYM56" s="76"/>
      <c r="MYN56" s="76"/>
      <c r="MYO56" s="76"/>
      <c r="MYP56" s="76"/>
      <c r="MYQ56" s="76"/>
      <c r="MYR56" s="76"/>
      <c r="MYS56" s="76"/>
      <c r="MYT56" s="76"/>
      <c r="MYU56" s="76"/>
      <c r="MYV56" s="76"/>
      <c r="MYW56" s="76"/>
      <c r="MYX56" s="76"/>
      <c r="MYY56" s="76"/>
      <c r="MYZ56" s="76"/>
      <c r="MZA56" s="76"/>
      <c r="MZB56" s="76"/>
      <c r="MZC56" s="76"/>
      <c r="MZD56" s="76"/>
      <c r="MZE56" s="76"/>
      <c r="MZF56" s="76"/>
      <c r="MZG56" s="76"/>
      <c r="MZH56" s="76"/>
      <c r="MZI56" s="76"/>
      <c r="MZJ56" s="76"/>
      <c r="MZK56" s="76"/>
      <c r="MZL56" s="76"/>
      <c r="MZM56" s="76"/>
      <c r="MZN56" s="76"/>
      <c r="MZO56" s="76"/>
      <c r="MZP56" s="76"/>
      <c r="MZQ56" s="76"/>
      <c r="MZR56" s="76"/>
      <c r="MZS56" s="76"/>
      <c r="MZT56" s="76"/>
      <c r="MZU56" s="76"/>
      <c r="MZV56" s="76"/>
      <c r="MZW56" s="76"/>
      <c r="MZX56" s="76"/>
      <c r="MZY56" s="76"/>
      <c r="MZZ56" s="76"/>
      <c r="NAA56" s="76"/>
      <c r="NAB56" s="76"/>
      <c r="NAC56" s="76"/>
      <c r="NAD56" s="76"/>
      <c r="NAE56" s="76"/>
      <c r="NAF56" s="76"/>
      <c r="NAG56" s="76"/>
      <c r="NAH56" s="76"/>
      <c r="NAI56" s="76"/>
      <c r="NAJ56" s="76"/>
      <c r="NAK56" s="76"/>
      <c r="NAL56" s="76"/>
      <c r="NAM56" s="76"/>
      <c r="NAN56" s="76"/>
      <c r="NAO56" s="76"/>
      <c r="NAP56" s="76"/>
      <c r="NAQ56" s="76"/>
      <c r="NAR56" s="76"/>
      <c r="NAS56" s="76"/>
      <c r="NAT56" s="76"/>
      <c r="NAU56" s="76"/>
      <c r="NAV56" s="76"/>
      <c r="NAW56" s="76"/>
      <c r="NAX56" s="76"/>
      <c r="NAY56" s="76"/>
      <c r="NAZ56" s="76"/>
      <c r="NBA56" s="76"/>
      <c r="NBB56" s="76"/>
      <c r="NBC56" s="76"/>
      <c r="NBD56" s="76"/>
      <c r="NBE56" s="76"/>
      <c r="NBF56" s="76"/>
      <c r="NBG56" s="76"/>
      <c r="NBH56" s="76"/>
      <c r="NBI56" s="76"/>
      <c r="NBJ56" s="76"/>
      <c r="NBK56" s="76"/>
      <c r="NBL56" s="76"/>
      <c r="NBM56" s="76"/>
      <c r="NBN56" s="76"/>
      <c r="NBO56" s="76"/>
      <c r="NBP56" s="76"/>
      <c r="NBQ56" s="76"/>
      <c r="NBR56" s="76"/>
      <c r="NBS56" s="76"/>
      <c r="NBT56" s="76"/>
      <c r="NBU56" s="76"/>
      <c r="NBV56" s="76"/>
      <c r="NBW56" s="76"/>
      <c r="NBX56" s="76"/>
      <c r="NBY56" s="76"/>
      <c r="NBZ56" s="76"/>
      <c r="NCA56" s="76"/>
      <c r="NCB56" s="76"/>
      <c r="NCC56" s="76"/>
      <c r="NCD56" s="76"/>
      <c r="NCE56" s="76"/>
      <c r="NCF56" s="76"/>
      <c r="NCG56" s="76"/>
      <c r="NCH56" s="76"/>
      <c r="NCI56" s="76"/>
      <c r="NCJ56" s="76"/>
      <c r="NCK56" s="76"/>
      <c r="NCL56" s="76"/>
      <c r="NCM56" s="76"/>
      <c r="NCN56" s="76"/>
      <c r="NCO56" s="76"/>
      <c r="NCP56" s="76"/>
      <c r="NCQ56" s="76"/>
      <c r="NCR56" s="76"/>
      <c r="NCS56" s="76"/>
      <c r="NCT56" s="76"/>
      <c r="NCU56" s="76"/>
      <c r="NCV56" s="76"/>
      <c r="NCW56" s="76"/>
      <c r="NCX56" s="76"/>
      <c r="NCY56" s="76"/>
      <c r="NCZ56" s="76"/>
      <c r="NDA56" s="76"/>
      <c r="NDB56" s="76"/>
      <c r="NDC56" s="76"/>
      <c r="NDD56" s="76"/>
      <c r="NDE56" s="76"/>
      <c r="NDF56" s="76"/>
      <c r="NDG56" s="76"/>
      <c r="NDH56" s="76"/>
      <c r="NDI56" s="76"/>
      <c r="NDJ56" s="76"/>
      <c r="NDK56" s="76"/>
      <c r="NDL56" s="76"/>
      <c r="NDM56" s="76"/>
      <c r="NDN56" s="76"/>
      <c r="NDO56" s="76"/>
      <c r="NDP56" s="76"/>
      <c r="NDQ56" s="76"/>
      <c r="NDR56" s="76"/>
      <c r="NDS56" s="76"/>
      <c r="NDT56" s="76"/>
      <c r="NDU56" s="76"/>
      <c r="NDV56" s="76"/>
      <c r="NDW56" s="76"/>
      <c r="NDX56" s="76"/>
      <c r="NDY56" s="76"/>
      <c r="NDZ56" s="76"/>
      <c r="NEA56" s="76"/>
      <c r="NEB56" s="76"/>
      <c r="NEC56" s="76"/>
      <c r="NED56" s="76"/>
      <c r="NEE56" s="76"/>
      <c r="NEF56" s="76"/>
      <c r="NEG56" s="76"/>
      <c r="NEH56" s="76"/>
      <c r="NEI56" s="76"/>
      <c r="NEJ56" s="76"/>
      <c r="NEK56" s="76"/>
      <c r="NEL56" s="76"/>
      <c r="NEM56" s="76"/>
      <c r="NEN56" s="76"/>
      <c r="NEO56" s="76"/>
      <c r="NEP56" s="76"/>
      <c r="NEQ56" s="76"/>
      <c r="NER56" s="76"/>
      <c r="NES56" s="76"/>
      <c r="NET56" s="76"/>
      <c r="NEU56" s="76"/>
      <c r="NEV56" s="76"/>
      <c r="NEW56" s="76"/>
      <c r="NEX56" s="76"/>
      <c r="NEY56" s="76"/>
      <c r="NEZ56" s="76"/>
      <c r="NFA56" s="76"/>
      <c r="NFB56" s="76"/>
      <c r="NFC56" s="76"/>
      <c r="NFD56" s="76"/>
      <c r="NFE56" s="76"/>
      <c r="NFF56" s="76"/>
      <c r="NFG56" s="76"/>
      <c r="NFH56" s="76"/>
      <c r="NFI56" s="76"/>
      <c r="NFJ56" s="76"/>
      <c r="NFK56" s="76"/>
      <c r="NFL56" s="76"/>
      <c r="NFM56" s="76"/>
      <c r="NFN56" s="76"/>
      <c r="NFO56" s="76"/>
      <c r="NFP56" s="76"/>
      <c r="NFQ56" s="76"/>
      <c r="NFR56" s="76"/>
      <c r="NFS56" s="76"/>
      <c r="NFT56" s="76"/>
      <c r="NFU56" s="76"/>
      <c r="NFV56" s="76"/>
      <c r="NFW56" s="76"/>
      <c r="NFX56" s="76"/>
      <c r="NFY56" s="76"/>
      <c r="NFZ56" s="76"/>
      <c r="NGA56" s="76"/>
      <c r="NGB56" s="76"/>
      <c r="NGC56" s="76"/>
      <c r="NGD56" s="76"/>
      <c r="NGE56" s="76"/>
      <c r="NGF56" s="76"/>
      <c r="NGG56" s="76"/>
      <c r="NGH56" s="76"/>
      <c r="NGI56" s="76"/>
      <c r="NGJ56" s="76"/>
      <c r="NGK56" s="76"/>
      <c r="NGL56" s="76"/>
      <c r="NGM56" s="76"/>
      <c r="NGN56" s="76"/>
      <c r="NGO56" s="76"/>
      <c r="NGP56" s="76"/>
      <c r="NGQ56" s="76"/>
      <c r="NGR56" s="76"/>
      <c r="NGS56" s="76"/>
      <c r="NGT56" s="76"/>
      <c r="NGU56" s="76"/>
      <c r="NGV56" s="76"/>
      <c r="NGW56" s="76"/>
      <c r="NGX56" s="76"/>
      <c r="NGY56" s="76"/>
      <c r="NGZ56" s="76"/>
      <c r="NHA56" s="76"/>
      <c r="NHB56" s="76"/>
      <c r="NHC56" s="76"/>
      <c r="NHD56" s="76"/>
      <c r="NHE56" s="76"/>
      <c r="NHF56" s="76"/>
      <c r="NHG56" s="76"/>
      <c r="NHH56" s="76"/>
      <c r="NHI56" s="76"/>
      <c r="NHJ56" s="76"/>
      <c r="NHK56" s="76"/>
      <c r="NHL56" s="76"/>
      <c r="NHM56" s="76"/>
      <c r="NHN56" s="76"/>
      <c r="NHO56" s="76"/>
      <c r="NHP56" s="76"/>
      <c r="NHQ56" s="76"/>
      <c r="NHR56" s="76"/>
      <c r="NHS56" s="76"/>
      <c r="NHT56" s="76"/>
      <c r="NHU56" s="76"/>
      <c r="NHV56" s="76"/>
      <c r="NHW56" s="76"/>
      <c r="NHX56" s="76"/>
      <c r="NHY56" s="76"/>
      <c r="NHZ56" s="76"/>
      <c r="NIA56" s="76"/>
      <c r="NIB56" s="76"/>
      <c r="NIC56" s="76"/>
      <c r="NID56" s="76"/>
      <c r="NIE56" s="76"/>
      <c r="NIF56" s="76"/>
      <c r="NIG56" s="76"/>
      <c r="NIH56" s="76"/>
      <c r="NII56" s="76"/>
      <c r="NIJ56" s="76"/>
      <c r="NIK56" s="76"/>
      <c r="NIL56" s="76"/>
      <c r="NIM56" s="76"/>
      <c r="NIN56" s="76"/>
      <c r="NIO56" s="76"/>
      <c r="NIP56" s="76"/>
      <c r="NIQ56" s="76"/>
      <c r="NIR56" s="76"/>
      <c r="NIS56" s="76"/>
      <c r="NIT56" s="76"/>
      <c r="NIU56" s="76"/>
      <c r="NIV56" s="76"/>
      <c r="NIW56" s="76"/>
      <c r="NIX56" s="76"/>
      <c r="NIY56" s="76"/>
      <c r="NIZ56" s="76"/>
      <c r="NJA56" s="76"/>
      <c r="NJB56" s="76"/>
      <c r="NJC56" s="76"/>
      <c r="NJD56" s="76"/>
      <c r="NJE56" s="76"/>
      <c r="NJF56" s="76"/>
      <c r="NJG56" s="76"/>
      <c r="NJH56" s="76"/>
      <c r="NJI56" s="76"/>
      <c r="NJJ56" s="76"/>
      <c r="NJK56" s="76"/>
      <c r="NJL56" s="76"/>
      <c r="NJM56" s="76"/>
      <c r="NJN56" s="76"/>
      <c r="NJO56" s="76"/>
      <c r="NJP56" s="76"/>
      <c r="NJQ56" s="76"/>
      <c r="NJR56" s="76"/>
      <c r="NJS56" s="76"/>
      <c r="NJT56" s="76"/>
      <c r="NJU56" s="76"/>
      <c r="NJV56" s="76"/>
      <c r="NJW56" s="76"/>
      <c r="NJX56" s="76"/>
      <c r="NJY56" s="76"/>
      <c r="NJZ56" s="76"/>
      <c r="NKA56" s="76"/>
      <c r="NKB56" s="76"/>
      <c r="NKC56" s="76"/>
      <c r="NKD56" s="76"/>
      <c r="NKE56" s="76"/>
      <c r="NKF56" s="76"/>
      <c r="NKG56" s="76"/>
      <c r="NKH56" s="76"/>
      <c r="NKI56" s="76"/>
      <c r="NKJ56" s="76"/>
      <c r="NKK56" s="76"/>
      <c r="NKL56" s="76"/>
      <c r="NKM56" s="76"/>
      <c r="NKN56" s="76"/>
      <c r="NKO56" s="76"/>
      <c r="NKP56" s="76"/>
      <c r="NKQ56" s="76"/>
      <c r="NKR56" s="76"/>
      <c r="NKS56" s="76"/>
      <c r="NKT56" s="76"/>
      <c r="NKU56" s="76"/>
      <c r="NKV56" s="76"/>
      <c r="NKW56" s="76"/>
      <c r="NKX56" s="76"/>
      <c r="NKY56" s="76"/>
      <c r="NKZ56" s="76"/>
      <c r="NLA56" s="76"/>
      <c r="NLB56" s="76"/>
      <c r="NLC56" s="76"/>
      <c r="NLD56" s="76"/>
      <c r="NLE56" s="76"/>
      <c r="NLF56" s="76"/>
      <c r="NLG56" s="76"/>
      <c r="NLH56" s="76"/>
      <c r="NLI56" s="76"/>
      <c r="NLJ56" s="76"/>
      <c r="NLK56" s="76"/>
      <c r="NLL56" s="76"/>
      <c r="NLM56" s="76"/>
      <c r="NLN56" s="76"/>
      <c r="NLO56" s="76"/>
      <c r="NLP56" s="76"/>
      <c r="NLQ56" s="76"/>
      <c r="NLR56" s="76"/>
      <c r="NLS56" s="76"/>
      <c r="NLT56" s="76"/>
      <c r="NLU56" s="76"/>
      <c r="NLV56" s="76"/>
      <c r="NLW56" s="76"/>
      <c r="NLX56" s="76"/>
      <c r="NLY56" s="76"/>
      <c r="NLZ56" s="76"/>
      <c r="NMA56" s="76"/>
      <c r="NMB56" s="76"/>
      <c r="NMC56" s="76"/>
      <c r="NMD56" s="76"/>
      <c r="NME56" s="76"/>
      <c r="NMF56" s="76"/>
      <c r="NMG56" s="76"/>
      <c r="NMH56" s="76"/>
      <c r="NMI56" s="76"/>
      <c r="NMJ56" s="76"/>
      <c r="NMK56" s="76"/>
      <c r="NML56" s="76"/>
      <c r="NMM56" s="76"/>
      <c r="NMN56" s="76"/>
      <c r="NMO56" s="76"/>
      <c r="NMP56" s="76"/>
      <c r="NMQ56" s="76"/>
      <c r="NMR56" s="76"/>
      <c r="NMS56" s="76"/>
      <c r="NMT56" s="76"/>
      <c r="NMU56" s="76"/>
      <c r="NMV56" s="76"/>
      <c r="NMW56" s="76"/>
      <c r="NMX56" s="76"/>
      <c r="NMY56" s="76"/>
      <c r="NMZ56" s="76"/>
      <c r="NNA56" s="76"/>
      <c r="NNB56" s="76"/>
      <c r="NNC56" s="76"/>
      <c r="NND56" s="76"/>
      <c r="NNE56" s="76"/>
      <c r="NNF56" s="76"/>
      <c r="NNG56" s="76"/>
      <c r="NNH56" s="76"/>
      <c r="NNI56" s="76"/>
      <c r="NNJ56" s="76"/>
      <c r="NNK56" s="76"/>
      <c r="NNL56" s="76"/>
      <c r="NNM56" s="76"/>
      <c r="NNN56" s="76"/>
      <c r="NNO56" s="76"/>
      <c r="NNP56" s="76"/>
      <c r="NNQ56" s="76"/>
      <c r="NNR56" s="76"/>
      <c r="NNS56" s="76"/>
      <c r="NNT56" s="76"/>
      <c r="NNU56" s="76"/>
      <c r="NNV56" s="76"/>
      <c r="NNW56" s="76"/>
      <c r="NNX56" s="76"/>
      <c r="NNY56" s="76"/>
      <c r="NNZ56" s="76"/>
      <c r="NOA56" s="76"/>
      <c r="NOB56" s="76"/>
      <c r="NOC56" s="76"/>
      <c r="NOD56" s="76"/>
      <c r="NOE56" s="76"/>
      <c r="NOF56" s="76"/>
      <c r="NOG56" s="76"/>
      <c r="NOH56" s="76"/>
      <c r="NOI56" s="76"/>
      <c r="NOJ56" s="76"/>
      <c r="NOK56" s="76"/>
      <c r="NOL56" s="76"/>
      <c r="NOM56" s="76"/>
      <c r="NON56" s="76"/>
      <c r="NOO56" s="76"/>
      <c r="NOP56" s="76"/>
      <c r="NOQ56" s="76"/>
      <c r="NOR56" s="76"/>
      <c r="NOS56" s="76"/>
      <c r="NOT56" s="76"/>
      <c r="NOU56" s="76"/>
      <c r="NOV56" s="76"/>
      <c r="NOW56" s="76"/>
      <c r="NOX56" s="76"/>
      <c r="NOY56" s="76"/>
      <c r="NOZ56" s="76"/>
      <c r="NPA56" s="76"/>
      <c r="NPB56" s="76"/>
      <c r="NPC56" s="76"/>
      <c r="NPD56" s="76"/>
      <c r="NPE56" s="76"/>
      <c r="NPF56" s="76"/>
      <c r="NPG56" s="76"/>
      <c r="NPH56" s="76"/>
      <c r="NPI56" s="76"/>
      <c r="NPJ56" s="76"/>
      <c r="NPK56" s="76"/>
      <c r="NPL56" s="76"/>
      <c r="NPM56" s="76"/>
      <c r="NPN56" s="76"/>
      <c r="NPO56" s="76"/>
      <c r="NPP56" s="76"/>
      <c r="NPQ56" s="76"/>
      <c r="NPR56" s="76"/>
      <c r="NPS56" s="76"/>
      <c r="NPT56" s="76"/>
      <c r="NPU56" s="76"/>
      <c r="NPV56" s="76"/>
      <c r="NPW56" s="76"/>
      <c r="NPX56" s="76"/>
      <c r="NPY56" s="76"/>
      <c r="NPZ56" s="76"/>
      <c r="NQA56" s="76"/>
      <c r="NQB56" s="76"/>
      <c r="NQC56" s="76"/>
      <c r="NQD56" s="76"/>
      <c r="NQE56" s="76"/>
      <c r="NQF56" s="76"/>
      <c r="NQG56" s="76"/>
      <c r="NQH56" s="76"/>
      <c r="NQI56" s="76"/>
      <c r="NQJ56" s="76"/>
      <c r="NQK56" s="76"/>
      <c r="NQL56" s="76"/>
      <c r="NQM56" s="76"/>
      <c r="NQN56" s="76"/>
      <c r="NQO56" s="76"/>
      <c r="NQP56" s="76"/>
      <c r="NQQ56" s="76"/>
      <c r="NQR56" s="76"/>
      <c r="NQS56" s="76"/>
      <c r="NQT56" s="76"/>
      <c r="NQU56" s="76"/>
      <c r="NQV56" s="76"/>
      <c r="NQW56" s="76"/>
      <c r="NQX56" s="76"/>
      <c r="NQY56" s="76"/>
      <c r="NQZ56" s="76"/>
      <c r="NRA56" s="76"/>
      <c r="NRB56" s="76"/>
      <c r="NRC56" s="76"/>
      <c r="NRD56" s="76"/>
      <c r="NRE56" s="76"/>
      <c r="NRF56" s="76"/>
      <c r="NRG56" s="76"/>
      <c r="NRH56" s="76"/>
      <c r="NRI56" s="76"/>
      <c r="NRJ56" s="76"/>
      <c r="NRK56" s="76"/>
      <c r="NRL56" s="76"/>
      <c r="NRM56" s="76"/>
      <c r="NRN56" s="76"/>
      <c r="NRO56" s="76"/>
      <c r="NRP56" s="76"/>
      <c r="NRQ56" s="76"/>
      <c r="NRR56" s="76"/>
      <c r="NRS56" s="76"/>
      <c r="NRT56" s="76"/>
      <c r="NRU56" s="76"/>
      <c r="NRV56" s="76"/>
      <c r="NRW56" s="76"/>
      <c r="NRX56" s="76"/>
      <c r="NRY56" s="76"/>
      <c r="NRZ56" s="76"/>
      <c r="NSA56" s="76"/>
      <c r="NSB56" s="76"/>
      <c r="NSC56" s="76"/>
      <c r="NSD56" s="76"/>
      <c r="NSE56" s="76"/>
      <c r="NSF56" s="76"/>
      <c r="NSG56" s="76"/>
      <c r="NSH56" s="76"/>
      <c r="NSI56" s="76"/>
      <c r="NSJ56" s="76"/>
      <c r="NSK56" s="76"/>
      <c r="NSL56" s="76"/>
      <c r="NSM56" s="76"/>
      <c r="NSN56" s="76"/>
      <c r="NSO56" s="76"/>
      <c r="NSP56" s="76"/>
      <c r="NSQ56" s="76"/>
      <c r="NSR56" s="76"/>
      <c r="NSS56" s="76"/>
      <c r="NST56" s="76"/>
      <c r="NSU56" s="76"/>
      <c r="NSV56" s="76"/>
      <c r="NSW56" s="76"/>
      <c r="NSX56" s="76"/>
      <c r="NSY56" s="76"/>
      <c r="NSZ56" s="76"/>
      <c r="NTA56" s="76"/>
      <c r="NTB56" s="76"/>
      <c r="NTC56" s="76"/>
      <c r="NTD56" s="76"/>
      <c r="NTE56" s="76"/>
      <c r="NTF56" s="76"/>
      <c r="NTG56" s="76"/>
      <c r="NTH56" s="76"/>
      <c r="NTI56" s="76"/>
      <c r="NTJ56" s="76"/>
      <c r="NTK56" s="76"/>
      <c r="NTL56" s="76"/>
      <c r="NTM56" s="76"/>
      <c r="NTN56" s="76"/>
      <c r="NTO56" s="76"/>
      <c r="NTP56" s="76"/>
      <c r="NTQ56" s="76"/>
      <c r="NTR56" s="76"/>
      <c r="NTS56" s="76"/>
      <c r="NTT56" s="76"/>
      <c r="NTU56" s="76"/>
      <c r="NTV56" s="76"/>
      <c r="NTW56" s="76"/>
      <c r="NTX56" s="76"/>
      <c r="NTY56" s="76"/>
      <c r="NTZ56" s="76"/>
      <c r="NUA56" s="76"/>
      <c r="NUB56" s="76"/>
      <c r="NUC56" s="76"/>
      <c r="NUD56" s="76"/>
      <c r="NUE56" s="76"/>
      <c r="NUF56" s="76"/>
      <c r="NUG56" s="76"/>
      <c r="NUH56" s="76"/>
      <c r="NUI56" s="76"/>
      <c r="NUJ56" s="76"/>
      <c r="NUK56" s="76"/>
      <c r="NUL56" s="76"/>
      <c r="NUM56" s="76"/>
      <c r="NUN56" s="76"/>
      <c r="NUO56" s="76"/>
      <c r="NUP56" s="76"/>
      <c r="NUQ56" s="76"/>
      <c r="NUR56" s="76"/>
      <c r="NUS56" s="76"/>
      <c r="NUT56" s="76"/>
      <c r="NUU56" s="76"/>
      <c r="NUV56" s="76"/>
      <c r="NUW56" s="76"/>
      <c r="NUX56" s="76"/>
      <c r="NUY56" s="76"/>
      <c r="NUZ56" s="76"/>
      <c r="NVA56" s="76"/>
      <c r="NVB56" s="76"/>
      <c r="NVC56" s="76"/>
      <c r="NVD56" s="76"/>
      <c r="NVE56" s="76"/>
      <c r="NVF56" s="76"/>
      <c r="NVG56" s="76"/>
      <c r="NVH56" s="76"/>
      <c r="NVI56" s="76"/>
      <c r="NVJ56" s="76"/>
      <c r="NVK56" s="76"/>
      <c r="NVL56" s="76"/>
      <c r="NVM56" s="76"/>
      <c r="NVN56" s="76"/>
      <c r="NVO56" s="76"/>
      <c r="NVP56" s="76"/>
      <c r="NVQ56" s="76"/>
      <c r="NVR56" s="76"/>
      <c r="NVS56" s="76"/>
      <c r="NVT56" s="76"/>
      <c r="NVU56" s="76"/>
      <c r="NVV56" s="76"/>
      <c r="NVW56" s="76"/>
      <c r="NVX56" s="76"/>
      <c r="NVY56" s="76"/>
      <c r="NVZ56" s="76"/>
      <c r="NWA56" s="76"/>
      <c r="NWB56" s="76"/>
      <c r="NWC56" s="76"/>
      <c r="NWD56" s="76"/>
      <c r="NWE56" s="76"/>
      <c r="NWF56" s="76"/>
      <c r="NWG56" s="76"/>
      <c r="NWH56" s="76"/>
      <c r="NWI56" s="76"/>
      <c r="NWJ56" s="76"/>
      <c r="NWK56" s="76"/>
      <c r="NWL56" s="76"/>
      <c r="NWM56" s="76"/>
      <c r="NWN56" s="76"/>
      <c r="NWO56" s="76"/>
      <c r="NWP56" s="76"/>
      <c r="NWQ56" s="76"/>
      <c r="NWR56" s="76"/>
      <c r="NWS56" s="76"/>
      <c r="NWT56" s="76"/>
      <c r="NWU56" s="76"/>
      <c r="NWV56" s="76"/>
      <c r="NWW56" s="76"/>
      <c r="NWX56" s="76"/>
      <c r="NWY56" s="76"/>
      <c r="NWZ56" s="76"/>
      <c r="NXA56" s="76"/>
      <c r="NXB56" s="76"/>
      <c r="NXC56" s="76"/>
      <c r="NXD56" s="76"/>
      <c r="NXE56" s="76"/>
      <c r="NXF56" s="76"/>
      <c r="NXG56" s="76"/>
      <c r="NXH56" s="76"/>
      <c r="NXI56" s="76"/>
      <c r="NXJ56" s="76"/>
      <c r="NXK56" s="76"/>
      <c r="NXL56" s="76"/>
      <c r="NXM56" s="76"/>
      <c r="NXN56" s="76"/>
      <c r="NXO56" s="76"/>
      <c r="NXP56" s="76"/>
      <c r="NXQ56" s="76"/>
      <c r="NXR56" s="76"/>
      <c r="NXS56" s="76"/>
      <c r="NXT56" s="76"/>
      <c r="NXU56" s="76"/>
      <c r="NXV56" s="76"/>
      <c r="NXW56" s="76"/>
      <c r="NXX56" s="76"/>
      <c r="NXY56" s="76"/>
      <c r="NXZ56" s="76"/>
      <c r="NYA56" s="76"/>
      <c r="NYB56" s="76"/>
      <c r="NYC56" s="76"/>
      <c r="NYD56" s="76"/>
      <c r="NYE56" s="76"/>
      <c r="NYF56" s="76"/>
      <c r="NYG56" s="76"/>
      <c r="NYH56" s="76"/>
      <c r="NYI56" s="76"/>
      <c r="NYJ56" s="76"/>
      <c r="NYK56" s="76"/>
      <c r="NYL56" s="76"/>
      <c r="NYM56" s="76"/>
      <c r="NYN56" s="76"/>
      <c r="NYO56" s="76"/>
      <c r="NYP56" s="76"/>
      <c r="NYQ56" s="76"/>
      <c r="NYR56" s="76"/>
      <c r="NYS56" s="76"/>
      <c r="NYT56" s="76"/>
      <c r="NYU56" s="76"/>
      <c r="NYV56" s="76"/>
      <c r="NYW56" s="76"/>
      <c r="NYX56" s="76"/>
      <c r="NYY56" s="76"/>
      <c r="NYZ56" s="76"/>
      <c r="NZA56" s="76"/>
      <c r="NZB56" s="76"/>
      <c r="NZC56" s="76"/>
      <c r="NZD56" s="76"/>
      <c r="NZE56" s="76"/>
      <c r="NZF56" s="76"/>
      <c r="NZG56" s="76"/>
      <c r="NZH56" s="76"/>
      <c r="NZI56" s="76"/>
      <c r="NZJ56" s="76"/>
      <c r="NZK56" s="76"/>
      <c r="NZL56" s="76"/>
      <c r="NZM56" s="76"/>
      <c r="NZN56" s="76"/>
      <c r="NZO56" s="76"/>
      <c r="NZP56" s="76"/>
      <c r="NZQ56" s="76"/>
      <c r="NZR56" s="76"/>
      <c r="NZS56" s="76"/>
      <c r="NZT56" s="76"/>
      <c r="NZU56" s="76"/>
      <c r="NZV56" s="76"/>
      <c r="NZW56" s="76"/>
      <c r="NZX56" s="76"/>
      <c r="NZY56" s="76"/>
      <c r="NZZ56" s="76"/>
      <c r="OAA56" s="76"/>
      <c r="OAB56" s="76"/>
      <c r="OAC56" s="76"/>
      <c r="OAD56" s="76"/>
      <c r="OAE56" s="76"/>
      <c r="OAF56" s="76"/>
      <c r="OAG56" s="76"/>
      <c r="OAH56" s="76"/>
      <c r="OAI56" s="76"/>
      <c r="OAJ56" s="76"/>
      <c r="OAK56" s="76"/>
      <c r="OAL56" s="76"/>
      <c r="OAM56" s="76"/>
      <c r="OAN56" s="76"/>
      <c r="OAO56" s="76"/>
      <c r="OAP56" s="76"/>
      <c r="OAQ56" s="76"/>
      <c r="OAR56" s="76"/>
      <c r="OAS56" s="76"/>
      <c r="OAT56" s="76"/>
      <c r="OAU56" s="76"/>
      <c r="OAV56" s="76"/>
      <c r="OAW56" s="76"/>
      <c r="OAX56" s="76"/>
      <c r="OAY56" s="76"/>
      <c r="OAZ56" s="76"/>
      <c r="OBA56" s="76"/>
      <c r="OBB56" s="76"/>
      <c r="OBC56" s="76"/>
      <c r="OBD56" s="76"/>
      <c r="OBE56" s="76"/>
      <c r="OBF56" s="76"/>
      <c r="OBG56" s="76"/>
      <c r="OBH56" s="76"/>
      <c r="OBI56" s="76"/>
      <c r="OBJ56" s="76"/>
      <c r="OBK56" s="76"/>
      <c r="OBL56" s="76"/>
      <c r="OBM56" s="76"/>
      <c r="OBN56" s="76"/>
      <c r="OBO56" s="76"/>
      <c r="OBP56" s="76"/>
      <c r="OBQ56" s="76"/>
      <c r="OBR56" s="76"/>
      <c r="OBS56" s="76"/>
      <c r="OBT56" s="76"/>
      <c r="OBU56" s="76"/>
      <c r="OBV56" s="76"/>
      <c r="OBW56" s="76"/>
      <c r="OBX56" s="76"/>
      <c r="OBY56" s="76"/>
      <c r="OBZ56" s="76"/>
      <c r="OCA56" s="76"/>
      <c r="OCB56" s="76"/>
      <c r="OCC56" s="76"/>
      <c r="OCD56" s="76"/>
      <c r="OCE56" s="76"/>
      <c r="OCF56" s="76"/>
      <c r="OCG56" s="76"/>
      <c r="OCH56" s="76"/>
      <c r="OCI56" s="76"/>
      <c r="OCJ56" s="76"/>
      <c r="OCK56" s="76"/>
      <c r="OCL56" s="76"/>
      <c r="OCM56" s="76"/>
      <c r="OCN56" s="76"/>
      <c r="OCO56" s="76"/>
      <c r="OCP56" s="76"/>
      <c r="OCQ56" s="76"/>
      <c r="OCR56" s="76"/>
      <c r="OCS56" s="76"/>
      <c r="OCT56" s="76"/>
      <c r="OCU56" s="76"/>
      <c r="OCV56" s="76"/>
      <c r="OCW56" s="76"/>
      <c r="OCX56" s="76"/>
      <c r="OCY56" s="76"/>
      <c r="OCZ56" s="76"/>
      <c r="ODA56" s="76"/>
      <c r="ODB56" s="76"/>
      <c r="ODC56" s="76"/>
      <c r="ODD56" s="76"/>
      <c r="ODE56" s="76"/>
      <c r="ODF56" s="76"/>
      <c r="ODG56" s="76"/>
      <c r="ODH56" s="76"/>
      <c r="ODI56" s="76"/>
      <c r="ODJ56" s="76"/>
      <c r="ODK56" s="76"/>
      <c r="ODL56" s="76"/>
      <c r="ODM56" s="76"/>
      <c r="ODN56" s="76"/>
      <c r="ODO56" s="76"/>
      <c r="ODP56" s="76"/>
      <c r="ODQ56" s="76"/>
      <c r="ODR56" s="76"/>
      <c r="ODS56" s="76"/>
      <c r="ODT56" s="76"/>
      <c r="ODU56" s="76"/>
      <c r="ODV56" s="76"/>
      <c r="ODW56" s="76"/>
      <c r="ODX56" s="76"/>
      <c r="ODY56" s="76"/>
      <c r="ODZ56" s="76"/>
      <c r="OEA56" s="76"/>
      <c r="OEB56" s="76"/>
      <c r="OEC56" s="76"/>
      <c r="OED56" s="76"/>
      <c r="OEE56" s="76"/>
      <c r="OEF56" s="76"/>
      <c r="OEG56" s="76"/>
      <c r="OEH56" s="76"/>
      <c r="OEI56" s="76"/>
      <c r="OEJ56" s="76"/>
      <c r="OEK56" s="76"/>
      <c r="OEL56" s="76"/>
      <c r="OEM56" s="76"/>
      <c r="OEN56" s="76"/>
      <c r="OEO56" s="76"/>
      <c r="OEP56" s="76"/>
      <c r="OEQ56" s="76"/>
      <c r="OER56" s="76"/>
      <c r="OES56" s="76"/>
      <c r="OET56" s="76"/>
      <c r="OEU56" s="76"/>
      <c r="OEV56" s="76"/>
      <c r="OEW56" s="76"/>
      <c r="OEX56" s="76"/>
      <c r="OEY56" s="76"/>
      <c r="OEZ56" s="76"/>
      <c r="OFA56" s="76"/>
      <c r="OFB56" s="76"/>
      <c r="OFC56" s="76"/>
      <c r="OFD56" s="76"/>
      <c r="OFE56" s="76"/>
      <c r="OFF56" s="76"/>
      <c r="OFG56" s="76"/>
      <c r="OFH56" s="76"/>
      <c r="OFI56" s="76"/>
      <c r="OFJ56" s="76"/>
      <c r="OFK56" s="76"/>
      <c r="OFL56" s="76"/>
      <c r="OFM56" s="76"/>
      <c r="OFN56" s="76"/>
      <c r="OFO56" s="76"/>
      <c r="OFP56" s="76"/>
      <c r="OFQ56" s="76"/>
      <c r="OFR56" s="76"/>
      <c r="OFS56" s="76"/>
      <c r="OFT56" s="76"/>
      <c r="OFU56" s="76"/>
      <c r="OFV56" s="76"/>
      <c r="OFW56" s="76"/>
      <c r="OFX56" s="76"/>
      <c r="OFY56" s="76"/>
      <c r="OFZ56" s="76"/>
      <c r="OGA56" s="76"/>
      <c r="OGB56" s="76"/>
      <c r="OGC56" s="76"/>
      <c r="OGD56" s="76"/>
      <c r="OGE56" s="76"/>
      <c r="OGF56" s="76"/>
      <c r="OGG56" s="76"/>
      <c r="OGH56" s="76"/>
      <c r="OGI56" s="76"/>
      <c r="OGJ56" s="76"/>
      <c r="OGK56" s="76"/>
      <c r="OGL56" s="76"/>
      <c r="OGM56" s="76"/>
      <c r="OGN56" s="76"/>
      <c r="OGO56" s="76"/>
      <c r="OGP56" s="76"/>
      <c r="OGQ56" s="76"/>
      <c r="OGR56" s="76"/>
      <c r="OGS56" s="76"/>
      <c r="OGT56" s="76"/>
      <c r="OGU56" s="76"/>
      <c r="OGV56" s="76"/>
      <c r="OGW56" s="76"/>
      <c r="OGX56" s="76"/>
      <c r="OGY56" s="76"/>
      <c r="OGZ56" s="76"/>
      <c r="OHA56" s="76"/>
      <c r="OHB56" s="76"/>
      <c r="OHC56" s="76"/>
      <c r="OHD56" s="76"/>
      <c r="OHE56" s="76"/>
      <c r="OHF56" s="76"/>
      <c r="OHG56" s="76"/>
      <c r="OHH56" s="76"/>
      <c r="OHI56" s="76"/>
      <c r="OHJ56" s="76"/>
      <c r="OHK56" s="76"/>
      <c r="OHL56" s="76"/>
      <c r="OHM56" s="76"/>
      <c r="OHN56" s="76"/>
      <c r="OHO56" s="76"/>
      <c r="OHP56" s="76"/>
      <c r="OHQ56" s="76"/>
      <c r="OHR56" s="76"/>
      <c r="OHS56" s="76"/>
      <c r="OHT56" s="76"/>
      <c r="OHU56" s="76"/>
      <c r="OHV56" s="76"/>
      <c r="OHW56" s="76"/>
      <c r="OHX56" s="76"/>
      <c r="OHY56" s="76"/>
      <c r="OHZ56" s="76"/>
      <c r="OIA56" s="76"/>
      <c r="OIB56" s="76"/>
      <c r="OIC56" s="76"/>
      <c r="OID56" s="76"/>
      <c r="OIE56" s="76"/>
      <c r="OIF56" s="76"/>
      <c r="OIG56" s="76"/>
      <c r="OIH56" s="76"/>
      <c r="OII56" s="76"/>
      <c r="OIJ56" s="76"/>
      <c r="OIK56" s="76"/>
      <c r="OIL56" s="76"/>
      <c r="OIM56" s="76"/>
      <c r="OIN56" s="76"/>
      <c r="OIO56" s="76"/>
      <c r="OIP56" s="76"/>
      <c r="OIQ56" s="76"/>
      <c r="OIR56" s="76"/>
      <c r="OIS56" s="76"/>
      <c r="OIT56" s="76"/>
      <c r="OIU56" s="76"/>
      <c r="OIV56" s="76"/>
      <c r="OIW56" s="76"/>
      <c r="OIX56" s="76"/>
      <c r="OIY56" s="76"/>
      <c r="OIZ56" s="76"/>
      <c r="OJA56" s="76"/>
      <c r="OJB56" s="76"/>
      <c r="OJC56" s="76"/>
      <c r="OJD56" s="76"/>
      <c r="OJE56" s="76"/>
      <c r="OJF56" s="76"/>
      <c r="OJG56" s="76"/>
      <c r="OJH56" s="76"/>
      <c r="OJI56" s="76"/>
      <c r="OJJ56" s="76"/>
      <c r="OJK56" s="76"/>
      <c r="OJL56" s="76"/>
      <c r="OJM56" s="76"/>
      <c r="OJN56" s="76"/>
      <c r="OJO56" s="76"/>
      <c r="OJP56" s="76"/>
      <c r="OJQ56" s="76"/>
      <c r="OJR56" s="76"/>
      <c r="OJS56" s="76"/>
      <c r="OJT56" s="76"/>
      <c r="OJU56" s="76"/>
      <c r="OJV56" s="76"/>
      <c r="OJW56" s="76"/>
      <c r="OJX56" s="76"/>
      <c r="OJY56" s="76"/>
      <c r="OJZ56" s="76"/>
      <c r="OKA56" s="76"/>
      <c r="OKB56" s="76"/>
      <c r="OKC56" s="76"/>
      <c r="OKD56" s="76"/>
      <c r="OKE56" s="76"/>
      <c r="OKF56" s="76"/>
      <c r="OKG56" s="76"/>
      <c r="OKH56" s="76"/>
      <c r="OKI56" s="76"/>
      <c r="OKJ56" s="76"/>
      <c r="OKK56" s="76"/>
      <c r="OKL56" s="76"/>
      <c r="OKM56" s="76"/>
      <c r="OKN56" s="76"/>
      <c r="OKO56" s="76"/>
      <c r="OKP56" s="76"/>
      <c r="OKQ56" s="76"/>
      <c r="OKR56" s="76"/>
      <c r="OKS56" s="76"/>
      <c r="OKT56" s="76"/>
      <c r="OKU56" s="76"/>
      <c r="OKV56" s="76"/>
      <c r="OKW56" s="76"/>
      <c r="OKX56" s="76"/>
      <c r="OKY56" s="76"/>
      <c r="OKZ56" s="76"/>
      <c r="OLA56" s="76"/>
      <c r="OLB56" s="76"/>
      <c r="OLC56" s="76"/>
      <c r="OLD56" s="76"/>
      <c r="OLE56" s="76"/>
      <c r="OLF56" s="76"/>
      <c r="OLG56" s="76"/>
      <c r="OLH56" s="76"/>
      <c r="OLI56" s="76"/>
      <c r="OLJ56" s="76"/>
      <c r="OLK56" s="76"/>
      <c r="OLL56" s="76"/>
      <c r="OLM56" s="76"/>
      <c r="OLN56" s="76"/>
      <c r="OLO56" s="76"/>
      <c r="OLP56" s="76"/>
      <c r="OLQ56" s="76"/>
      <c r="OLR56" s="76"/>
      <c r="OLS56" s="76"/>
      <c r="OLT56" s="76"/>
      <c r="OLU56" s="76"/>
      <c r="OLV56" s="76"/>
      <c r="OLW56" s="76"/>
      <c r="OLX56" s="76"/>
      <c r="OLY56" s="76"/>
      <c r="OLZ56" s="76"/>
      <c r="OMA56" s="76"/>
      <c r="OMB56" s="76"/>
      <c r="OMC56" s="76"/>
      <c r="OMD56" s="76"/>
      <c r="OME56" s="76"/>
      <c r="OMF56" s="76"/>
      <c r="OMG56" s="76"/>
      <c r="OMH56" s="76"/>
      <c r="OMI56" s="76"/>
      <c r="OMJ56" s="76"/>
      <c r="OMK56" s="76"/>
      <c r="OML56" s="76"/>
      <c r="OMM56" s="76"/>
      <c r="OMN56" s="76"/>
      <c r="OMO56" s="76"/>
      <c r="OMP56" s="76"/>
      <c r="OMQ56" s="76"/>
      <c r="OMR56" s="76"/>
      <c r="OMS56" s="76"/>
      <c r="OMT56" s="76"/>
      <c r="OMU56" s="76"/>
      <c r="OMV56" s="76"/>
      <c r="OMW56" s="76"/>
      <c r="OMX56" s="76"/>
      <c r="OMY56" s="76"/>
      <c r="OMZ56" s="76"/>
      <c r="ONA56" s="76"/>
      <c r="ONB56" s="76"/>
      <c r="ONC56" s="76"/>
      <c r="OND56" s="76"/>
      <c r="ONE56" s="76"/>
      <c r="ONF56" s="76"/>
      <c r="ONG56" s="76"/>
      <c r="ONH56" s="76"/>
      <c r="ONI56" s="76"/>
      <c r="ONJ56" s="76"/>
      <c r="ONK56" s="76"/>
      <c r="ONL56" s="76"/>
      <c r="ONM56" s="76"/>
      <c r="ONN56" s="76"/>
      <c r="ONO56" s="76"/>
      <c r="ONP56" s="76"/>
      <c r="ONQ56" s="76"/>
      <c r="ONR56" s="76"/>
      <c r="ONS56" s="76"/>
      <c r="ONT56" s="76"/>
      <c r="ONU56" s="76"/>
      <c r="ONV56" s="76"/>
      <c r="ONW56" s="76"/>
      <c r="ONX56" s="76"/>
      <c r="ONY56" s="76"/>
      <c r="ONZ56" s="76"/>
      <c r="OOA56" s="76"/>
      <c r="OOB56" s="76"/>
      <c r="OOC56" s="76"/>
      <c r="OOD56" s="76"/>
      <c r="OOE56" s="76"/>
      <c r="OOF56" s="76"/>
      <c r="OOG56" s="76"/>
      <c r="OOH56" s="76"/>
      <c r="OOI56" s="76"/>
      <c r="OOJ56" s="76"/>
      <c r="OOK56" s="76"/>
      <c r="OOL56" s="76"/>
      <c r="OOM56" s="76"/>
      <c r="OON56" s="76"/>
      <c r="OOO56" s="76"/>
      <c r="OOP56" s="76"/>
      <c r="OOQ56" s="76"/>
      <c r="OOR56" s="76"/>
      <c r="OOS56" s="76"/>
      <c r="OOT56" s="76"/>
      <c r="OOU56" s="76"/>
      <c r="OOV56" s="76"/>
      <c r="OOW56" s="76"/>
      <c r="OOX56" s="76"/>
      <c r="OOY56" s="76"/>
      <c r="OOZ56" s="76"/>
      <c r="OPA56" s="76"/>
      <c r="OPB56" s="76"/>
      <c r="OPC56" s="76"/>
      <c r="OPD56" s="76"/>
      <c r="OPE56" s="76"/>
      <c r="OPF56" s="76"/>
      <c r="OPG56" s="76"/>
      <c r="OPH56" s="76"/>
      <c r="OPI56" s="76"/>
      <c r="OPJ56" s="76"/>
      <c r="OPK56" s="76"/>
      <c r="OPL56" s="76"/>
      <c r="OPM56" s="76"/>
      <c r="OPN56" s="76"/>
      <c r="OPO56" s="76"/>
      <c r="OPP56" s="76"/>
      <c r="OPQ56" s="76"/>
      <c r="OPR56" s="76"/>
      <c r="OPS56" s="76"/>
      <c r="OPT56" s="76"/>
      <c r="OPU56" s="76"/>
      <c r="OPV56" s="76"/>
      <c r="OPW56" s="76"/>
      <c r="OPX56" s="76"/>
      <c r="OPY56" s="76"/>
      <c r="OPZ56" s="76"/>
      <c r="OQA56" s="76"/>
      <c r="OQB56" s="76"/>
      <c r="OQC56" s="76"/>
      <c r="OQD56" s="76"/>
      <c r="OQE56" s="76"/>
      <c r="OQF56" s="76"/>
      <c r="OQG56" s="76"/>
      <c r="OQH56" s="76"/>
      <c r="OQI56" s="76"/>
      <c r="OQJ56" s="76"/>
      <c r="OQK56" s="76"/>
      <c r="OQL56" s="76"/>
      <c r="OQM56" s="76"/>
      <c r="OQN56" s="76"/>
      <c r="OQO56" s="76"/>
      <c r="OQP56" s="76"/>
      <c r="OQQ56" s="76"/>
      <c r="OQR56" s="76"/>
      <c r="OQS56" s="76"/>
      <c r="OQT56" s="76"/>
      <c r="OQU56" s="76"/>
      <c r="OQV56" s="76"/>
      <c r="OQW56" s="76"/>
      <c r="OQX56" s="76"/>
      <c r="OQY56" s="76"/>
      <c r="OQZ56" s="76"/>
      <c r="ORA56" s="76"/>
      <c r="ORB56" s="76"/>
      <c r="ORC56" s="76"/>
      <c r="ORD56" s="76"/>
      <c r="ORE56" s="76"/>
      <c r="ORF56" s="76"/>
      <c r="ORG56" s="76"/>
      <c r="ORH56" s="76"/>
      <c r="ORI56" s="76"/>
      <c r="ORJ56" s="76"/>
      <c r="ORK56" s="76"/>
      <c r="ORL56" s="76"/>
      <c r="ORM56" s="76"/>
      <c r="ORN56" s="76"/>
      <c r="ORO56" s="76"/>
      <c r="ORP56" s="76"/>
      <c r="ORQ56" s="76"/>
      <c r="ORR56" s="76"/>
      <c r="ORS56" s="76"/>
      <c r="ORT56" s="76"/>
      <c r="ORU56" s="76"/>
      <c r="ORV56" s="76"/>
      <c r="ORW56" s="76"/>
      <c r="ORX56" s="76"/>
      <c r="ORY56" s="76"/>
      <c r="ORZ56" s="76"/>
      <c r="OSA56" s="76"/>
      <c r="OSB56" s="76"/>
      <c r="OSC56" s="76"/>
      <c r="OSD56" s="76"/>
      <c r="OSE56" s="76"/>
      <c r="OSF56" s="76"/>
      <c r="OSG56" s="76"/>
      <c r="OSH56" s="76"/>
      <c r="OSI56" s="76"/>
      <c r="OSJ56" s="76"/>
      <c r="OSK56" s="76"/>
      <c r="OSL56" s="76"/>
      <c r="OSM56" s="76"/>
      <c r="OSN56" s="76"/>
      <c r="OSO56" s="76"/>
      <c r="OSP56" s="76"/>
      <c r="OSQ56" s="76"/>
      <c r="OSR56" s="76"/>
      <c r="OSS56" s="76"/>
      <c r="OST56" s="76"/>
      <c r="OSU56" s="76"/>
      <c r="OSV56" s="76"/>
      <c r="OSW56" s="76"/>
      <c r="OSX56" s="76"/>
      <c r="OSY56" s="76"/>
      <c r="OSZ56" s="76"/>
      <c r="OTA56" s="76"/>
      <c r="OTB56" s="76"/>
      <c r="OTC56" s="76"/>
      <c r="OTD56" s="76"/>
      <c r="OTE56" s="76"/>
      <c r="OTF56" s="76"/>
      <c r="OTG56" s="76"/>
      <c r="OTH56" s="76"/>
      <c r="OTI56" s="76"/>
      <c r="OTJ56" s="76"/>
      <c r="OTK56" s="76"/>
      <c r="OTL56" s="76"/>
      <c r="OTM56" s="76"/>
      <c r="OTN56" s="76"/>
      <c r="OTO56" s="76"/>
      <c r="OTP56" s="76"/>
      <c r="OTQ56" s="76"/>
      <c r="OTR56" s="76"/>
      <c r="OTS56" s="76"/>
      <c r="OTT56" s="76"/>
      <c r="OTU56" s="76"/>
      <c r="OTV56" s="76"/>
      <c r="OTW56" s="76"/>
      <c r="OTX56" s="76"/>
      <c r="OTY56" s="76"/>
      <c r="OTZ56" s="76"/>
      <c r="OUA56" s="76"/>
      <c r="OUB56" s="76"/>
      <c r="OUC56" s="76"/>
      <c r="OUD56" s="76"/>
      <c r="OUE56" s="76"/>
      <c r="OUF56" s="76"/>
      <c r="OUG56" s="76"/>
      <c r="OUH56" s="76"/>
      <c r="OUI56" s="76"/>
      <c r="OUJ56" s="76"/>
      <c r="OUK56" s="76"/>
      <c r="OUL56" s="76"/>
      <c r="OUM56" s="76"/>
      <c r="OUN56" s="76"/>
      <c r="OUO56" s="76"/>
      <c r="OUP56" s="76"/>
      <c r="OUQ56" s="76"/>
      <c r="OUR56" s="76"/>
      <c r="OUS56" s="76"/>
      <c r="OUT56" s="76"/>
      <c r="OUU56" s="76"/>
      <c r="OUV56" s="76"/>
      <c r="OUW56" s="76"/>
      <c r="OUX56" s="76"/>
      <c r="OUY56" s="76"/>
      <c r="OUZ56" s="76"/>
      <c r="OVA56" s="76"/>
      <c r="OVB56" s="76"/>
      <c r="OVC56" s="76"/>
      <c r="OVD56" s="76"/>
      <c r="OVE56" s="76"/>
      <c r="OVF56" s="76"/>
      <c r="OVG56" s="76"/>
      <c r="OVH56" s="76"/>
      <c r="OVI56" s="76"/>
      <c r="OVJ56" s="76"/>
      <c r="OVK56" s="76"/>
      <c r="OVL56" s="76"/>
      <c r="OVM56" s="76"/>
      <c r="OVN56" s="76"/>
      <c r="OVO56" s="76"/>
      <c r="OVP56" s="76"/>
      <c r="OVQ56" s="76"/>
      <c r="OVR56" s="76"/>
      <c r="OVS56" s="76"/>
      <c r="OVT56" s="76"/>
      <c r="OVU56" s="76"/>
      <c r="OVV56" s="76"/>
      <c r="OVW56" s="76"/>
      <c r="OVX56" s="76"/>
      <c r="OVY56" s="76"/>
      <c r="OVZ56" s="76"/>
      <c r="OWA56" s="76"/>
      <c r="OWB56" s="76"/>
      <c r="OWC56" s="76"/>
      <c r="OWD56" s="76"/>
      <c r="OWE56" s="76"/>
      <c r="OWF56" s="76"/>
      <c r="OWG56" s="76"/>
      <c r="OWH56" s="76"/>
      <c r="OWI56" s="76"/>
      <c r="OWJ56" s="76"/>
      <c r="OWK56" s="76"/>
      <c r="OWL56" s="76"/>
      <c r="OWM56" s="76"/>
      <c r="OWN56" s="76"/>
      <c r="OWO56" s="76"/>
      <c r="OWP56" s="76"/>
      <c r="OWQ56" s="76"/>
      <c r="OWR56" s="76"/>
      <c r="OWS56" s="76"/>
      <c r="OWT56" s="76"/>
      <c r="OWU56" s="76"/>
      <c r="OWV56" s="76"/>
      <c r="OWW56" s="76"/>
      <c r="OWX56" s="76"/>
      <c r="OWY56" s="76"/>
      <c r="OWZ56" s="76"/>
      <c r="OXA56" s="76"/>
      <c r="OXB56" s="76"/>
      <c r="OXC56" s="76"/>
      <c r="OXD56" s="76"/>
      <c r="OXE56" s="76"/>
      <c r="OXF56" s="76"/>
      <c r="OXG56" s="76"/>
      <c r="OXH56" s="76"/>
      <c r="OXI56" s="76"/>
      <c r="OXJ56" s="76"/>
      <c r="OXK56" s="76"/>
      <c r="OXL56" s="76"/>
      <c r="OXM56" s="76"/>
      <c r="OXN56" s="76"/>
      <c r="OXO56" s="76"/>
      <c r="OXP56" s="76"/>
      <c r="OXQ56" s="76"/>
      <c r="OXR56" s="76"/>
      <c r="OXS56" s="76"/>
      <c r="OXT56" s="76"/>
      <c r="OXU56" s="76"/>
      <c r="OXV56" s="76"/>
      <c r="OXW56" s="76"/>
      <c r="OXX56" s="76"/>
      <c r="OXY56" s="76"/>
      <c r="OXZ56" s="76"/>
      <c r="OYA56" s="76"/>
      <c r="OYB56" s="76"/>
      <c r="OYC56" s="76"/>
      <c r="OYD56" s="76"/>
      <c r="OYE56" s="76"/>
      <c r="OYF56" s="76"/>
      <c r="OYG56" s="76"/>
      <c r="OYH56" s="76"/>
      <c r="OYI56" s="76"/>
      <c r="OYJ56" s="76"/>
      <c r="OYK56" s="76"/>
      <c r="OYL56" s="76"/>
      <c r="OYM56" s="76"/>
      <c r="OYN56" s="76"/>
      <c r="OYO56" s="76"/>
      <c r="OYP56" s="76"/>
      <c r="OYQ56" s="76"/>
      <c r="OYR56" s="76"/>
      <c r="OYS56" s="76"/>
      <c r="OYT56" s="76"/>
      <c r="OYU56" s="76"/>
      <c r="OYV56" s="76"/>
      <c r="OYW56" s="76"/>
      <c r="OYX56" s="76"/>
      <c r="OYY56" s="76"/>
      <c r="OYZ56" s="76"/>
      <c r="OZA56" s="76"/>
      <c r="OZB56" s="76"/>
      <c r="OZC56" s="76"/>
      <c r="OZD56" s="76"/>
      <c r="OZE56" s="76"/>
      <c r="OZF56" s="76"/>
      <c r="OZG56" s="76"/>
      <c r="OZH56" s="76"/>
      <c r="OZI56" s="76"/>
      <c r="OZJ56" s="76"/>
      <c r="OZK56" s="76"/>
      <c r="OZL56" s="76"/>
      <c r="OZM56" s="76"/>
      <c r="OZN56" s="76"/>
      <c r="OZO56" s="76"/>
      <c r="OZP56" s="76"/>
      <c r="OZQ56" s="76"/>
      <c r="OZR56" s="76"/>
      <c r="OZS56" s="76"/>
      <c r="OZT56" s="76"/>
      <c r="OZU56" s="76"/>
      <c r="OZV56" s="76"/>
      <c r="OZW56" s="76"/>
      <c r="OZX56" s="76"/>
      <c r="OZY56" s="76"/>
      <c r="OZZ56" s="76"/>
      <c r="PAA56" s="76"/>
      <c r="PAB56" s="76"/>
      <c r="PAC56" s="76"/>
      <c r="PAD56" s="76"/>
      <c r="PAE56" s="76"/>
      <c r="PAF56" s="76"/>
      <c r="PAG56" s="76"/>
      <c r="PAH56" s="76"/>
      <c r="PAI56" s="76"/>
      <c r="PAJ56" s="76"/>
      <c r="PAK56" s="76"/>
      <c r="PAL56" s="76"/>
      <c r="PAM56" s="76"/>
      <c r="PAN56" s="76"/>
      <c r="PAO56" s="76"/>
      <c r="PAP56" s="76"/>
      <c r="PAQ56" s="76"/>
      <c r="PAR56" s="76"/>
      <c r="PAS56" s="76"/>
      <c r="PAT56" s="76"/>
      <c r="PAU56" s="76"/>
      <c r="PAV56" s="76"/>
      <c r="PAW56" s="76"/>
      <c r="PAX56" s="76"/>
      <c r="PAY56" s="76"/>
      <c r="PAZ56" s="76"/>
      <c r="PBA56" s="76"/>
      <c r="PBB56" s="76"/>
      <c r="PBC56" s="76"/>
      <c r="PBD56" s="76"/>
      <c r="PBE56" s="76"/>
      <c r="PBF56" s="76"/>
      <c r="PBG56" s="76"/>
      <c r="PBH56" s="76"/>
      <c r="PBI56" s="76"/>
      <c r="PBJ56" s="76"/>
      <c r="PBK56" s="76"/>
      <c r="PBL56" s="76"/>
      <c r="PBM56" s="76"/>
      <c r="PBN56" s="76"/>
      <c r="PBO56" s="76"/>
      <c r="PBP56" s="76"/>
      <c r="PBQ56" s="76"/>
      <c r="PBR56" s="76"/>
      <c r="PBS56" s="76"/>
      <c r="PBT56" s="76"/>
      <c r="PBU56" s="76"/>
      <c r="PBV56" s="76"/>
      <c r="PBW56" s="76"/>
      <c r="PBX56" s="76"/>
      <c r="PBY56" s="76"/>
      <c r="PBZ56" s="76"/>
      <c r="PCA56" s="76"/>
      <c r="PCB56" s="76"/>
      <c r="PCC56" s="76"/>
      <c r="PCD56" s="76"/>
      <c r="PCE56" s="76"/>
      <c r="PCF56" s="76"/>
      <c r="PCG56" s="76"/>
      <c r="PCH56" s="76"/>
      <c r="PCI56" s="76"/>
      <c r="PCJ56" s="76"/>
      <c r="PCK56" s="76"/>
      <c r="PCL56" s="76"/>
      <c r="PCM56" s="76"/>
      <c r="PCN56" s="76"/>
      <c r="PCO56" s="76"/>
      <c r="PCP56" s="76"/>
      <c r="PCQ56" s="76"/>
      <c r="PCR56" s="76"/>
      <c r="PCS56" s="76"/>
      <c r="PCT56" s="76"/>
      <c r="PCU56" s="76"/>
      <c r="PCV56" s="76"/>
      <c r="PCW56" s="76"/>
      <c r="PCX56" s="76"/>
      <c r="PCY56" s="76"/>
      <c r="PCZ56" s="76"/>
      <c r="PDA56" s="76"/>
      <c r="PDB56" s="76"/>
      <c r="PDC56" s="76"/>
      <c r="PDD56" s="76"/>
      <c r="PDE56" s="76"/>
      <c r="PDF56" s="76"/>
      <c r="PDG56" s="76"/>
      <c r="PDH56" s="76"/>
      <c r="PDI56" s="76"/>
      <c r="PDJ56" s="76"/>
      <c r="PDK56" s="76"/>
      <c r="PDL56" s="76"/>
      <c r="PDM56" s="76"/>
      <c r="PDN56" s="76"/>
      <c r="PDO56" s="76"/>
      <c r="PDP56" s="76"/>
      <c r="PDQ56" s="76"/>
      <c r="PDR56" s="76"/>
      <c r="PDS56" s="76"/>
      <c r="PDT56" s="76"/>
      <c r="PDU56" s="76"/>
      <c r="PDV56" s="76"/>
      <c r="PDW56" s="76"/>
      <c r="PDX56" s="76"/>
      <c r="PDY56" s="76"/>
      <c r="PDZ56" s="76"/>
      <c r="PEA56" s="76"/>
      <c r="PEB56" s="76"/>
      <c r="PEC56" s="76"/>
      <c r="PED56" s="76"/>
      <c r="PEE56" s="76"/>
      <c r="PEF56" s="76"/>
      <c r="PEG56" s="76"/>
      <c r="PEH56" s="76"/>
      <c r="PEI56" s="76"/>
      <c r="PEJ56" s="76"/>
      <c r="PEK56" s="76"/>
      <c r="PEL56" s="76"/>
      <c r="PEM56" s="76"/>
      <c r="PEN56" s="76"/>
      <c r="PEO56" s="76"/>
      <c r="PEP56" s="76"/>
      <c r="PEQ56" s="76"/>
      <c r="PER56" s="76"/>
      <c r="PES56" s="76"/>
      <c r="PET56" s="76"/>
      <c r="PEU56" s="76"/>
      <c r="PEV56" s="76"/>
      <c r="PEW56" s="76"/>
      <c r="PEX56" s="76"/>
      <c r="PEY56" s="76"/>
      <c r="PEZ56" s="76"/>
      <c r="PFA56" s="76"/>
      <c r="PFB56" s="76"/>
      <c r="PFC56" s="76"/>
      <c r="PFD56" s="76"/>
      <c r="PFE56" s="76"/>
      <c r="PFF56" s="76"/>
      <c r="PFG56" s="76"/>
      <c r="PFH56" s="76"/>
      <c r="PFI56" s="76"/>
      <c r="PFJ56" s="76"/>
      <c r="PFK56" s="76"/>
      <c r="PFL56" s="76"/>
      <c r="PFM56" s="76"/>
      <c r="PFN56" s="76"/>
      <c r="PFO56" s="76"/>
      <c r="PFP56" s="76"/>
      <c r="PFQ56" s="76"/>
      <c r="PFR56" s="76"/>
      <c r="PFS56" s="76"/>
      <c r="PFT56" s="76"/>
      <c r="PFU56" s="76"/>
      <c r="PFV56" s="76"/>
      <c r="PFW56" s="76"/>
      <c r="PFX56" s="76"/>
      <c r="PFY56" s="76"/>
      <c r="PFZ56" s="76"/>
      <c r="PGA56" s="76"/>
      <c r="PGB56" s="76"/>
      <c r="PGC56" s="76"/>
      <c r="PGD56" s="76"/>
      <c r="PGE56" s="76"/>
      <c r="PGF56" s="76"/>
      <c r="PGG56" s="76"/>
      <c r="PGH56" s="76"/>
      <c r="PGI56" s="76"/>
      <c r="PGJ56" s="76"/>
      <c r="PGK56" s="76"/>
      <c r="PGL56" s="76"/>
      <c r="PGM56" s="76"/>
      <c r="PGN56" s="76"/>
      <c r="PGO56" s="76"/>
      <c r="PGP56" s="76"/>
      <c r="PGQ56" s="76"/>
      <c r="PGR56" s="76"/>
      <c r="PGS56" s="76"/>
      <c r="PGT56" s="76"/>
      <c r="PGU56" s="76"/>
      <c r="PGV56" s="76"/>
      <c r="PGW56" s="76"/>
      <c r="PGX56" s="76"/>
      <c r="PGY56" s="76"/>
      <c r="PGZ56" s="76"/>
      <c r="PHA56" s="76"/>
      <c r="PHB56" s="76"/>
      <c r="PHC56" s="76"/>
      <c r="PHD56" s="76"/>
      <c r="PHE56" s="76"/>
      <c r="PHF56" s="76"/>
      <c r="PHG56" s="76"/>
      <c r="PHH56" s="76"/>
      <c r="PHI56" s="76"/>
      <c r="PHJ56" s="76"/>
      <c r="PHK56" s="76"/>
      <c r="PHL56" s="76"/>
      <c r="PHM56" s="76"/>
      <c r="PHN56" s="76"/>
      <c r="PHO56" s="76"/>
      <c r="PHP56" s="76"/>
      <c r="PHQ56" s="76"/>
      <c r="PHR56" s="76"/>
      <c r="PHS56" s="76"/>
      <c r="PHT56" s="76"/>
      <c r="PHU56" s="76"/>
      <c r="PHV56" s="76"/>
      <c r="PHW56" s="76"/>
      <c r="PHX56" s="76"/>
      <c r="PHY56" s="76"/>
      <c r="PHZ56" s="76"/>
      <c r="PIA56" s="76"/>
      <c r="PIB56" s="76"/>
      <c r="PIC56" s="76"/>
      <c r="PID56" s="76"/>
      <c r="PIE56" s="76"/>
      <c r="PIF56" s="76"/>
      <c r="PIG56" s="76"/>
      <c r="PIH56" s="76"/>
      <c r="PII56" s="76"/>
      <c r="PIJ56" s="76"/>
      <c r="PIK56" s="76"/>
      <c r="PIL56" s="76"/>
      <c r="PIM56" s="76"/>
      <c r="PIN56" s="76"/>
      <c r="PIO56" s="76"/>
      <c r="PIP56" s="76"/>
      <c r="PIQ56" s="76"/>
      <c r="PIR56" s="76"/>
      <c r="PIS56" s="76"/>
      <c r="PIT56" s="76"/>
      <c r="PIU56" s="76"/>
      <c r="PIV56" s="76"/>
      <c r="PIW56" s="76"/>
      <c r="PIX56" s="76"/>
      <c r="PIY56" s="76"/>
      <c r="PIZ56" s="76"/>
      <c r="PJA56" s="76"/>
      <c r="PJB56" s="76"/>
      <c r="PJC56" s="76"/>
      <c r="PJD56" s="76"/>
      <c r="PJE56" s="76"/>
      <c r="PJF56" s="76"/>
      <c r="PJG56" s="76"/>
      <c r="PJH56" s="76"/>
      <c r="PJI56" s="76"/>
      <c r="PJJ56" s="76"/>
      <c r="PJK56" s="76"/>
      <c r="PJL56" s="76"/>
      <c r="PJM56" s="76"/>
      <c r="PJN56" s="76"/>
      <c r="PJO56" s="76"/>
      <c r="PJP56" s="76"/>
      <c r="PJQ56" s="76"/>
      <c r="PJR56" s="76"/>
      <c r="PJS56" s="76"/>
      <c r="PJT56" s="76"/>
      <c r="PJU56" s="76"/>
      <c r="PJV56" s="76"/>
      <c r="PJW56" s="76"/>
      <c r="PJX56" s="76"/>
      <c r="PJY56" s="76"/>
      <c r="PJZ56" s="76"/>
      <c r="PKA56" s="76"/>
      <c r="PKB56" s="76"/>
      <c r="PKC56" s="76"/>
      <c r="PKD56" s="76"/>
      <c r="PKE56" s="76"/>
      <c r="PKF56" s="76"/>
      <c r="PKG56" s="76"/>
      <c r="PKH56" s="76"/>
      <c r="PKI56" s="76"/>
      <c r="PKJ56" s="76"/>
      <c r="PKK56" s="76"/>
      <c r="PKL56" s="76"/>
      <c r="PKM56" s="76"/>
      <c r="PKN56" s="76"/>
      <c r="PKO56" s="76"/>
      <c r="PKP56" s="76"/>
      <c r="PKQ56" s="76"/>
      <c r="PKR56" s="76"/>
      <c r="PKS56" s="76"/>
      <c r="PKT56" s="76"/>
      <c r="PKU56" s="76"/>
      <c r="PKV56" s="76"/>
      <c r="PKW56" s="76"/>
      <c r="PKX56" s="76"/>
      <c r="PKY56" s="76"/>
      <c r="PKZ56" s="76"/>
      <c r="PLA56" s="76"/>
      <c r="PLB56" s="76"/>
      <c r="PLC56" s="76"/>
      <c r="PLD56" s="76"/>
      <c r="PLE56" s="76"/>
      <c r="PLF56" s="76"/>
      <c r="PLG56" s="76"/>
      <c r="PLH56" s="76"/>
      <c r="PLI56" s="76"/>
      <c r="PLJ56" s="76"/>
      <c r="PLK56" s="76"/>
      <c r="PLL56" s="76"/>
      <c r="PLM56" s="76"/>
      <c r="PLN56" s="76"/>
      <c r="PLO56" s="76"/>
      <c r="PLP56" s="76"/>
      <c r="PLQ56" s="76"/>
      <c r="PLR56" s="76"/>
      <c r="PLS56" s="76"/>
      <c r="PLT56" s="76"/>
      <c r="PLU56" s="76"/>
      <c r="PLV56" s="76"/>
      <c r="PLW56" s="76"/>
      <c r="PLX56" s="76"/>
      <c r="PLY56" s="76"/>
      <c r="PLZ56" s="76"/>
      <c r="PMA56" s="76"/>
      <c r="PMB56" s="76"/>
      <c r="PMC56" s="76"/>
      <c r="PMD56" s="76"/>
      <c r="PME56" s="76"/>
      <c r="PMF56" s="76"/>
      <c r="PMG56" s="76"/>
      <c r="PMH56" s="76"/>
      <c r="PMI56" s="76"/>
      <c r="PMJ56" s="76"/>
      <c r="PMK56" s="76"/>
      <c r="PML56" s="76"/>
      <c r="PMM56" s="76"/>
      <c r="PMN56" s="76"/>
      <c r="PMO56" s="76"/>
      <c r="PMP56" s="76"/>
      <c r="PMQ56" s="76"/>
      <c r="PMR56" s="76"/>
      <c r="PMS56" s="76"/>
      <c r="PMT56" s="76"/>
      <c r="PMU56" s="76"/>
      <c r="PMV56" s="76"/>
      <c r="PMW56" s="76"/>
      <c r="PMX56" s="76"/>
      <c r="PMY56" s="76"/>
      <c r="PMZ56" s="76"/>
      <c r="PNA56" s="76"/>
      <c r="PNB56" s="76"/>
      <c r="PNC56" s="76"/>
      <c r="PND56" s="76"/>
      <c r="PNE56" s="76"/>
      <c r="PNF56" s="76"/>
      <c r="PNG56" s="76"/>
      <c r="PNH56" s="76"/>
      <c r="PNI56" s="76"/>
      <c r="PNJ56" s="76"/>
      <c r="PNK56" s="76"/>
      <c r="PNL56" s="76"/>
      <c r="PNM56" s="76"/>
      <c r="PNN56" s="76"/>
      <c r="PNO56" s="76"/>
      <c r="PNP56" s="76"/>
      <c r="PNQ56" s="76"/>
      <c r="PNR56" s="76"/>
      <c r="PNS56" s="76"/>
      <c r="PNT56" s="76"/>
      <c r="PNU56" s="76"/>
      <c r="PNV56" s="76"/>
      <c r="PNW56" s="76"/>
      <c r="PNX56" s="76"/>
      <c r="PNY56" s="76"/>
      <c r="PNZ56" s="76"/>
      <c r="POA56" s="76"/>
      <c r="POB56" s="76"/>
      <c r="POC56" s="76"/>
      <c r="POD56" s="76"/>
      <c r="POE56" s="76"/>
      <c r="POF56" s="76"/>
      <c r="POG56" s="76"/>
      <c r="POH56" s="76"/>
      <c r="POI56" s="76"/>
      <c r="POJ56" s="76"/>
      <c r="POK56" s="76"/>
      <c r="POL56" s="76"/>
      <c r="POM56" s="76"/>
      <c r="PON56" s="76"/>
      <c r="POO56" s="76"/>
      <c r="POP56" s="76"/>
      <c r="POQ56" s="76"/>
      <c r="POR56" s="76"/>
      <c r="POS56" s="76"/>
      <c r="POT56" s="76"/>
      <c r="POU56" s="76"/>
      <c r="POV56" s="76"/>
      <c r="POW56" s="76"/>
      <c r="POX56" s="76"/>
      <c r="POY56" s="76"/>
      <c r="POZ56" s="76"/>
      <c r="PPA56" s="76"/>
      <c r="PPB56" s="76"/>
      <c r="PPC56" s="76"/>
      <c r="PPD56" s="76"/>
      <c r="PPE56" s="76"/>
      <c r="PPF56" s="76"/>
      <c r="PPG56" s="76"/>
      <c r="PPH56" s="76"/>
      <c r="PPI56" s="76"/>
      <c r="PPJ56" s="76"/>
      <c r="PPK56" s="76"/>
      <c r="PPL56" s="76"/>
      <c r="PPM56" s="76"/>
      <c r="PPN56" s="76"/>
      <c r="PPO56" s="76"/>
      <c r="PPP56" s="76"/>
      <c r="PPQ56" s="76"/>
      <c r="PPR56" s="76"/>
      <c r="PPS56" s="76"/>
      <c r="PPT56" s="76"/>
      <c r="PPU56" s="76"/>
      <c r="PPV56" s="76"/>
      <c r="PPW56" s="76"/>
      <c r="PPX56" s="76"/>
      <c r="PPY56" s="76"/>
      <c r="PPZ56" s="76"/>
      <c r="PQA56" s="76"/>
      <c r="PQB56" s="76"/>
      <c r="PQC56" s="76"/>
      <c r="PQD56" s="76"/>
      <c r="PQE56" s="76"/>
      <c r="PQF56" s="76"/>
      <c r="PQG56" s="76"/>
      <c r="PQH56" s="76"/>
      <c r="PQI56" s="76"/>
      <c r="PQJ56" s="76"/>
      <c r="PQK56" s="76"/>
      <c r="PQL56" s="76"/>
      <c r="PQM56" s="76"/>
      <c r="PQN56" s="76"/>
      <c r="PQO56" s="76"/>
      <c r="PQP56" s="76"/>
      <c r="PQQ56" s="76"/>
      <c r="PQR56" s="76"/>
      <c r="PQS56" s="76"/>
      <c r="PQT56" s="76"/>
      <c r="PQU56" s="76"/>
      <c r="PQV56" s="76"/>
      <c r="PQW56" s="76"/>
      <c r="PQX56" s="76"/>
      <c r="PQY56" s="76"/>
      <c r="PQZ56" s="76"/>
      <c r="PRA56" s="76"/>
      <c r="PRB56" s="76"/>
      <c r="PRC56" s="76"/>
      <c r="PRD56" s="76"/>
      <c r="PRE56" s="76"/>
      <c r="PRF56" s="76"/>
      <c r="PRG56" s="76"/>
      <c r="PRH56" s="76"/>
      <c r="PRI56" s="76"/>
      <c r="PRJ56" s="76"/>
      <c r="PRK56" s="76"/>
      <c r="PRL56" s="76"/>
      <c r="PRM56" s="76"/>
      <c r="PRN56" s="76"/>
      <c r="PRO56" s="76"/>
      <c r="PRP56" s="76"/>
      <c r="PRQ56" s="76"/>
      <c r="PRR56" s="76"/>
      <c r="PRS56" s="76"/>
      <c r="PRT56" s="76"/>
      <c r="PRU56" s="76"/>
      <c r="PRV56" s="76"/>
      <c r="PRW56" s="76"/>
      <c r="PRX56" s="76"/>
      <c r="PRY56" s="76"/>
      <c r="PRZ56" s="76"/>
      <c r="PSA56" s="76"/>
      <c r="PSB56" s="76"/>
      <c r="PSC56" s="76"/>
      <c r="PSD56" s="76"/>
      <c r="PSE56" s="76"/>
      <c r="PSF56" s="76"/>
      <c r="PSG56" s="76"/>
      <c r="PSH56" s="76"/>
      <c r="PSI56" s="76"/>
      <c r="PSJ56" s="76"/>
      <c r="PSK56" s="76"/>
      <c r="PSL56" s="76"/>
      <c r="PSM56" s="76"/>
      <c r="PSN56" s="76"/>
      <c r="PSO56" s="76"/>
      <c r="PSP56" s="76"/>
      <c r="PSQ56" s="76"/>
      <c r="PSR56" s="76"/>
      <c r="PSS56" s="76"/>
      <c r="PST56" s="76"/>
      <c r="PSU56" s="76"/>
      <c r="PSV56" s="76"/>
      <c r="PSW56" s="76"/>
      <c r="PSX56" s="76"/>
      <c r="PSY56" s="76"/>
      <c r="PSZ56" s="76"/>
      <c r="PTA56" s="76"/>
      <c r="PTB56" s="76"/>
      <c r="PTC56" s="76"/>
      <c r="PTD56" s="76"/>
      <c r="PTE56" s="76"/>
      <c r="PTF56" s="76"/>
      <c r="PTG56" s="76"/>
      <c r="PTH56" s="76"/>
      <c r="PTI56" s="76"/>
      <c r="PTJ56" s="76"/>
      <c r="PTK56" s="76"/>
      <c r="PTL56" s="76"/>
      <c r="PTM56" s="76"/>
      <c r="PTN56" s="76"/>
      <c r="PTO56" s="76"/>
      <c r="PTP56" s="76"/>
      <c r="PTQ56" s="76"/>
      <c r="PTR56" s="76"/>
      <c r="PTS56" s="76"/>
      <c r="PTT56" s="76"/>
      <c r="PTU56" s="76"/>
      <c r="PTV56" s="76"/>
      <c r="PTW56" s="76"/>
      <c r="PTX56" s="76"/>
      <c r="PTY56" s="76"/>
      <c r="PTZ56" s="76"/>
      <c r="PUA56" s="76"/>
      <c r="PUB56" s="76"/>
      <c r="PUC56" s="76"/>
      <c r="PUD56" s="76"/>
      <c r="PUE56" s="76"/>
      <c r="PUF56" s="76"/>
      <c r="PUG56" s="76"/>
      <c r="PUH56" s="76"/>
      <c r="PUI56" s="76"/>
      <c r="PUJ56" s="76"/>
      <c r="PUK56" s="76"/>
      <c r="PUL56" s="76"/>
      <c r="PUM56" s="76"/>
      <c r="PUN56" s="76"/>
      <c r="PUO56" s="76"/>
      <c r="PUP56" s="76"/>
      <c r="PUQ56" s="76"/>
      <c r="PUR56" s="76"/>
      <c r="PUS56" s="76"/>
      <c r="PUT56" s="76"/>
      <c r="PUU56" s="76"/>
      <c r="PUV56" s="76"/>
      <c r="PUW56" s="76"/>
      <c r="PUX56" s="76"/>
      <c r="PUY56" s="76"/>
      <c r="PUZ56" s="76"/>
      <c r="PVA56" s="76"/>
      <c r="PVB56" s="76"/>
      <c r="PVC56" s="76"/>
      <c r="PVD56" s="76"/>
      <c r="PVE56" s="76"/>
      <c r="PVF56" s="76"/>
      <c r="PVG56" s="76"/>
      <c r="PVH56" s="76"/>
      <c r="PVI56" s="76"/>
      <c r="PVJ56" s="76"/>
      <c r="PVK56" s="76"/>
      <c r="PVL56" s="76"/>
      <c r="PVM56" s="76"/>
      <c r="PVN56" s="76"/>
      <c r="PVO56" s="76"/>
      <c r="PVP56" s="76"/>
      <c r="PVQ56" s="76"/>
      <c r="PVR56" s="76"/>
      <c r="PVS56" s="76"/>
      <c r="PVT56" s="76"/>
      <c r="PVU56" s="76"/>
      <c r="PVV56" s="76"/>
      <c r="PVW56" s="76"/>
      <c r="PVX56" s="76"/>
      <c r="PVY56" s="76"/>
      <c r="PVZ56" s="76"/>
      <c r="PWA56" s="76"/>
      <c r="PWB56" s="76"/>
      <c r="PWC56" s="76"/>
      <c r="PWD56" s="76"/>
      <c r="PWE56" s="76"/>
      <c r="PWF56" s="76"/>
      <c r="PWG56" s="76"/>
      <c r="PWH56" s="76"/>
      <c r="PWI56" s="76"/>
      <c r="PWJ56" s="76"/>
      <c r="PWK56" s="76"/>
      <c r="PWL56" s="76"/>
      <c r="PWM56" s="76"/>
      <c r="PWN56" s="76"/>
      <c r="PWO56" s="76"/>
      <c r="PWP56" s="76"/>
      <c r="PWQ56" s="76"/>
      <c r="PWR56" s="76"/>
      <c r="PWS56" s="76"/>
      <c r="PWT56" s="76"/>
      <c r="PWU56" s="76"/>
      <c r="PWV56" s="76"/>
      <c r="PWW56" s="76"/>
      <c r="PWX56" s="76"/>
      <c r="PWY56" s="76"/>
      <c r="PWZ56" s="76"/>
      <c r="PXA56" s="76"/>
      <c r="PXB56" s="76"/>
      <c r="PXC56" s="76"/>
      <c r="PXD56" s="76"/>
      <c r="PXE56" s="76"/>
      <c r="PXF56" s="76"/>
      <c r="PXG56" s="76"/>
      <c r="PXH56" s="76"/>
      <c r="PXI56" s="76"/>
      <c r="PXJ56" s="76"/>
      <c r="PXK56" s="76"/>
      <c r="PXL56" s="76"/>
      <c r="PXM56" s="76"/>
      <c r="PXN56" s="76"/>
      <c r="PXO56" s="76"/>
      <c r="PXP56" s="76"/>
      <c r="PXQ56" s="76"/>
      <c r="PXR56" s="76"/>
      <c r="PXS56" s="76"/>
      <c r="PXT56" s="76"/>
      <c r="PXU56" s="76"/>
      <c r="PXV56" s="76"/>
      <c r="PXW56" s="76"/>
      <c r="PXX56" s="76"/>
      <c r="PXY56" s="76"/>
      <c r="PXZ56" s="76"/>
      <c r="PYA56" s="76"/>
      <c r="PYB56" s="76"/>
      <c r="PYC56" s="76"/>
      <c r="PYD56" s="76"/>
      <c r="PYE56" s="76"/>
      <c r="PYF56" s="76"/>
      <c r="PYG56" s="76"/>
      <c r="PYH56" s="76"/>
      <c r="PYI56" s="76"/>
      <c r="PYJ56" s="76"/>
      <c r="PYK56" s="76"/>
      <c r="PYL56" s="76"/>
      <c r="PYM56" s="76"/>
      <c r="PYN56" s="76"/>
      <c r="PYO56" s="76"/>
      <c r="PYP56" s="76"/>
      <c r="PYQ56" s="76"/>
      <c r="PYR56" s="76"/>
      <c r="PYS56" s="76"/>
      <c r="PYT56" s="76"/>
      <c r="PYU56" s="76"/>
      <c r="PYV56" s="76"/>
      <c r="PYW56" s="76"/>
      <c r="PYX56" s="76"/>
      <c r="PYY56" s="76"/>
      <c r="PYZ56" s="76"/>
      <c r="PZA56" s="76"/>
      <c r="PZB56" s="76"/>
      <c r="PZC56" s="76"/>
      <c r="PZD56" s="76"/>
      <c r="PZE56" s="76"/>
      <c r="PZF56" s="76"/>
      <c r="PZG56" s="76"/>
      <c r="PZH56" s="76"/>
      <c r="PZI56" s="76"/>
      <c r="PZJ56" s="76"/>
      <c r="PZK56" s="76"/>
      <c r="PZL56" s="76"/>
      <c r="PZM56" s="76"/>
      <c r="PZN56" s="76"/>
      <c r="PZO56" s="76"/>
      <c r="PZP56" s="76"/>
      <c r="PZQ56" s="76"/>
      <c r="PZR56" s="76"/>
      <c r="PZS56" s="76"/>
      <c r="PZT56" s="76"/>
      <c r="PZU56" s="76"/>
      <c r="PZV56" s="76"/>
      <c r="PZW56" s="76"/>
      <c r="PZX56" s="76"/>
      <c r="PZY56" s="76"/>
      <c r="PZZ56" s="76"/>
      <c r="QAA56" s="76"/>
      <c r="QAB56" s="76"/>
      <c r="QAC56" s="76"/>
      <c r="QAD56" s="76"/>
      <c r="QAE56" s="76"/>
      <c r="QAF56" s="76"/>
      <c r="QAG56" s="76"/>
      <c r="QAH56" s="76"/>
      <c r="QAI56" s="76"/>
      <c r="QAJ56" s="76"/>
      <c r="QAK56" s="76"/>
      <c r="QAL56" s="76"/>
      <c r="QAM56" s="76"/>
      <c r="QAN56" s="76"/>
      <c r="QAO56" s="76"/>
      <c r="QAP56" s="76"/>
      <c r="QAQ56" s="76"/>
      <c r="QAR56" s="76"/>
      <c r="QAS56" s="76"/>
      <c r="QAT56" s="76"/>
      <c r="QAU56" s="76"/>
      <c r="QAV56" s="76"/>
      <c r="QAW56" s="76"/>
      <c r="QAX56" s="76"/>
      <c r="QAY56" s="76"/>
      <c r="QAZ56" s="76"/>
      <c r="QBA56" s="76"/>
      <c r="QBB56" s="76"/>
      <c r="QBC56" s="76"/>
      <c r="QBD56" s="76"/>
      <c r="QBE56" s="76"/>
      <c r="QBF56" s="76"/>
      <c r="QBG56" s="76"/>
      <c r="QBH56" s="76"/>
      <c r="QBI56" s="76"/>
      <c r="QBJ56" s="76"/>
      <c r="QBK56" s="76"/>
      <c r="QBL56" s="76"/>
      <c r="QBM56" s="76"/>
      <c r="QBN56" s="76"/>
      <c r="QBO56" s="76"/>
      <c r="QBP56" s="76"/>
      <c r="QBQ56" s="76"/>
      <c r="QBR56" s="76"/>
      <c r="QBS56" s="76"/>
      <c r="QBT56" s="76"/>
      <c r="QBU56" s="76"/>
      <c r="QBV56" s="76"/>
      <c r="QBW56" s="76"/>
      <c r="QBX56" s="76"/>
      <c r="QBY56" s="76"/>
      <c r="QBZ56" s="76"/>
      <c r="QCA56" s="76"/>
      <c r="QCB56" s="76"/>
      <c r="QCC56" s="76"/>
      <c r="QCD56" s="76"/>
      <c r="QCE56" s="76"/>
      <c r="QCF56" s="76"/>
      <c r="QCG56" s="76"/>
      <c r="QCH56" s="76"/>
      <c r="QCI56" s="76"/>
      <c r="QCJ56" s="76"/>
      <c r="QCK56" s="76"/>
      <c r="QCL56" s="76"/>
      <c r="QCM56" s="76"/>
      <c r="QCN56" s="76"/>
      <c r="QCO56" s="76"/>
      <c r="QCP56" s="76"/>
      <c r="QCQ56" s="76"/>
      <c r="QCR56" s="76"/>
      <c r="QCS56" s="76"/>
      <c r="QCT56" s="76"/>
      <c r="QCU56" s="76"/>
      <c r="QCV56" s="76"/>
      <c r="QCW56" s="76"/>
      <c r="QCX56" s="76"/>
      <c r="QCY56" s="76"/>
      <c r="QCZ56" s="76"/>
      <c r="QDA56" s="76"/>
      <c r="QDB56" s="76"/>
      <c r="QDC56" s="76"/>
      <c r="QDD56" s="76"/>
      <c r="QDE56" s="76"/>
      <c r="QDF56" s="76"/>
      <c r="QDG56" s="76"/>
      <c r="QDH56" s="76"/>
      <c r="QDI56" s="76"/>
      <c r="QDJ56" s="76"/>
      <c r="QDK56" s="76"/>
      <c r="QDL56" s="76"/>
      <c r="QDM56" s="76"/>
      <c r="QDN56" s="76"/>
      <c r="QDO56" s="76"/>
      <c r="QDP56" s="76"/>
      <c r="QDQ56" s="76"/>
      <c r="QDR56" s="76"/>
      <c r="QDS56" s="76"/>
      <c r="QDT56" s="76"/>
      <c r="QDU56" s="76"/>
      <c r="QDV56" s="76"/>
      <c r="QDW56" s="76"/>
      <c r="QDX56" s="76"/>
      <c r="QDY56" s="76"/>
      <c r="QDZ56" s="76"/>
      <c r="QEA56" s="76"/>
      <c r="QEB56" s="76"/>
      <c r="QEC56" s="76"/>
      <c r="QED56" s="76"/>
      <c r="QEE56" s="76"/>
      <c r="QEF56" s="76"/>
      <c r="QEG56" s="76"/>
      <c r="QEH56" s="76"/>
      <c r="QEI56" s="76"/>
      <c r="QEJ56" s="76"/>
      <c r="QEK56" s="76"/>
      <c r="QEL56" s="76"/>
      <c r="QEM56" s="76"/>
      <c r="QEN56" s="76"/>
      <c r="QEO56" s="76"/>
      <c r="QEP56" s="76"/>
      <c r="QEQ56" s="76"/>
      <c r="QER56" s="76"/>
      <c r="QES56" s="76"/>
      <c r="QET56" s="76"/>
      <c r="QEU56" s="76"/>
      <c r="QEV56" s="76"/>
      <c r="QEW56" s="76"/>
      <c r="QEX56" s="76"/>
      <c r="QEY56" s="76"/>
      <c r="QEZ56" s="76"/>
      <c r="QFA56" s="76"/>
      <c r="QFB56" s="76"/>
      <c r="QFC56" s="76"/>
      <c r="QFD56" s="76"/>
      <c r="QFE56" s="76"/>
      <c r="QFF56" s="76"/>
      <c r="QFG56" s="76"/>
      <c r="QFH56" s="76"/>
      <c r="QFI56" s="76"/>
      <c r="QFJ56" s="76"/>
      <c r="QFK56" s="76"/>
      <c r="QFL56" s="76"/>
      <c r="QFM56" s="76"/>
      <c r="QFN56" s="76"/>
      <c r="QFO56" s="76"/>
      <c r="QFP56" s="76"/>
      <c r="QFQ56" s="76"/>
      <c r="QFR56" s="76"/>
      <c r="QFS56" s="76"/>
      <c r="QFT56" s="76"/>
      <c r="QFU56" s="76"/>
      <c r="QFV56" s="76"/>
      <c r="QFW56" s="76"/>
      <c r="QFX56" s="76"/>
      <c r="QFY56" s="76"/>
      <c r="QFZ56" s="76"/>
      <c r="QGA56" s="76"/>
      <c r="QGB56" s="76"/>
      <c r="QGC56" s="76"/>
      <c r="QGD56" s="76"/>
      <c r="QGE56" s="76"/>
      <c r="QGF56" s="76"/>
      <c r="QGG56" s="76"/>
      <c r="QGH56" s="76"/>
      <c r="QGI56" s="76"/>
      <c r="QGJ56" s="76"/>
      <c r="QGK56" s="76"/>
      <c r="QGL56" s="76"/>
      <c r="QGM56" s="76"/>
      <c r="QGN56" s="76"/>
      <c r="QGO56" s="76"/>
      <c r="QGP56" s="76"/>
      <c r="QGQ56" s="76"/>
      <c r="QGR56" s="76"/>
      <c r="QGS56" s="76"/>
      <c r="QGT56" s="76"/>
      <c r="QGU56" s="76"/>
      <c r="QGV56" s="76"/>
      <c r="QGW56" s="76"/>
      <c r="QGX56" s="76"/>
      <c r="QGY56" s="76"/>
      <c r="QGZ56" s="76"/>
      <c r="QHA56" s="76"/>
      <c r="QHB56" s="76"/>
      <c r="QHC56" s="76"/>
      <c r="QHD56" s="76"/>
      <c r="QHE56" s="76"/>
      <c r="QHF56" s="76"/>
      <c r="QHG56" s="76"/>
      <c r="QHH56" s="76"/>
      <c r="QHI56" s="76"/>
      <c r="QHJ56" s="76"/>
      <c r="QHK56" s="76"/>
      <c r="QHL56" s="76"/>
      <c r="QHM56" s="76"/>
      <c r="QHN56" s="76"/>
      <c r="QHO56" s="76"/>
      <c r="QHP56" s="76"/>
      <c r="QHQ56" s="76"/>
      <c r="QHR56" s="76"/>
      <c r="QHS56" s="76"/>
      <c r="QHT56" s="76"/>
      <c r="QHU56" s="76"/>
      <c r="QHV56" s="76"/>
      <c r="QHW56" s="76"/>
      <c r="QHX56" s="76"/>
      <c r="QHY56" s="76"/>
      <c r="QHZ56" s="76"/>
      <c r="QIA56" s="76"/>
      <c r="QIB56" s="76"/>
      <c r="QIC56" s="76"/>
      <c r="QID56" s="76"/>
      <c r="QIE56" s="76"/>
      <c r="QIF56" s="76"/>
      <c r="QIG56" s="76"/>
      <c r="QIH56" s="76"/>
      <c r="QII56" s="76"/>
      <c r="QIJ56" s="76"/>
      <c r="QIK56" s="76"/>
      <c r="QIL56" s="76"/>
      <c r="QIM56" s="76"/>
      <c r="QIN56" s="76"/>
      <c r="QIO56" s="76"/>
      <c r="QIP56" s="76"/>
      <c r="QIQ56" s="76"/>
      <c r="QIR56" s="76"/>
      <c r="QIS56" s="76"/>
      <c r="QIT56" s="76"/>
      <c r="QIU56" s="76"/>
      <c r="QIV56" s="76"/>
      <c r="QIW56" s="76"/>
      <c r="QIX56" s="76"/>
      <c r="QIY56" s="76"/>
      <c r="QIZ56" s="76"/>
      <c r="QJA56" s="76"/>
      <c r="QJB56" s="76"/>
      <c r="QJC56" s="76"/>
      <c r="QJD56" s="76"/>
      <c r="QJE56" s="76"/>
      <c r="QJF56" s="76"/>
      <c r="QJG56" s="76"/>
      <c r="QJH56" s="76"/>
      <c r="QJI56" s="76"/>
      <c r="QJJ56" s="76"/>
      <c r="QJK56" s="76"/>
      <c r="QJL56" s="76"/>
      <c r="QJM56" s="76"/>
      <c r="QJN56" s="76"/>
      <c r="QJO56" s="76"/>
      <c r="QJP56" s="76"/>
      <c r="QJQ56" s="76"/>
      <c r="QJR56" s="76"/>
      <c r="QJS56" s="76"/>
      <c r="QJT56" s="76"/>
      <c r="QJU56" s="76"/>
      <c r="QJV56" s="76"/>
      <c r="QJW56" s="76"/>
      <c r="QJX56" s="76"/>
      <c r="QJY56" s="76"/>
      <c r="QJZ56" s="76"/>
      <c r="QKA56" s="76"/>
      <c r="QKB56" s="76"/>
      <c r="QKC56" s="76"/>
      <c r="QKD56" s="76"/>
      <c r="QKE56" s="76"/>
      <c r="QKF56" s="76"/>
      <c r="QKG56" s="76"/>
      <c r="QKH56" s="76"/>
      <c r="QKI56" s="76"/>
      <c r="QKJ56" s="76"/>
      <c r="QKK56" s="76"/>
      <c r="QKL56" s="76"/>
      <c r="QKM56" s="76"/>
      <c r="QKN56" s="76"/>
      <c r="QKO56" s="76"/>
      <c r="QKP56" s="76"/>
      <c r="QKQ56" s="76"/>
      <c r="QKR56" s="76"/>
      <c r="QKS56" s="76"/>
      <c r="QKT56" s="76"/>
      <c r="QKU56" s="76"/>
      <c r="QKV56" s="76"/>
      <c r="QKW56" s="76"/>
      <c r="QKX56" s="76"/>
      <c r="QKY56" s="76"/>
      <c r="QKZ56" s="76"/>
      <c r="QLA56" s="76"/>
      <c r="QLB56" s="76"/>
      <c r="QLC56" s="76"/>
      <c r="QLD56" s="76"/>
      <c r="QLE56" s="76"/>
      <c r="QLF56" s="76"/>
      <c r="QLG56" s="76"/>
      <c r="QLH56" s="76"/>
      <c r="QLI56" s="76"/>
      <c r="QLJ56" s="76"/>
      <c r="QLK56" s="76"/>
      <c r="QLL56" s="76"/>
      <c r="QLM56" s="76"/>
      <c r="QLN56" s="76"/>
      <c r="QLO56" s="76"/>
      <c r="QLP56" s="76"/>
      <c r="QLQ56" s="76"/>
      <c r="QLR56" s="76"/>
      <c r="QLS56" s="76"/>
      <c r="QLT56" s="76"/>
      <c r="QLU56" s="76"/>
      <c r="QLV56" s="76"/>
      <c r="QLW56" s="76"/>
      <c r="QLX56" s="76"/>
      <c r="QLY56" s="76"/>
      <c r="QLZ56" s="76"/>
      <c r="QMA56" s="76"/>
      <c r="QMB56" s="76"/>
      <c r="QMC56" s="76"/>
      <c r="QMD56" s="76"/>
      <c r="QME56" s="76"/>
      <c r="QMF56" s="76"/>
      <c r="QMG56" s="76"/>
      <c r="QMH56" s="76"/>
      <c r="QMI56" s="76"/>
      <c r="QMJ56" s="76"/>
      <c r="QMK56" s="76"/>
      <c r="QML56" s="76"/>
      <c r="QMM56" s="76"/>
      <c r="QMN56" s="76"/>
      <c r="QMO56" s="76"/>
      <c r="QMP56" s="76"/>
      <c r="QMQ56" s="76"/>
      <c r="QMR56" s="76"/>
      <c r="QMS56" s="76"/>
      <c r="QMT56" s="76"/>
      <c r="QMU56" s="76"/>
      <c r="QMV56" s="76"/>
      <c r="QMW56" s="76"/>
      <c r="QMX56" s="76"/>
      <c r="QMY56" s="76"/>
      <c r="QMZ56" s="76"/>
      <c r="QNA56" s="76"/>
      <c r="QNB56" s="76"/>
      <c r="QNC56" s="76"/>
      <c r="QND56" s="76"/>
      <c r="QNE56" s="76"/>
      <c r="QNF56" s="76"/>
      <c r="QNG56" s="76"/>
      <c r="QNH56" s="76"/>
      <c r="QNI56" s="76"/>
      <c r="QNJ56" s="76"/>
      <c r="QNK56" s="76"/>
      <c r="QNL56" s="76"/>
      <c r="QNM56" s="76"/>
      <c r="QNN56" s="76"/>
      <c r="QNO56" s="76"/>
      <c r="QNP56" s="76"/>
      <c r="QNQ56" s="76"/>
      <c r="QNR56" s="76"/>
      <c r="QNS56" s="76"/>
      <c r="QNT56" s="76"/>
      <c r="QNU56" s="76"/>
      <c r="QNV56" s="76"/>
      <c r="QNW56" s="76"/>
      <c r="QNX56" s="76"/>
      <c r="QNY56" s="76"/>
      <c r="QNZ56" s="76"/>
      <c r="QOA56" s="76"/>
      <c r="QOB56" s="76"/>
      <c r="QOC56" s="76"/>
      <c r="QOD56" s="76"/>
      <c r="QOE56" s="76"/>
      <c r="QOF56" s="76"/>
      <c r="QOG56" s="76"/>
      <c r="QOH56" s="76"/>
      <c r="QOI56" s="76"/>
      <c r="QOJ56" s="76"/>
      <c r="QOK56" s="76"/>
      <c r="QOL56" s="76"/>
      <c r="QOM56" s="76"/>
      <c r="QON56" s="76"/>
      <c r="QOO56" s="76"/>
      <c r="QOP56" s="76"/>
      <c r="QOQ56" s="76"/>
      <c r="QOR56" s="76"/>
      <c r="QOS56" s="76"/>
      <c r="QOT56" s="76"/>
      <c r="QOU56" s="76"/>
      <c r="QOV56" s="76"/>
      <c r="QOW56" s="76"/>
      <c r="QOX56" s="76"/>
      <c r="QOY56" s="76"/>
      <c r="QOZ56" s="76"/>
      <c r="QPA56" s="76"/>
      <c r="QPB56" s="76"/>
      <c r="QPC56" s="76"/>
      <c r="QPD56" s="76"/>
      <c r="QPE56" s="76"/>
      <c r="QPF56" s="76"/>
      <c r="QPG56" s="76"/>
      <c r="QPH56" s="76"/>
      <c r="QPI56" s="76"/>
      <c r="QPJ56" s="76"/>
      <c r="QPK56" s="76"/>
      <c r="QPL56" s="76"/>
      <c r="QPM56" s="76"/>
      <c r="QPN56" s="76"/>
      <c r="QPO56" s="76"/>
      <c r="QPP56" s="76"/>
      <c r="QPQ56" s="76"/>
      <c r="QPR56" s="76"/>
      <c r="QPS56" s="76"/>
      <c r="QPT56" s="76"/>
      <c r="QPU56" s="76"/>
      <c r="QPV56" s="76"/>
      <c r="QPW56" s="76"/>
      <c r="QPX56" s="76"/>
      <c r="QPY56" s="76"/>
      <c r="QPZ56" s="76"/>
      <c r="QQA56" s="76"/>
      <c r="QQB56" s="76"/>
      <c r="QQC56" s="76"/>
      <c r="QQD56" s="76"/>
      <c r="QQE56" s="76"/>
      <c r="QQF56" s="76"/>
      <c r="QQG56" s="76"/>
      <c r="QQH56" s="76"/>
      <c r="QQI56" s="76"/>
      <c r="QQJ56" s="76"/>
      <c r="QQK56" s="76"/>
      <c r="QQL56" s="76"/>
      <c r="QQM56" s="76"/>
      <c r="QQN56" s="76"/>
      <c r="QQO56" s="76"/>
      <c r="QQP56" s="76"/>
      <c r="QQQ56" s="76"/>
      <c r="QQR56" s="76"/>
      <c r="QQS56" s="76"/>
      <c r="QQT56" s="76"/>
      <c r="QQU56" s="76"/>
      <c r="QQV56" s="76"/>
      <c r="QQW56" s="76"/>
      <c r="QQX56" s="76"/>
      <c r="QQY56" s="76"/>
      <c r="QQZ56" s="76"/>
      <c r="QRA56" s="76"/>
      <c r="QRB56" s="76"/>
      <c r="QRC56" s="76"/>
      <c r="QRD56" s="76"/>
      <c r="QRE56" s="76"/>
      <c r="QRF56" s="76"/>
      <c r="QRG56" s="76"/>
      <c r="QRH56" s="76"/>
      <c r="QRI56" s="76"/>
      <c r="QRJ56" s="76"/>
      <c r="QRK56" s="76"/>
      <c r="QRL56" s="76"/>
      <c r="QRM56" s="76"/>
      <c r="QRN56" s="76"/>
      <c r="QRO56" s="76"/>
      <c r="QRP56" s="76"/>
      <c r="QRQ56" s="76"/>
      <c r="QRR56" s="76"/>
      <c r="QRS56" s="76"/>
      <c r="QRT56" s="76"/>
      <c r="QRU56" s="76"/>
      <c r="QRV56" s="76"/>
      <c r="QRW56" s="76"/>
      <c r="QRX56" s="76"/>
      <c r="QRY56" s="76"/>
      <c r="QRZ56" s="76"/>
      <c r="QSA56" s="76"/>
      <c r="QSB56" s="76"/>
      <c r="QSC56" s="76"/>
      <c r="QSD56" s="76"/>
      <c r="QSE56" s="76"/>
      <c r="QSF56" s="76"/>
      <c r="QSG56" s="76"/>
      <c r="QSH56" s="76"/>
      <c r="QSI56" s="76"/>
      <c r="QSJ56" s="76"/>
      <c r="QSK56" s="76"/>
      <c r="QSL56" s="76"/>
      <c r="QSM56" s="76"/>
      <c r="QSN56" s="76"/>
      <c r="QSO56" s="76"/>
      <c r="QSP56" s="76"/>
      <c r="QSQ56" s="76"/>
      <c r="QSR56" s="76"/>
      <c r="QSS56" s="76"/>
      <c r="QST56" s="76"/>
      <c r="QSU56" s="76"/>
      <c r="QSV56" s="76"/>
      <c r="QSW56" s="76"/>
      <c r="QSX56" s="76"/>
      <c r="QSY56" s="76"/>
      <c r="QSZ56" s="76"/>
      <c r="QTA56" s="76"/>
      <c r="QTB56" s="76"/>
      <c r="QTC56" s="76"/>
      <c r="QTD56" s="76"/>
      <c r="QTE56" s="76"/>
      <c r="QTF56" s="76"/>
      <c r="QTG56" s="76"/>
      <c r="QTH56" s="76"/>
      <c r="QTI56" s="76"/>
      <c r="QTJ56" s="76"/>
      <c r="QTK56" s="76"/>
      <c r="QTL56" s="76"/>
      <c r="QTM56" s="76"/>
      <c r="QTN56" s="76"/>
      <c r="QTO56" s="76"/>
      <c r="QTP56" s="76"/>
      <c r="QTQ56" s="76"/>
      <c r="QTR56" s="76"/>
      <c r="QTS56" s="76"/>
      <c r="QTT56" s="76"/>
      <c r="QTU56" s="76"/>
      <c r="QTV56" s="76"/>
      <c r="QTW56" s="76"/>
      <c r="QTX56" s="76"/>
      <c r="QTY56" s="76"/>
      <c r="QTZ56" s="76"/>
      <c r="QUA56" s="76"/>
      <c r="QUB56" s="76"/>
      <c r="QUC56" s="76"/>
      <c r="QUD56" s="76"/>
      <c r="QUE56" s="76"/>
      <c r="QUF56" s="76"/>
      <c r="QUG56" s="76"/>
      <c r="QUH56" s="76"/>
      <c r="QUI56" s="76"/>
      <c r="QUJ56" s="76"/>
      <c r="QUK56" s="76"/>
      <c r="QUL56" s="76"/>
      <c r="QUM56" s="76"/>
      <c r="QUN56" s="76"/>
      <c r="QUO56" s="76"/>
      <c r="QUP56" s="76"/>
      <c r="QUQ56" s="76"/>
      <c r="QUR56" s="76"/>
      <c r="QUS56" s="76"/>
      <c r="QUT56" s="76"/>
      <c r="QUU56" s="76"/>
      <c r="QUV56" s="76"/>
      <c r="QUW56" s="76"/>
      <c r="QUX56" s="76"/>
      <c r="QUY56" s="76"/>
      <c r="QUZ56" s="76"/>
      <c r="QVA56" s="76"/>
      <c r="QVB56" s="76"/>
      <c r="QVC56" s="76"/>
      <c r="QVD56" s="76"/>
      <c r="QVE56" s="76"/>
      <c r="QVF56" s="76"/>
      <c r="QVG56" s="76"/>
      <c r="QVH56" s="76"/>
      <c r="QVI56" s="76"/>
      <c r="QVJ56" s="76"/>
      <c r="QVK56" s="76"/>
      <c r="QVL56" s="76"/>
      <c r="QVM56" s="76"/>
      <c r="QVN56" s="76"/>
      <c r="QVO56" s="76"/>
      <c r="QVP56" s="76"/>
      <c r="QVQ56" s="76"/>
      <c r="QVR56" s="76"/>
      <c r="QVS56" s="76"/>
      <c r="QVT56" s="76"/>
      <c r="QVU56" s="76"/>
      <c r="QVV56" s="76"/>
      <c r="QVW56" s="76"/>
      <c r="QVX56" s="76"/>
      <c r="QVY56" s="76"/>
      <c r="QVZ56" s="76"/>
      <c r="QWA56" s="76"/>
      <c r="QWB56" s="76"/>
      <c r="QWC56" s="76"/>
      <c r="QWD56" s="76"/>
      <c r="QWE56" s="76"/>
      <c r="QWF56" s="76"/>
      <c r="QWG56" s="76"/>
      <c r="QWH56" s="76"/>
      <c r="QWI56" s="76"/>
      <c r="QWJ56" s="76"/>
      <c r="QWK56" s="76"/>
      <c r="QWL56" s="76"/>
      <c r="QWM56" s="76"/>
      <c r="QWN56" s="76"/>
      <c r="QWO56" s="76"/>
      <c r="QWP56" s="76"/>
      <c r="QWQ56" s="76"/>
      <c r="QWR56" s="76"/>
      <c r="QWS56" s="76"/>
      <c r="QWT56" s="76"/>
      <c r="QWU56" s="76"/>
      <c r="QWV56" s="76"/>
      <c r="QWW56" s="76"/>
      <c r="QWX56" s="76"/>
      <c r="QWY56" s="76"/>
      <c r="QWZ56" s="76"/>
      <c r="QXA56" s="76"/>
      <c r="QXB56" s="76"/>
      <c r="QXC56" s="76"/>
      <c r="QXD56" s="76"/>
      <c r="QXE56" s="76"/>
      <c r="QXF56" s="76"/>
      <c r="QXG56" s="76"/>
      <c r="QXH56" s="76"/>
      <c r="QXI56" s="76"/>
      <c r="QXJ56" s="76"/>
      <c r="QXK56" s="76"/>
      <c r="QXL56" s="76"/>
      <c r="QXM56" s="76"/>
      <c r="QXN56" s="76"/>
      <c r="QXO56" s="76"/>
      <c r="QXP56" s="76"/>
      <c r="QXQ56" s="76"/>
      <c r="QXR56" s="76"/>
      <c r="QXS56" s="76"/>
      <c r="QXT56" s="76"/>
      <c r="QXU56" s="76"/>
      <c r="QXV56" s="76"/>
      <c r="QXW56" s="76"/>
      <c r="QXX56" s="76"/>
      <c r="QXY56" s="76"/>
      <c r="QXZ56" s="76"/>
      <c r="QYA56" s="76"/>
      <c r="QYB56" s="76"/>
      <c r="QYC56" s="76"/>
      <c r="QYD56" s="76"/>
      <c r="QYE56" s="76"/>
      <c r="QYF56" s="76"/>
      <c r="QYG56" s="76"/>
      <c r="QYH56" s="76"/>
      <c r="QYI56" s="76"/>
      <c r="QYJ56" s="76"/>
      <c r="QYK56" s="76"/>
      <c r="QYL56" s="76"/>
      <c r="QYM56" s="76"/>
      <c r="QYN56" s="76"/>
      <c r="QYO56" s="76"/>
      <c r="QYP56" s="76"/>
      <c r="QYQ56" s="76"/>
      <c r="QYR56" s="76"/>
      <c r="QYS56" s="76"/>
      <c r="QYT56" s="76"/>
      <c r="QYU56" s="76"/>
      <c r="QYV56" s="76"/>
      <c r="QYW56" s="76"/>
      <c r="QYX56" s="76"/>
      <c r="QYY56" s="76"/>
      <c r="QYZ56" s="76"/>
      <c r="QZA56" s="76"/>
      <c r="QZB56" s="76"/>
      <c r="QZC56" s="76"/>
      <c r="QZD56" s="76"/>
      <c r="QZE56" s="76"/>
      <c r="QZF56" s="76"/>
      <c r="QZG56" s="76"/>
      <c r="QZH56" s="76"/>
      <c r="QZI56" s="76"/>
      <c r="QZJ56" s="76"/>
      <c r="QZK56" s="76"/>
      <c r="QZL56" s="76"/>
      <c r="QZM56" s="76"/>
      <c r="QZN56" s="76"/>
      <c r="QZO56" s="76"/>
      <c r="QZP56" s="76"/>
      <c r="QZQ56" s="76"/>
      <c r="QZR56" s="76"/>
      <c r="QZS56" s="76"/>
      <c r="QZT56" s="76"/>
      <c r="QZU56" s="76"/>
      <c r="QZV56" s="76"/>
      <c r="QZW56" s="76"/>
      <c r="QZX56" s="76"/>
      <c r="QZY56" s="76"/>
      <c r="QZZ56" s="76"/>
      <c r="RAA56" s="76"/>
      <c r="RAB56" s="76"/>
      <c r="RAC56" s="76"/>
      <c r="RAD56" s="76"/>
      <c r="RAE56" s="76"/>
      <c r="RAF56" s="76"/>
      <c r="RAG56" s="76"/>
      <c r="RAH56" s="76"/>
      <c r="RAI56" s="76"/>
      <c r="RAJ56" s="76"/>
      <c r="RAK56" s="76"/>
      <c r="RAL56" s="76"/>
      <c r="RAM56" s="76"/>
      <c r="RAN56" s="76"/>
      <c r="RAO56" s="76"/>
      <c r="RAP56" s="76"/>
      <c r="RAQ56" s="76"/>
      <c r="RAR56" s="76"/>
      <c r="RAS56" s="76"/>
      <c r="RAT56" s="76"/>
      <c r="RAU56" s="76"/>
      <c r="RAV56" s="76"/>
      <c r="RAW56" s="76"/>
      <c r="RAX56" s="76"/>
      <c r="RAY56" s="76"/>
      <c r="RAZ56" s="76"/>
      <c r="RBA56" s="76"/>
      <c r="RBB56" s="76"/>
      <c r="RBC56" s="76"/>
      <c r="RBD56" s="76"/>
      <c r="RBE56" s="76"/>
      <c r="RBF56" s="76"/>
      <c r="RBG56" s="76"/>
      <c r="RBH56" s="76"/>
      <c r="RBI56" s="76"/>
      <c r="RBJ56" s="76"/>
      <c r="RBK56" s="76"/>
      <c r="RBL56" s="76"/>
      <c r="RBM56" s="76"/>
      <c r="RBN56" s="76"/>
      <c r="RBO56" s="76"/>
      <c r="RBP56" s="76"/>
      <c r="RBQ56" s="76"/>
      <c r="RBR56" s="76"/>
      <c r="RBS56" s="76"/>
      <c r="RBT56" s="76"/>
      <c r="RBU56" s="76"/>
      <c r="RBV56" s="76"/>
      <c r="RBW56" s="76"/>
      <c r="RBX56" s="76"/>
      <c r="RBY56" s="76"/>
      <c r="RBZ56" s="76"/>
      <c r="RCA56" s="76"/>
      <c r="RCB56" s="76"/>
      <c r="RCC56" s="76"/>
      <c r="RCD56" s="76"/>
      <c r="RCE56" s="76"/>
      <c r="RCF56" s="76"/>
      <c r="RCG56" s="76"/>
      <c r="RCH56" s="76"/>
      <c r="RCI56" s="76"/>
      <c r="RCJ56" s="76"/>
      <c r="RCK56" s="76"/>
      <c r="RCL56" s="76"/>
      <c r="RCM56" s="76"/>
      <c r="RCN56" s="76"/>
      <c r="RCO56" s="76"/>
      <c r="RCP56" s="76"/>
      <c r="RCQ56" s="76"/>
      <c r="RCR56" s="76"/>
      <c r="RCS56" s="76"/>
      <c r="RCT56" s="76"/>
      <c r="RCU56" s="76"/>
      <c r="RCV56" s="76"/>
      <c r="RCW56" s="76"/>
      <c r="RCX56" s="76"/>
      <c r="RCY56" s="76"/>
      <c r="RCZ56" s="76"/>
      <c r="RDA56" s="76"/>
      <c r="RDB56" s="76"/>
      <c r="RDC56" s="76"/>
      <c r="RDD56" s="76"/>
      <c r="RDE56" s="76"/>
      <c r="RDF56" s="76"/>
      <c r="RDG56" s="76"/>
      <c r="RDH56" s="76"/>
      <c r="RDI56" s="76"/>
      <c r="RDJ56" s="76"/>
      <c r="RDK56" s="76"/>
      <c r="RDL56" s="76"/>
      <c r="RDM56" s="76"/>
      <c r="RDN56" s="76"/>
      <c r="RDO56" s="76"/>
      <c r="RDP56" s="76"/>
      <c r="RDQ56" s="76"/>
      <c r="RDR56" s="76"/>
      <c r="RDS56" s="76"/>
      <c r="RDT56" s="76"/>
      <c r="RDU56" s="76"/>
      <c r="RDV56" s="76"/>
      <c r="RDW56" s="76"/>
      <c r="RDX56" s="76"/>
      <c r="RDY56" s="76"/>
      <c r="RDZ56" s="76"/>
      <c r="REA56" s="76"/>
      <c r="REB56" s="76"/>
      <c r="REC56" s="76"/>
      <c r="RED56" s="76"/>
      <c r="REE56" s="76"/>
      <c r="REF56" s="76"/>
      <c r="REG56" s="76"/>
      <c r="REH56" s="76"/>
      <c r="REI56" s="76"/>
      <c r="REJ56" s="76"/>
      <c r="REK56" s="76"/>
      <c r="REL56" s="76"/>
      <c r="REM56" s="76"/>
      <c r="REN56" s="76"/>
      <c r="REO56" s="76"/>
      <c r="REP56" s="76"/>
      <c r="REQ56" s="76"/>
      <c r="RER56" s="76"/>
      <c r="RES56" s="76"/>
      <c r="RET56" s="76"/>
      <c r="REU56" s="76"/>
      <c r="REV56" s="76"/>
      <c r="REW56" s="76"/>
      <c r="REX56" s="76"/>
      <c r="REY56" s="76"/>
      <c r="REZ56" s="76"/>
      <c r="RFA56" s="76"/>
      <c r="RFB56" s="76"/>
      <c r="RFC56" s="76"/>
      <c r="RFD56" s="76"/>
      <c r="RFE56" s="76"/>
      <c r="RFF56" s="76"/>
      <c r="RFG56" s="76"/>
      <c r="RFH56" s="76"/>
      <c r="RFI56" s="76"/>
      <c r="RFJ56" s="76"/>
      <c r="RFK56" s="76"/>
      <c r="RFL56" s="76"/>
      <c r="RFM56" s="76"/>
      <c r="RFN56" s="76"/>
      <c r="RFO56" s="76"/>
      <c r="RFP56" s="76"/>
      <c r="RFQ56" s="76"/>
      <c r="RFR56" s="76"/>
      <c r="RFS56" s="76"/>
      <c r="RFT56" s="76"/>
      <c r="RFU56" s="76"/>
      <c r="RFV56" s="76"/>
      <c r="RFW56" s="76"/>
      <c r="RFX56" s="76"/>
      <c r="RFY56" s="76"/>
      <c r="RFZ56" s="76"/>
      <c r="RGA56" s="76"/>
      <c r="RGB56" s="76"/>
      <c r="RGC56" s="76"/>
      <c r="RGD56" s="76"/>
      <c r="RGE56" s="76"/>
      <c r="RGF56" s="76"/>
      <c r="RGG56" s="76"/>
      <c r="RGH56" s="76"/>
      <c r="RGI56" s="76"/>
      <c r="RGJ56" s="76"/>
      <c r="RGK56" s="76"/>
      <c r="RGL56" s="76"/>
      <c r="RGM56" s="76"/>
      <c r="RGN56" s="76"/>
      <c r="RGO56" s="76"/>
      <c r="RGP56" s="76"/>
      <c r="RGQ56" s="76"/>
      <c r="RGR56" s="76"/>
      <c r="RGS56" s="76"/>
      <c r="RGT56" s="76"/>
      <c r="RGU56" s="76"/>
      <c r="RGV56" s="76"/>
      <c r="RGW56" s="76"/>
      <c r="RGX56" s="76"/>
      <c r="RGY56" s="76"/>
      <c r="RGZ56" s="76"/>
      <c r="RHA56" s="76"/>
      <c r="RHB56" s="76"/>
      <c r="RHC56" s="76"/>
      <c r="RHD56" s="76"/>
      <c r="RHE56" s="76"/>
      <c r="RHF56" s="76"/>
      <c r="RHG56" s="76"/>
      <c r="RHH56" s="76"/>
      <c r="RHI56" s="76"/>
      <c r="RHJ56" s="76"/>
      <c r="RHK56" s="76"/>
      <c r="RHL56" s="76"/>
      <c r="RHM56" s="76"/>
      <c r="RHN56" s="76"/>
      <c r="RHO56" s="76"/>
      <c r="RHP56" s="76"/>
      <c r="RHQ56" s="76"/>
      <c r="RHR56" s="76"/>
      <c r="RHS56" s="76"/>
      <c r="RHT56" s="76"/>
      <c r="RHU56" s="76"/>
      <c r="RHV56" s="76"/>
      <c r="RHW56" s="76"/>
      <c r="RHX56" s="76"/>
      <c r="RHY56" s="76"/>
      <c r="RHZ56" s="76"/>
      <c r="RIA56" s="76"/>
      <c r="RIB56" s="76"/>
      <c r="RIC56" s="76"/>
      <c r="RID56" s="76"/>
      <c r="RIE56" s="76"/>
      <c r="RIF56" s="76"/>
      <c r="RIG56" s="76"/>
      <c r="RIH56" s="76"/>
      <c r="RII56" s="76"/>
      <c r="RIJ56" s="76"/>
      <c r="RIK56" s="76"/>
      <c r="RIL56" s="76"/>
      <c r="RIM56" s="76"/>
      <c r="RIN56" s="76"/>
      <c r="RIO56" s="76"/>
      <c r="RIP56" s="76"/>
      <c r="RIQ56" s="76"/>
      <c r="RIR56" s="76"/>
      <c r="RIS56" s="76"/>
      <c r="RIT56" s="76"/>
      <c r="RIU56" s="76"/>
      <c r="RIV56" s="76"/>
      <c r="RIW56" s="76"/>
      <c r="RIX56" s="76"/>
      <c r="RIY56" s="76"/>
      <c r="RIZ56" s="76"/>
      <c r="RJA56" s="76"/>
      <c r="RJB56" s="76"/>
      <c r="RJC56" s="76"/>
      <c r="RJD56" s="76"/>
      <c r="RJE56" s="76"/>
      <c r="RJF56" s="76"/>
      <c r="RJG56" s="76"/>
      <c r="RJH56" s="76"/>
      <c r="RJI56" s="76"/>
      <c r="RJJ56" s="76"/>
      <c r="RJK56" s="76"/>
      <c r="RJL56" s="76"/>
      <c r="RJM56" s="76"/>
      <c r="RJN56" s="76"/>
      <c r="RJO56" s="76"/>
      <c r="RJP56" s="76"/>
      <c r="RJQ56" s="76"/>
      <c r="RJR56" s="76"/>
      <c r="RJS56" s="76"/>
      <c r="RJT56" s="76"/>
      <c r="RJU56" s="76"/>
      <c r="RJV56" s="76"/>
      <c r="RJW56" s="76"/>
      <c r="RJX56" s="76"/>
      <c r="RJY56" s="76"/>
      <c r="RJZ56" s="76"/>
      <c r="RKA56" s="76"/>
      <c r="RKB56" s="76"/>
      <c r="RKC56" s="76"/>
      <c r="RKD56" s="76"/>
      <c r="RKE56" s="76"/>
      <c r="RKF56" s="76"/>
      <c r="RKG56" s="76"/>
      <c r="RKH56" s="76"/>
      <c r="RKI56" s="76"/>
      <c r="RKJ56" s="76"/>
      <c r="RKK56" s="76"/>
      <c r="RKL56" s="76"/>
      <c r="RKM56" s="76"/>
      <c r="RKN56" s="76"/>
      <c r="RKO56" s="76"/>
      <c r="RKP56" s="76"/>
      <c r="RKQ56" s="76"/>
      <c r="RKR56" s="76"/>
      <c r="RKS56" s="76"/>
      <c r="RKT56" s="76"/>
      <c r="RKU56" s="76"/>
      <c r="RKV56" s="76"/>
      <c r="RKW56" s="76"/>
      <c r="RKX56" s="76"/>
      <c r="RKY56" s="76"/>
      <c r="RKZ56" s="76"/>
      <c r="RLA56" s="76"/>
      <c r="RLB56" s="76"/>
      <c r="RLC56" s="76"/>
      <c r="RLD56" s="76"/>
      <c r="RLE56" s="76"/>
      <c r="RLF56" s="76"/>
      <c r="RLG56" s="76"/>
      <c r="RLH56" s="76"/>
      <c r="RLI56" s="76"/>
      <c r="RLJ56" s="76"/>
      <c r="RLK56" s="76"/>
      <c r="RLL56" s="76"/>
      <c r="RLM56" s="76"/>
      <c r="RLN56" s="76"/>
      <c r="RLO56" s="76"/>
      <c r="RLP56" s="76"/>
      <c r="RLQ56" s="76"/>
      <c r="RLR56" s="76"/>
      <c r="RLS56" s="76"/>
      <c r="RLT56" s="76"/>
      <c r="RLU56" s="76"/>
      <c r="RLV56" s="76"/>
      <c r="RLW56" s="76"/>
      <c r="RLX56" s="76"/>
      <c r="RLY56" s="76"/>
      <c r="RLZ56" s="76"/>
      <c r="RMA56" s="76"/>
      <c r="RMB56" s="76"/>
      <c r="RMC56" s="76"/>
      <c r="RMD56" s="76"/>
      <c r="RME56" s="76"/>
      <c r="RMF56" s="76"/>
      <c r="RMG56" s="76"/>
      <c r="RMH56" s="76"/>
      <c r="RMI56" s="76"/>
      <c r="RMJ56" s="76"/>
      <c r="RMK56" s="76"/>
      <c r="RML56" s="76"/>
      <c r="RMM56" s="76"/>
      <c r="RMN56" s="76"/>
      <c r="RMO56" s="76"/>
      <c r="RMP56" s="76"/>
      <c r="RMQ56" s="76"/>
      <c r="RMR56" s="76"/>
      <c r="RMS56" s="76"/>
      <c r="RMT56" s="76"/>
      <c r="RMU56" s="76"/>
      <c r="RMV56" s="76"/>
      <c r="RMW56" s="76"/>
      <c r="RMX56" s="76"/>
      <c r="RMY56" s="76"/>
      <c r="RMZ56" s="76"/>
      <c r="RNA56" s="76"/>
      <c r="RNB56" s="76"/>
      <c r="RNC56" s="76"/>
      <c r="RND56" s="76"/>
      <c r="RNE56" s="76"/>
      <c r="RNF56" s="76"/>
      <c r="RNG56" s="76"/>
      <c r="RNH56" s="76"/>
      <c r="RNI56" s="76"/>
      <c r="RNJ56" s="76"/>
      <c r="RNK56" s="76"/>
      <c r="RNL56" s="76"/>
      <c r="RNM56" s="76"/>
      <c r="RNN56" s="76"/>
      <c r="RNO56" s="76"/>
      <c r="RNP56" s="76"/>
      <c r="RNQ56" s="76"/>
      <c r="RNR56" s="76"/>
      <c r="RNS56" s="76"/>
      <c r="RNT56" s="76"/>
      <c r="RNU56" s="76"/>
      <c r="RNV56" s="76"/>
      <c r="RNW56" s="76"/>
      <c r="RNX56" s="76"/>
      <c r="RNY56" s="76"/>
      <c r="RNZ56" s="76"/>
      <c r="ROA56" s="76"/>
      <c r="ROB56" s="76"/>
      <c r="ROC56" s="76"/>
      <c r="ROD56" s="76"/>
      <c r="ROE56" s="76"/>
      <c r="ROF56" s="76"/>
      <c r="ROG56" s="76"/>
      <c r="ROH56" s="76"/>
      <c r="ROI56" s="76"/>
      <c r="ROJ56" s="76"/>
      <c r="ROK56" s="76"/>
      <c r="ROL56" s="76"/>
      <c r="ROM56" s="76"/>
      <c r="RON56" s="76"/>
      <c r="ROO56" s="76"/>
      <c r="ROP56" s="76"/>
      <c r="ROQ56" s="76"/>
      <c r="ROR56" s="76"/>
      <c r="ROS56" s="76"/>
      <c r="ROT56" s="76"/>
      <c r="ROU56" s="76"/>
      <c r="ROV56" s="76"/>
      <c r="ROW56" s="76"/>
      <c r="ROX56" s="76"/>
      <c r="ROY56" s="76"/>
      <c r="ROZ56" s="76"/>
      <c r="RPA56" s="76"/>
      <c r="RPB56" s="76"/>
      <c r="RPC56" s="76"/>
      <c r="RPD56" s="76"/>
      <c r="RPE56" s="76"/>
      <c r="RPF56" s="76"/>
      <c r="RPG56" s="76"/>
      <c r="RPH56" s="76"/>
      <c r="RPI56" s="76"/>
      <c r="RPJ56" s="76"/>
      <c r="RPK56" s="76"/>
      <c r="RPL56" s="76"/>
      <c r="RPM56" s="76"/>
      <c r="RPN56" s="76"/>
      <c r="RPO56" s="76"/>
      <c r="RPP56" s="76"/>
      <c r="RPQ56" s="76"/>
      <c r="RPR56" s="76"/>
      <c r="RPS56" s="76"/>
      <c r="RPT56" s="76"/>
      <c r="RPU56" s="76"/>
      <c r="RPV56" s="76"/>
      <c r="RPW56" s="76"/>
      <c r="RPX56" s="76"/>
      <c r="RPY56" s="76"/>
      <c r="RPZ56" s="76"/>
      <c r="RQA56" s="76"/>
      <c r="RQB56" s="76"/>
      <c r="RQC56" s="76"/>
      <c r="RQD56" s="76"/>
      <c r="RQE56" s="76"/>
      <c r="RQF56" s="76"/>
      <c r="RQG56" s="76"/>
      <c r="RQH56" s="76"/>
      <c r="RQI56" s="76"/>
      <c r="RQJ56" s="76"/>
      <c r="RQK56" s="76"/>
      <c r="RQL56" s="76"/>
      <c r="RQM56" s="76"/>
      <c r="RQN56" s="76"/>
      <c r="RQO56" s="76"/>
      <c r="RQP56" s="76"/>
      <c r="RQQ56" s="76"/>
      <c r="RQR56" s="76"/>
      <c r="RQS56" s="76"/>
      <c r="RQT56" s="76"/>
      <c r="RQU56" s="76"/>
      <c r="RQV56" s="76"/>
      <c r="RQW56" s="76"/>
      <c r="RQX56" s="76"/>
      <c r="RQY56" s="76"/>
      <c r="RQZ56" s="76"/>
      <c r="RRA56" s="76"/>
      <c r="RRB56" s="76"/>
      <c r="RRC56" s="76"/>
      <c r="RRD56" s="76"/>
      <c r="RRE56" s="76"/>
      <c r="RRF56" s="76"/>
      <c r="RRG56" s="76"/>
      <c r="RRH56" s="76"/>
      <c r="RRI56" s="76"/>
      <c r="RRJ56" s="76"/>
      <c r="RRK56" s="76"/>
      <c r="RRL56" s="76"/>
      <c r="RRM56" s="76"/>
      <c r="RRN56" s="76"/>
      <c r="RRO56" s="76"/>
      <c r="RRP56" s="76"/>
      <c r="RRQ56" s="76"/>
      <c r="RRR56" s="76"/>
      <c r="RRS56" s="76"/>
      <c r="RRT56" s="76"/>
      <c r="RRU56" s="76"/>
      <c r="RRV56" s="76"/>
      <c r="RRW56" s="76"/>
      <c r="RRX56" s="76"/>
      <c r="RRY56" s="76"/>
      <c r="RRZ56" s="76"/>
      <c r="RSA56" s="76"/>
      <c r="RSB56" s="76"/>
      <c r="RSC56" s="76"/>
      <c r="RSD56" s="76"/>
      <c r="RSE56" s="76"/>
      <c r="RSF56" s="76"/>
      <c r="RSG56" s="76"/>
      <c r="RSH56" s="76"/>
      <c r="RSI56" s="76"/>
      <c r="RSJ56" s="76"/>
      <c r="RSK56" s="76"/>
      <c r="RSL56" s="76"/>
      <c r="RSM56" s="76"/>
      <c r="RSN56" s="76"/>
      <c r="RSO56" s="76"/>
      <c r="RSP56" s="76"/>
      <c r="RSQ56" s="76"/>
      <c r="RSR56" s="76"/>
      <c r="RSS56" s="76"/>
      <c r="RST56" s="76"/>
      <c r="RSU56" s="76"/>
      <c r="RSV56" s="76"/>
      <c r="RSW56" s="76"/>
      <c r="RSX56" s="76"/>
      <c r="RSY56" s="76"/>
      <c r="RSZ56" s="76"/>
      <c r="RTA56" s="76"/>
      <c r="RTB56" s="76"/>
      <c r="RTC56" s="76"/>
      <c r="RTD56" s="76"/>
      <c r="RTE56" s="76"/>
      <c r="RTF56" s="76"/>
      <c r="RTG56" s="76"/>
      <c r="RTH56" s="76"/>
      <c r="RTI56" s="76"/>
      <c r="RTJ56" s="76"/>
      <c r="RTK56" s="76"/>
      <c r="RTL56" s="76"/>
      <c r="RTM56" s="76"/>
      <c r="RTN56" s="76"/>
      <c r="RTO56" s="76"/>
      <c r="RTP56" s="76"/>
      <c r="RTQ56" s="76"/>
      <c r="RTR56" s="76"/>
      <c r="RTS56" s="76"/>
      <c r="RTT56" s="76"/>
      <c r="RTU56" s="76"/>
      <c r="RTV56" s="76"/>
      <c r="RTW56" s="76"/>
      <c r="RTX56" s="76"/>
      <c r="RTY56" s="76"/>
      <c r="RTZ56" s="76"/>
      <c r="RUA56" s="76"/>
      <c r="RUB56" s="76"/>
      <c r="RUC56" s="76"/>
      <c r="RUD56" s="76"/>
      <c r="RUE56" s="76"/>
      <c r="RUF56" s="76"/>
      <c r="RUG56" s="76"/>
      <c r="RUH56" s="76"/>
      <c r="RUI56" s="76"/>
      <c r="RUJ56" s="76"/>
      <c r="RUK56" s="76"/>
      <c r="RUL56" s="76"/>
      <c r="RUM56" s="76"/>
      <c r="RUN56" s="76"/>
      <c r="RUO56" s="76"/>
      <c r="RUP56" s="76"/>
      <c r="RUQ56" s="76"/>
      <c r="RUR56" s="76"/>
      <c r="RUS56" s="76"/>
      <c r="RUT56" s="76"/>
      <c r="RUU56" s="76"/>
      <c r="RUV56" s="76"/>
      <c r="RUW56" s="76"/>
      <c r="RUX56" s="76"/>
      <c r="RUY56" s="76"/>
      <c r="RUZ56" s="76"/>
      <c r="RVA56" s="76"/>
      <c r="RVB56" s="76"/>
      <c r="RVC56" s="76"/>
      <c r="RVD56" s="76"/>
      <c r="RVE56" s="76"/>
      <c r="RVF56" s="76"/>
      <c r="RVG56" s="76"/>
      <c r="RVH56" s="76"/>
      <c r="RVI56" s="76"/>
      <c r="RVJ56" s="76"/>
      <c r="RVK56" s="76"/>
      <c r="RVL56" s="76"/>
      <c r="RVM56" s="76"/>
      <c r="RVN56" s="76"/>
      <c r="RVO56" s="76"/>
      <c r="RVP56" s="76"/>
      <c r="RVQ56" s="76"/>
      <c r="RVR56" s="76"/>
      <c r="RVS56" s="76"/>
      <c r="RVT56" s="76"/>
      <c r="RVU56" s="76"/>
      <c r="RVV56" s="76"/>
      <c r="RVW56" s="76"/>
      <c r="RVX56" s="76"/>
      <c r="RVY56" s="76"/>
      <c r="RVZ56" s="76"/>
      <c r="RWA56" s="76"/>
      <c r="RWB56" s="76"/>
      <c r="RWC56" s="76"/>
      <c r="RWD56" s="76"/>
      <c r="RWE56" s="76"/>
      <c r="RWF56" s="76"/>
      <c r="RWG56" s="76"/>
      <c r="RWH56" s="76"/>
      <c r="RWI56" s="76"/>
      <c r="RWJ56" s="76"/>
      <c r="RWK56" s="76"/>
      <c r="RWL56" s="76"/>
      <c r="RWM56" s="76"/>
      <c r="RWN56" s="76"/>
      <c r="RWO56" s="76"/>
      <c r="RWP56" s="76"/>
      <c r="RWQ56" s="76"/>
      <c r="RWR56" s="76"/>
      <c r="RWS56" s="76"/>
      <c r="RWT56" s="76"/>
      <c r="RWU56" s="76"/>
      <c r="RWV56" s="76"/>
      <c r="RWW56" s="76"/>
      <c r="RWX56" s="76"/>
      <c r="RWY56" s="76"/>
      <c r="RWZ56" s="76"/>
      <c r="RXA56" s="76"/>
      <c r="RXB56" s="76"/>
      <c r="RXC56" s="76"/>
      <c r="RXD56" s="76"/>
      <c r="RXE56" s="76"/>
      <c r="RXF56" s="76"/>
      <c r="RXG56" s="76"/>
      <c r="RXH56" s="76"/>
      <c r="RXI56" s="76"/>
      <c r="RXJ56" s="76"/>
      <c r="RXK56" s="76"/>
      <c r="RXL56" s="76"/>
      <c r="RXM56" s="76"/>
      <c r="RXN56" s="76"/>
      <c r="RXO56" s="76"/>
      <c r="RXP56" s="76"/>
      <c r="RXQ56" s="76"/>
      <c r="RXR56" s="76"/>
      <c r="RXS56" s="76"/>
      <c r="RXT56" s="76"/>
      <c r="RXU56" s="76"/>
      <c r="RXV56" s="76"/>
      <c r="RXW56" s="76"/>
      <c r="RXX56" s="76"/>
      <c r="RXY56" s="76"/>
      <c r="RXZ56" s="76"/>
      <c r="RYA56" s="76"/>
      <c r="RYB56" s="76"/>
      <c r="RYC56" s="76"/>
      <c r="RYD56" s="76"/>
      <c r="RYE56" s="76"/>
      <c r="RYF56" s="76"/>
      <c r="RYG56" s="76"/>
      <c r="RYH56" s="76"/>
      <c r="RYI56" s="76"/>
      <c r="RYJ56" s="76"/>
      <c r="RYK56" s="76"/>
      <c r="RYL56" s="76"/>
      <c r="RYM56" s="76"/>
      <c r="RYN56" s="76"/>
      <c r="RYO56" s="76"/>
      <c r="RYP56" s="76"/>
      <c r="RYQ56" s="76"/>
      <c r="RYR56" s="76"/>
      <c r="RYS56" s="76"/>
      <c r="RYT56" s="76"/>
      <c r="RYU56" s="76"/>
      <c r="RYV56" s="76"/>
      <c r="RYW56" s="76"/>
      <c r="RYX56" s="76"/>
      <c r="RYY56" s="76"/>
      <c r="RYZ56" s="76"/>
      <c r="RZA56" s="76"/>
      <c r="RZB56" s="76"/>
      <c r="RZC56" s="76"/>
      <c r="RZD56" s="76"/>
      <c r="RZE56" s="76"/>
      <c r="RZF56" s="76"/>
      <c r="RZG56" s="76"/>
      <c r="RZH56" s="76"/>
      <c r="RZI56" s="76"/>
      <c r="RZJ56" s="76"/>
      <c r="RZK56" s="76"/>
      <c r="RZL56" s="76"/>
      <c r="RZM56" s="76"/>
      <c r="RZN56" s="76"/>
      <c r="RZO56" s="76"/>
      <c r="RZP56" s="76"/>
      <c r="RZQ56" s="76"/>
      <c r="RZR56" s="76"/>
      <c r="RZS56" s="76"/>
      <c r="RZT56" s="76"/>
      <c r="RZU56" s="76"/>
      <c r="RZV56" s="76"/>
      <c r="RZW56" s="76"/>
      <c r="RZX56" s="76"/>
      <c r="RZY56" s="76"/>
      <c r="RZZ56" s="76"/>
      <c r="SAA56" s="76"/>
      <c r="SAB56" s="76"/>
      <c r="SAC56" s="76"/>
      <c r="SAD56" s="76"/>
      <c r="SAE56" s="76"/>
      <c r="SAF56" s="76"/>
      <c r="SAG56" s="76"/>
      <c r="SAH56" s="76"/>
      <c r="SAI56" s="76"/>
      <c r="SAJ56" s="76"/>
      <c r="SAK56" s="76"/>
      <c r="SAL56" s="76"/>
      <c r="SAM56" s="76"/>
      <c r="SAN56" s="76"/>
      <c r="SAO56" s="76"/>
      <c r="SAP56" s="76"/>
      <c r="SAQ56" s="76"/>
      <c r="SAR56" s="76"/>
      <c r="SAS56" s="76"/>
      <c r="SAT56" s="76"/>
      <c r="SAU56" s="76"/>
      <c r="SAV56" s="76"/>
      <c r="SAW56" s="76"/>
      <c r="SAX56" s="76"/>
      <c r="SAY56" s="76"/>
      <c r="SAZ56" s="76"/>
      <c r="SBA56" s="76"/>
      <c r="SBB56" s="76"/>
      <c r="SBC56" s="76"/>
      <c r="SBD56" s="76"/>
      <c r="SBE56" s="76"/>
      <c r="SBF56" s="76"/>
      <c r="SBG56" s="76"/>
      <c r="SBH56" s="76"/>
      <c r="SBI56" s="76"/>
      <c r="SBJ56" s="76"/>
      <c r="SBK56" s="76"/>
      <c r="SBL56" s="76"/>
      <c r="SBM56" s="76"/>
      <c r="SBN56" s="76"/>
      <c r="SBO56" s="76"/>
      <c r="SBP56" s="76"/>
      <c r="SBQ56" s="76"/>
      <c r="SBR56" s="76"/>
      <c r="SBS56" s="76"/>
      <c r="SBT56" s="76"/>
      <c r="SBU56" s="76"/>
      <c r="SBV56" s="76"/>
      <c r="SBW56" s="76"/>
      <c r="SBX56" s="76"/>
      <c r="SBY56" s="76"/>
      <c r="SBZ56" s="76"/>
      <c r="SCA56" s="76"/>
      <c r="SCB56" s="76"/>
      <c r="SCC56" s="76"/>
      <c r="SCD56" s="76"/>
      <c r="SCE56" s="76"/>
      <c r="SCF56" s="76"/>
      <c r="SCG56" s="76"/>
      <c r="SCH56" s="76"/>
      <c r="SCI56" s="76"/>
      <c r="SCJ56" s="76"/>
      <c r="SCK56" s="76"/>
      <c r="SCL56" s="76"/>
      <c r="SCM56" s="76"/>
      <c r="SCN56" s="76"/>
      <c r="SCO56" s="76"/>
      <c r="SCP56" s="76"/>
      <c r="SCQ56" s="76"/>
      <c r="SCR56" s="76"/>
      <c r="SCS56" s="76"/>
      <c r="SCT56" s="76"/>
      <c r="SCU56" s="76"/>
      <c r="SCV56" s="76"/>
      <c r="SCW56" s="76"/>
      <c r="SCX56" s="76"/>
      <c r="SCY56" s="76"/>
      <c r="SCZ56" s="76"/>
      <c r="SDA56" s="76"/>
      <c r="SDB56" s="76"/>
      <c r="SDC56" s="76"/>
      <c r="SDD56" s="76"/>
      <c r="SDE56" s="76"/>
      <c r="SDF56" s="76"/>
      <c r="SDG56" s="76"/>
      <c r="SDH56" s="76"/>
      <c r="SDI56" s="76"/>
      <c r="SDJ56" s="76"/>
      <c r="SDK56" s="76"/>
      <c r="SDL56" s="76"/>
      <c r="SDM56" s="76"/>
      <c r="SDN56" s="76"/>
      <c r="SDO56" s="76"/>
      <c r="SDP56" s="76"/>
      <c r="SDQ56" s="76"/>
      <c r="SDR56" s="76"/>
      <c r="SDS56" s="76"/>
      <c r="SDT56" s="76"/>
      <c r="SDU56" s="76"/>
      <c r="SDV56" s="76"/>
      <c r="SDW56" s="76"/>
      <c r="SDX56" s="76"/>
      <c r="SDY56" s="76"/>
      <c r="SDZ56" s="76"/>
      <c r="SEA56" s="76"/>
      <c r="SEB56" s="76"/>
      <c r="SEC56" s="76"/>
      <c r="SED56" s="76"/>
      <c r="SEE56" s="76"/>
      <c r="SEF56" s="76"/>
      <c r="SEG56" s="76"/>
      <c r="SEH56" s="76"/>
      <c r="SEI56" s="76"/>
      <c r="SEJ56" s="76"/>
      <c r="SEK56" s="76"/>
      <c r="SEL56" s="76"/>
      <c r="SEM56" s="76"/>
      <c r="SEN56" s="76"/>
      <c r="SEO56" s="76"/>
      <c r="SEP56" s="76"/>
      <c r="SEQ56" s="76"/>
      <c r="SER56" s="76"/>
      <c r="SES56" s="76"/>
      <c r="SET56" s="76"/>
      <c r="SEU56" s="76"/>
      <c r="SEV56" s="76"/>
      <c r="SEW56" s="76"/>
      <c r="SEX56" s="76"/>
      <c r="SEY56" s="76"/>
      <c r="SEZ56" s="76"/>
      <c r="SFA56" s="76"/>
      <c r="SFB56" s="76"/>
      <c r="SFC56" s="76"/>
      <c r="SFD56" s="76"/>
      <c r="SFE56" s="76"/>
      <c r="SFF56" s="76"/>
      <c r="SFG56" s="76"/>
      <c r="SFH56" s="76"/>
      <c r="SFI56" s="76"/>
      <c r="SFJ56" s="76"/>
      <c r="SFK56" s="76"/>
      <c r="SFL56" s="76"/>
      <c r="SFM56" s="76"/>
      <c r="SFN56" s="76"/>
      <c r="SFO56" s="76"/>
      <c r="SFP56" s="76"/>
      <c r="SFQ56" s="76"/>
      <c r="SFR56" s="76"/>
      <c r="SFS56" s="76"/>
      <c r="SFT56" s="76"/>
      <c r="SFU56" s="76"/>
      <c r="SFV56" s="76"/>
      <c r="SFW56" s="76"/>
      <c r="SFX56" s="76"/>
      <c r="SFY56" s="76"/>
      <c r="SFZ56" s="76"/>
      <c r="SGA56" s="76"/>
      <c r="SGB56" s="76"/>
      <c r="SGC56" s="76"/>
      <c r="SGD56" s="76"/>
      <c r="SGE56" s="76"/>
      <c r="SGF56" s="76"/>
      <c r="SGG56" s="76"/>
      <c r="SGH56" s="76"/>
      <c r="SGI56" s="76"/>
      <c r="SGJ56" s="76"/>
      <c r="SGK56" s="76"/>
      <c r="SGL56" s="76"/>
      <c r="SGM56" s="76"/>
      <c r="SGN56" s="76"/>
      <c r="SGO56" s="76"/>
      <c r="SGP56" s="76"/>
      <c r="SGQ56" s="76"/>
      <c r="SGR56" s="76"/>
      <c r="SGS56" s="76"/>
      <c r="SGT56" s="76"/>
      <c r="SGU56" s="76"/>
      <c r="SGV56" s="76"/>
      <c r="SGW56" s="76"/>
      <c r="SGX56" s="76"/>
      <c r="SGY56" s="76"/>
      <c r="SGZ56" s="76"/>
      <c r="SHA56" s="76"/>
      <c r="SHB56" s="76"/>
      <c r="SHC56" s="76"/>
      <c r="SHD56" s="76"/>
      <c r="SHE56" s="76"/>
      <c r="SHF56" s="76"/>
      <c r="SHG56" s="76"/>
      <c r="SHH56" s="76"/>
      <c r="SHI56" s="76"/>
      <c r="SHJ56" s="76"/>
      <c r="SHK56" s="76"/>
      <c r="SHL56" s="76"/>
      <c r="SHM56" s="76"/>
      <c r="SHN56" s="76"/>
      <c r="SHO56" s="76"/>
      <c r="SHP56" s="76"/>
      <c r="SHQ56" s="76"/>
      <c r="SHR56" s="76"/>
      <c r="SHS56" s="76"/>
      <c r="SHT56" s="76"/>
      <c r="SHU56" s="76"/>
      <c r="SHV56" s="76"/>
      <c r="SHW56" s="76"/>
      <c r="SHX56" s="76"/>
      <c r="SHY56" s="76"/>
      <c r="SHZ56" s="76"/>
      <c r="SIA56" s="76"/>
      <c r="SIB56" s="76"/>
      <c r="SIC56" s="76"/>
      <c r="SID56" s="76"/>
      <c r="SIE56" s="76"/>
      <c r="SIF56" s="76"/>
      <c r="SIG56" s="76"/>
      <c r="SIH56" s="76"/>
      <c r="SII56" s="76"/>
      <c r="SIJ56" s="76"/>
      <c r="SIK56" s="76"/>
      <c r="SIL56" s="76"/>
      <c r="SIM56" s="76"/>
      <c r="SIN56" s="76"/>
      <c r="SIO56" s="76"/>
      <c r="SIP56" s="76"/>
      <c r="SIQ56" s="76"/>
      <c r="SIR56" s="76"/>
      <c r="SIS56" s="76"/>
      <c r="SIT56" s="76"/>
      <c r="SIU56" s="76"/>
      <c r="SIV56" s="76"/>
      <c r="SIW56" s="76"/>
      <c r="SIX56" s="76"/>
      <c r="SIY56" s="76"/>
      <c r="SIZ56" s="76"/>
      <c r="SJA56" s="76"/>
      <c r="SJB56" s="76"/>
      <c r="SJC56" s="76"/>
      <c r="SJD56" s="76"/>
      <c r="SJE56" s="76"/>
      <c r="SJF56" s="76"/>
      <c r="SJG56" s="76"/>
      <c r="SJH56" s="76"/>
      <c r="SJI56" s="76"/>
      <c r="SJJ56" s="76"/>
      <c r="SJK56" s="76"/>
      <c r="SJL56" s="76"/>
      <c r="SJM56" s="76"/>
      <c r="SJN56" s="76"/>
      <c r="SJO56" s="76"/>
      <c r="SJP56" s="76"/>
      <c r="SJQ56" s="76"/>
      <c r="SJR56" s="76"/>
      <c r="SJS56" s="76"/>
      <c r="SJT56" s="76"/>
      <c r="SJU56" s="76"/>
      <c r="SJV56" s="76"/>
      <c r="SJW56" s="76"/>
      <c r="SJX56" s="76"/>
      <c r="SJY56" s="76"/>
      <c r="SJZ56" s="76"/>
      <c r="SKA56" s="76"/>
      <c r="SKB56" s="76"/>
      <c r="SKC56" s="76"/>
      <c r="SKD56" s="76"/>
      <c r="SKE56" s="76"/>
      <c r="SKF56" s="76"/>
      <c r="SKG56" s="76"/>
      <c r="SKH56" s="76"/>
      <c r="SKI56" s="76"/>
      <c r="SKJ56" s="76"/>
      <c r="SKK56" s="76"/>
      <c r="SKL56" s="76"/>
      <c r="SKM56" s="76"/>
      <c r="SKN56" s="76"/>
      <c r="SKO56" s="76"/>
      <c r="SKP56" s="76"/>
      <c r="SKQ56" s="76"/>
      <c r="SKR56" s="76"/>
      <c r="SKS56" s="76"/>
      <c r="SKT56" s="76"/>
      <c r="SKU56" s="76"/>
      <c r="SKV56" s="76"/>
      <c r="SKW56" s="76"/>
      <c r="SKX56" s="76"/>
      <c r="SKY56" s="76"/>
      <c r="SKZ56" s="76"/>
      <c r="SLA56" s="76"/>
      <c r="SLB56" s="76"/>
      <c r="SLC56" s="76"/>
      <c r="SLD56" s="76"/>
      <c r="SLE56" s="76"/>
      <c r="SLF56" s="76"/>
      <c r="SLG56" s="76"/>
      <c r="SLH56" s="76"/>
      <c r="SLI56" s="76"/>
      <c r="SLJ56" s="76"/>
      <c r="SLK56" s="76"/>
      <c r="SLL56" s="76"/>
      <c r="SLM56" s="76"/>
      <c r="SLN56" s="76"/>
      <c r="SLO56" s="76"/>
      <c r="SLP56" s="76"/>
      <c r="SLQ56" s="76"/>
      <c r="SLR56" s="76"/>
      <c r="SLS56" s="76"/>
      <c r="SLT56" s="76"/>
      <c r="SLU56" s="76"/>
      <c r="SLV56" s="76"/>
      <c r="SLW56" s="76"/>
      <c r="SLX56" s="76"/>
      <c r="SLY56" s="76"/>
      <c r="SLZ56" s="76"/>
      <c r="SMA56" s="76"/>
      <c r="SMB56" s="76"/>
      <c r="SMC56" s="76"/>
      <c r="SMD56" s="76"/>
      <c r="SME56" s="76"/>
      <c r="SMF56" s="76"/>
      <c r="SMG56" s="76"/>
      <c r="SMH56" s="76"/>
      <c r="SMI56" s="76"/>
      <c r="SMJ56" s="76"/>
      <c r="SMK56" s="76"/>
      <c r="SML56" s="76"/>
      <c r="SMM56" s="76"/>
      <c r="SMN56" s="76"/>
      <c r="SMO56" s="76"/>
      <c r="SMP56" s="76"/>
      <c r="SMQ56" s="76"/>
      <c r="SMR56" s="76"/>
      <c r="SMS56" s="76"/>
      <c r="SMT56" s="76"/>
      <c r="SMU56" s="76"/>
      <c r="SMV56" s="76"/>
      <c r="SMW56" s="76"/>
      <c r="SMX56" s="76"/>
      <c r="SMY56" s="76"/>
      <c r="SMZ56" s="76"/>
      <c r="SNA56" s="76"/>
      <c r="SNB56" s="76"/>
      <c r="SNC56" s="76"/>
      <c r="SND56" s="76"/>
      <c r="SNE56" s="76"/>
      <c r="SNF56" s="76"/>
      <c r="SNG56" s="76"/>
      <c r="SNH56" s="76"/>
      <c r="SNI56" s="76"/>
      <c r="SNJ56" s="76"/>
      <c r="SNK56" s="76"/>
      <c r="SNL56" s="76"/>
      <c r="SNM56" s="76"/>
      <c r="SNN56" s="76"/>
      <c r="SNO56" s="76"/>
      <c r="SNP56" s="76"/>
      <c r="SNQ56" s="76"/>
      <c r="SNR56" s="76"/>
      <c r="SNS56" s="76"/>
      <c r="SNT56" s="76"/>
      <c r="SNU56" s="76"/>
      <c r="SNV56" s="76"/>
      <c r="SNW56" s="76"/>
      <c r="SNX56" s="76"/>
      <c r="SNY56" s="76"/>
      <c r="SNZ56" s="76"/>
      <c r="SOA56" s="76"/>
      <c r="SOB56" s="76"/>
      <c r="SOC56" s="76"/>
      <c r="SOD56" s="76"/>
      <c r="SOE56" s="76"/>
      <c r="SOF56" s="76"/>
      <c r="SOG56" s="76"/>
      <c r="SOH56" s="76"/>
      <c r="SOI56" s="76"/>
      <c r="SOJ56" s="76"/>
      <c r="SOK56" s="76"/>
      <c r="SOL56" s="76"/>
      <c r="SOM56" s="76"/>
      <c r="SON56" s="76"/>
      <c r="SOO56" s="76"/>
      <c r="SOP56" s="76"/>
      <c r="SOQ56" s="76"/>
      <c r="SOR56" s="76"/>
      <c r="SOS56" s="76"/>
      <c r="SOT56" s="76"/>
      <c r="SOU56" s="76"/>
      <c r="SOV56" s="76"/>
      <c r="SOW56" s="76"/>
      <c r="SOX56" s="76"/>
      <c r="SOY56" s="76"/>
      <c r="SOZ56" s="76"/>
      <c r="SPA56" s="76"/>
      <c r="SPB56" s="76"/>
      <c r="SPC56" s="76"/>
      <c r="SPD56" s="76"/>
      <c r="SPE56" s="76"/>
      <c r="SPF56" s="76"/>
      <c r="SPG56" s="76"/>
      <c r="SPH56" s="76"/>
      <c r="SPI56" s="76"/>
      <c r="SPJ56" s="76"/>
      <c r="SPK56" s="76"/>
      <c r="SPL56" s="76"/>
      <c r="SPM56" s="76"/>
      <c r="SPN56" s="76"/>
      <c r="SPO56" s="76"/>
      <c r="SPP56" s="76"/>
      <c r="SPQ56" s="76"/>
      <c r="SPR56" s="76"/>
      <c r="SPS56" s="76"/>
      <c r="SPT56" s="76"/>
      <c r="SPU56" s="76"/>
      <c r="SPV56" s="76"/>
      <c r="SPW56" s="76"/>
      <c r="SPX56" s="76"/>
      <c r="SPY56" s="76"/>
      <c r="SPZ56" s="76"/>
      <c r="SQA56" s="76"/>
      <c r="SQB56" s="76"/>
      <c r="SQC56" s="76"/>
      <c r="SQD56" s="76"/>
      <c r="SQE56" s="76"/>
      <c r="SQF56" s="76"/>
      <c r="SQG56" s="76"/>
      <c r="SQH56" s="76"/>
      <c r="SQI56" s="76"/>
      <c r="SQJ56" s="76"/>
      <c r="SQK56" s="76"/>
      <c r="SQL56" s="76"/>
      <c r="SQM56" s="76"/>
      <c r="SQN56" s="76"/>
      <c r="SQO56" s="76"/>
      <c r="SQP56" s="76"/>
      <c r="SQQ56" s="76"/>
      <c r="SQR56" s="76"/>
      <c r="SQS56" s="76"/>
      <c r="SQT56" s="76"/>
      <c r="SQU56" s="76"/>
      <c r="SQV56" s="76"/>
      <c r="SQW56" s="76"/>
      <c r="SQX56" s="76"/>
      <c r="SQY56" s="76"/>
      <c r="SQZ56" s="76"/>
      <c r="SRA56" s="76"/>
      <c r="SRB56" s="76"/>
      <c r="SRC56" s="76"/>
      <c r="SRD56" s="76"/>
      <c r="SRE56" s="76"/>
      <c r="SRF56" s="76"/>
      <c r="SRG56" s="76"/>
      <c r="SRH56" s="76"/>
      <c r="SRI56" s="76"/>
      <c r="SRJ56" s="76"/>
      <c r="SRK56" s="76"/>
      <c r="SRL56" s="76"/>
      <c r="SRM56" s="76"/>
      <c r="SRN56" s="76"/>
      <c r="SRO56" s="76"/>
      <c r="SRP56" s="76"/>
      <c r="SRQ56" s="76"/>
      <c r="SRR56" s="76"/>
      <c r="SRS56" s="76"/>
      <c r="SRT56" s="76"/>
      <c r="SRU56" s="76"/>
      <c r="SRV56" s="76"/>
      <c r="SRW56" s="76"/>
      <c r="SRX56" s="76"/>
      <c r="SRY56" s="76"/>
      <c r="SRZ56" s="76"/>
      <c r="SSA56" s="76"/>
      <c r="SSB56" s="76"/>
      <c r="SSC56" s="76"/>
      <c r="SSD56" s="76"/>
      <c r="SSE56" s="76"/>
      <c r="SSF56" s="76"/>
      <c r="SSG56" s="76"/>
      <c r="SSH56" s="76"/>
      <c r="SSI56" s="76"/>
      <c r="SSJ56" s="76"/>
      <c r="SSK56" s="76"/>
      <c r="SSL56" s="76"/>
      <c r="SSM56" s="76"/>
      <c r="SSN56" s="76"/>
      <c r="SSO56" s="76"/>
      <c r="SSP56" s="76"/>
      <c r="SSQ56" s="76"/>
      <c r="SSR56" s="76"/>
      <c r="SSS56" s="76"/>
      <c r="SST56" s="76"/>
      <c r="SSU56" s="76"/>
      <c r="SSV56" s="76"/>
      <c r="SSW56" s="76"/>
      <c r="SSX56" s="76"/>
      <c r="SSY56" s="76"/>
      <c r="SSZ56" s="76"/>
      <c r="STA56" s="76"/>
      <c r="STB56" s="76"/>
      <c r="STC56" s="76"/>
      <c r="STD56" s="76"/>
      <c r="STE56" s="76"/>
      <c r="STF56" s="76"/>
      <c r="STG56" s="76"/>
      <c r="STH56" s="76"/>
      <c r="STI56" s="76"/>
      <c r="STJ56" s="76"/>
      <c r="STK56" s="76"/>
      <c r="STL56" s="76"/>
      <c r="STM56" s="76"/>
      <c r="STN56" s="76"/>
      <c r="STO56" s="76"/>
      <c r="STP56" s="76"/>
      <c r="STQ56" s="76"/>
      <c r="STR56" s="76"/>
      <c r="STS56" s="76"/>
      <c r="STT56" s="76"/>
      <c r="STU56" s="76"/>
      <c r="STV56" s="76"/>
      <c r="STW56" s="76"/>
      <c r="STX56" s="76"/>
      <c r="STY56" s="76"/>
      <c r="STZ56" s="76"/>
      <c r="SUA56" s="76"/>
      <c r="SUB56" s="76"/>
      <c r="SUC56" s="76"/>
      <c r="SUD56" s="76"/>
      <c r="SUE56" s="76"/>
      <c r="SUF56" s="76"/>
      <c r="SUG56" s="76"/>
      <c r="SUH56" s="76"/>
      <c r="SUI56" s="76"/>
      <c r="SUJ56" s="76"/>
      <c r="SUK56" s="76"/>
      <c r="SUL56" s="76"/>
      <c r="SUM56" s="76"/>
      <c r="SUN56" s="76"/>
      <c r="SUO56" s="76"/>
      <c r="SUP56" s="76"/>
      <c r="SUQ56" s="76"/>
      <c r="SUR56" s="76"/>
      <c r="SUS56" s="76"/>
      <c r="SUT56" s="76"/>
      <c r="SUU56" s="76"/>
      <c r="SUV56" s="76"/>
      <c r="SUW56" s="76"/>
      <c r="SUX56" s="76"/>
      <c r="SUY56" s="76"/>
      <c r="SUZ56" s="76"/>
      <c r="SVA56" s="76"/>
      <c r="SVB56" s="76"/>
      <c r="SVC56" s="76"/>
      <c r="SVD56" s="76"/>
      <c r="SVE56" s="76"/>
      <c r="SVF56" s="76"/>
      <c r="SVG56" s="76"/>
      <c r="SVH56" s="76"/>
      <c r="SVI56" s="76"/>
      <c r="SVJ56" s="76"/>
      <c r="SVK56" s="76"/>
      <c r="SVL56" s="76"/>
      <c r="SVM56" s="76"/>
      <c r="SVN56" s="76"/>
      <c r="SVO56" s="76"/>
      <c r="SVP56" s="76"/>
      <c r="SVQ56" s="76"/>
      <c r="SVR56" s="76"/>
      <c r="SVS56" s="76"/>
      <c r="SVT56" s="76"/>
      <c r="SVU56" s="76"/>
      <c r="SVV56" s="76"/>
      <c r="SVW56" s="76"/>
      <c r="SVX56" s="76"/>
      <c r="SVY56" s="76"/>
      <c r="SVZ56" s="76"/>
      <c r="SWA56" s="76"/>
      <c r="SWB56" s="76"/>
      <c r="SWC56" s="76"/>
      <c r="SWD56" s="76"/>
      <c r="SWE56" s="76"/>
      <c r="SWF56" s="76"/>
      <c r="SWG56" s="76"/>
      <c r="SWH56" s="76"/>
      <c r="SWI56" s="76"/>
      <c r="SWJ56" s="76"/>
      <c r="SWK56" s="76"/>
      <c r="SWL56" s="76"/>
      <c r="SWM56" s="76"/>
      <c r="SWN56" s="76"/>
      <c r="SWO56" s="76"/>
      <c r="SWP56" s="76"/>
      <c r="SWQ56" s="76"/>
      <c r="SWR56" s="76"/>
      <c r="SWS56" s="76"/>
      <c r="SWT56" s="76"/>
      <c r="SWU56" s="76"/>
      <c r="SWV56" s="76"/>
      <c r="SWW56" s="76"/>
      <c r="SWX56" s="76"/>
      <c r="SWY56" s="76"/>
      <c r="SWZ56" s="76"/>
      <c r="SXA56" s="76"/>
      <c r="SXB56" s="76"/>
      <c r="SXC56" s="76"/>
      <c r="SXD56" s="76"/>
      <c r="SXE56" s="76"/>
      <c r="SXF56" s="76"/>
      <c r="SXG56" s="76"/>
      <c r="SXH56" s="76"/>
      <c r="SXI56" s="76"/>
      <c r="SXJ56" s="76"/>
      <c r="SXK56" s="76"/>
      <c r="SXL56" s="76"/>
      <c r="SXM56" s="76"/>
      <c r="SXN56" s="76"/>
      <c r="SXO56" s="76"/>
      <c r="SXP56" s="76"/>
      <c r="SXQ56" s="76"/>
      <c r="SXR56" s="76"/>
      <c r="SXS56" s="76"/>
      <c r="SXT56" s="76"/>
      <c r="SXU56" s="76"/>
      <c r="SXV56" s="76"/>
      <c r="SXW56" s="76"/>
      <c r="SXX56" s="76"/>
      <c r="SXY56" s="76"/>
      <c r="SXZ56" s="76"/>
      <c r="SYA56" s="76"/>
      <c r="SYB56" s="76"/>
      <c r="SYC56" s="76"/>
      <c r="SYD56" s="76"/>
      <c r="SYE56" s="76"/>
      <c r="SYF56" s="76"/>
      <c r="SYG56" s="76"/>
      <c r="SYH56" s="76"/>
      <c r="SYI56" s="76"/>
      <c r="SYJ56" s="76"/>
      <c r="SYK56" s="76"/>
      <c r="SYL56" s="76"/>
      <c r="SYM56" s="76"/>
      <c r="SYN56" s="76"/>
      <c r="SYO56" s="76"/>
      <c r="SYP56" s="76"/>
      <c r="SYQ56" s="76"/>
      <c r="SYR56" s="76"/>
      <c r="SYS56" s="76"/>
      <c r="SYT56" s="76"/>
      <c r="SYU56" s="76"/>
      <c r="SYV56" s="76"/>
      <c r="SYW56" s="76"/>
      <c r="SYX56" s="76"/>
      <c r="SYY56" s="76"/>
      <c r="SYZ56" s="76"/>
      <c r="SZA56" s="76"/>
      <c r="SZB56" s="76"/>
      <c r="SZC56" s="76"/>
      <c r="SZD56" s="76"/>
      <c r="SZE56" s="76"/>
      <c r="SZF56" s="76"/>
      <c r="SZG56" s="76"/>
      <c r="SZH56" s="76"/>
      <c r="SZI56" s="76"/>
      <c r="SZJ56" s="76"/>
      <c r="SZK56" s="76"/>
      <c r="SZL56" s="76"/>
      <c r="SZM56" s="76"/>
      <c r="SZN56" s="76"/>
      <c r="SZO56" s="76"/>
      <c r="SZP56" s="76"/>
      <c r="SZQ56" s="76"/>
      <c r="SZR56" s="76"/>
      <c r="SZS56" s="76"/>
      <c r="SZT56" s="76"/>
      <c r="SZU56" s="76"/>
      <c r="SZV56" s="76"/>
      <c r="SZW56" s="76"/>
      <c r="SZX56" s="76"/>
      <c r="SZY56" s="76"/>
      <c r="SZZ56" s="76"/>
      <c r="TAA56" s="76"/>
      <c r="TAB56" s="76"/>
      <c r="TAC56" s="76"/>
      <c r="TAD56" s="76"/>
      <c r="TAE56" s="76"/>
      <c r="TAF56" s="76"/>
      <c r="TAG56" s="76"/>
      <c r="TAH56" s="76"/>
      <c r="TAI56" s="76"/>
      <c r="TAJ56" s="76"/>
      <c r="TAK56" s="76"/>
      <c r="TAL56" s="76"/>
      <c r="TAM56" s="76"/>
      <c r="TAN56" s="76"/>
      <c r="TAO56" s="76"/>
      <c r="TAP56" s="76"/>
      <c r="TAQ56" s="76"/>
      <c r="TAR56" s="76"/>
      <c r="TAS56" s="76"/>
      <c r="TAT56" s="76"/>
      <c r="TAU56" s="76"/>
      <c r="TAV56" s="76"/>
      <c r="TAW56" s="76"/>
      <c r="TAX56" s="76"/>
      <c r="TAY56" s="76"/>
      <c r="TAZ56" s="76"/>
      <c r="TBA56" s="76"/>
      <c r="TBB56" s="76"/>
      <c r="TBC56" s="76"/>
      <c r="TBD56" s="76"/>
      <c r="TBE56" s="76"/>
      <c r="TBF56" s="76"/>
      <c r="TBG56" s="76"/>
      <c r="TBH56" s="76"/>
      <c r="TBI56" s="76"/>
      <c r="TBJ56" s="76"/>
      <c r="TBK56" s="76"/>
      <c r="TBL56" s="76"/>
      <c r="TBM56" s="76"/>
      <c r="TBN56" s="76"/>
      <c r="TBO56" s="76"/>
      <c r="TBP56" s="76"/>
      <c r="TBQ56" s="76"/>
      <c r="TBR56" s="76"/>
      <c r="TBS56" s="76"/>
      <c r="TBT56" s="76"/>
      <c r="TBU56" s="76"/>
      <c r="TBV56" s="76"/>
      <c r="TBW56" s="76"/>
      <c r="TBX56" s="76"/>
      <c r="TBY56" s="76"/>
      <c r="TBZ56" s="76"/>
      <c r="TCA56" s="76"/>
      <c r="TCB56" s="76"/>
      <c r="TCC56" s="76"/>
      <c r="TCD56" s="76"/>
      <c r="TCE56" s="76"/>
      <c r="TCF56" s="76"/>
      <c r="TCG56" s="76"/>
      <c r="TCH56" s="76"/>
      <c r="TCI56" s="76"/>
      <c r="TCJ56" s="76"/>
      <c r="TCK56" s="76"/>
      <c r="TCL56" s="76"/>
      <c r="TCM56" s="76"/>
      <c r="TCN56" s="76"/>
      <c r="TCO56" s="76"/>
      <c r="TCP56" s="76"/>
      <c r="TCQ56" s="76"/>
      <c r="TCR56" s="76"/>
      <c r="TCS56" s="76"/>
      <c r="TCT56" s="76"/>
      <c r="TCU56" s="76"/>
      <c r="TCV56" s="76"/>
      <c r="TCW56" s="76"/>
      <c r="TCX56" s="76"/>
      <c r="TCY56" s="76"/>
      <c r="TCZ56" s="76"/>
      <c r="TDA56" s="76"/>
      <c r="TDB56" s="76"/>
      <c r="TDC56" s="76"/>
      <c r="TDD56" s="76"/>
      <c r="TDE56" s="76"/>
      <c r="TDF56" s="76"/>
      <c r="TDG56" s="76"/>
      <c r="TDH56" s="76"/>
      <c r="TDI56" s="76"/>
      <c r="TDJ56" s="76"/>
      <c r="TDK56" s="76"/>
      <c r="TDL56" s="76"/>
      <c r="TDM56" s="76"/>
      <c r="TDN56" s="76"/>
      <c r="TDO56" s="76"/>
      <c r="TDP56" s="76"/>
      <c r="TDQ56" s="76"/>
      <c r="TDR56" s="76"/>
      <c r="TDS56" s="76"/>
      <c r="TDT56" s="76"/>
      <c r="TDU56" s="76"/>
      <c r="TDV56" s="76"/>
      <c r="TDW56" s="76"/>
      <c r="TDX56" s="76"/>
      <c r="TDY56" s="76"/>
      <c r="TDZ56" s="76"/>
      <c r="TEA56" s="76"/>
      <c r="TEB56" s="76"/>
      <c r="TEC56" s="76"/>
      <c r="TED56" s="76"/>
      <c r="TEE56" s="76"/>
      <c r="TEF56" s="76"/>
      <c r="TEG56" s="76"/>
      <c r="TEH56" s="76"/>
      <c r="TEI56" s="76"/>
      <c r="TEJ56" s="76"/>
      <c r="TEK56" s="76"/>
      <c r="TEL56" s="76"/>
      <c r="TEM56" s="76"/>
      <c r="TEN56" s="76"/>
      <c r="TEO56" s="76"/>
      <c r="TEP56" s="76"/>
      <c r="TEQ56" s="76"/>
      <c r="TER56" s="76"/>
      <c r="TES56" s="76"/>
      <c r="TET56" s="76"/>
      <c r="TEU56" s="76"/>
      <c r="TEV56" s="76"/>
      <c r="TEW56" s="76"/>
      <c r="TEX56" s="76"/>
      <c r="TEY56" s="76"/>
      <c r="TEZ56" s="76"/>
      <c r="TFA56" s="76"/>
      <c r="TFB56" s="76"/>
      <c r="TFC56" s="76"/>
      <c r="TFD56" s="76"/>
      <c r="TFE56" s="76"/>
      <c r="TFF56" s="76"/>
      <c r="TFG56" s="76"/>
      <c r="TFH56" s="76"/>
      <c r="TFI56" s="76"/>
      <c r="TFJ56" s="76"/>
      <c r="TFK56" s="76"/>
      <c r="TFL56" s="76"/>
      <c r="TFM56" s="76"/>
      <c r="TFN56" s="76"/>
      <c r="TFO56" s="76"/>
      <c r="TFP56" s="76"/>
      <c r="TFQ56" s="76"/>
      <c r="TFR56" s="76"/>
      <c r="TFS56" s="76"/>
      <c r="TFT56" s="76"/>
      <c r="TFU56" s="76"/>
      <c r="TFV56" s="76"/>
      <c r="TFW56" s="76"/>
      <c r="TFX56" s="76"/>
      <c r="TFY56" s="76"/>
      <c r="TFZ56" s="76"/>
      <c r="TGA56" s="76"/>
      <c r="TGB56" s="76"/>
      <c r="TGC56" s="76"/>
      <c r="TGD56" s="76"/>
      <c r="TGE56" s="76"/>
      <c r="TGF56" s="76"/>
      <c r="TGG56" s="76"/>
      <c r="TGH56" s="76"/>
      <c r="TGI56" s="76"/>
      <c r="TGJ56" s="76"/>
      <c r="TGK56" s="76"/>
      <c r="TGL56" s="76"/>
      <c r="TGM56" s="76"/>
      <c r="TGN56" s="76"/>
      <c r="TGO56" s="76"/>
      <c r="TGP56" s="76"/>
      <c r="TGQ56" s="76"/>
      <c r="TGR56" s="76"/>
      <c r="TGS56" s="76"/>
      <c r="TGT56" s="76"/>
      <c r="TGU56" s="76"/>
      <c r="TGV56" s="76"/>
      <c r="TGW56" s="76"/>
      <c r="TGX56" s="76"/>
      <c r="TGY56" s="76"/>
      <c r="TGZ56" s="76"/>
      <c r="THA56" s="76"/>
      <c r="THB56" s="76"/>
      <c r="THC56" s="76"/>
      <c r="THD56" s="76"/>
      <c r="THE56" s="76"/>
      <c r="THF56" s="76"/>
      <c r="THG56" s="76"/>
      <c r="THH56" s="76"/>
      <c r="THI56" s="76"/>
      <c r="THJ56" s="76"/>
      <c r="THK56" s="76"/>
      <c r="THL56" s="76"/>
      <c r="THM56" s="76"/>
      <c r="THN56" s="76"/>
      <c r="THO56" s="76"/>
      <c r="THP56" s="76"/>
      <c r="THQ56" s="76"/>
      <c r="THR56" s="76"/>
      <c r="THS56" s="76"/>
      <c r="THT56" s="76"/>
      <c r="THU56" s="76"/>
      <c r="THV56" s="76"/>
      <c r="THW56" s="76"/>
      <c r="THX56" s="76"/>
      <c r="THY56" s="76"/>
      <c r="THZ56" s="76"/>
      <c r="TIA56" s="76"/>
      <c r="TIB56" s="76"/>
      <c r="TIC56" s="76"/>
      <c r="TID56" s="76"/>
      <c r="TIE56" s="76"/>
      <c r="TIF56" s="76"/>
      <c r="TIG56" s="76"/>
      <c r="TIH56" s="76"/>
      <c r="TII56" s="76"/>
      <c r="TIJ56" s="76"/>
      <c r="TIK56" s="76"/>
      <c r="TIL56" s="76"/>
      <c r="TIM56" s="76"/>
      <c r="TIN56" s="76"/>
      <c r="TIO56" s="76"/>
      <c r="TIP56" s="76"/>
      <c r="TIQ56" s="76"/>
      <c r="TIR56" s="76"/>
      <c r="TIS56" s="76"/>
      <c r="TIT56" s="76"/>
      <c r="TIU56" s="76"/>
      <c r="TIV56" s="76"/>
      <c r="TIW56" s="76"/>
      <c r="TIX56" s="76"/>
      <c r="TIY56" s="76"/>
      <c r="TIZ56" s="76"/>
      <c r="TJA56" s="76"/>
      <c r="TJB56" s="76"/>
      <c r="TJC56" s="76"/>
      <c r="TJD56" s="76"/>
      <c r="TJE56" s="76"/>
      <c r="TJF56" s="76"/>
      <c r="TJG56" s="76"/>
      <c r="TJH56" s="76"/>
      <c r="TJI56" s="76"/>
      <c r="TJJ56" s="76"/>
      <c r="TJK56" s="76"/>
      <c r="TJL56" s="76"/>
      <c r="TJM56" s="76"/>
      <c r="TJN56" s="76"/>
      <c r="TJO56" s="76"/>
      <c r="TJP56" s="76"/>
      <c r="TJQ56" s="76"/>
      <c r="TJR56" s="76"/>
      <c r="TJS56" s="76"/>
      <c r="TJT56" s="76"/>
      <c r="TJU56" s="76"/>
      <c r="TJV56" s="76"/>
      <c r="TJW56" s="76"/>
      <c r="TJX56" s="76"/>
      <c r="TJY56" s="76"/>
      <c r="TJZ56" s="76"/>
      <c r="TKA56" s="76"/>
      <c r="TKB56" s="76"/>
      <c r="TKC56" s="76"/>
      <c r="TKD56" s="76"/>
      <c r="TKE56" s="76"/>
      <c r="TKF56" s="76"/>
      <c r="TKG56" s="76"/>
      <c r="TKH56" s="76"/>
      <c r="TKI56" s="76"/>
      <c r="TKJ56" s="76"/>
      <c r="TKK56" s="76"/>
      <c r="TKL56" s="76"/>
      <c r="TKM56" s="76"/>
      <c r="TKN56" s="76"/>
      <c r="TKO56" s="76"/>
      <c r="TKP56" s="76"/>
      <c r="TKQ56" s="76"/>
      <c r="TKR56" s="76"/>
      <c r="TKS56" s="76"/>
      <c r="TKT56" s="76"/>
      <c r="TKU56" s="76"/>
      <c r="TKV56" s="76"/>
      <c r="TKW56" s="76"/>
      <c r="TKX56" s="76"/>
      <c r="TKY56" s="76"/>
      <c r="TKZ56" s="76"/>
      <c r="TLA56" s="76"/>
      <c r="TLB56" s="76"/>
      <c r="TLC56" s="76"/>
      <c r="TLD56" s="76"/>
      <c r="TLE56" s="76"/>
      <c r="TLF56" s="76"/>
      <c r="TLG56" s="76"/>
      <c r="TLH56" s="76"/>
      <c r="TLI56" s="76"/>
      <c r="TLJ56" s="76"/>
      <c r="TLK56" s="76"/>
      <c r="TLL56" s="76"/>
      <c r="TLM56" s="76"/>
      <c r="TLN56" s="76"/>
      <c r="TLO56" s="76"/>
      <c r="TLP56" s="76"/>
      <c r="TLQ56" s="76"/>
      <c r="TLR56" s="76"/>
      <c r="TLS56" s="76"/>
      <c r="TLT56" s="76"/>
      <c r="TLU56" s="76"/>
      <c r="TLV56" s="76"/>
      <c r="TLW56" s="76"/>
      <c r="TLX56" s="76"/>
      <c r="TLY56" s="76"/>
      <c r="TLZ56" s="76"/>
      <c r="TMA56" s="76"/>
      <c r="TMB56" s="76"/>
      <c r="TMC56" s="76"/>
      <c r="TMD56" s="76"/>
      <c r="TME56" s="76"/>
      <c r="TMF56" s="76"/>
      <c r="TMG56" s="76"/>
      <c r="TMH56" s="76"/>
      <c r="TMI56" s="76"/>
      <c r="TMJ56" s="76"/>
      <c r="TMK56" s="76"/>
      <c r="TML56" s="76"/>
      <c r="TMM56" s="76"/>
      <c r="TMN56" s="76"/>
      <c r="TMO56" s="76"/>
      <c r="TMP56" s="76"/>
      <c r="TMQ56" s="76"/>
      <c r="TMR56" s="76"/>
      <c r="TMS56" s="76"/>
      <c r="TMT56" s="76"/>
      <c r="TMU56" s="76"/>
      <c r="TMV56" s="76"/>
      <c r="TMW56" s="76"/>
      <c r="TMX56" s="76"/>
      <c r="TMY56" s="76"/>
      <c r="TMZ56" s="76"/>
      <c r="TNA56" s="76"/>
      <c r="TNB56" s="76"/>
      <c r="TNC56" s="76"/>
      <c r="TND56" s="76"/>
      <c r="TNE56" s="76"/>
      <c r="TNF56" s="76"/>
      <c r="TNG56" s="76"/>
      <c r="TNH56" s="76"/>
      <c r="TNI56" s="76"/>
      <c r="TNJ56" s="76"/>
      <c r="TNK56" s="76"/>
      <c r="TNL56" s="76"/>
      <c r="TNM56" s="76"/>
      <c r="TNN56" s="76"/>
      <c r="TNO56" s="76"/>
      <c r="TNP56" s="76"/>
      <c r="TNQ56" s="76"/>
      <c r="TNR56" s="76"/>
      <c r="TNS56" s="76"/>
      <c r="TNT56" s="76"/>
      <c r="TNU56" s="76"/>
      <c r="TNV56" s="76"/>
      <c r="TNW56" s="76"/>
      <c r="TNX56" s="76"/>
      <c r="TNY56" s="76"/>
      <c r="TNZ56" s="76"/>
      <c r="TOA56" s="76"/>
      <c r="TOB56" s="76"/>
      <c r="TOC56" s="76"/>
      <c r="TOD56" s="76"/>
      <c r="TOE56" s="76"/>
      <c r="TOF56" s="76"/>
      <c r="TOG56" s="76"/>
      <c r="TOH56" s="76"/>
      <c r="TOI56" s="76"/>
      <c r="TOJ56" s="76"/>
      <c r="TOK56" s="76"/>
      <c r="TOL56" s="76"/>
      <c r="TOM56" s="76"/>
      <c r="TON56" s="76"/>
      <c r="TOO56" s="76"/>
      <c r="TOP56" s="76"/>
      <c r="TOQ56" s="76"/>
      <c r="TOR56" s="76"/>
      <c r="TOS56" s="76"/>
      <c r="TOT56" s="76"/>
      <c r="TOU56" s="76"/>
      <c r="TOV56" s="76"/>
      <c r="TOW56" s="76"/>
      <c r="TOX56" s="76"/>
      <c r="TOY56" s="76"/>
      <c r="TOZ56" s="76"/>
      <c r="TPA56" s="76"/>
      <c r="TPB56" s="76"/>
      <c r="TPC56" s="76"/>
      <c r="TPD56" s="76"/>
      <c r="TPE56" s="76"/>
      <c r="TPF56" s="76"/>
      <c r="TPG56" s="76"/>
      <c r="TPH56" s="76"/>
      <c r="TPI56" s="76"/>
      <c r="TPJ56" s="76"/>
      <c r="TPK56" s="76"/>
      <c r="TPL56" s="76"/>
      <c r="TPM56" s="76"/>
      <c r="TPN56" s="76"/>
      <c r="TPO56" s="76"/>
      <c r="TPP56" s="76"/>
      <c r="TPQ56" s="76"/>
      <c r="TPR56" s="76"/>
      <c r="TPS56" s="76"/>
      <c r="TPT56" s="76"/>
      <c r="TPU56" s="76"/>
      <c r="TPV56" s="76"/>
      <c r="TPW56" s="76"/>
      <c r="TPX56" s="76"/>
      <c r="TPY56" s="76"/>
      <c r="TPZ56" s="76"/>
      <c r="TQA56" s="76"/>
      <c r="TQB56" s="76"/>
      <c r="TQC56" s="76"/>
      <c r="TQD56" s="76"/>
      <c r="TQE56" s="76"/>
      <c r="TQF56" s="76"/>
      <c r="TQG56" s="76"/>
      <c r="TQH56" s="76"/>
      <c r="TQI56" s="76"/>
      <c r="TQJ56" s="76"/>
      <c r="TQK56" s="76"/>
      <c r="TQL56" s="76"/>
      <c r="TQM56" s="76"/>
      <c r="TQN56" s="76"/>
      <c r="TQO56" s="76"/>
      <c r="TQP56" s="76"/>
      <c r="TQQ56" s="76"/>
      <c r="TQR56" s="76"/>
      <c r="TQS56" s="76"/>
      <c r="TQT56" s="76"/>
      <c r="TQU56" s="76"/>
      <c r="TQV56" s="76"/>
      <c r="TQW56" s="76"/>
      <c r="TQX56" s="76"/>
      <c r="TQY56" s="76"/>
      <c r="TQZ56" s="76"/>
      <c r="TRA56" s="76"/>
      <c r="TRB56" s="76"/>
      <c r="TRC56" s="76"/>
      <c r="TRD56" s="76"/>
      <c r="TRE56" s="76"/>
      <c r="TRF56" s="76"/>
      <c r="TRG56" s="76"/>
      <c r="TRH56" s="76"/>
      <c r="TRI56" s="76"/>
      <c r="TRJ56" s="76"/>
      <c r="TRK56" s="76"/>
      <c r="TRL56" s="76"/>
      <c r="TRM56" s="76"/>
      <c r="TRN56" s="76"/>
      <c r="TRO56" s="76"/>
      <c r="TRP56" s="76"/>
      <c r="TRQ56" s="76"/>
      <c r="TRR56" s="76"/>
      <c r="TRS56" s="76"/>
      <c r="TRT56" s="76"/>
      <c r="TRU56" s="76"/>
      <c r="TRV56" s="76"/>
      <c r="TRW56" s="76"/>
      <c r="TRX56" s="76"/>
      <c r="TRY56" s="76"/>
      <c r="TRZ56" s="76"/>
      <c r="TSA56" s="76"/>
      <c r="TSB56" s="76"/>
      <c r="TSC56" s="76"/>
      <c r="TSD56" s="76"/>
      <c r="TSE56" s="76"/>
      <c r="TSF56" s="76"/>
      <c r="TSG56" s="76"/>
      <c r="TSH56" s="76"/>
      <c r="TSI56" s="76"/>
      <c r="TSJ56" s="76"/>
      <c r="TSK56" s="76"/>
      <c r="TSL56" s="76"/>
      <c r="TSM56" s="76"/>
      <c r="TSN56" s="76"/>
      <c r="TSO56" s="76"/>
      <c r="TSP56" s="76"/>
      <c r="TSQ56" s="76"/>
      <c r="TSR56" s="76"/>
      <c r="TSS56" s="76"/>
      <c r="TST56" s="76"/>
      <c r="TSU56" s="76"/>
      <c r="TSV56" s="76"/>
      <c r="TSW56" s="76"/>
      <c r="TSX56" s="76"/>
      <c r="TSY56" s="76"/>
      <c r="TSZ56" s="76"/>
      <c r="TTA56" s="76"/>
      <c r="TTB56" s="76"/>
      <c r="TTC56" s="76"/>
      <c r="TTD56" s="76"/>
      <c r="TTE56" s="76"/>
      <c r="TTF56" s="76"/>
      <c r="TTG56" s="76"/>
      <c r="TTH56" s="76"/>
      <c r="TTI56" s="76"/>
      <c r="TTJ56" s="76"/>
      <c r="TTK56" s="76"/>
      <c r="TTL56" s="76"/>
      <c r="TTM56" s="76"/>
      <c r="TTN56" s="76"/>
      <c r="TTO56" s="76"/>
      <c r="TTP56" s="76"/>
      <c r="TTQ56" s="76"/>
      <c r="TTR56" s="76"/>
      <c r="TTS56" s="76"/>
      <c r="TTT56" s="76"/>
      <c r="TTU56" s="76"/>
      <c r="TTV56" s="76"/>
      <c r="TTW56" s="76"/>
      <c r="TTX56" s="76"/>
      <c r="TTY56" s="76"/>
      <c r="TTZ56" s="76"/>
      <c r="TUA56" s="76"/>
      <c r="TUB56" s="76"/>
      <c r="TUC56" s="76"/>
      <c r="TUD56" s="76"/>
      <c r="TUE56" s="76"/>
      <c r="TUF56" s="76"/>
      <c r="TUG56" s="76"/>
      <c r="TUH56" s="76"/>
      <c r="TUI56" s="76"/>
      <c r="TUJ56" s="76"/>
      <c r="TUK56" s="76"/>
      <c r="TUL56" s="76"/>
      <c r="TUM56" s="76"/>
      <c r="TUN56" s="76"/>
      <c r="TUO56" s="76"/>
      <c r="TUP56" s="76"/>
      <c r="TUQ56" s="76"/>
      <c r="TUR56" s="76"/>
      <c r="TUS56" s="76"/>
      <c r="TUT56" s="76"/>
      <c r="TUU56" s="76"/>
      <c r="TUV56" s="76"/>
      <c r="TUW56" s="76"/>
      <c r="TUX56" s="76"/>
      <c r="TUY56" s="76"/>
      <c r="TUZ56" s="76"/>
      <c r="TVA56" s="76"/>
      <c r="TVB56" s="76"/>
      <c r="TVC56" s="76"/>
      <c r="TVD56" s="76"/>
      <c r="TVE56" s="76"/>
      <c r="TVF56" s="76"/>
      <c r="TVG56" s="76"/>
      <c r="TVH56" s="76"/>
      <c r="TVI56" s="76"/>
      <c r="TVJ56" s="76"/>
      <c r="TVK56" s="76"/>
      <c r="TVL56" s="76"/>
      <c r="TVM56" s="76"/>
      <c r="TVN56" s="76"/>
      <c r="TVO56" s="76"/>
      <c r="TVP56" s="76"/>
      <c r="TVQ56" s="76"/>
      <c r="TVR56" s="76"/>
      <c r="TVS56" s="76"/>
      <c r="TVT56" s="76"/>
      <c r="TVU56" s="76"/>
      <c r="TVV56" s="76"/>
      <c r="TVW56" s="76"/>
      <c r="TVX56" s="76"/>
      <c r="TVY56" s="76"/>
      <c r="TVZ56" s="76"/>
      <c r="TWA56" s="76"/>
      <c r="TWB56" s="76"/>
      <c r="TWC56" s="76"/>
      <c r="TWD56" s="76"/>
      <c r="TWE56" s="76"/>
      <c r="TWF56" s="76"/>
      <c r="TWG56" s="76"/>
      <c r="TWH56" s="76"/>
      <c r="TWI56" s="76"/>
      <c r="TWJ56" s="76"/>
      <c r="TWK56" s="76"/>
      <c r="TWL56" s="76"/>
      <c r="TWM56" s="76"/>
      <c r="TWN56" s="76"/>
      <c r="TWO56" s="76"/>
      <c r="TWP56" s="76"/>
      <c r="TWQ56" s="76"/>
      <c r="TWR56" s="76"/>
      <c r="TWS56" s="76"/>
      <c r="TWT56" s="76"/>
      <c r="TWU56" s="76"/>
      <c r="TWV56" s="76"/>
      <c r="TWW56" s="76"/>
      <c r="TWX56" s="76"/>
      <c r="TWY56" s="76"/>
      <c r="TWZ56" s="76"/>
      <c r="TXA56" s="76"/>
      <c r="TXB56" s="76"/>
      <c r="TXC56" s="76"/>
      <c r="TXD56" s="76"/>
      <c r="TXE56" s="76"/>
      <c r="TXF56" s="76"/>
      <c r="TXG56" s="76"/>
      <c r="TXH56" s="76"/>
      <c r="TXI56" s="76"/>
      <c r="TXJ56" s="76"/>
      <c r="TXK56" s="76"/>
      <c r="TXL56" s="76"/>
      <c r="TXM56" s="76"/>
      <c r="TXN56" s="76"/>
      <c r="TXO56" s="76"/>
      <c r="TXP56" s="76"/>
      <c r="TXQ56" s="76"/>
      <c r="TXR56" s="76"/>
      <c r="TXS56" s="76"/>
      <c r="TXT56" s="76"/>
      <c r="TXU56" s="76"/>
      <c r="TXV56" s="76"/>
      <c r="TXW56" s="76"/>
      <c r="TXX56" s="76"/>
      <c r="TXY56" s="76"/>
      <c r="TXZ56" s="76"/>
      <c r="TYA56" s="76"/>
      <c r="TYB56" s="76"/>
      <c r="TYC56" s="76"/>
      <c r="TYD56" s="76"/>
      <c r="TYE56" s="76"/>
      <c r="TYF56" s="76"/>
      <c r="TYG56" s="76"/>
      <c r="TYH56" s="76"/>
      <c r="TYI56" s="76"/>
      <c r="TYJ56" s="76"/>
      <c r="TYK56" s="76"/>
      <c r="TYL56" s="76"/>
      <c r="TYM56" s="76"/>
      <c r="TYN56" s="76"/>
      <c r="TYO56" s="76"/>
      <c r="TYP56" s="76"/>
      <c r="TYQ56" s="76"/>
      <c r="TYR56" s="76"/>
      <c r="TYS56" s="76"/>
      <c r="TYT56" s="76"/>
      <c r="TYU56" s="76"/>
      <c r="TYV56" s="76"/>
      <c r="TYW56" s="76"/>
      <c r="TYX56" s="76"/>
      <c r="TYY56" s="76"/>
      <c r="TYZ56" s="76"/>
      <c r="TZA56" s="76"/>
      <c r="TZB56" s="76"/>
      <c r="TZC56" s="76"/>
      <c r="TZD56" s="76"/>
      <c r="TZE56" s="76"/>
      <c r="TZF56" s="76"/>
      <c r="TZG56" s="76"/>
      <c r="TZH56" s="76"/>
      <c r="TZI56" s="76"/>
      <c r="TZJ56" s="76"/>
      <c r="TZK56" s="76"/>
      <c r="TZL56" s="76"/>
      <c r="TZM56" s="76"/>
      <c r="TZN56" s="76"/>
      <c r="TZO56" s="76"/>
      <c r="TZP56" s="76"/>
      <c r="TZQ56" s="76"/>
      <c r="TZR56" s="76"/>
      <c r="TZS56" s="76"/>
      <c r="TZT56" s="76"/>
      <c r="TZU56" s="76"/>
      <c r="TZV56" s="76"/>
      <c r="TZW56" s="76"/>
      <c r="TZX56" s="76"/>
      <c r="TZY56" s="76"/>
      <c r="TZZ56" s="76"/>
      <c r="UAA56" s="76"/>
      <c r="UAB56" s="76"/>
      <c r="UAC56" s="76"/>
      <c r="UAD56" s="76"/>
      <c r="UAE56" s="76"/>
      <c r="UAF56" s="76"/>
      <c r="UAG56" s="76"/>
      <c r="UAH56" s="76"/>
      <c r="UAI56" s="76"/>
      <c r="UAJ56" s="76"/>
      <c r="UAK56" s="76"/>
      <c r="UAL56" s="76"/>
      <c r="UAM56" s="76"/>
      <c r="UAN56" s="76"/>
      <c r="UAO56" s="76"/>
      <c r="UAP56" s="76"/>
      <c r="UAQ56" s="76"/>
      <c r="UAR56" s="76"/>
      <c r="UAS56" s="76"/>
      <c r="UAT56" s="76"/>
      <c r="UAU56" s="76"/>
      <c r="UAV56" s="76"/>
      <c r="UAW56" s="76"/>
      <c r="UAX56" s="76"/>
      <c r="UAY56" s="76"/>
      <c r="UAZ56" s="76"/>
      <c r="UBA56" s="76"/>
      <c r="UBB56" s="76"/>
      <c r="UBC56" s="76"/>
      <c r="UBD56" s="76"/>
      <c r="UBE56" s="76"/>
      <c r="UBF56" s="76"/>
      <c r="UBG56" s="76"/>
      <c r="UBH56" s="76"/>
      <c r="UBI56" s="76"/>
      <c r="UBJ56" s="76"/>
      <c r="UBK56" s="76"/>
      <c r="UBL56" s="76"/>
      <c r="UBM56" s="76"/>
      <c r="UBN56" s="76"/>
      <c r="UBO56" s="76"/>
      <c r="UBP56" s="76"/>
      <c r="UBQ56" s="76"/>
      <c r="UBR56" s="76"/>
      <c r="UBS56" s="76"/>
      <c r="UBT56" s="76"/>
      <c r="UBU56" s="76"/>
      <c r="UBV56" s="76"/>
      <c r="UBW56" s="76"/>
      <c r="UBX56" s="76"/>
      <c r="UBY56" s="76"/>
      <c r="UBZ56" s="76"/>
      <c r="UCA56" s="76"/>
      <c r="UCB56" s="76"/>
      <c r="UCC56" s="76"/>
      <c r="UCD56" s="76"/>
      <c r="UCE56" s="76"/>
      <c r="UCF56" s="76"/>
      <c r="UCG56" s="76"/>
      <c r="UCH56" s="76"/>
      <c r="UCI56" s="76"/>
      <c r="UCJ56" s="76"/>
      <c r="UCK56" s="76"/>
      <c r="UCL56" s="76"/>
      <c r="UCM56" s="76"/>
      <c r="UCN56" s="76"/>
      <c r="UCO56" s="76"/>
      <c r="UCP56" s="76"/>
      <c r="UCQ56" s="76"/>
      <c r="UCR56" s="76"/>
      <c r="UCS56" s="76"/>
      <c r="UCT56" s="76"/>
      <c r="UCU56" s="76"/>
      <c r="UCV56" s="76"/>
      <c r="UCW56" s="76"/>
      <c r="UCX56" s="76"/>
      <c r="UCY56" s="76"/>
      <c r="UCZ56" s="76"/>
      <c r="UDA56" s="76"/>
      <c r="UDB56" s="76"/>
      <c r="UDC56" s="76"/>
      <c r="UDD56" s="76"/>
      <c r="UDE56" s="76"/>
      <c r="UDF56" s="76"/>
      <c r="UDG56" s="76"/>
      <c r="UDH56" s="76"/>
      <c r="UDI56" s="76"/>
      <c r="UDJ56" s="76"/>
      <c r="UDK56" s="76"/>
      <c r="UDL56" s="76"/>
      <c r="UDM56" s="76"/>
      <c r="UDN56" s="76"/>
      <c r="UDO56" s="76"/>
      <c r="UDP56" s="76"/>
      <c r="UDQ56" s="76"/>
      <c r="UDR56" s="76"/>
      <c r="UDS56" s="76"/>
      <c r="UDT56" s="76"/>
      <c r="UDU56" s="76"/>
      <c r="UDV56" s="76"/>
      <c r="UDW56" s="76"/>
      <c r="UDX56" s="76"/>
      <c r="UDY56" s="76"/>
      <c r="UDZ56" s="76"/>
      <c r="UEA56" s="76"/>
      <c r="UEB56" s="76"/>
      <c r="UEC56" s="76"/>
      <c r="UED56" s="76"/>
      <c r="UEE56" s="76"/>
      <c r="UEF56" s="76"/>
      <c r="UEG56" s="76"/>
      <c r="UEH56" s="76"/>
      <c r="UEI56" s="76"/>
      <c r="UEJ56" s="76"/>
      <c r="UEK56" s="76"/>
      <c r="UEL56" s="76"/>
      <c r="UEM56" s="76"/>
      <c r="UEN56" s="76"/>
      <c r="UEO56" s="76"/>
      <c r="UEP56" s="76"/>
      <c r="UEQ56" s="76"/>
      <c r="UER56" s="76"/>
      <c r="UES56" s="76"/>
      <c r="UET56" s="76"/>
      <c r="UEU56" s="76"/>
      <c r="UEV56" s="76"/>
      <c r="UEW56" s="76"/>
      <c r="UEX56" s="76"/>
      <c r="UEY56" s="76"/>
      <c r="UEZ56" s="76"/>
      <c r="UFA56" s="76"/>
      <c r="UFB56" s="76"/>
      <c r="UFC56" s="76"/>
      <c r="UFD56" s="76"/>
      <c r="UFE56" s="76"/>
      <c r="UFF56" s="76"/>
      <c r="UFG56" s="76"/>
      <c r="UFH56" s="76"/>
      <c r="UFI56" s="76"/>
      <c r="UFJ56" s="76"/>
      <c r="UFK56" s="76"/>
      <c r="UFL56" s="76"/>
      <c r="UFM56" s="76"/>
      <c r="UFN56" s="76"/>
      <c r="UFO56" s="76"/>
      <c r="UFP56" s="76"/>
      <c r="UFQ56" s="76"/>
      <c r="UFR56" s="76"/>
      <c r="UFS56" s="76"/>
      <c r="UFT56" s="76"/>
      <c r="UFU56" s="76"/>
      <c r="UFV56" s="76"/>
      <c r="UFW56" s="76"/>
      <c r="UFX56" s="76"/>
      <c r="UFY56" s="76"/>
      <c r="UFZ56" s="76"/>
      <c r="UGA56" s="76"/>
      <c r="UGB56" s="76"/>
      <c r="UGC56" s="76"/>
      <c r="UGD56" s="76"/>
      <c r="UGE56" s="76"/>
      <c r="UGF56" s="76"/>
      <c r="UGG56" s="76"/>
      <c r="UGH56" s="76"/>
      <c r="UGI56" s="76"/>
      <c r="UGJ56" s="76"/>
      <c r="UGK56" s="76"/>
      <c r="UGL56" s="76"/>
      <c r="UGM56" s="76"/>
      <c r="UGN56" s="76"/>
      <c r="UGO56" s="76"/>
      <c r="UGP56" s="76"/>
      <c r="UGQ56" s="76"/>
      <c r="UGR56" s="76"/>
      <c r="UGS56" s="76"/>
      <c r="UGT56" s="76"/>
      <c r="UGU56" s="76"/>
      <c r="UGV56" s="76"/>
      <c r="UGW56" s="76"/>
      <c r="UGX56" s="76"/>
      <c r="UGY56" s="76"/>
      <c r="UGZ56" s="76"/>
      <c r="UHA56" s="76"/>
      <c r="UHB56" s="76"/>
      <c r="UHC56" s="76"/>
      <c r="UHD56" s="76"/>
      <c r="UHE56" s="76"/>
      <c r="UHF56" s="76"/>
      <c r="UHG56" s="76"/>
      <c r="UHH56" s="76"/>
      <c r="UHI56" s="76"/>
      <c r="UHJ56" s="76"/>
      <c r="UHK56" s="76"/>
      <c r="UHL56" s="76"/>
      <c r="UHM56" s="76"/>
      <c r="UHN56" s="76"/>
      <c r="UHO56" s="76"/>
      <c r="UHP56" s="76"/>
      <c r="UHQ56" s="76"/>
      <c r="UHR56" s="76"/>
      <c r="UHS56" s="76"/>
      <c r="UHT56" s="76"/>
      <c r="UHU56" s="76"/>
      <c r="UHV56" s="76"/>
      <c r="UHW56" s="76"/>
      <c r="UHX56" s="76"/>
      <c r="UHY56" s="76"/>
      <c r="UHZ56" s="76"/>
      <c r="UIA56" s="76"/>
      <c r="UIB56" s="76"/>
      <c r="UIC56" s="76"/>
      <c r="UID56" s="76"/>
      <c r="UIE56" s="76"/>
      <c r="UIF56" s="76"/>
      <c r="UIG56" s="76"/>
      <c r="UIH56" s="76"/>
      <c r="UII56" s="76"/>
      <c r="UIJ56" s="76"/>
      <c r="UIK56" s="76"/>
      <c r="UIL56" s="76"/>
      <c r="UIM56" s="76"/>
      <c r="UIN56" s="76"/>
      <c r="UIO56" s="76"/>
      <c r="UIP56" s="76"/>
      <c r="UIQ56" s="76"/>
      <c r="UIR56" s="76"/>
      <c r="UIS56" s="76"/>
      <c r="UIT56" s="76"/>
      <c r="UIU56" s="76"/>
      <c r="UIV56" s="76"/>
      <c r="UIW56" s="76"/>
      <c r="UIX56" s="76"/>
      <c r="UIY56" s="76"/>
      <c r="UIZ56" s="76"/>
      <c r="UJA56" s="76"/>
      <c r="UJB56" s="76"/>
      <c r="UJC56" s="76"/>
      <c r="UJD56" s="76"/>
      <c r="UJE56" s="76"/>
      <c r="UJF56" s="76"/>
      <c r="UJG56" s="76"/>
      <c r="UJH56" s="76"/>
      <c r="UJI56" s="76"/>
      <c r="UJJ56" s="76"/>
      <c r="UJK56" s="76"/>
      <c r="UJL56" s="76"/>
      <c r="UJM56" s="76"/>
      <c r="UJN56" s="76"/>
      <c r="UJO56" s="76"/>
      <c r="UJP56" s="76"/>
      <c r="UJQ56" s="76"/>
      <c r="UJR56" s="76"/>
      <c r="UJS56" s="76"/>
      <c r="UJT56" s="76"/>
      <c r="UJU56" s="76"/>
      <c r="UJV56" s="76"/>
      <c r="UJW56" s="76"/>
      <c r="UJX56" s="76"/>
      <c r="UJY56" s="76"/>
      <c r="UJZ56" s="76"/>
      <c r="UKA56" s="76"/>
      <c r="UKB56" s="76"/>
      <c r="UKC56" s="76"/>
      <c r="UKD56" s="76"/>
      <c r="UKE56" s="76"/>
      <c r="UKF56" s="76"/>
      <c r="UKG56" s="76"/>
      <c r="UKH56" s="76"/>
      <c r="UKI56" s="76"/>
      <c r="UKJ56" s="76"/>
      <c r="UKK56" s="76"/>
      <c r="UKL56" s="76"/>
      <c r="UKM56" s="76"/>
      <c r="UKN56" s="76"/>
      <c r="UKO56" s="76"/>
      <c r="UKP56" s="76"/>
      <c r="UKQ56" s="76"/>
      <c r="UKR56" s="76"/>
      <c r="UKS56" s="76"/>
      <c r="UKT56" s="76"/>
      <c r="UKU56" s="76"/>
      <c r="UKV56" s="76"/>
      <c r="UKW56" s="76"/>
      <c r="UKX56" s="76"/>
      <c r="UKY56" s="76"/>
      <c r="UKZ56" s="76"/>
      <c r="ULA56" s="76"/>
      <c r="ULB56" s="76"/>
      <c r="ULC56" s="76"/>
      <c r="ULD56" s="76"/>
      <c r="ULE56" s="76"/>
      <c r="ULF56" s="76"/>
      <c r="ULG56" s="76"/>
      <c r="ULH56" s="76"/>
      <c r="ULI56" s="76"/>
      <c r="ULJ56" s="76"/>
      <c r="ULK56" s="76"/>
      <c r="ULL56" s="76"/>
      <c r="ULM56" s="76"/>
      <c r="ULN56" s="76"/>
      <c r="ULO56" s="76"/>
      <c r="ULP56" s="76"/>
      <c r="ULQ56" s="76"/>
      <c r="ULR56" s="76"/>
      <c r="ULS56" s="76"/>
      <c r="ULT56" s="76"/>
      <c r="ULU56" s="76"/>
      <c r="ULV56" s="76"/>
      <c r="ULW56" s="76"/>
      <c r="ULX56" s="76"/>
      <c r="ULY56" s="76"/>
      <c r="ULZ56" s="76"/>
      <c r="UMA56" s="76"/>
      <c r="UMB56" s="76"/>
      <c r="UMC56" s="76"/>
      <c r="UMD56" s="76"/>
      <c r="UME56" s="76"/>
      <c r="UMF56" s="76"/>
      <c r="UMG56" s="76"/>
      <c r="UMH56" s="76"/>
      <c r="UMI56" s="76"/>
      <c r="UMJ56" s="76"/>
      <c r="UMK56" s="76"/>
      <c r="UML56" s="76"/>
      <c r="UMM56" s="76"/>
      <c r="UMN56" s="76"/>
      <c r="UMO56" s="76"/>
      <c r="UMP56" s="76"/>
      <c r="UMQ56" s="76"/>
      <c r="UMR56" s="76"/>
      <c r="UMS56" s="76"/>
      <c r="UMT56" s="76"/>
      <c r="UMU56" s="76"/>
      <c r="UMV56" s="76"/>
      <c r="UMW56" s="76"/>
      <c r="UMX56" s="76"/>
      <c r="UMY56" s="76"/>
      <c r="UMZ56" s="76"/>
      <c r="UNA56" s="76"/>
      <c r="UNB56" s="76"/>
      <c r="UNC56" s="76"/>
      <c r="UND56" s="76"/>
      <c r="UNE56" s="76"/>
      <c r="UNF56" s="76"/>
      <c r="UNG56" s="76"/>
      <c r="UNH56" s="76"/>
      <c r="UNI56" s="76"/>
      <c r="UNJ56" s="76"/>
      <c r="UNK56" s="76"/>
      <c r="UNL56" s="76"/>
      <c r="UNM56" s="76"/>
      <c r="UNN56" s="76"/>
      <c r="UNO56" s="76"/>
      <c r="UNP56" s="76"/>
      <c r="UNQ56" s="76"/>
      <c r="UNR56" s="76"/>
      <c r="UNS56" s="76"/>
      <c r="UNT56" s="76"/>
      <c r="UNU56" s="76"/>
      <c r="UNV56" s="76"/>
      <c r="UNW56" s="76"/>
      <c r="UNX56" s="76"/>
      <c r="UNY56" s="76"/>
      <c r="UNZ56" s="76"/>
      <c r="UOA56" s="76"/>
      <c r="UOB56" s="76"/>
      <c r="UOC56" s="76"/>
      <c r="UOD56" s="76"/>
      <c r="UOE56" s="76"/>
      <c r="UOF56" s="76"/>
      <c r="UOG56" s="76"/>
      <c r="UOH56" s="76"/>
      <c r="UOI56" s="76"/>
      <c r="UOJ56" s="76"/>
      <c r="UOK56" s="76"/>
      <c r="UOL56" s="76"/>
      <c r="UOM56" s="76"/>
      <c r="UON56" s="76"/>
      <c r="UOO56" s="76"/>
      <c r="UOP56" s="76"/>
      <c r="UOQ56" s="76"/>
      <c r="UOR56" s="76"/>
      <c r="UOS56" s="76"/>
      <c r="UOT56" s="76"/>
      <c r="UOU56" s="76"/>
      <c r="UOV56" s="76"/>
      <c r="UOW56" s="76"/>
      <c r="UOX56" s="76"/>
      <c r="UOY56" s="76"/>
      <c r="UOZ56" s="76"/>
      <c r="UPA56" s="76"/>
      <c r="UPB56" s="76"/>
      <c r="UPC56" s="76"/>
      <c r="UPD56" s="76"/>
      <c r="UPE56" s="76"/>
      <c r="UPF56" s="76"/>
      <c r="UPG56" s="76"/>
      <c r="UPH56" s="76"/>
      <c r="UPI56" s="76"/>
      <c r="UPJ56" s="76"/>
      <c r="UPK56" s="76"/>
      <c r="UPL56" s="76"/>
      <c r="UPM56" s="76"/>
      <c r="UPN56" s="76"/>
      <c r="UPO56" s="76"/>
      <c r="UPP56" s="76"/>
      <c r="UPQ56" s="76"/>
      <c r="UPR56" s="76"/>
      <c r="UPS56" s="76"/>
      <c r="UPT56" s="76"/>
      <c r="UPU56" s="76"/>
      <c r="UPV56" s="76"/>
      <c r="UPW56" s="76"/>
      <c r="UPX56" s="76"/>
      <c r="UPY56" s="76"/>
      <c r="UPZ56" s="76"/>
      <c r="UQA56" s="76"/>
      <c r="UQB56" s="76"/>
      <c r="UQC56" s="76"/>
      <c r="UQD56" s="76"/>
      <c r="UQE56" s="76"/>
      <c r="UQF56" s="76"/>
      <c r="UQG56" s="76"/>
      <c r="UQH56" s="76"/>
      <c r="UQI56" s="76"/>
      <c r="UQJ56" s="76"/>
      <c r="UQK56" s="76"/>
      <c r="UQL56" s="76"/>
      <c r="UQM56" s="76"/>
      <c r="UQN56" s="76"/>
      <c r="UQO56" s="76"/>
      <c r="UQP56" s="76"/>
      <c r="UQQ56" s="76"/>
      <c r="UQR56" s="76"/>
      <c r="UQS56" s="76"/>
      <c r="UQT56" s="76"/>
      <c r="UQU56" s="76"/>
      <c r="UQV56" s="76"/>
      <c r="UQW56" s="76"/>
      <c r="UQX56" s="76"/>
      <c r="UQY56" s="76"/>
      <c r="UQZ56" s="76"/>
      <c r="URA56" s="76"/>
      <c r="URB56" s="76"/>
      <c r="URC56" s="76"/>
      <c r="URD56" s="76"/>
      <c r="URE56" s="76"/>
      <c r="URF56" s="76"/>
      <c r="URG56" s="76"/>
      <c r="URH56" s="76"/>
      <c r="URI56" s="76"/>
      <c r="URJ56" s="76"/>
      <c r="URK56" s="76"/>
      <c r="URL56" s="76"/>
      <c r="URM56" s="76"/>
      <c r="URN56" s="76"/>
      <c r="URO56" s="76"/>
      <c r="URP56" s="76"/>
      <c r="URQ56" s="76"/>
      <c r="URR56" s="76"/>
      <c r="URS56" s="76"/>
      <c r="URT56" s="76"/>
      <c r="URU56" s="76"/>
      <c r="URV56" s="76"/>
      <c r="URW56" s="76"/>
      <c r="URX56" s="76"/>
      <c r="URY56" s="76"/>
      <c r="URZ56" s="76"/>
      <c r="USA56" s="76"/>
      <c r="USB56" s="76"/>
      <c r="USC56" s="76"/>
      <c r="USD56" s="76"/>
      <c r="USE56" s="76"/>
      <c r="USF56" s="76"/>
      <c r="USG56" s="76"/>
      <c r="USH56" s="76"/>
      <c r="USI56" s="76"/>
      <c r="USJ56" s="76"/>
      <c r="USK56" s="76"/>
      <c r="USL56" s="76"/>
      <c r="USM56" s="76"/>
      <c r="USN56" s="76"/>
      <c r="USO56" s="76"/>
      <c r="USP56" s="76"/>
      <c r="USQ56" s="76"/>
      <c r="USR56" s="76"/>
      <c r="USS56" s="76"/>
      <c r="UST56" s="76"/>
      <c r="USU56" s="76"/>
      <c r="USV56" s="76"/>
      <c r="USW56" s="76"/>
      <c r="USX56" s="76"/>
      <c r="USY56" s="76"/>
      <c r="USZ56" s="76"/>
      <c r="UTA56" s="76"/>
      <c r="UTB56" s="76"/>
      <c r="UTC56" s="76"/>
      <c r="UTD56" s="76"/>
      <c r="UTE56" s="76"/>
      <c r="UTF56" s="76"/>
      <c r="UTG56" s="76"/>
      <c r="UTH56" s="76"/>
      <c r="UTI56" s="76"/>
      <c r="UTJ56" s="76"/>
      <c r="UTK56" s="76"/>
      <c r="UTL56" s="76"/>
      <c r="UTM56" s="76"/>
      <c r="UTN56" s="76"/>
      <c r="UTO56" s="76"/>
      <c r="UTP56" s="76"/>
      <c r="UTQ56" s="76"/>
      <c r="UTR56" s="76"/>
      <c r="UTS56" s="76"/>
      <c r="UTT56" s="76"/>
      <c r="UTU56" s="76"/>
      <c r="UTV56" s="76"/>
      <c r="UTW56" s="76"/>
      <c r="UTX56" s="76"/>
      <c r="UTY56" s="76"/>
      <c r="UTZ56" s="76"/>
      <c r="UUA56" s="76"/>
      <c r="UUB56" s="76"/>
      <c r="UUC56" s="76"/>
      <c r="UUD56" s="76"/>
      <c r="UUE56" s="76"/>
      <c r="UUF56" s="76"/>
      <c r="UUG56" s="76"/>
      <c r="UUH56" s="76"/>
      <c r="UUI56" s="76"/>
      <c r="UUJ56" s="76"/>
      <c r="UUK56" s="76"/>
      <c r="UUL56" s="76"/>
      <c r="UUM56" s="76"/>
      <c r="UUN56" s="76"/>
      <c r="UUO56" s="76"/>
      <c r="UUP56" s="76"/>
      <c r="UUQ56" s="76"/>
      <c r="UUR56" s="76"/>
      <c r="UUS56" s="76"/>
      <c r="UUT56" s="76"/>
      <c r="UUU56" s="76"/>
      <c r="UUV56" s="76"/>
      <c r="UUW56" s="76"/>
      <c r="UUX56" s="76"/>
      <c r="UUY56" s="76"/>
      <c r="UUZ56" s="76"/>
      <c r="UVA56" s="76"/>
      <c r="UVB56" s="76"/>
      <c r="UVC56" s="76"/>
      <c r="UVD56" s="76"/>
      <c r="UVE56" s="76"/>
      <c r="UVF56" s="76"/>
      <c r="UVG56" s="76"/>
      <c r="UVH56" s="76"/>
      <c r="UVI56" s="76"/>
      <c r="UVJ56" s="76"/>
      <c r="UVK56" s="76"/>
      <c r="UVL56" s="76"/>
      <c r="UVM56" s="76"/>
      <c r="UVN56" s="76"/>
      <c r="UVO56" s="76"/>
      <c r="UVP56" s="76"/>
      <c r="UVQ56" s="76"/>
      <c r="UVR56" s="76"/>
      <c r="UVS56" s="76"/>
      <c r="UVT56" s="76"/>
      <c r="UVU56" s="76"/>
      <c r="UVV56" s="76"/>
      <c r="UVW56" s="76"/>
      <c r="UVX56" s="76"/>
      <c r="UVY56" s="76"/>
      <c r="UVZ56" s="76"/>
      <c r="UWA56" s="76"/>
      <c r="UWB56" s="76"/>
      <c r="UWC56" s="76"/>
      <c r="UWD56" s="76"/>
      <c r="UWE56" s="76"/>
      <c r="UWF56" s="76"/>
      <c r="UWG56" s="76"/>
      <c r="UWH56" s="76"/>
      <c r="UWI56" s="76"/>
      <c r="UWJ56" s="76"/>
      <c r="UWK56" s="76"/>
      <c r="UWL56" s="76"/>
      <c r="UWM56" s="76"/>
      <c r="UWN56" s="76"/>
      <c r="UWO56" s="76"/>
      <c r="UWP56" s="76"/>
      <c r="UWQ56" s="76"/>
      <c r="UWR56" s="76"/>
      <c r="UWS56" s="76"/>
      <c r="UWT56" s="76"/>
      <c r="UWU56" s="76"/>
      <c r="UWV56" s="76"/>
      <c r="UWW56" s="76"/>
      <c r="UWX56" s="76"/>
      <c r="UWY56" s="76"/>
      <c r="UWZ56" s="76"/>
      <c r="UXA56" s="76"/>
      <c r="UXB56" s="76"/>
      <c r="UXC56" s="76"/>
      <c r="UXD56" s="76"/>
      <c r="UXE56" s="76"/>
      <c r="UXF56" s="76"/>
      <c r="UXG56" s="76"/>
      <c r="UXH56" s="76"/>
      <c r="UXI56" s="76"/>
      <c r="UXJ56" s="76"/>
      <c r="UXK56" s="76"/>
      <c r="UXL56" s="76"/>
      <c r="UXM56" s="76"/>
      <c r="UXN56" s="76"/>
      <c r="UXO56" s="76"/>
      <c r="UXP56" s="76"/>
      <c r="UXQ56" s="76"/>
      <c r="UXR56" s="76"/>
      <c r="UXS56" s="76"/>
      <c r="UXT56" s="76"/>
      <c r="UXU56" s="76"/>
      <c r="UXV56" s="76"/>
      <c r="UXW56" s="76"/>
      <c r="UXX56" s="76"/>
      <c r="UXY56" s="76"/>
      <c r="UXZ56" s="76"/>
      <c r="UYA56" s="76"/>
      <c r="UYB56" s="76"/>
      <c r="UYC56" s="76"/>
      <c r="UYD56" s="76"/>
      <c r="UYE56" s="76"/>
      <c r="UYF56" s="76"/>
      <c r="UYG56" s="76"/>
      <c r="UYH56" s="76"/>
      <c r="UYI56" s="76"/>
      <c r="UYJ56" s="76"/>
      <c r="UYK56" s="76"/>
      <c r="UYL56" s="76"/>
      <c r="UYM56" s="76"/>
      <c r="UYN56" s="76"/>
      <c r="UYO56" s="76"/>
      <c r="UYP56" s="76"/>
      <c r="UYQ56" s="76"/>
      <c r="UYR56" s="76"/>
      <c r="UYS56" s="76"/>
      <c r="UYT56" s="76"/>
      <c r="UYU56" s="76"/>
      <c r="UYV56" s="76"/>
      <c r="UYW56" s="76"/>
      <c r="UYX56" s="76"/>
      <c r="UYY56" s="76"/>
      <c r="UYZ56" s="76"/>
      <c r="UZA56" s="76"/>
      <c r="UZB56" s="76"/>
      <c r="UZC56" s="76"/>
      <c r="UZD56" s="76"/>
      <c r="UZE56" s="76"/>
      <c r="UZF56" s="76"/>
      <c r="UZG56" s="76"/>
      <c r="UZH56" s="76"/>
      <c r="UZI56" s="76"/>
      <c r="UZJ56" s="76"/>
      <c r="UZK56" s="76"/>
      <c r="UZL56" s="76"/>
      <c r="UZM56" s="76"/>
      <c r="UZN56" s="76"/>
      <c r="UZO56" s="76"/>
      <c r="UZP56" s="76"/>
      <c r="UZQ56" s="76"/>
      <c r="UZR56" s="76"/>
      <c r="UZS56" s="76"/>
      <c r="UZT56" s="76"/>
      <c r="UZU56" s="76"/>
      <c r="UZV56" s="76"/>
      <c r="UZW56" s="76"/>
      <c r="UZX56" s="76"/>
      <c r="UZY56" s="76"/>
      <c r="UZZ56" s="76"/>
      <c r="VAA56" s="76"/>
      <c r="VAB56" s="76"/>
      <c r="VAC56" s="76"/>
      <c r="VAD56" s="76"/>
      <c r="VAE56" s="76"/>
      <c r="VAF56" s="76"/>
      <c r="VAG56" s="76"/>
      <c r="VAH56" s="76"/>
      <c r="VAI56" s="76"/>
      <c r="VAJ56" s="76"/>
      <c r="VAK56" s="76"/>
      <c r="VAL56" s="76"/>
      <c r="VAM56" s="76"/>
      <c r="VAN56" s="76"/>
      <c r="VAO56" s="76"/>
      <c r="VAP56" s="76"/>
      <c r="VAQ56" s="76"/>
      <c r="VAR56" s="76"/>
      <c r="VAS56" s="76"/>
      <c r="VAT56" s="76"/>
      <c r="VAU56" s="76"/>
      <c r="VAV56" s="76"/>
      <c r="VAW56" s="76"/>
      <c r="VAX56" s="76"/>
      <c r="VAY56" s="76"/>
      <c r="VAZ56" s="76"/>
      <c r="VBA56" s="76"/>
      <c r="VBB56" s="76"/>
      <c r="VBC56" s="76"/>
      <c r="VBD56" s="76"/>
      <c r="VBE56" s="76"/>
      <c r="VBF56" s="76"/>
      <c r="VBG56" s="76"/>
      <c r="VBH56" s="76"/>
      <c r="VBI56" s="76"/>
      <c r="VBJ56" s="76"/>
      <c r="VBK56" s="76"/>
      <c r="VBL56" s="76"/>
      <c r="VBM56" s="76"/>
      <c r="VBN56" s="76"/>
      <c r="VBO56" s="76"/>
      <c r="VBP56" s="76"/>
      <c r="VBQ56" s="76"/>
      <c r="VBR56" s="76"/>
      <c r="VBS56" s="76"/>
      <c r="VBT56" s="76"/>
      <c r="VBU56" s="76"/>
      <c r="VBV56" s="76"/>
      <c r="VBW56" s="76"/>
      <c r="VBX56" s="76"/>
      <c r="VBY56" s="76"/>
      <c r="VBZ56" s="76"/>
      <c r="VCA56" s="76"/>
      <c r="VCB56" s="76"/>
      <c r="VCC56" s="76"/>
      <c r="VCD56" s="76"/>
      <c r="VCE56" s="76"/>
      <c r="VCF56" s="76"/>
      <c r="VCG56" s="76"/>
      <c r="VCH56" s="76"/>
      <c r="VCI56" s="76"/>
      <c r="VCJ56" s="76"/>
      <c r="VCK56" s="76"/>
      <c r="VCL56" s="76"/>
      <c r="VCM56" s="76"/>
      <c r="VCN56" s="76"/>
      <c r="VCO56" s="76"/>
      <c r="VCP56" s="76"/>
      <c r="VCQ56" s="76"/>
      <c r="VCR56" s="76"/>
      <c r="VCS56" s="76"/>
      <c r="VCT56" s="76"/>
      <c r="VCU56" s="76"/>
      <c r="VCV56" s="76"/>
      <c r="VCW56" s="76"/>
      <c r="VCX56" s="76"/>
      <c r="VCY56" s="76"/>
      <c r="VCZ56" s="76"/>
      <c r="VDA56" s="76"/>
      <c r="VDB56" s="76"/>
      <c r="VDC56" s="76"/>
      <c r="VDD56" s="76"/>
      <c r="VDE56" s="76"/>
      <c r="VDF56" s="76"/>
      <c r="VDG56" s="76"/>
      <c r="VDH56" s="76"/>
      <c r="VDI56" s="76"/>
      <c r="VDJ56" s="76"/>
      <c r="VDK56" s="76"/>
      <c r="VDL56" s="76"/>
      <c r="VDM56" s="76"/>
      <c r="VDN56" s="76"/>
      <c r="VDO56" s="76"/>
      <c r="VDP56" s="76"/>
      <c r="VDQ56" s="76"/>
      <c r="VDR56" s="76"/>
      <c r="VDS56" s="76"/>
      <c r="VDT56" s="76"/>
      <c r="VDU56" s="76"/>
      <c r="VDV56" s="76"/>
      <c r="VDW56" s="76"/>
      <c r="VDX56" s="76"/>
      <c r="VDY56" s="76"/>
      <c r="VDZ56" s="76"/>
      <c r="VEA56" s="76"/>
      <c r="VEB56" s="76"/>
      <c r="VEC56" s="76"/>
      <c r="VED56" s="76"/>
      <c r="VEE56" s="76"/>
      <c r="VEF56" s="76"/>
      <c r="VEG56" s="76"/>
      <c r="VEH56" s="76"/>
      <c r="VEI56" s="76"/>
      <c r="VEJ56" s="76"/>
      <c r="VEK56" s="76"/>
      <c r="VEL56" s="76"/>
      <c r="VEM56" s="76"/>
      <c r="VEN56" s="76"/>
      <c r="VEO56" s="76"/>
      <c r="VEP56" s="76"/>
      <c r="VEQ56" s="76"/>
      <c r="VER56" s="76"/>
      <c r="VES56" s="76"/>
      <c r="VET56" s="76"/>
      <c r="VEU56" s="76"/>
      <c r="VEV56" s="76"/>
      <c r="VEW56" s="76"/>
      <c r="VEX56" s="76"/>
      <c r="VEY56" s="76"/>
      <c r="VEZ56" s="76"/>
      <c r="VFA56" s="76"/>
      <c r="VFB56" s="76"/>
      <c r="VFC56" s="76"/>
      <c r="VFD56" s="76"/>
      <c r="VFE56" s="76"/>
      <c r="VFF56" s="76"/>
      <c r="VFG56" s="76"/>
      <c r="VFH56" s="76"/>
      <c r="VFI56" s="76"/>
      <c r="VFJ56" s="76"/>
      <c r="VFK56" s="76"/>
      <c r="VFL56" s="76"/>
      <c r="VFM56" s="76"/>
      <c r="VFN56" s="76"/>
      <c r="VFO56" s="76"/>
      <c r="VFP56" s="76"/>
      <c r="VFQ56" s="76"/>
      <c r="VFR56" s="76"/>
      <c r="VFS56" s="76"/>
      <c r="VFT56" s="76"/>
      <c r="VFU56" s="76"/>
      <c r="VFV56" s="76"/>
      <c r="VFW56" s="76"/>
      <c r="VFX56" s="76"/>
      <c r="VFY56" s="76"/>
      <c r="VFZ56" s="76"/>
      <c r="VGA56" s="76"/>
      <c r="VGB56" s="76"/>
      <c r="VGC56" s="76"/>
      <c r="VGD56" s="76"/>
      <c r="VGE56" s="76"/>
      <c r="VGF56" s="76"/>
      <c r="VGG56" s="76"/>
      <c r="VGH56" s="76"/>
      <c r="VGI56" s="76"/>
      <c r="VGJ56" s="76"/>
      <c r="VGK56" s="76"/>
      <c r="VGL56" s="76"/>
      <c r="VGM56" s="76"/>
      <c r="VGN56" s="76"/>
      <c r="VGO56" s="76"/>
      <c r="VGP56" s="76"/>
      <c r="VGQ56" s="76"/>
      <c r="VGR56" s="76"/>
      <c r="VGS56" s="76"/>
      <c r="VGT56" s="76"/>
      <c r="VGU56" s="76"/>
      <c r="VGV56" s="76"/>
      <c r="VGW56" s="76"/>
      <c r="VGX56" s="76"/>
      <c r="VGY56" s="76"/>
      <c r="VGZ56" s="76"/>
      <c r="VHA56" s="76"/>
      <c r="VHB56" s="76"/>
      <c r="VHC56" s="76"/>
      <c r="VHD56" s="76"/>
      <c r="VHE56" s="76"/>
      <c r="VHF56" s="76"/>
      <c r="VHG56" s="76"/>
      <c r="VHH56" s="76"/>
      <c r="VHI56" s="76"/>
      <c r="VHJ56" s="76"/>
      <c r="VHK56" s="76"/>
      <c r="VHL56" s="76"/>
      <c r="VHM56" s="76"/>
      <c r="VHN56" s="76"/>
      <c r="VHO56" s="76"/>
      <c r="VHP56" s="76"/>
      <c r="VHQ56" s="76"/>
      <c r="VHR56" s="76"/>
      <c r="VHS56" s="76"/>
      <c r="VHT56" s="76"/>
      <c r="VHU56" s="76"/>
      <c r="VHV56" s="76"/>
      <c r="VHW56" s="76"/>
      <c r="VHX56" s="76"/>
      <c r="VHY56" s="76"/>
      <c r="VHZ56" s="76"/>
      <c r="VIA56" s="76"/>
      <c r="VIB56" s="76"/>
      <c r="VIC56" s="76"/>
      <c r="VID56" s="76"/>
      <c r="VIE56" s="76"/>
      <c r="VIF56" s="76"/>
      <c r="VIG56" s="76"/>
      <c r="VIH56" s="76"/>
      <c r="VII56" s="76"/>
      <c r="VIJ56" s="76"/>
      <c r="VIK56" s="76"/>
      <c r="VIL56" s="76"/>
      <c r="VIM56" s="76"/>
      <c r="VIN56" s="76"/>
      <c r="VIO56" s="76"/>
      <c r="VIP56" s="76"/>
      <c r="VIQ56" s="76"/>
      <c r="VIR56" s="76"/>
      <c r="VIS56" s="76"/>
      <c r="VIT56" s="76"/>
      <c r="VIU56" s="76"/>
      <c r="VIV56" s="76"/>
      <c r="VIW56" s="76"/>
      <c r="VIX56" s="76"/>
      <c r="VIY56" s="76"/>
      <c r="VIZ56" s="76"/>
      <c r="VJA56" s="76"/>
      <c r="VJB56" s="76"/>
      <c r="VJC56" s="76"/>
      <c r="VJD56" s="76"/>
      <c r="VJE56" s="76"/>
      <c r="VJF56" s="76"/>
      <c r="VJG56" s="76"/>
      <c r="VJH56" s="76"/>
      <c r="VJI56" s="76"/>
      <c r="VJJ56" s="76"/>
      <c r="VJK56" s="76"/>
      <c r="VJL56" s="76"/>
      <c r="VJM56" s="76"/>
      <c r="VJN56" s="76"/>
      <c r="VJO56" s="76"/>
      <c r="VJP56" s="76"/>
      <c r="VJQ56" s="76"/>
      <c r="VJR56" s="76"/>
      <c r="VJS56" s="76"/>
      <c r="VJT56" s="76"/>
      <c r="VJU56" s="76"/>
      <c r="VJV56" s="76"/>
      <c r="VJW56" s="76"/>
      <c r="VJX56" s="76"/>
      <c r="VJY56" s="76"/>
      <c r="VJZ56" s="76"/>
      <c r="VKA56" s="76"/>
      <c r="VKB56" s="76"/>
      <c r="VKC56" s="76"/>
      <c r="VKD56" s="76"/>
      <c r="VKE56" s="76"/>
      <c r="VKF56" s="76"/>
      <c r="VKG56" s="76"/>
      <c r="VKH56" s="76"/>
      <c r="VKI56" s="76"/>
      <c r="VKJ56" s="76"/>
      <c r="VKK56" s="76"/>
      <c r="VKL56" s="76"/>
      <c r="VKM56" s="76"/>
      <c r="VKN56" s="76"/>
      <c r="VKO56" s="76"/>
      <c r="VKP56" s="76"/>
      <c r="VKQ56" s="76"/>
      <c r="VKR56" s="76"/>
      <c r="VKS56" s="76"/>
      <c r="VKT56" s="76"/>
      <c r="VKU56" s="76"/>
      <c r="VKV56" s="76"/>
      <c r="VKW56" s="76"/>
      <c r="VKX56" s="76"/>
      <c r="VKY56" s="76"/>
      <c r="VKZ56" s="76"/>
      <c r="VLA56" s="76"/>
      <c r="VLB56" s="76"/>
      <c r="VLC56" s="76"/>
      <c r="VLD56" s="76"/>
      <c r="VLE56" s="76"/>
      <c r="VLF56" s="76"/>
      <c r="VLG56" s="76"/>
      <c r="VLH56" s="76"/>
      <c r="VLI56" s="76"/>
      <c r="VLJ56" s="76"/>
      <c r="VLK56" s="76"/>
      <c r="VLL56" s="76"/>
      <c r="VLM56" s="76"/>
      <c r="VLN56" s="76"/>
      <c r="VLO56" s="76"/>
      <c r="VLP56" s="76"/>
      <c r="VLQ56" s="76"/>
      <c r="VLR56" s="76"/>
      <c r="VLS56" s="76"/>
      <c r="VLT56" s="76"/>
      <c r="VLU56" s="76"/>
      <c r="VLV56" s="76"/>
      <c r="VLW56" s="76"/>
      <c r="VLX56" s="76"/>
      <c r="VLY56" s="76"/>
      <c r="VLZ56" s="76"/>
      <c r="VMA56" s="76"/>
      <c r="VMB56" s="76"/>
      <c r="VMC56" s="76"/>
      <c r="VMD56" s="76"/>
      <c r="VME56" s="76"/>
      <c r="VMF56" s="76"/>
      <c r="VMG56" s="76"/>
      <c r="VMH56" s="76"/>
      <c r="VMI56" s="76"/>
      <c r="VMJ56" s="76"/>
      <c r="VMK56" s="76"/>
      <c r="VML56" s="76"/>
      <c r="VMM56" s="76"/>
      <c r="VMN56" s="76"/>
      <c r="VMO56" s="76"/>
      <c r="VMP56" s="76"/>
      <c r="VMQ56" s="76"/>
      <c r="VMR56" s="76"/>
      <c r="VMS56" s="76"/>
      <c r="VMT56" s="76"/>
      <c r="VMU56" s="76"/>
      <c r="VMV56" s="76"/>
      <c r="VMW56" s="76"/>
      <c r="VMX56" s="76"/>
      <c r="VMY56" s="76"/>
      <c r="VMZ56" s="76"/>
      <c r="VNA56" s="76"/>
      <c r="VNB56" s="76"/>
      <c r="VNC56" s="76"/>
      <c r="VND56" s="76"/>
      <c r="VNE56" s="76"/>
      <c r="VNF56" s="76"/>
      <c r="VNG56" s="76"/>
      <c r="VNH56" s="76"/>
      <c r="VNI56" s="76"/>
      <c r="VNJ56" s="76"/>
      <c r="VNK56" s="76"/>
      <c r="VNL56" s="76"/>
      <c r="VNM56" s="76"/>
      <c r="VNN56" s="76"/>
      <c r="VNO56" s="76"/>
      <c r="VNP56" s="76"/>
      <c r="VNQ56" s="76"/>
      <c r="VNR56" s="76"/>
      <c r="VNS56" s="76"/>
      <c r="VNT56" s="76"/>
      <c r="VNU56" s="76"/>
      <c r="VNV56" s="76"/>
      <c r="VNW56" s="76"/>
      <c r="VNX56" s="76"/>
      <c r="VNY56" s="76"/>
      <c r="VNZ56" s="76"/>
      <c r="VOA56" s="76"/>
      <c r="VOB56" s="76"/>
      <c r="VOC56" s="76"/>
      <c r="VOD56" s="76"/>
      <c r="VOE56" s="76"/>
      <c r="VOF56" s="76"/>
      <c r="VOG56" s="76"/>
      <c r="VOH56" s="76"/>
      <c r="VOI56" s="76"/>
      <c r="VOJ56" s="76"/>
      <c r="VOK56" s="76"/>
      <c r="VOL56" s="76"/>
      <c r="VOM56" s="76"/>
      <c r="VON56" s="76"/>
      <c r="VOO56" s="76"/>
      <c r="VOP56" s="76"/>
      <c r="VOQ56" s="76"/>
      <c r="VOR56" s="76"/>
      <c r="VOS56" s="76"/>
      <c r="VOT56" s="76"/>
      <c r="VOU56" s="76"/>
      <c r="VOV56" s="76"/>
      <c r="VOW56" s="76"/>
      <c r="VOX56" s="76"/>
      <c r="VOY56" s="76"/>
      <c r="VOZ56" s="76"/>
      <c r="VPA56" s="76"/>
      <c r="VPB56" s="76"/>
      <c r="VPC56" s="76"/>
      <c r="VPD56" s="76"/>
      <c r="VPE56" s="76"/>
      <c r="VPF56" s="76"/>
      <c r="VPG56" s="76"/>
      <c r="VPH56" s="76"/>
      <c r="VPI56" s="76"/>
      <c r="VPJ56" s="76"/>
      <c r="VPK56" s="76"/>
      <c r="VPL56" s="76"/>
      <c r="VPM56" s="76"/>
      <c r="VPN56" s="76"/>
      <c r="VPO56" s="76"/>
      <c r="VPP56" s="76"/>
      <c r="VPQ56" s="76"/>
      <c r="VPR56" s="76"/>
      <c r="VPS56" s="76"/>
      <c r="VPT56" s="76"/>
      <c r="VPU56" s="76"/>
      <c r="VPV56" s="76"/>
      <c r="VPW56" s="76"/>
      <c r="VPX56" s="76"/>
      <c r="VPY56" s="76"/>
      <c r="VPZ56" s="76"/>
      <c r="VQA56" s="76"/>
      <c r="VQB56" s="76"/>
      <c r="VQC56" s="76"/>
      <c r="VQD56" s="76"/>
      <c r="VQE56" s="76"/>
      <c r="VQF56" s="76"/>
      <c r="VQG56" s="76"/>
      <c r="VQH56" s="76"/>
      <c r="VQI56" s="76"/>
      <c r="VQJ56" s="76"/>
      <c r="VQK56" s="76"/>
      <c r="VQL56" s="76"/>
      <c r="VQM56" s="76"/>
      <c r="VQN56" s="76"/>
      <c r="VQO56" s="76"/>
      <c r="VQP56" s="76"/>
      <c r="VQQ56" s="76"/>
      <c r="VQR56" s="76"/>
      <c r="VQS56" s="76"/>
      <c r="VQT56" s="76"/>
      <c r="VQU56" s="76"/>
      <c r="VQV56" s="76"/>
      <c r="VQW56" s="76"/>
      <c r="VQX56" s="76"/>
      <c r="VQY56" s="76"/>
      <c r="VQZ56" s="76"/>
      <c r="VRA56" s="76"/>
      <c r="VRB56" s="76"/>
      <c r="VRC56" s="76"/>
      <c r="VRD56" s="76"/>
      <c r="VRE56" s="76"/>
      <c r="VRF56" s="76"/>
      <c r="VRG56" s="76"/>
      <c r="VRH56" s="76"/>
      <c r="VRI56" s="76"/>
      <c r="VRJ56" s="76"/>
      <c r="VRK56" s="76"/>
      <c r="VRL56" s="76"/>
      <c r="VRM56" s="76"/>
      <c r="VRN56" s="76"/>
      <c r="VRO56" s="76"/>
      <c r="VRP56" s="76"/>
      <c r="VRQ56" s="76"/>
      <c r="VRR56" s="76"/>
      <c r="VRS56" s="76"/>
      <c r="VRT56" s="76"/>
      <c r="VRU56" s="76"/>
      <c r="VRV56" s="76"/>
      <c r="VRW56" s="76"/>
      <c r="VRX56" s="76"/>
      <c r="VRY56" s="76"/>
      <c r="VRZ56" s="76"/>
      <c r="VSA56" s="76"/>
      <c r="VSB56" s="76"/>
      <c r="VSC56" s="76"/>
      <c r="VSD56" s="76"/>
      <c r="VSE56" s="76"/>
      <c r="VSF56" s="76"/>
      <c r="VSG56" s="76"/>
      <c r="VSH56" s="76"/>
      <c r="VSI56" s="76"/>
      <c r="VSJ56" s="76"/>
      <c r="VSK56" s="76"/>
      <c r="VSL56" s="76"/>
      <c r="VSM56" s="76"/>
      <c r="VSN56" s="76"/>
      <c r="VSO56" s="76"/>
      <c r="VSP56" s="76"/>
      <c r="VSQ56" s="76"/>
      <c r="VSR56" s="76"/>
      <c r="VSS56" s="76"/>
      <c r="VST56" s="76"/>
      <c r="VSU56" s="76"/>
      <c r="VSV56" s="76"/>
      <c r="VSW56" s="76"/>
      <c r="VSX56" s="76"/>
      <c r="VSY56" s="76"/>
      <c r="VSZ56" s="76"/>
      <c r="VTA56" s="76"/>
      <c r="VTB56" s="76"/>
      <c r="VTC56" s="76"/>
      <c r="VTD56" s="76"/>
      <c r="VTE56" s="76"/>
      <c r="VTF56" s="76"/>
      <c r="VTG56" s="76"/>
      <c r="VTH56" s="76"/>
      <c r="VTI56" s="76"/>
      <c r="VTJ56" s="76"/>
      <c r="VTK56" s="76"/>
      <c r="VTL56" s="76"/>
      <c r="VTM56" s="76"/>
      <c r="VTN56" s="76"/>
      <c r="VTO56" s="76"/>
      <c r="VTP56" s="76"/>
      <c r="VTQ56" s="76"/>
      <c r="VTR56" s="76"/>
      <c r="VTS56" s="76"/>
      <c r="VTT56" s="76"/>
      <c r="VTU56" s="76"/>
      <c r="VTV56" s="76"/>
      <c r="VTW56" s="76"/>
      <c r="VTX56" s="76"/>
      <c r="VTY56" s="76"/>
      <c r="VTZ56" s="76"/>
      <c r="VUA56" s="76"/>
      <c r="VUB56" s="76"/>
      <c r="VUC56" s="76"/>
      <c r="VUD56" s="76"/>
      <c r="VUE56" s="76"/>
      <c r="VUF56" s="76"/>
      <c r="VUG56" s="76"/>
      <c r="VUH56" s="76"/>
      <c r="VUI56" s="76"/>
      <c r="VUJ56" s="76"/>
      <c r="VUK56" s="76"/>
      <c r="VUL56" s="76"/>
      <c r="VUM56" s="76"/>
      <c r="VUN56" s="76"/>
      <c r="VUO56" s="76"/>
      <c r="VUP56" s="76"/>
      <c r="VUQ56" s="76"/>
      <c r="VUR56" s="76"/>
      <c r="VUS56" s="76"/>
      <c r="VUT56" s="76"/>
      <c r="VUU56" s="76"/>
      <c r="VUV56" s="76"/>
      <c r="VUW56" s="76"/>
      <c r="VUX56" s="76"/>
      <c r="VUY56" s="76"/>
      <c r="VUZ56" s="76"/>
      <c r="VVA56" s="76"/>
      <c r="VVB56" s="76"/>
      <c r="VVC56" s="76"/>
      <c r="VVD56" s="76"/>
      <c r="VVE56" s="76"/>
      <c r="VVF56" s="76"/>
      <c r="VVG56" s="76"/>
      <c r="VVH56" s="76"/>
      <c r="VVI56" s="76"/>
      <c r="VVJ56" s="76"/>
      <c r="VVK56" s="76"/>
      <c r="VVL56" s="76"/>
      <c r="VVM56" s="76"/>
      <c r="VVN56" s="76"/>
      <c r="VVO56" s="76"/>
      <c r="VVP56" s="76"/>
      <c r="VVQ56" s="76"/>
      <c r="VVR56" s="76"/>
      <c r="VVS56" s="76"/>
      <c r="VVT56" s="76"/>
      <c r="VVU56" s="76"/>
      <c r="VVV56" s="76"/>
      <c r="VVW56" s="76"/>
      <c r="VVX56" s="76"/>
      <c r="VVY56" s="76"/>
      <c r="VVZ56" s="76"/>
      <c r="VWA56" s="76"/>
      <c r="VWB56" s="76"/>
      <c r="VWC56" s="76"/>
      <c r="VWD56" s="76"/>
      <c r="VWE56" s="76"/>
      <c r="VWF56" s="76"/>
      <c r="VWG56" s="76"/>
      <c r="VWH56" s="76"/>
      <c r="VWI56" s="76"/>
      <c r="VWJ56" s="76"/>
      <c r="VWK56" s="76"/>
      <c r="VWL56" s="76"/>
      <c r="VWM56" s="76"/>
      <c r="VWN56" s="76"/>
      <c r="VWO56" s="76"/>
      <c r="VWP56" s="76"/>
      <c r="VWQ56" s="76"/>
      <c r="VWR56" s="76"/>
      <c r="VWS56" s="76"/>
      <c r="VWT56" s="76"/>
      <c r="VWU56" s="76"/>
      <c r="VWV56" s="76"/>
      <c r="VWW56" s="76"/>
      <c r="VWX56" s="76"/>
      <c r="VWY56" s="76"/>
      <c r="VWZ56" s="76"/>
      <c r="VXA56" s="76"/>
      <c r="VXB56" s="76"/>
      <c r="VXC56" s="76"/>
      <c r="VXD56" s="76"/>
      <c r="VXE56" s="76"/>
      <c r="VXF56" s="76"/>
      <c r="VXG56" s="76"/>
      <c r="VXH56" s="76"/>
      <c r="VXI56" s="76"/>
      <c r="VXJ56" s="76"/>
      <c r="VXK56" s="76"/>
      <c r="VXL56" s="76"/>
      <c r="VXM56" s="76"/>
      <c r="VXN56" s="76"/>
      <c r="VXO56" s="76"/>
      <c r="VXP56" s="76"/>
      <c r="VXQ56" s="76"/>
      <c r="VXR56" s="76"/>
      <c r="VXS56" s="76"/>
      <c r="VXT56" s="76"/>
      <c r="VXU56" s="76"/>
      <c r="VXV56" s="76"/>
      <c r="VXW56" s="76"/>
      <c r="VXX56" s="76"/>
      <c r="VXY56" s="76"/>
      <c r="VXZ56" s="76"/>
      <c r="VYA56" s="76"/>
      <c r="VYB56" s="76"/>
      <c r="VYC56" s="76"/>
      <c r="VYD56" s="76"/>
      <c r="VYE56" s="76"/>
      <c r="VYF56" s="76"/>
      <c r="VYG56" s="76"/>
      <c r="VYH56" s="76"/>
      <c r="VYI56" s="76"/>
      <c r="VYJ56" s="76"/>
      <c r="VYK56" s="76"/>
      <c r="VYL56" s="76"/>
      <c r="VYM56" s="76"/>
      <c r="VYN56" s="76"/>
      <c r="VYO56" s="76"/>
      <c r="VYP56" s="76"/>
      <c r="VYQ56" s="76"/>
      <c r="VYR56" s="76"/>
      <c r="VYS56" s="76"/>
      <c r="VYT56" s="76"/>
      <c r="VYU56" s="76"/>
      <c r="VYV56" s="76"/>
      <c r="VYW56" s="76"/>
      <c r="VYX56" s="76"/>
      <c r="VYY56" s="76"/>
      <c r="VYZ56" s="76"/>
      <c r="VZA56" s="76"/>
      <c r="VZB56" s="76"/>
      <c r="VZC56" s="76"/>
      <c r="VZD56" s="76"/>
      <c r="VZE56" s="76"/>
      <c r="VZF56" s="76"/>
      <c r="VZG56" s="76"/>
      <c r="VZH56" s="76"/>
      <c r="VZI56" s="76"/>
      <c r="VZJ56" s="76"/>
      <c r="VZK56" s="76"/>
      <c r="VZL56" s="76"/>
      <c r="VZM56" s="76"/>
      <c r="VZN56" s="76"/>
      <c r="VZO56" s="76"/>
      <c r="VZP56" s="76"/>
      <c r="VZQ56" s="76"/>
      <c r="VZR56" s="76"/>
      <c r="VZS56" s="76"/>
      <c r="VZT56" s="76"/>
      <c r="VZU56" s="76"/>
      <c r="VZV56" s="76"/>
      <c r="VZW56" s="76"/>
      <c r="VZX56" s="76"/>
      <c r="VZY56" s="76"/>
      <c r="VZZ56" s="76"/>
      <c r="WAA56" s="76"/>
      <c r="WAB56" s="76"/>
      <c r="WAC56" s="76"/>
      <c r="WAD56" s="76"/>
      <c r="WAE56" s="76"/>
      <c r="WAF56" s="76"/>
      <c r="WAG56" s="76"/>
      <c r="WAH56" s="76"/>
      <c r="WAI56" s="76"/>
      <c r="WAJ56" s="76"/>
      <c r="WAK56" s="76"/>
      <c r="WAL56" s="76"/>
      <c r="WAM56" s="76"/>
      <c r="WAN56" s="76"/>
      <c r="WAO56" s="76"/>
      <c r="WAP56" s="76"/>
      <c r="WAQ56" s="76"/>
      <c r="WAR56" s="76"/>
      <c r="WAS56" s="76"/>
      <c r="WAT56" s="76"/>
      <c r="WAU56" s="76"/>
      <c r="WAV56" s="76"/>
      <c r="WAW56" s="76"/>
      <c r="WAX56" s="76"/>
      <c r="WAY56" s="76"/>
      <c r="WAZ56" s="76"/>
      <c r="WBA56" s="76"/>
      <c r="WBB56" s="76"/>
      <c r="WBC56" s="76"/>
      <c r="WBD56" s="76"/>
      <c r="WBE56" s="76"/>
      <c r="WBF56" s="76"/>
      <c r="WBG56" s="76"/>
      <c r="WBH56" s="76"/>
      <c r="WBI56" s="76"/>
      <c r="WBJ56" s="76"/>
      <c r="WBK56" s="76"/>
      <c r="WBL56" s="76"/>
      <c r="WBM56" s="76"/>
      <c r="WBN56" s="76"/>
      <c r="WBO56" s="76"/>
      <c r="WBP56" s="76"/>
      <c r="WBQ56" s="76"/>
      <c r="WBR56" s="76"/>
      <c r="WBS56" s="76"/>
      <c r="WBT56" s="76"/>
      <c r="WBU56" s="76"/>
      <c r="WBV56" s="76"/>
      <c r="WBW56" s="76"/>
      <c r="WBX56" s="76"/>
      <c r="WBY56" s="76"/>
      <c r="WBZ56" s="76"/>
      <c r="WCA56" s="76"/>
      <c r="WCB56" s="76"/>
      <c r="WCC56" s="76"/>
      <c r="WCD56" s="76"/>
      <c r="WCE56" s="76"/>
      <c r="WCF56" s="76"/>
      <c r="WCG56" s="76"/>
      <c r="WCH56" s="76"/>
      <c r="WCI56" s="76"/>
      <c r="WCJ56" s="76"/>
      <c r="WCK56" s="76"/>
      <c r="WCL56" s="76"/>
      <c r="WCM56" s="76"/>
      <c r="WCN56" s="76"/>
      <c r="WCO56" s="76"/>
      <c r="WCP56" s="76"/>
      <c r="WCQ56" s="76"/>
      <c r="WCR56" s="76"/>
      <c r="WCS56" s="76"/>
      <c r="WCT56" s="76"/>
      <c r="WCU56" s="76"/>
      <c r="WCV56" s="76"/>
      <c r="WCW56" s="76"/>
      <c r="WCX56" s="76"/>
      <c r="WCY56" s="76"/>
      <c r="WCZ56" s="76"/>
      <c r="WDA56" s="76"/>
      <c r="WDB56" s="76"/>
      <c r="WDC56" s="76"/>
      <c r="WDD56" s="76"/>
      <c r="WDE56" s="76"/>
      <c r="WDF56" s="76"/>
      <c r="WDG56" s="76"/>
      <c r="WDH56" s="76"/>
      <c r="WDI56" s="76"/>
      <c r="WDJ56" s="76"/>
      <c r="WDK56" s="76"/>
      <c r="WDL56" s="76"/>
      <c r="WDM56" s="76"/>
      <c r="WDN56" s="76"/>
      <c r="WDO56" s="76"/>
      <c r="WDP56" s="76"/>
      <c r="WDQ56" s="76"/>
      <c r="WDR56" s="76"/>
      <c r="WDS56" s="76"/>
      <c r="WDT56" s="76"/>
      <c r="WDU56" s="76"/>
      <c r="WDV56" s="76"/>
      <c r="WDW56" s="76"/>
      <c r="WDX56" s="76"/>
      <c r="WDY56" s="76"/>
      <c r="WDZ56" s="76"/>
      <c r="WEA56" s="76"/>
      <c r="WEB56" s="76"/>
      <c r="WEC56" s="76"/>
      <c r="WED56" s="76"/>
      <c r="WEE56" s="76"/>
      <c r="WEF56" s="76"/>
      <c r="WEG56" s="76"/>
      <c r="WEH56" s="76"/>
      <c r="WEI56" s="76"/>
      <c r="WEJ56" s="76"/>
      <c r="WEK56" s="76"/>
      <c r="WEL56" s="76"/>
      <c r="WEM56" s="76"/>
      <c r="WEN56" s="76"/>
      <c r="WEO56" s="76"/>
      <c r="WEP56" s="76"/>
      <c r="WEQ56" s="76"/>
      <c r="WER56" s="76"/>
      <c r="WES56" s="76"/>
      <c r="WET56" s="76"/>
      <c r="WEU56" s="76"/>
      <c r="WEV56" s="76"/>
      <c r="WEW56" s="76"/>
      <c r="WEX56" s="76"/>
      <c r="WEY56" s="76"/>
      <c r="WEZ56" s="76"/>
      <c r="WFA56" s="76"/>
      <c r="WFB56" s="76"/>
      <c r="WFC56" s="76"/>
      <c r="WFD56" s="76"/>
      <c r="WFE56" s="76"/>
      <c r="WFF56" s="76"/>
      <c r="WFG56" s="76"/>
      <c r="WFH56" s="76"/>
      <c r="WFI56" s="76"/>
      <c r="WFJ56" s="76"/>
      <c r="WFK56" s="76"/>
      <c r="WFL56" s="76"/>
      <c r="WFM56" s="76"/>
      <c r="WFN56" s="76"/>
      <c r="WFO56" s="76"/>
      <c r="WFP56" s="76"/>
      <c r="WFQ56" s="76"/>
      <c r="WFR56" s="76"/>
      <c r="WFS56" s="76"/>
      <c r="WFT56" s="76"/>
      <c r="WFU56" s="76"/>
      <c r="WFV56" s="76"/>
      <c r="WFW56" s="76"/>
      <c r="WFX56" s="76"/>
      <c r="WFY56" s="76"/>
      <c r="WFZ56" s="76"/>
      <c r="WGA56" s="76"/>
      <c r="WGB56" s="76"/>
      <c r="WGC56" s="76"/>
      <c r="WGD56" s="76"/>
      <c r="WGE56" s="76"/>
      <c r="WGF56" s="76"/>
      <c r="WGG56" s="76"/>
      <c r="WGH56" s="76"/>
      <c r="WGI56" s="76"/>
      <c r="WGJ56" s="76"/>
      <c r="WGK56" s="76"/>
      <c r="WGL56" s="76"/>
      <c r="WGM56" s="76"/>
      <c r="WGN56" s="76"/>
      <c r="WGO56" s="76"/>
      <c r="WGP56" s="76"/>
      <c r="WGQ56" s="76"/>
      <c r="WGR56" s="76"/>
      <c r="WGS56" s="76"/>
      <c r="WGT56" s="76"/>
      <c r="WGU56" s="76"/>
      <c r="WGV56" s="76"/>
      <c r="WGW56" s="76"/>
      <c r="WGX56" s="76"/>
      <c r="WGY56" s="76"/>
      <c r="WGZ56" s="76"/>
      <c r="WHA56" s="76"/>
      <c r="WHB56" s="76"/>
      <c r="WHC56" s="76"/>
      <c r="WHD56" s="76"/>
      <c r="WHE56" s="76"/>
      <c r="WHF56" s="76"/>
      <c r="WHG56" s="76"/>
      <c r="WHH56" s="76"/>
      <c r="WHI56" s="76"/>
      <c r="WHJ56" s="76"/>
      <c r="WHK56" s="76"/>
      <c r="WHL56" s="76"/>
      <c r="WHM56" s="76"/>
      <c r="WHN56" s="76"/>
      <c r="WHO56" s="76"/>
      <c r="WHP56" s="76"/>
      <c r="WHQ56" s="76"/>
      <c r="WHR56" s="76"/>
      <c r="WHS56" s="76"/>
      <c r="WHT56" s="76"/>
      <c r="WHU56" s="76"/>
      <c r="WHV56" s="76"/>
      <c r="WHW56" s="76"/>
      <c r="WHX56" s="76"/>
      <c r="WHY56" s="76"/>
      <c r="WHZ56" s="76"/>
      <c r="WIA56" s="76"/>
      <c r="WIB56" s="76"/>
      <c r="WIC56" s="76"/>
      <c r="WID56" s="76"/>
      <c r="WIE56" s="76"/>
      <c r="WIF56" s="76"/>
      <c r="WIG56" s="76"/>
      <c r="WIH56" s="76"/>
      <c r="WII56" s="76"/>
      <c r="WIJ56" s="76"/>
      <c r="WIK56" s="76"/>
      <c r="WIL56" s="76"/>
      <c r="WIM56" s="76"/>
      <c r="WIN56" s="76"/>
      <c r="WIO56" s="76"/>
      <c r="WIP56" s="76"/>
      <c r="WIQ56" s="76"/>
      <c r="WIR56" s="76"/>
      <c r="WIS56" s="76"/>
      <c r="WIT56" s="76"/>
      <c r="WIU56" s="76"/>
      <c r="WIV56" s="76"/>
      <c r="WIW56" s="76"/>
      <c r="WIX56" s="76"/>
      <c r="WIY56" s="76"/>
      <c r="WIZ56" s="76"/>
      <c r="WJA56" s="76"/>
      <c r="WJB56" s="76"/>
      <c r="WJC56" s="76"/>
      <c r="WJD56" s="76"/>
      <c r="WJE56" s="76"/>
      <c r="WJF56" s="76"/>
      <c r="WJG56" s="76"/>
      <c r="WJH56" s="76"/>
      <c r="WJI56" s="76"/>
      <c r="WJJ56" s="76"/>
      <c r="WJK56" s="76"/>
      <c r="WJL56" s="76"/>
      <c r="WJM56" s="76"/>
      <c r="WJN56" s="76"/>
      <c r="WJO56" s="76"/>
      <c r="WJP56" s="76"/>
      <c r="WJQ56" s="76"/>
      <c r="WJR56" s="76"/>
      <c r="WJS56" s="76"/>
      <c r="WJT56" s="76"/>
      <c r="WJU56" s="76"/>
      <c r="WJV56" s="76"/>
      <c r="WJW56" s="76"/>
      <c r="WJX56" s="76"/>
      <c r="WJY56" s="76"/>
      <c r="WJZ56" s="76"/>
      <c r="WKA56" s="76"/>
      <c r="WKB56" s="76"/>
      <c r="WKC56" s="76"/>
      <c r="WKD56" s="76"/>
      <c r="WKE56" s="76"/>
      <c r="WKF56" s="76"/>
      <c r="WKG56" s="76"/>
      <c r="WKH56" s="76"/>
      <c r="WKI56" s="76"/>
      <c r="WKJ56" s="76"/>
      <c r="WKK56" s="76"/>
      <c r="WKL56" s="76"/>
      <c r="WKM56" s="76"/>
      <c r="WKN56" s="76"/>
      <c r="WKO56" s="76"/>
      <c r="WKP56" s="76"/>
      <c r="WKQ56" s="76"/>
      <c r="WKR56" s="76"/>
      <c r="WKS56" s="76"/>
      <c r="WKT56" s="76"/>
      <c r="WKU56" s="76"/>
      <c r="WKV56" s="76"/>
      <c r="WKW56" s="76"/>
      <c r="WKX56" s="76"/>
      <c r="WKY56" s="76"/>
      <c r="WKZ56" s="76"/>
      <c r="WLA56" s="76"/>
      <c r="WLB56" s="76"/>
      <c r="WLC56" s="76"/>
      <c r="WLD56" s="76"/>
      <c r="WLE56" s="76"/>
      <c r="WLF56" s="76"/>
      <c r="WLG56" s="76"/>
      <c r="WLH56" s="76"/>
      <c r="WLI56" s="76"/>
      <c r="WLJ56" s="76"/>
      <c r="WLK56" s="76"/>
      <c r="WLL56" s="76"/>
      <c r="WLM56" s="76"/>
      <c r="WLN56" s="76"/>
      <c r="WLO56" s="76"/>
      <c r="WLP56" s="76"/>
      <c r="WLQ56" s="76"/>
      <c r="WLR56" s="76"/>
      <c r="WLS56" s="76"/>
      <c r="WLT56" s="76"/>
      <c r="WLU56" s="76"/>
      <c r="WLV56" s="76"/>
      <c r="WLW56" s="76"/>
      <c r="WLX56" s="76"/>
      <c r="WLY56" s="76"/>
      <c r="WLZ56" s="76"/>
      <c r="WMA56" s="76"/>
      <c r="WMB56" s="76"/>
      <c r="WMC56" s="76"/>
      <c r="WMD56" s="76"/>
      <c r="WME56" s="76"/>
      <c r="WMF56" s="76"/>
      <c r="WMG56" s="76"/>
      <c r="WMH56" s="76"/>
      <c r="WMI56" s="76"/>
      <c r="WMJ56" s="76"/>
      <c r="WMK56" s="76"/>
      <c r="WML56" s="76"/>
      <c r="WMM56" s="76"/>
      <c r="WMN56" s="76"/>
      <c r="WMO56" s="76"/>
      <c r="WMP56" s="76"/>
      <c r="WMQ56" s="76"/>
      <c r="WMR56" s="76"/>
      <c r="WMS56" s="76"/>
      <c r="WMT56" s="76"/>
      <c r="WMU56" s="76"/>
      <c r="WMV56" s="76"/>
      <c r="WMW56" s="76"/>
      <c r="WMX56" s="76"/>
      <c r="WMY56" s="76"/>
      <c r="WMZ56" s="76"/>
      <c r="WNA56" s="76"/>
      <c r="WNB56" s="76"/>
      <c r="WNC56" s="76"/>
      <c r="WND56" s="76"/>
      <c r="WNE56" s="76"/>
      <c r="WNF56" s="76"/>
      <c r="WNG56" s="76"/>
      <c r="WNH56" s="76"/>
      <c r="WNI56" s="76"/>
      <c r="WNJ56" s="76"/>
      <c r="WNK56" s="76"/>
      <c r="WNL56" s="76"/>
      <c r="WNM56" s="76"/>
      <c r="WNN56" s="76"/>
      <c r="WNO56" s="76"/>
      <c r="WNP56" s="76"/>
      <c r="WNQ56" s="76"/>
      <c r="WNR56" s="76"/>
      <c r="WNS56" s="76"/>
      <c r="WNT56" s="76"/>
      <c r="WNU56" s="76"/>
      <c r="WNV56" s="76"/>
      <c r="WNW56" s="76"/>
      <c r="WNX56" s="76"/>
      <c r="WNY56" s="76"/>
      <c r="WNZ56" s="76"/>
      <c r="WOA56" s="76"/>
      <c r="WOB56" s="76"/>
      <c r="WOC56" s="76"/>
      <c r="WOD56" s="76"/>
      <c r="WOE56" s="76"/>
      <c r="WOF56" s="76"/>
      <c r="WOG56" s="76"/>
      <c r="WOH56" s="76"/>
      <c r="WOI56" s="76"/>
      <c r="WOJ56" s="76"/>
      <c r="WOK56" s="76"/>
      <c r="WOL56" s="76"/>
      <c r="WOM56" s="76"/>
      <c r="WON56" s="76"/>
      <c r="WOO56" s="76"/>
      <c r="WOP56" s="76"/>
      <c r="WOQ56" s="76"/>
      <c r="WOR56" s="76"/>
      <c r="WOS56" s="76"/>
      <c r="WOT56" s="76"/>
      <c r="WOU56" s="76"/>
      <c r="WOV56" s="76"/>
      <c r="WOW56" s="76"/>
      <c r="WOX56" s="76"/>
      <c r="WOY56" s="76"/>
      <c r="WOZ56" s="76"/>
      <c r="WPA56" s="76"/>
      <c r="WPB56" s="76"/>
      <c r="WPC56" s="76"/>
      <c r="WPD56" s="76"/>
      <c r="WPE56" s="76"/>
      <c r="WPF56" s="76"/>
      <c r="WPG56" s="76"/>
      <c r="WPH56" s="76"/>
      <c r="WPI56" s="76"/>
      <c r="WPJ56" s="76"/>
      <c r="WPK56" s="76"/>
      <c r="WPL56" s="76"/>
      <c r="WPM56" s="76"/>
      <c r="WPN56" s="76"/>
      <c r="WPO56" s="76"/>
      <c r="WPP56" s="76"/>
      <c r="WPQ56" s="76"/>
      <c r="WPR56" s="76"/>
      <c r="WPS56" s="76"/>
      <c r="WPT56" s="76"/>
      <c r="WPU56" s="76"/>
      <c r="WPV56" s="76"/>
      <c r="WPW56" s="76"/>
      <c r="WPX56" s="76"/>
      <c r="WPY56" s="76"/>
      <c r="WPZ56" s="76"/>
      <c r="WQA56" s="76"/>
      <c r="WQB56" s="76"/>
      <c r="WQC56" s="76"/>
      <c r="WQD56" s="76"/>
      <c r="WQE56" s="76"/>
      <c r="WQF56" s="76"/>
      <c r="WQG56" s="76"/>
      <c r="WQH56" s="76"/>
      <c r="WQI56" s="76"/>
      <c r="WQJ56" s="76"/>
      <c r="WQK56" s="76"/>
      <c r="WQL56" s="76"/>
      <c r="WQM56" s="76"/>
      <c r="WQN56" s="76"/>
      <c r="WQO56" s="76"/>
      <c r="WQP56" s="76"/>
      <c r="WQQ56" s="76"/>
      <c r="WQR56" s="76"/>
      <c r="WQS56" s="76"/>
      <c r="WQT56" s="76"/>
      <c r="WQU56" s="76"/>
      <c r="WQV56" s="76"/>
      <c r="WQW56" s="76"/>
      <c r="WQX56" s="76"/>
      <c r="WQY56" s="76"/>
      <c r="WQZ56" s="76"/>
      <c r="WRA56" s="76"/>
      <c r="WRB56" s="76"/>
      <c r="WRC56" s="76"/>
      <c r="WRD56" s="76"/>
      <c r="WRE56" s="76"/>
      <c r="WRF56" s="76"/>
      <c r="WRG56" s="76"/>
      <c r="WRH56" s="76"/>
      <c r="WRI56" s="76"/>
      <c r="WRJ56" s="76"/>
      <c r="WRK56" s="76"/>
      <c r="WRL56" s="76"/>
      <c r="WRM56" s="76"/>
      <c r="WRN56" s="76"/>
      <c r="WRO56" s="76"/>
      <c r="WRP56" s="76"/>
      <c r="WRQ56" s="76"/>
      <c r="WRR56" s="76"/>
      <c r="WRS56" s="76"/>
      <c r="WRT56" s="76"/>
      <c r="WRU56" s="76"/>
      <c r="WRV56" s="76"/>
      <c r="WRW56" s="76"/>
      <c r="WRX56" s="76"/>
      <c r="WRY56" s="76"/>
      <c r="WRZ56" s="76"/>
      <c r="WSA56" s="76"/>
      <c r="WSB56" s="76"/>
      <c r="WSC56" s="76"/>
      <c r="WSD56" s="76"/>
      <c r="WSE56" s="76"/>
      <c r="WSF56" s="76"/>
      <c r="WSG56" s="76"/>
      <c r="WSH56" s="76"/>
      <c r="WSI56" s="76"/>
      <c r="WSJ56" s="76"/>
      <c r="WSK56" s="76"/>
      <c r="WSL56" s="76"/>
      <c r="WSM56" s="76"/>
      <c r="WSN56" s="76"/>
      <c r="WSO56" s="76"/>
      <c r="WSP56" s="76"/>
      <c r="WSQ56" s="76"/>
      <c r="WSR56" s="76"/>
      <c r="WSS56" s="76"/>
      <c r="WST56" s="76"/>
      <c r="WSU56" s="76"/>
      <c r="WSV56" s="76"/>
      <c r="WSW56" s="76"/>
      <c r="WSX56" s="76"/>
      <c r="WSY56" s="76"/>
      <c r="WSZ56" s="76"/>
      <c r="WTA56" s="76"/>
      <c r="WTB56" s="76"/>
      <c r="WTC56" s="76"/>
      <c r="WTD56" s="76"/>
      <c r="WTE56" s="76"/>
      <c r="WTF56" s="76"/>
      <c r="WTG56" s="76"/>
      <c r="WTH56" s="76"/>
      <c r="WTI56" s="76"/>
      <c r="WTJ56" s="76"/>
      <c r="WTK56" s="76"/>
      <c r="WTL56" s="76"/>
      <c r="WTM56" s="76"/>
      <c r="WTN56" s="76"/>
      <c r="WTO56" s="76"/>
      <c r="WTP56" s="76"/>
      <c r="WTQ56" s="76"/>
      <c r="WTR56" s="76"/>
      <c r="WTS56" s="76"/>
      <c r="WTT56" s="76"/>
      <c r="WTU56" s="76"/>
      <c r="WTV56" s="76"/>
      <c r="WTW56" s="76"/>
      <c r="WTX56" s="76"/>
      <c r="WTY56" s="76"/>
      <c r="WTZ56" s="76"/>
      <c r="WUA56" s="76"/>
      <c r="WUB56" s="76"/>
      <c r="WUC56" s="76"/>
      <c r="WUD56" s="76"/>
      <c r="WUE56" s="76"/>
      <c r="WUF56" s="76"/>
      <c r="WUG56" s="76"/>
      <c r="WUH56" s="76"/>
      <c r="WUI56" s="76"/>
      <c r="WUJ56" s="76"/>
      <c r="WUK56" s="76"/>
      <c r="WUL56" s="76"/>
      <c r="WUM56" s="76"/>
      <c r="WUN56" s="76"/>
      <c r="WUO56" s="76"/>
      <c r="WUP56" s="76"/>
      <c r="WUQ56" s="76"/>
      <c r="WUR56" s="76"/>
      <c r="WUS56" s="76"/>
      <c r="WUT56" s="76"/>
      <c r="WUU56" s="76"/>
      <c r="WUV56" s="76"/>
      <c r="WUW56" s="76"/>
      <c r="WUX56" s="76"/>
      <c r="WUY56" s="76"/>
      <c r="WUZ56" s="76"/>
      <c r="WVA56" s="76"/>
      <c r="WVB56" s="76"/>
      <c r="WVC56" s="76"/>
      <c r="WVD56" s="76"/>
      <c r="WVE56" s="76"/>
      <c r="WVF56" s="76"/>
      <c r="WVG56" s="76"/>
      <c r="WVH56" s="76"/>
      <c r="WVI56" s="76"/>
      <c r="WVJ56" s="76"/>
      <c r="WVK56" s="76"/>
      <c r="WVL56" s="76"/>
      <c r="WVM56" s="76"/>
      <c r="WVN56" s="76"/>
      <c r="WVO56" s="76"/>
      <c r="WVP56" s="76"/>
      <c r="WVQ56" s="76"/>
      <c r="WVR56" s="76"/>
      <c r="WVS56" s="76"/>
      <c r="WVT56" s="76"/>
      <c r="WVU56" s="76"/>
      <c r="WVV56" s="76"/>
      <c r="WVW56" s="76"/>
      <c r="WVX56" s="76"/>
      <c r="WVY56" s="76"/>
      <c r="WVZ56" s="76"/>
      <c r="WWA56" s="76"/>
      <c r="WWB56" s="76"/>
      <c r="WWC56" s="76"/>
      <c r="WWD56" s="76"/>
      <c r="WWE56" s="76"/>
      <c r="WWF56" s="76"/>
      <c r="WWG56" s="76"/>
      <c r="WWH56" s="76"/>
      <c r="WWI56" s="76"/>
      <c r="WWJ56" s="76"/>
      <c r="WWK56" s="76"/>
      <c r="WWL56" s="76"/>
      <c r="WWM56" s="76"/>
      <c r="WWN56" s="76"/>
      <c r="WWO56" s="76"/>
      <c r="WWP56" s="76"/>
      <c r="WWQ56" s="76"/>
      <c r="WWR56" s="76"/>
      <c r="WWS56" s="76"/>
      <c r="WWT56" s="76"/>
      <c r="WWU56" s="76"/>
      <c r="WWV56" s="76"/>
      <c r="WWW56" s="76"/>
      <c r="WWX56" s="76"/>
      <c r="WWY56" s="76"/>
      <c r="WWZ56" s="76"/>
      <c r="WXA56" s="76"/>
    </row>
    <row r="57" spans="1:16173" s="77" customFormat="1" ht="34" customHeight="1" x14ac:dyDescent="0.55000000000000004">
      <c r="A57" s="76"/>
      <c r="B57" s="76"/>
      <c r="C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  <c r="CC57" s="76"/>
      <c r="CD57" s="76"/>
      <c r="CE57" s="76"/>
      <c r="CF57" s="76"/>
      <c r="CG57" s="76"/>
      <c r="CH57" s="76"/>
      <c r="CI57" s="76"/>
      <c r="CJ57" s="76"/>
      <c r="CK57" s="76"/>
      <c r="CL57" s="76"/>
      <c r="CM57" s="76"/>
      <c r="CN57" s="76"/>
      <c r="CO57" s="76"/>
      <c r="CP57" s="76"/>
      <c r="CQ57" s="76"/>
      <c r="CR57" s="76"/>
      <c r="CS57" s="76"/>
      <c r="CT57" s="76"/>
      <c r="CU57" s="76"/>
      <c r="CV57" s="76"/>
      <c r="CW57" s="76"/>
      <c r="CX57" s="76"/>
      <c r="CY57" s="76"/>
      <c r="CZ57" s="76"/>
      <c r="DA57" s="76"/>
      <c r="DB57" s="76"/>
      <c r="DC57" s="76"/>
      <c r="DD57" s="76"/>
      <c r="DE57" s="76"/>
      <c r="DF57" s="76"/>
      <c r="DG57" s="76"/>
      <c r="DH57" s="76"/>
      <c r="DI57" s="76"/>
      <c r="DJ57" s="76"/>
      <c r="DK57" s="76"/>
      <c r="DL57" s="76"/>
      <c r="DM57" s="76"/>
      <c r="DN57" s="76"/>
      <c r="DO57" s="76"/>
      <c r="DP57" s="76"/>
      <c r="DQ57" s="76"/>
      <c r="DR57" s="76"/>
      <c r="DS57" s="76"/>
      <c r="DT57" s="76"/>
      <c r="DU57" s="76"/>
      <c r="DV57" s="76"/>
      <c r="DW57" s="76"/>
      <c r="DX57" s="76"/>
      <c r="DY57" s="76"/>
      <c r="DZ57" s="76"/>
      <c r="EA57" s="76"/>
      <c r="EB57" s="76"/>
      <c r="EC57" s="76"/>
      <c r="ED57" s="76"/>
      <c r="EE57" s="76"/>
      <c r="EF57" s="76"/>
      <c r="EG57" s="76"/>
      <c r="EH57" s="76"/>
      <c r="EI57" s="76"/>
      <c r="EJ57" s="76"/>
      <c r="EK57" s="76"/>
      <c r="EL57" s="76"/>
      <c r="EM57" s="76"/>
      <c r="EN57" s="76"/>
      <c r="EO57" s="76"/>
      <c r="EP57" s="76"/>
      <c r="EQ57" s="76"/>
      <c r="ER57" s="76"/>
      <c r="ES57" s="76"/>
      <c r="ET57" s="76"/>
      <c r="EU57" s="76"/>
      <c r="EV57" s="76"/>
      <c r="EW57" s="76"/>
      <c r="EX57" s="76"/>
      <c r="EY57" s="76"/>
      <c r="EZ57" s="76"/>
      <c r="FA57" s="76"/>
      <c r="FB57" s="76"/>
      <c r="FC57" s="76"/>
      <c r="FD57" s="76"/>
      <c r="FE57" s="76"/>
      <c r="FF57" s="76"/>
      <c r="FG57" s="76"/>
      <c r="FH57" s="76"/>
      <c r="FI57" s="76"/>
      <c r="FJ57" s="76"/>
      <c r="FK57" s="76"/>
      <c r="FL57" s="76"/>
      <c r="FM57" s="76"/>
      <c r="FN57" s="76"/>
      <c r="FO57" s="76"/>
      <c r="FP57" s="76"/>
      <c r="FQ57" s="76"/>
      <c r="FR57" s="76"/>
      <c r="FS57" s="76"/>
      <c r="FT57" s="76"/>
      <c r="FU57" s="76"/>
      <c r="FV57" s="76"/>
      <c r="FW57" s="76"/>
      <c r="FX57" s="76"/>
      <c r="FY57" s="76"/>
      <c r="FZ57" s="76"/>
      <c r="GA57" s="76"/>
      <c r="GB57" s="76"/>
      <c r="GC57" s="76"/>
      <c r="GD57" s="76"/>
      <c r="GE57" s="76"/>
      <c r="GF57" s="76"/>
      <c r="GG57" s="76"/>
      <c r="GH57" s="76"/>
      <c r="GI57" s="76"/>
      <c r="GJ57" s="76"/>
      <c r="GK57" s="76"/>
      <c r="GL57" s="76"/>
      <c r="GM57" s="76"/>
      <c r="GN57" s="76"/>
      <c r="GO57" s="76"/>
      <c r="GP57" s="76"/>
      <c r="GQ57" s="76"/>
      <c r="GR57" s="76"/>
      <c r="GS57" s="76"/>
      <c r="GT57" s="76"/>
      <c r="GU57" s="76"/>
      <c r="GV57" s="76"/>
      <c r="GW57" s="76"/>
      <c r="GX57" s="76"/>
      <c r="GY57" s="76"/>
      <c r="GZ57" s="76"/>
      <c r="HA57" s="76"/>
      <c r="HB57" s="76"/>
      <c r="HC57" s="76"/>
      <c r="HD57" s="76"/>
      <c r="HE57" s="76"/>
      <c r="HF57" s="76"/>
      <c r="HG57" s="76"/>
      <c r="HH57" s="76"/>
      <c r="HI57" s="76"/>
      <c r="HJ57" s="76"/>
      <c r="HK57" s="76"/>
      <c r="HL57" s="76"/>
      <c r="HM57" s="76"/>
      <c r="HN57" s="76"/>
      <c r="HO57" s="76"/>
      <c r="HP57" s="76"/>
      <c r="HQ57" s="76"/>
      <c r="HR57" s="76"/>
      <c r="HS57" s="76"/>
      <c r="HT57" s="76"/>
      <c r="HU57" s="76"/>
      <c r="HV57" s="76"/>
      <c r="HW57" s="76"/>
      <c r="HX57" s="76"/>
      <c r="HY57" s="76"/>
      <c r="HZ57" s="76"/>
      <c r="IA57" s="76"/>
      <c r="IB57" s="76"/>
      <c r="IC57" s="76"/>
      <c r="ID57" s="76"/>
      <c r="IE57" s="76"/>
      <c r="IF57" s="76"/>
      <c r="IG57" s="76"/>
      <c r="IH57" s="76"/>
      <c r="II57" s="76"/>
      <c r="IJ57" s="76"/>
      <c r="IK57" s="76"/>
      <c r="IL57" s="76"/>
      <c r="IM57" s="76"/>
      <c r="IN57" s="76"/>
      <c r="IO57" s="76"/>
      <c r="IP57" s="76"/>
      <c r="IQ57" s="76"/>
      <c r="IR57" s="76"/>
      <c r="IS57" s="76"/>
      <c r="IT57" s="76"/>
      <c r="IU57" s="76"/>
      <c r="IV57" s="76"/>
      <c r="IW57" s="76"/>
      <c r="IX57" s="76"/>
      <c r="IY57" s="76"/>
      <c r="IZ57" s="76"/>
      <c r="JA57" s="76"/>
      <c r="JB57" s="76"/>
      <c r="JC57" s="76"/>
      <c r="JD57" s="76"/>
      <c r="JE57" s="76"/>
      <c r="JF57" s="76"/>
      <c r="JG57" s="76"/>
      <c r="JH57" s="76"/>
      <c r="JI57" s="76"/>
      <c r="JJ57" s="76"/>
      <c r="JK57" s="76"/>
      <c r="JL57" s="76"/>
      <c r="JM57" s="76"/>
      <c r="JN57" s="76"/>
      <c r="JO57" s="76"/>
      <c r="JP57" s="76"/>
      <c r="JQ57" s="76"/>
      <c r="JR57" s="76"/>
      <c r="JS57" s="76"/>
      <c r="JT57" s="76"/>
      <c r="JU57" s="76"/>
      <c r="JV57" s="76"/>
      <c r="JW57" s="76"/>
      <c r="JX57" s="76"/>
      <c r="JY57" s="76"/>
      <c r="JZ57" s="76"/>
      <c r="KA57" s="76"/>
      <c r="KB57" s="76"/>
      <c r="KC57" s="76"/>
      <c r="KD57" s="76"/>
      <c r="KE57" s="76"/>
      <c r="KF57" s="76"/>
      <c r="KG57" s="76"/>
      <c r="KH57" s="76"/>
      <c r="KI57" s="76"/>
      <c r="KJ57" s="76"/>
      <c r="KK57" s="76"/>
      <c r="KL57" s="76"/>
      <c r="KM57" s="76"/>
      <c r="KN57" s="76"/>
      <c r="KO57" s="76"/>
      <c r="KP57" s="76"/>
      <c r="KQ57" s="76"/>
      <c r="KR57" s="76"/>
      <c r="KS57" s="76"/>
      <c r="KT57" s="76"/>
      <c r="KU57" s="76"/>
      <c r="KV57" s="76"/>
      <c r="KW57" s="76"/>
      <c r="KX57" s="76"/>
      <c r="KY57" s="76"/>
      <c r="KZ57" s="76"/>
      <c r="LA57" s="76"/>
      <c r="LB57" s="76"/>
      <c r="LC57" s="76"/>
      <c r="LD57" s="76"/>
      <c r="LE57" s="76"/>
      <c r="LF57" s="76"/>
      <c r="LG57" s="76"/>
      <c r="LH57" s="76"/>
      <c r="LI57" s="76"/>
      <c r="LJ57" s="76"/>
      <c r="LK57" s="76"/>
      <c r="LL57" s="76"/>
      <c r="LM57" s="76"/>
      <c r="LN57" s="76"/>
      <c r="LO57" s="76"/>
      <c r="LP57" s="76"/>
      <c r="LQ57" s="76"/>
      <c r="LR57" s="76"/>
      <c r="LS57" s="76"/>
      <c r="LT57" s="76"/>
      <c r="LU57" s="76"/>
      <c r="LV57" s="76"/>
      <c r="LW57" s="76"/>
      <c r="LX57" s="76"/>
      <c r="LY57" s="76"/>
      <c r="LZ57" s="76"/>
      <c r="MA57" s="76"/>
      <c r="MB57" s="76"/>
      <c r="MC57" s="76"/>
      <c r="MD57" s="76"/>
      <c r="ME57" s="76"/>
      <c r="MF57" s="76"/>
      <c r="MG57" s="76"/>
      <c r="MH57" s="76"/>
      <c r="MI57" s="76"/>
      <c r="MJ57" s="76"/>
      <c r="MK57" s="76"/>
      <c r="ML57" s="76"/>
      <c r="MM57" s="76"/>
      <c r="MN57" s="76"/>
      <c r="MO57" s="76"/>
      <c r="MP57" s="76"/>
      <c r="MQ57" s="76"/>
      <c r="MR57" s="76"/>
      <c r="MS57" s="76"/>
      <c r="MT57" s="76"/>
      <c r="MU57" s="76"/>
      <c r="MV57" s="76"/>
      <c r="MW57" s="76"/>
      <c r="MX57" s="76"/>
      <c r="MY57" s="76"/>
      <c r="MZ57" s="76"/>
      <c r="NA57" s="76"/>
      <c r="NB57" s="76"/>
      <c r="NC57" s="76"/>
      <c r="ND57" s="76"/>
      <c r="NE57" s="76"/>
      <c r="NF57" s="76"/>
      <c r="NG57" s="76"/>
      <c r="NH57" s="76"/>
      <c r="NI57" s="76"/>
      <c r="NJ57" s="76"/>
      <c r="NK57" s="76"/>
      <c r="NL57" s="76"/>
      <c r="NM57" s="76"/>
      <c r="NN57" s="76"/>
      <c r="NO57" s="76"/>
      <c r="NP57" s="76"/>
      <c r="NQ57" s="76"/>
      <c r="NR57" s="76"/>
      <c r="NS57" s="76"/>
      <c r="NT57" s="76"/>
      <c r="NU57" s="76"/>
      <c r="NV57" s="76"/>
      <c r="NW57" s="76"/>
      <c r="NX57" s="76"/>
      <c r="NY57" s="76"/>
      <c r="NZ57" s="76"/>
      <c r="OA57" s="76"/>
      <c r="OB57" s="76"/>
      <c r="OC57" s="76"/>
      <c r="OD57" s="76"/>
      <c r="OE57" s="76"/>
      <c r="OF57" s="76"/>
      <c r="OG57" s="76"/>
      <c r="OH57" s="76"/>
      <c r="OI57" s="76"/>
      <c r="OJ57" s="76"/>
      <c r="OK57" s="76"/>
      <c r="OL57" s="76"/>
      <c r="OM57" s="76"/>
      <c r="ON57" s="76"/>
      <c r="OO57" s="76"/>
      <c r="OP57" s="76"/>
      <c r="OQ57" s="76"/>
      <c r="OR57" s="76"/>
      <c r="OS57" s="76"/>
      <c r="OT57" s="76"/>
      <c r="OU57" s="76"/>
      <c r="OV57" s="76"/>
      <c r="OW57" s="76"/>
      <c r="OX57" s="76"/>
      <c r="OY57" s="76"/>
      <c r="OZ57" s="76"/>
      <c r="PA57" s="76"/>
      <c r="PB57" s="76"/>
      <c r="PC57" s="76"/>
      <c r="PD57" s="76"/>
      <c r="PE57" s="76"/>
      <c r="PF57" s="76"/>
      <c r="PG57" s="76"/>
      <c r="PH57" s="76"/>
      <c r="PI57" s="76"/>
      <c r="PJ57" s="76"/>
      <c r="PK57" s="76"/>
      <c r="PL57" s="76"/>
      <c r="PM57" s="76"/>
      <c r="PN57" s="76"/>
      <c r="PO57" s="76"/>
      <c r="PP57" s="76"/>
      <c r="PQ57" s="76"/>
      <c r="PR57" s="76"/>
      <c r="PS57" s="76"/>
      <c r="PT57" s="76"/>
      <c r="PU57" s="76"/>
      <c r="PV57" s="76"/>
      <c r="PW57" s="76"/>
      <c r="PX57" s="76"/>
      <c r="PY57" s="76"/>
      <c r="PZ57" s="76"/>
      <c r="QA57" s="76"/>
      <c r="QB57" s="76"/>
      <c r="QC57" s="76"/>
      <c r="QD57" s="76"/>
      <c r="QE57" s="76"/>
      <c r="QF57" s="76"/>
      <c r="QG57" s="76"/>
      <c r="QH57" s="76"/>
      <c r="QI57" s="76"/>
      <c r="QJ57" s="76"/>
      <c r="QK57" s="76"/>
      <c r="QL57" s="76"/>
      <c r="QM57" s="76"/>
      <c r="QN57" s="76"/>
      <c r="QO57" s="76"/>
      <c r="QP57" s="76"/>
      <c r="QQ57" s="76"/>
      <c r="QR57" s="76"/>
      <c r="QS57" s="76"/>
      <c r="QT57" s="76"/>
      <c r="QU57" s="76"/>
      <c r="QV57" s="76"/>
      <c r="QW57" s="76"/>
      <c r="QX57" s="76"/>
      <c r="QY57" s="76"/>
      <c r="QZ57" s="76"/>
      <c r="RA57" s="76"/>
      <c r="RB57" s="76"/>
      <c r="RC57" s="76"/>
      <c r="RD57" s="76"/>
      <c r="RE57" s="76"/>
      <c r="RF57" s="76"/>
      <c r="RG57" s="76"/>
      <c r="RH57" s="76"/>
      <c r="RI57" s="76"/>
      <c r="RJ57" s="76"/>
      <c r="RK57" s="76"/>
      <c r="RL57" s="76"/>
      <c r="RM57" s="76"/>
      <c r="RN57" s="76"/>
      <c r="RO57" s="76"/>
      <c r="RP57" s="76"/>
      <c r="RQ57" s="76"/>
      <c r="RR57" s="76"/>
      <c r="RS57" s="76"/>
      <c r="RT57" s="76"/>
      <c r="RU57" s="76"/>
      <c r="RV57" s="76"/>
      <c r="RW57" s="76"/>
      <c r="RX57" s="76"/>
      <c r="RY57" s="76"/>
      <c r="RZ57" s="76"/>
      <c r="SA57" s="76"/>
      <c r="SB57" s="76"/>
      <c r="SC57" s="76"/>
      <c r="SD57" s="76"/>
      <c r="SE57" s="76"/>
      <c r="SF57" s="76"/>
      <c r="SG57" s="76"/>
      <c r="SH57" s="76"/>
      <c r="SI57" s="76"/>
      <c r="SJ57" s="76"/>
      <c r="SK57" s="76"/>
      <c r="SL57" s="76"/>
      <c r="SM57" s="76"/>
      <c r="SN57" s="76"/>
      <c r="SO57" s="76"/>
      <c r="SP57" s="76"/>
      <c r="SQ57" s="76"/>
      <c r="SR57" s="76"/>
      <c r="SS57" s="76"/>
      <c r="ST57" s="76"/>
      <c r="SU57" s="76"/>
      <c r="SV57" s="76"/>
      <c r="SW57" s="76"/>
      <c r="SX57" s="76"/>
      <c r="SY57" s="76"/>
      <c r="SZ57" s="76"/>
      <c r="TA57" s="76"/>
      <c r="TB57" s="76"/>
      <c r="TC57" s="76"/>
      <c r="TD57" s="76"/>
      <c r="TE57" s="76"/>
      <c r="TF57" s="76"/>
      <c r="TG57" s="76"/>
      <c r="TH57" s="76"/>
      <c r="TI57" s="76"/>
      <c r="TJ57" s="76"/>
      <c r="TK57" s="76"/>
      <c r="TL57" s="76"/>
      <c r="TM57" s="76"/>
      <c r="TN57" s="76"/>
      <c r="TO57" s="76"/>
      <c r="TP57" s="76"/>
      <c r="TQ57" s="76"/>
      <c r="TR57" s="76"/>
      <c r="TS57" s="76"/>
      <c r="TT57" s="76"/>
      <c r="TU57" s="76"/>
      <c r="TV57" s="76"/>
      <c r="TW57" s="76"/>
      <c r="TX57" s="76"/>
      <c r="TY57" s="76"/>
      <c r="TZ57" s="76"/>
      <c r="UA57" s="76"/>
      <c r="UB57" s="76"/>
      <c r="UC57" s="76"/>
      <c r="UD57" s="76"/>
      <c r="UE57" s="76"/>
      <c r="UF57" s="76"/>
      <c r="UG57" s="76"/>
      <c r="UH57" s="76"/>
      <c r="UI57" s="76"/>
      <c r="UJ57" s="76"/>
      <c r="UK57" s="76"/>
      <c r="UL57" s="76"/>
      <c r="UM57" s="76"/>
      <c r="UN57" s="76"/>
      <c r="UO57" s="76"/>
      <c r="UP57" s="76"/>
      <c r="UQ57" s="76"/>
      <c r="UR57" s="76"/>
      <c r="US57" s="76"/>
      <c r="UT57" s="76"/>
      <c r="UU57" s="76"/>
      <c r="UV57" s="76"/>
      <c r="UW57" s="76"/>
      <c r="UX57" s="76"/>
      <c r="UY57" s="76"/>
      <c r="UZ57" s="76"/>
      <c r="VA57" s="76"/>
      <c r="VB57" s="76"/>
      <c r="VC57" s="76"/>
      <c r="VD57" s="76"/>
      <c r="VE57" s="76"/>
      <c r="VF57" s="76"/>
      <c r="VG57" s="76"/>
      <c r="VH57" s="76"/>
      <c r="VI57" s="76"/>
      <c r="VJ57" s="76"/>
      <c r="VK57" s="76"/>
      <c r="VL57" s="76"/>
      <c r="VM57" s="76"/>
      <c r="VN57" s="76"/>
      <c r="VO57" s="76"/>
      <c r="VP57" s="76"/>
      <c r="VQ57" s="76"/>
      <c r="VR57" s="76"/>
      <c r="VS57" s="76"/>
      <c r="VT57" s="76"/>
      <c r="VU57" s="76"/>
      <c r="VV57" s="76"/>
      <c r="VW57" s="76"/>
      <c r="VX57" s="76"/>
      <c r="VY57" s="76"/>
      <c r="VZ57" s="76"/>
      <c r="WA57" s="76"/>
      <c r="WB57" s="76"/>
      <c r="WC57" s="76"/>
      <c r="WD57" s="76"/>
      <c r="WE57" s="76"/>
      <c r="WF57" s="76"/>
      <c r="WG57" s="76"/>
      <c r="WH57" s="76"/>
      <c r="WI57" s="76"/>
      <c r="WJ57" s="76"/>
      <c r="WK57" s="76"/>
      <c r="WL57" s="76"/>
      <c r="WM57" s="76"/>
      <c r="WN57" s="76"/>
      <c r="WO57" s="76"/>
      <c r="WP57" s="76"/>
      <c r="WQ57" s="76"/>
      <c r="WR57" s="76"/>
      <c r="WS57" s="76"/>
      <c r="WT57" s="76"/>
      <c r="WU57" s="76"/>
      <c r="WV57" s="76"/>
      <c r="WW57" s="76"/>
      <c r="WX57" s="76"/>
      <c r="WY57" s="76"/>
      <c r="WZ57" s="76"/>
      <c r="XA57" s="76"/>
      <c r="XB57" s="76"/>
      <c r="XC57" s="76"/>
      <c r="XD57" s="76"/>
      <c r="XE57" s="76"/>
      <c r="XF57" s="76"/>
      <c r="XG57" s="76"/>
      <c r="XH57" s="76"/>
      <c r="XI57" s="76"/>
      <c r="XJ57" s="76"/>
      <c r="XK57" s="76"/>
      <c r="XL57" s="76"/>
      <c r="XM57" s="76"/>
      <c r="XN57" s="76"/>
      <c r="XO57" s="76"/>
      <c r="XP57" s="76"/>
      <c r="XQ57" s="76"/>
      <c r="XR57" s="76"/>
      <c r="XS57" s="76"/>
      <c r="XT57" s="76"/>
      <c r="XU57" s="76"/>
      <c r="XV57" s="76"/>
      <c r="XW57" s="76"/>
      <c r="XX57" s="76"/>
      <c r="XY57" s="76"/>
      <c r="XZ57" s="76"/>
      <c r="YA57" s="76"/>
      <c r="YB57" s="76"/>
      <c r="YC57" s="76"/>
      <c r="YD57" s="76"/>
      <c r="YE57" s="76"/>
      <c r="YF57" s="76"/>
      <c r="YG57" s="76"/>
      <c r="YH57" s="76"/>
      <c r="YI57" s="76"/>
      <c r="YJ57" s="76"/>
      <c r="YK57" s="76"/>
      <c r="YL57" s="76"/>
      <c r="YM57" s="76"/>
      <c r="YN57" s="76"/>
      <c r="YO57" s="76"/>
      <c r="YP57" s="76"/>
      <c r="YQ57" s="76"/>
      <c r="YR57" s="76"/>
      <c r="YS57" s="76"/>
      <c r="YT57" s="76"/>
      <c r="YU57" s="76"/>
      <c r="YV57" s="76"/>
      <c r="YW57" s="76"/>
      <c r="YX57" s="76"/>
      <c r="YY57" s="76"/>
      <c r="YZ57" s="76"/>
      <c r="ZA57" s="76"/>
      <c r="ZB57" s="76"/>
      <c r="ZC57" s="76"/>
      <c r="ZD57" s="76"/>
      <c r="ZE57" s="76"/>
      <c r="ZF57" s="76"/>
      <c r="ZG57" s="76"/>
      <c r="ZH57" s="76"/>
      <c r="ZI57" s="76"/>
      <c r="ZJ57" s="76"/>
      <c r="ZK57" s="76"/>
      <c r="ZL57" s="76"/>
      <c r="ZM57" s="76"/>
      <c r="ZN57" s="76"/>
      <c r="ZO57" s="76"/>
      <c r="ZP57" s="76"/>
      <c r="ZQ57" s="76"/>
      <c r="ZR57" s="76"/>
      <c r="ZS57" s="76"/>
      <c r="ZT57" s="76"/>
      <c r="ZU57" s="76"/>
      <c r="ZV57" s="76"/>
      <c r="ZW57" s="76"/>
      <c r="ZX57" s="76"/>
      <c r="ZY57" s="76"/>
      <c r="ZZ57" s="76"/>
      <c r="AAA57" s="76"/>
      <c r="AAB57" s="76"/>
      <c r="AAC57" s="76"/>
      <c r="AAD57" s="76"/>
      <c r="AAE57" s="76"/>
      <c r="AAF57" s="76"/>
      <c r="AAG57" s="76"/>
      <c r="AAH57" s="76"/>
      <c r="AAI57" s="76"/>
      <c r="AAJ57" s="76"/>
      <c r="AAK57" s="76"/>
      <c r="AAL57" s="76"/>
      <c r="AAM57" s="76"/>
      <c r="AAN57" s="76"/>
      <c r="AAO57" s="76"/>
      <c r="AAP57" s="76"/>
      <c r="AAQ57" s="76"/>
      <c r="AAR57" s="76"/>
      <c r="AAS57" s="76"/>
      <c r="AAT57" s="76"/>
      <c r="AAU57" s="76"/>
      <c r="AAV57" s="76"/>
      <c r="AAW57" s="76"/>
      <c r="AAX57" s="76"/>
      <c r="AAY57" s="76"/>
      <c r="AAZ57" s="76"/>
      <c r="ABA57" s="76"/>
      <c r="ABB57" s="76"/>
      <c r="ABC57" s="76"/>
      <c r="ABD57" s="76"/>
      <c r="ABE57" s="76"/>
      <c r="ABF57" s="76"/>
      <c r="ABG57" s="76"/>
      <c r="ABH57" s="76"/>
      <c r="ABI57" s="76"/>
      <c r="ABJ57" s="76"/>
      <c r="ABK57" s="76"/>
      <c r="ABL57" s="76"/>
      <c r="ABM57" s="76"/>
      <c r="ABN57" s="76"/>
      <c r="ABO57" s="76"/>
      <c r="ABP57" s="76"/>
      <c r="ABQ57" s="76"/>
      <c r="ABR57" s="76"/>
      <c r="ABS57" s="76"/>
      <c r="ABT57" s="76"/>
      <c r="ABU57" s="76"/>
      <c r="ABV57" s="76"/>
      <c r="ABW57" s="76"/>
      <c r="ABX57" s="76"/>
      <c r="ABY57" s="76"/>
      <c r="ABZ57" s="76"/>
      <c r="ACA57" s="76"/>
      <c r="ACB57" s="76"/>
      <c r="ACC57" s="76"/>
      <c r="ACD57" s="76"/>
      <c r="ACE57" s="76"/>
      <c r="ACF57" s="76"/>
      <c r="ACG57" s="76"/>
      <c r="ACH57" s="76"/>
      <c r="ACI57" s="76"/>
      <c r="ACJ57" s="76"/>
      <c r="ACK57" s="76"/>
      <c r="ACL57" s="76"/>
      <c r="ACM57" s="76"/>
      <c r="ACN57" s="76"/>
      <c r="ACO57" s="76"/>
      <c r="ACP57" s="76"/>
      <c r="ACQ57" s="76"/>
      <c r="ACR57" s="76"/>
      <c r="ACS57" s="76"/>
      <c r="ACT57" s="76"/>
      <c r="ACU57" s="76"/>
      <c r="ACV57" s="76"/>
      <c r="ACW57" s="76"/>
      <c r="ACX57" s="76"/>
      <c r="ACY57" s="76"/>
      <c r="ACZ57" s="76"/>
      <c r="ADA57" s="76"/>
      <c r="ADB57" s="76"/>
      <c r="ADC57" s="76"/>
      <c r="ADD57" s="76"/>
      <c r="ADE57" s="76"/>
      <c r="ADF57" s="76"/>
      <c r="ADG57" s="76"/>
      <c r="ADH57" s="76"/>
      <c r="ADI57" s="76"/>
      <c r="ADJ57" s="76"/>
      <c r="ADK57" s="76"/>
      <c r="ADL57" s="76"/>
      <c r="ADM57" s="76"/>
      <c r="ADN57" s="76"/>
      <c r="ADO57" s="76"/>
      <c r="ADP57" s="76"/>
      <c r="ADQ57" s="76"/>
      <c r="ADR57" s="76"/>
      <c r="ADS57" s="76"/>
      <c r="ADT57" s="76"/>
      <c r="ADU57" s="76"/>
      <c r="ADV57" s="76"/>
      <c r="ADW57" s="76"/>
      <c r="ADX57" s="76"/>
      <c r="ADY57" s="76"/>
      <c r="ADZ57" s="76"/>
      <c r="AEA57" s="76"/>
      <c r="AEB57" s="76"/>
      <c r="AEC57" s="76"/>
      <c r="AED57" s="76"/>
      <c r="AEE57" s="76"/>
      <c r="AEF57" s="76"/>
      <c r="AEG57" s="76"/>
      <c r="AEH57" s="76"/>
      <c r="AEI57" s="76"/>
      <c r="AEJ57" s="76"/>
      <c r="AEK57" s="76"/>
      <c r="AEL57" s="76"/>
      <c r="AEM57" s="76"/>
      <c r="AEN57" s="76"/>
      <c r="AEO57" s="76"/>
      <c r="AEP57" s="76"/>
      <c r="AEQ57" s="76"/>
      <c r="AER57" s="76"/>
      <c r="AES57" s="76"/>
      <c r="AET57" s="76"/>
      <c r="AEU57" s="76"/>
      <c r="AEV57" s="76"/>
      <c r="AEW57" s="76"/>
      <c r="AEX57" s="76"/>
      <c r="AEY57" s="76"/>
      <c r="AEZ57" s="76"/>
      <c r="AFA57" s="76"/>
      <c r="AFB57" s="76"/>
      <c r="AFC57" s="76"/>
      <c r="AFD57" s="76"/>
      <c r="AFE57" s="76"/>
      <c r="AFF57" s="76"/>
      <c r="AFG57" s="76"/>
      <c r="AFH57" s="76"/>
      <c r="AFI57" s="76"/>
      <c r="AFJ57" s="76"/>
      <c r="AFK57" s="76"/>
      <c r="AFL57" s="76"/>
      <c r="AFM57" s="76"/>
      <c r="AFN57" s="76"/>
      <c r="AFO57" s="76"/>
      <c r="AFP57" s="76"/>
      <c r="AFQ57" s="76"/>
      <c r="AFR57" s="76"/>
      <c r="AFS57" s="76"/>
      <c r="AFT57" s="76"/>
      <c r="AFU57" s="76"/>
      <c r="AFV57" s="76"/>
      <c r="AFW57" s="76"/>
      <c r="AFX57" s="76"/>
      <c r="AFY57" s="76"/>
      <c r="AFZ57" s="76"/>
      <c r="AGA57" s="76"/>
      <c r="AGB57" s="76"/>
      <c r="AGC57" s="76"/>
      <c r="AGD57" s="76"/>
      <c r="AGE57" s="76"/>
      <c r="AGF57" s="76"/>
      <c r="AGG57" s="76"/>
      <c r="AGH57" s="76"/>
      <c r="AGI57" s="76"/>
      <c r="AGJ57" s="76"/>
      <c r="AGK57" s="76"/>
      <c r="AGL57" s="76"/>
      <c r="AGM57" s="76"/>
      <c r="AGN57" s="76"/>
      <c r="AGO57" s="76"/>
      <c r="AGP57" s="76"/>
      <c r="AGQ57" s="76"/>
      <c r="AGR57" s="76"/>
      <c r="AGS57" s="76"/>
      <c r="AGT57" s="76"/>
      <c r="AGU57" s="76"/>
      <c r="AGV57" s="76"/>
      <c r="AGW57" s="76"/>
      <c r="AGX57" s="76"/>
      <c r="AGY57" s="76"/>
      <c r="AGZ57" s="76"/>
      <c r="AHA57" s="76"/>
      <c r="AHB57" s="76"/>
      <c r="AHC57" s="76"/>
      <c r="AHD57" s="76"/>
      <c r="AHE57" s="76"/>
      <c r="AHF57" s="76"/>
      <c r="AHG57" s="76"/>
      <c r="AHH57" s="76"/>
      <c r="AHI57" s="76"/>
      <c r="AHJ57" s="76"/>
      <c r="AHK57" s="76"/>
      <c r="AHL57" s="76"/>
      <c r="AHM57" s="76"/>
      <c r="AHN57" s="76"/>
      <c r="AHO57" s="76"/>
      <c r="AHP57" s="76"/>
      <c r="AHQ57" s="76"/>
      <c r="AHR57" s="76"/>
      <c r="AHS57" s="76"/>
      <c r="AHT57" s="76"/>
      <c r="AHU57" s="76"/>
      <c r="AHV57" s="76"/>
      <c r="AHW57" s="76"/>
      <c r="AHX57" s="76"/>
      <c r="AHY57" s="76"/>
      <c r="AHZ57" s="76"/>
      <c r="AIA57" s="76"/>
      <c r="AIB57" s="76"/>
      <c r="AIC57" s="76"/>
      <c r="AID57" s="76"/>
      <c r="AIE57" s="76"/>
      <c r="AIF57" s="76"/>
      <c r="AIG57" s="76"/>
      <c r="AIH57" s="76"/>
      <c r="AII57" s="76"/>
      <c r="AIJ57" s="76"/>
      <c r="AIK57" s="76"/>
      <c r="AIL57" s="76"/>
      <c r="AIM57" s="76"/>
      <c r="AIN57" s="76"/>
      <c r="AIO57" s="76"/>
      <c r="AIP57" s="76"/>
      <c r="AIQ57" s="76"/>
      <c r="AIR57" s="76"/>
      <c r="AIS57" s="76"/>
      <c r="AIT57" s="76"/>
      <c r="AIU57" s="76"/>
      <c r="AIV57" s="76"/>
      <c r="AIW57" s="76"/>
      <c r="AIX57" s="76"/>
      <c r="AIY57" s="76"/>
      <c r="AIZ57" s="76"/>
      <c r="AJA57" s="76"/>
      <c r="AJB57" s="76"/>
      <c r="AJC57" s="76"/>
      <c r="AJD57" s="76"/>
      <c r="AJE57" s="76"/>
      <c r="AJF57" s="76"/>
      <c r="AJG57" s="76"/>
      <c r="AJH57" s="76"/>
      <c r="AJI57" s="76"/>
      <c r="AJJ57" s="76"/>
      <c r="AJK57" s="76"/>
      <c r="AJL57" s="76"/>
      <c r="AJM57" s="76"/>
      <c r="AJN57" s="76"/>
      <c r="AJO57" s="76"/>
      <c r="AJP57" s="76"/>
      <c r="AJQ57" s="76"/>
      <c r="AJR57" s="76"/>
      <c r="AJS57" s="76"/>
      <c r="AJT57" s="76"/>
      <c r="AJU57" s="76"/>
      <c r="AJV57" s="76"/>
      <c r="AJW57" s="76"/>
      <c r="AJX57" s="76"/>
      <c r="AJY57" s="76"/>
      <c r="AJZ57" s="76"/>
      <c r="AKA57" s="76"/>
      <c r="AKB57" s="76"/>
      <c r="AKC57" s="76"/>
      <c r="AKD57" s="76"/>
      <c r="AKE57" s="76"/>
      <c r="AKF57" s="76"/>
      <c r="AKG57" s="76"/>
      <c r="AKH57" s="76"/>
      <c r="AKI57" s="76"/>
      <c r="AKJ57" s="76"/>
      <c r="AKK57" s="76"/>
      <c r="AKL57" s="76"/>
      <c r="AKM57" s="76"/>
      <c r="AKN57" s="76"/>
      <c r="AKO57" s="76"/>
      <c r="AKP57" s="76"/>
      <c r="AKQ57" s="76"/>
      <c r="AKR57" s="76"/>
      <c r="AKS57" s="76"/>
      <c r="AKT57" s="76"/>
      <c r="AKU57" s="76"/>
      <c r="AKV57" s="76"/>
      <c r="AKW57" s="76"/>
      <c r="AKX57" s="76"/>
      <c r="AKY57" s="76"/>
      <c r="AKZ57" s="76"/>
      <c r="ALA57" s="76"/>
      <c r="ALB57" s="76"/>
      <c r="ALC57" s="76"/>
      <c r="ALD57" s="76"/>
      <c r="ALE57" s="76"/>
      <c r="ALF57" s="76"/>
      <c r="ALG57" s="76"/>
      <c r="ALH57" s="76"/>
      <c r="ALI57" s="76"/>
      <c r="ALJ57" s="76"/>
      <c r="ALK57" s="76"/>
      <c r="ALL57" s="76"/>
      <c r="ALM57" s="76"/>
      <c r="ALN57" s="76"/>
      <c r="ALO57" s="76"/>
      <c r="ALP57" s="76"/>
      <c r="ALQ57" s="76"/>
      <c r="ALR57" s="76"/>
      <c r="ALS57" s="76"/>
      <c r="ALT57" s="76"/>
      <c r="ALU57" s="76"/>
      <c r="ALV57" s="76"/>
      <c r="ALW57" s="76"/>
      <c r="ALX57" s="76"/>
      <c r="ALY57" s="76"/>
      <c r="ALZ57" s="76"/>
      <c r="AMA57" s="76"/>
      <c r="AMB57" s="76"/>
      <c r="AMC57" s="76"/>
      <c r="AMD57" s="76"/>
      <c r="AME57" s="76"/>
      <c r="AMF57" s="76"/>
      <c r="AMG57" s="76"/>
      <c r="AMH57" s="76"/>
      <c r="AMI57" s="76"/>
      <c r="AMJ57" s="76"/>
      <c r="AMK57" s="76"/>
      <c r="AML57" s="76"/>
      <c r="AMM57" s="76"/>
      <c r="AMN57" s="76"/>
      <c r="AMO57" s="76"/>
      <c r="AMP57" s="76"/>
      <c r="AMQ57" s="76"/>
      <c r="AMR57" s="76"/>
      <c r="AMS57" s="76"/>
      <c r="AMT57" s="76"/>
      <c r="AMU57" s="76"/>
      <c r="AMV57" s="76"/>
      <c r="AMW57" s="76"/>
      <c r="AMX57" s="76"/>
      <c r="AMY57" s="76"/>
      <c r="AMZ57" s="76"/>
      <c r="ANA57" s="76"/>
      <c r="ANB57" s="76"/>
      <c r="ANC57" s="76"/>
      <c r="AND57" s="76"/>
      <c r="ANE57" s="76"/>
      <c r="ANF57" s="76"/>
      <c r="ANG57" s="76"/>
      <c r="ANH57" s="76"/>
      <c r="ANI57" s="76"/>
      <c r="ANJ57" s="76"/>
      <c r="ANK57" s="76"/>
      <c r="ANL57" s="76"/>
      <c r="ANM57" s="76"/>
      <c r="ANN57" s="76"/>
      <c r="ANO57" s="76"/>
      <c r="ANP57" s="76"/>
      <c r="ANQ57" s="76"/>
      <c r="ANR57" s="76"/>
      <c r="ANS57" s="76"/>
      <c r="ANT57" s="76"/>
      <c r="ANU57" s="76"/>
      <c r="ANV57" s="76"/>
      <c r="ANW57" s="76"/>
      <c r="ANX57" s="76"/>
      <c r="ANY57" s="76"/>
      <c r="ANZ57" s="76"/>
      <c r="AOA57" s="76"/>
      <c r="AOB57" s="76"/>
      <c r="AOC57" s="76"/>
      <c r="AOD57" s="76"/>
      <c r="AOE57" s="76"/>
      <c r="AOF57" s="76"/>
      <c r="AOG57" s="76"/>
      <c r="AOH57" s="76"/>
      <c r="AOI57" s="76"/>
      <c r="AOJ57" s="76"/>
      <c r="AOK57" s="76"/>
      <c r="AOL57" s="76"/>
      <c r="AOM57" s="76"/>
      <c r="AON57" s="76"/>
      <c r="AOO57" s="76"/>
      <c r="AOP57" s="76"/>
      <c r="AOQ57" s="76"/>
      <c r="AOR57" s="76"/>
      <c r="AOS57" s="76"/>
      <c r="AOT57" s="76"/>
      <c r="AOU57" s="76"/>
      <c r="AOV57" s="76"/>
      <c r="AOW57" s="76"/>
      <c r="AOX57" s="76"/>
      <c r="AOY57" s="76"/>
      <c r="AOZ57" s="76"/>
      <c r="APA57" s="76"/>
      <c r="APB57" s="76"/>
      <c r="APC57" s="76"/>
      <c r="APD57" s="76"/>
      <c r="APE57" s="76"/>
      <c r="APF57" s="76"/>
      <c r="APG57" s="76"/>
      <c r="APH57" s="76"/>
      <c r="API57" s="76"/>
      <c r="APJ57" s="76"/>
      <c r="APK57" s="76"/>
      <c r="APL57" s="76"/>
      <c r="APM57" s="76"/>
      <c r="APN57" s="76"/>
      <c r="APO57" s="76"/>
      <c r="APP57" s="76"/>
      <c r="APQ57" s="76"/>
      <c r="APR57" s="76"/>
      <c r="APS57" s="76"/>
      <c r="APT57" s="76"/>
      <c r="APU57" s="76"/>
      <c r="APV57" s="76"/>
      <c r="APW57" s="76"/>
      <c r="APX57" s="76"/>
      <c r="APY57" s="76"/>
      <c r="APZ57" s="76"/>
      <c r="AQA57" s="76"/>
      <c r="AQB57" s="76"/>
      <c r="AQC57" s="76"/>
      <c r="AQD57" s="76"/>
      <c r="AQE57" s="76"/>
      <c r="AQF57" s="76"/>
      <c r="AQG57" s="76"/>
      <c r="AQH57" s="76"/>
      <c r="AQI57" s="76"/>
      <c r="AQJ57" s="76"/>
      <c r="AQK57" s="76"/>
      <c r="AQL57" s="76"/>
      <c r="AQM57" s="76"/>
      <c r="AQN57" s="76"/>
      <c r="AQO57" s="76"/>
      <c r="AQP57" s="76"/>
      <c r="AQQ57" s="76"/>
      <c r="AQR57" s="76"/>
      <c r="AQS57" s="76"/>
      <c r="AQT57" s="76"/>
      <c r="AQU57" s="76"/>
      <c r="AQV57" s="76"/>
      <c r="AQW57" s="76"/>
      <c r="AQX57" s="76"/>
      <c r="AQY57" s="76"/>
      <c r="AQZ57" s="76"/>
      <c r="ARA57" s="76"/>
      <c r="ARB57" s="76"/>
      <c r="ARC57" s="76"/>
      <c r="ARD57" s="76"/>
      <c r="ARE57" s="76"/>
      <c r="ARF57" s="76"/>
      <c r="ARG57" s="76"/>
      <c r="ARH57" s="76"/>
      <c r="ARI57" s="76"/>
      <c r="ARJ57" s="76"/>
      <c r="ARK57" s="76"/>
      <c r="ARL57" s="76"/>
      <c r="ARM57" s="76"/>
      <c r="ARN57" s="76"/>
      <c r="ARO57" s="76"/>
      <c r="ARP57" s="76"/>
      <c r="ARQ57" s="76"/>
      <c r="ARR57" s="76"/>
      <c r="ARS57" s="76"/>
      <c r="ART57" s="76"/>
      <c r="ARU57" s="76"/>
      <c r="ARV57" s="76"/>
      <c r="ARW57" s="76"/>
      <c r="ARX57" s="76"/>
      <c r="ARY57" s="76"/>
      <c r="ARZ57" s="76"/>
      <c r="ASA57" s="76"/>
      <c r="ASB57" s="76"/>
      <c r="ASC57" s="76"/>
      <c r="ASD57" s="76"/>
      <c r="ASE57" s="76"/>
      <c r="ASF57" s="76"/>
      <c r="ASG57" s="76"/>
      <c r="ASH57" s="76"/>
      <c r="ASI57" s="76"/>
      <c r="ASJ57" s="76"/>
      <c r="ASK57" s="76"/>
      <c r="ASL57" s="76"/>
      <c r="ASM57" s="76"/>
      <c r="ASN57" s="76"/>
      <c r="ASO57" s="76"/>
      <c r="ASP57" s="76"/>
      <c r="ASQ57" s="76"/>
      <c r="ASR57" s="76"/>
      <c r="ASS57" s="76"/>
      <c r="AST57" s="76"/>
      <c r="ASU57" s="76"/>
      <c r="ASV57" s="76"/>
      <c r="ASW57" s="76"/>
      <c r="ASX57" s="76"/>
      <c r="ASY57" s="76"/>
      <c r="ASZ57" s="76"/>
      <c r="ATA57" s="76"/>
      <c r="ATB57" s="76"/>
      <c r="ATC57" s="76"/>
      <c r="ATD57" s="76"/>
      <c r="ATE57" s="76"/>
      <c r="ATF57" s="76"/>
      <c r="ATG57" s="76"/>
      <c r="ATH57" s="76"/>
      <c r="ATI57" s="76"/>
      <c r="ATJ57" s="76"/>
      <c r="ATK57" s="76"/>
      <c r="ATL57" s="76"/>
      <c r="ATM57" s="76"/>
      <c r="ATN57" s="76"/>
      <c r="ATO57" s="76"/>
      <c r="ATP57" s="76"/>
      <c r="ATQ57" s="76"/>
      <c r="ATR57" s="76"/>
      <c r="ATS57" s="76"/>
      <c r="ATT57" s="76"/>
      <c r="ATU57" s="76"/>
      <c r="ATV57" s="76"/>
      <c r="ATW57" s="76"/>
      <c r="ATX57" s="76"/>
      <c r="ATY57" s="76"/>
      <c r="ATZ57" s="76"/>
      <c r="AUA57" s="76"/>
      <c r="AUB57" s="76"/>
      <c r="AUC57" s="76"/>
      <c r="AUD57" s="76"/>
      <c r="AUE57" s="76"/>
      <c r="AUF57" s="76"/>
      <c r="AUG57" s="76"/>
      <c r="AUH57" s="76"/>
      <c r="AUI57" s="76"/>
      <c r="AUJ57" s="76"/>
      <c r="AUK57" s="76"/>
      <c r="AUL57" s="76"/>
      <c r="AUM57" s="76"/>
      <c r="AUN57" s="76"/>
      <c r="AUO57" s="76"/>
      <c r="AUP57" s="76"/>
      <c r="AUQ57" s="76"/>
      <c r="AUR57" s="76"/>
      <c r="AUS57" s="76"/>
      <c r="AUT57" s="76"/>
      <c r="AUU57" s="76"/>
      <c r="AUV57" s="76"/>
      <c r="AUW57" s="76"/>
      <c r="AUX57" s="76"/>
      <c r="AUY57" s="76"/>
      <c r="AUZ57" s="76"/>
      <c r="AVA57" s="76"/>
      <c r="AVB57" s="76"/>
      <c r="AVC57" s="76"/>
      <c r="AVD57" s="76"/>
      <c r="AVE57" s="76"/>
      <c r="AVF57" s="76"/>
      <c r="AVG57" s="76"/>
      <c r="AVH57" s="76"/>
      <c r="AVI57" s="76"/>
      <c r="AVJ57" s="76"/>
      <c r="AVK57" s="76"/>
      <c r="AVL57" s="76"/>
      <c r="AVM57" s="76"/>
      <c r="AVN57" s="76"/>
      <c r="AVO57" s="76"/>
      <c r="AVP57" s="76"/>
      <c r="AVQ57" s="76"/>
      <c r="AVR57" s="76"/>
      <c r="AVS57" s="76"/>
      <c r="AVT57" s="76"/>
      <c r="AVU57" s="76"/>
      <c r="AVV57" s="76"/>
      <c r="AVW57" s="76"/>
      <c r="AVX57" s="76"/>
      <c r="AVY57" s="76"/>
      <c r="AVZ57" s="76"/>
      <c r="AWA57" s="76"/>
      <c r="AWB57" s="76"/>
      <c r="AWC57" s="76"/>
      <c r="AWD57" s="76"/>
      <c r="AWE57" s="76"/>
      <c r="AWF57" s="76"/>
      <c r="AWG57" s="76"/>
      <c r="AWH57" s="76"/>
      <c r="AWI57" s="76"/>
      <c r="AWJ57" s="76"/>
      <c r="AWK57" s="76"/>
      <c r="AWL57" s="76"/>
      <c r="AWM57" s="76"/>
      <c r="AWN57" s="76"/>
      <c r="AWO57" s="76"/>
      <c r="AWP57" s="76"/>
      <c r="AWQ57" s="76"/>
      <c r="AWR57" s="76"/>
      <c r="AWS57" s="76"/>
      <c r="AWT57" s="76"/>
      <c r="AWU57" s="76"/>
      <c r="AWV57" s="76"/>
      <c r="AWW57" s="76"/>
      <c r="AWX57" s="76"/>
      <c r="AWY57" s="76"/>
      <c r="AWZ57" s="76"/>
      <c r="AXA57" s="76"/>
      <c r="AXB57" s="76"/>
      <c r="AXC57" s="76"/>
      <c r="AXD57" s="76"/>
      <c r="AXE57" s="76"/>
      <c r="AXF57" s="76"/>
      <c r="AXG57" s="76"/>
      <c r="AXH57" s="76"/>
      <c r="AXI57" s="76"/>
      <c r="AXJ57" s="76"/>
      <c r="AXK57" s="76"/>
      <c r="AXL57" s="76"/>
      <c r="AXM57" s="76"/>
      <c r="AXN57" s="76"/>
      <c r="AXO57" s="76"/>
      <c r="AXP57" s="76"/>
      <c r="AXQ57" s="76"/>
      <c r="AXR57" s="76"/>
      <c r="AXS57" s="76"/>
      <c r="AXT57" s="76"/>
      <c r="AXU57" s="76"/>
      <c r="AXV57" s="76"/>
      <c r="AXW57" s="76"/>
      <c r="AXX57" s="76"/>
      <c r="AXY57" s="76"/>
      <c r="AXZ57" s="76"/>
      <c r="AYA57" s="76"/>
      <c r="AYB57" s="76"/>
      <c r="AYC57" s="76"/>
      <c r="AYD57" s="76"/>
      <c r="AYE57" s="76"/>
      <c r="AYF57" s="76"/>
      <c r="AYG57" s="76"/>
      <c r="AYH57" s="76"/>
      <c r="AYI57" s="76"/>
      <c r="AYJ57" s="76"/>
      <c r="AYK57" s="76"/>
      <c r="AYL57" s="76"/>
      <c r="AYM57" s="76"/>
      <c r="AYN57" s="76"/>
      <c r="AYO57" s="76"/>
      <c r="AYP57" s="76"/>
      <c r="AYQ57" s="76"/>
      <c r="AYR57" s="76"/>
      <c r="AYS57" s="76"/>
      <c r="AYT57" s="76"/>
      <c r="AYU57" s="76"/>
      <c r="AYV57" s="76"/>
      <c r="AYW57" s="76"/>
      <c r="AYX57" s="76"/>
      <c r="AYY57" s="76"/>
      <c r="AYZ57" s="76"/>
      <c r="AZA57" s="76"/>
      <c r="AZB57" s="76"/>
      <c r="AZC57" s="76"/>
      <c r="AZD57" s="76"/>
      <c r="AZE57" s="76"/>
      <c r="AZF57" s="76"/>
      <c r="AZG57" s="76"/>
      <c r="AZH57" s="76"/>
      <c r="AZI57" s="76"/>
      <c r="AZJ57" s="76"/>
      <c r="AZK57" s="76"/>
      <c r="AZL57" s="76"/>
      <c r="AZM57" s="76"/>
      <c r="AZN57" s="76"/>
      <c r="AZO57" s="76"/>
      <c r="AZP57" s="76"/>
      <c r="AZQ57" s="76"/>
      <c r="AZR57" s="76"/>
      <c r="AZS57" s="76"/>
      <c r="AZT57" s="76"/>
      <c r="AZU57" s="76"/>
      <c r="AZV57" s="76"/>
      <c r="AZW57" s="76"/>
      <c r="AZX57" s="76"/>
      <c r="AZY57" s="76"/>
      <c r="AZZ57" s="76"/>
      <c r="BAA57" s="76"/>
      <c r="BAB57" s="76"/>
      <c r="BAC57" s="76"/>
      <c r="BAD57" s="76"/>
      <c r="BAE57" s="76"/>
      <c r="BAF57" s="76"/>
      <c r="BAG57" s="76"/>
      <c r="BAH57" s="76"/>
      <c r="BAI57" s="76"/>
      <c r="BAJ57" s="76"/>
      <c r="BAK57" s="76"/>
      <c r="BAL57" s="76"/>
      <c r="BAM57" s="76"/>
      <c r="BAN57" s="76"/>
      <c r="BAO57" s="76"/>
      <c r="BAP57" s="76"/>
      <c r="BAQ57" s="76"/>
      <c r="BAR57" s="76"/>
      <c r="BAS57" s="76"/>
      <c r="BAT57" s="76"/>
      <c r="BAU57" s="76"/>
      <c r="BAV57" s="76"/>
      <c r="BAW57" s="76"/>
      <c r="BAX57" s="76"/>
      <c r="BAY57" s="76"/>
      <c r="BAZ57" s="76"/>
      <c r="BBA57" s="76"/>
      <c r="BBB57" s="76"/>
      <c r="BBC57" s="76"/>
      <c r="BBD57" s="76"/>
      <c r="BBE57" s="76"/>
      <c r="BBF57" s="76"/>
      <c r="BBG57" s="76"/>
      <c r="BBH57" s="76"/>
      <c r="BBI57" s="76"/>
      <c r="BBJ57" s="76"/>
      <c r="BBK57" s="76"/>
      <c r="BBL57" s="76"/>
      <c r="BBM57" s="76"/>
      <c r="BBN57" s="76"/>
      <c r="BBO57" s="76"/>
      <c r="BBP57" s="76"/>
      <c r="BBQ57" s="76"/>
      <c r="BBR57" s="76"/>
      <c r="BBS57" s="76"/>
      <c r="BBT57" s="76"/>
      <c r="BBU57" s="76"/>
      <c r="BBV57" s="76"/>
      <c r="BBW57" s="76"/>
      <c r="BBX57" s="76"/>
      <c r="BBY57" s="76"/>
      <c r="BBZ57" s="76"/>
      <c r="BCA57" s="76"/>
      <c r="BCB57" s="76"/>
      <c r="BCC57" s="76"/>
      <c r="BCD57" s="76"/>
      <c r="BCE57" s="76"/>
      <c r="BCF57" s="76"/>
      <c r="BCG57" s="76"/>
      <c r="BCH57" s="76"/>
      <c r="BCI57" s="76"/>
      <c r="BCJ57" s="76"/>
      <c r="BCK57" s="76"/>
      <c r="BCL57" s="76"/>
      <c r="BCM57" s="76"/>
      <c r="BCN57" s="76"/>
      <c r="BCO57" s="76"/>
      <c r="BCP57" s="76"/>
      <c r="BCQ57" s="76"/>
      <c r="BCR57" s="76"/>
      <c r="BCS57" s="76"/>
      <c r="BCT57" s="76"/>
      <c r="BCU57" s="76"/>
      <c r="BCV57" s="76"/>
      <c r="BCW57" s="76"/>
      <c r="BCX57" s="76"/>
      <c r="BCY57" s="76"/>
      <c r="BCZ57" s="76"/>
      <c r="BDA57" s="76"/>
      <c r="BDB57" s="76"/>
      <c r="BDC57" s="76"/>
      <c r="BDD57" s="76"/>
      <c r="BDE57" s="76"/>
      <c r="BDF57" s="76"/>
      <c r="BDG57" s="76"/>
      <c r="BDH57" s="76"/>
      <c r="BDI57" s="76"/>
      <c r="BDJ57" s="76"/>
      <c r="BDK57" s="76"/>
      <c r="BDL57" s="76"/>
      <c r="BDM57" s="76"/>
      <c r="BDN57" s="76"/>
      <c r="BDO57" s="76"/>
      <c r="BDP57" s="76"/>
      <c r="BDQ57" s="76"/>
      <c r="BDR57" s="76"/>
      <c r="BDS57" s="76"/>
      <c r="BDT57" s="76"/>
      <c r="BDU57" s="76"/>
      <c r="BDV57" s="76"/>
      <c r="BDW57" s="76"/>
      <c r="BDX57" s="76"/>
      <c r="BDY57" s="76"/>
      <c r="BDZ57" s="76"/>
      <c r="BEA57" s="76"/>
      <c r="BEB57" s="76"/>
      <c r="BEC57" s="76"/>
      <c r="BED57" s="76"/>
      <c r="BEE57" s="76"/>
      <c r="BEF57" s="76"/>
      <c r="BEG57" s="76"/>
      <c r="BEH57" s="76"/>
      <c r="BEI57" s="76"/>
      <c r="BEJ57" s="76"/>
      <c r="BEK57" s="76"/>
      <c r="BEL57" s="76"/>
      <c r="BEM57" s="76"/>
      <c r="BEN57" s="76"/>
      <c r="BEO57" s="76"/>
      <c r="BEP57" s="76"/>
      <c r="BEQ57" s="76"/>
      <c r="BER57" s="76"/>
      <c r="BES57" s="76"/>
      <c r="BET57" s="76"/>
      <c r="BEU57" s="76"/>
      <c r="BEV57" s="76"/>
      <c r="BEW57" s="76"/>
      <c r="BEX57" s="76"/>
      <c r="BEY57" s="76"/>
      <c r="BEZ57" s="76"/>
      <c r="BFA57" s="76"/>
      <c r="BFB57" s="76"/>
      <c r="BFC57" s="76"/>
      <c r="BFD57" s="76"/>
      <c r="BFE57" s="76"/>
      <c r="BFF57" s="76"/>
      <c r="BFG57" s="76"/>
      <c r="BFH57" s="76"/>
      <c r="BFI57" s="76"/>
      <c r="BFJ57" s="76"/>
      <c r="BFK57" s="76"/>
      <c r="BFL57" s="76"/>
      <c r="BFM57" s="76"/>
      <c r="BFN57" s="76"/>
      <c r="BFO57" s="76"/>
      <c r="BFP57" s="76"/>
      <c r="BFQ57" s="76"/>
      <c r="BFR57" s="76"/>
      <c r="BFS57" s="76"/>
      <c r="BFT57" s="76"/>
      <c r="BFU57" s="76"/>
      <c r="BFV57" s="76"/>
      <c r="BFW57" s="76"/>
      <c r="BFX57" s="76"/>
      <c r="BFY57" s="76"/>
      <c r="BFZ57" s="76"/>
      <c r="BGA57" s="76"/>
      <c r="BGB57" s="76"/>
      <c r="BGC57" s="76"/>
      <c r="BGD57" s="76"/>
      <c r="BGE57" s="76"/>
      <c r="BGF57" s="76"/>
      <c r="BGG57" s="76"/>
      <c r="BGH57" s="76"/>
      <c r="BGI57" s="76"/>
      <c r="BGJ57" s="76"/>
      <c r="BGK57" s="76"/>
      <c r="BGL57" s="76"/>
      <c r="BGM57" s="76"/>
      <c r="BGN57" s="76"/>
      <c r="BGO57" s="76"/>
      <c r="BGP57" s="76"/>
      <c r="BGQ57" s="76"/>
      <c r="BGR57" s="76"/>
      <c r="BGS57" s="76"/>
      <c r="BGT57" s="76"/>
      <c r="BGU57" s="76"/>
      <c r="BGV57" s="76"/>
      <c r="BGW57" s="76"/>
      <c r="BGX57" s="76"/>
      <c r="BGY57" s="76"/>
      <c r="BGZ57" s="76"/>
      <c r="BHA57" s="76"/>
      <c r="BHB57" s="76"/>
      <c r="BHC57" s="76"/>
      <c r="BHD57" s="76"/>
      <c r="BHE57" s="76"/>
      <c r="BHF57" s="76"/>
      <c r="BHG57" s="76"/>
      <c r="BHH57" s="76"/>
      <c r="BHI57" s="76"/>
      <c r="BHJ57" s="76"/>
      <c r="BHK57" s="76"/>
      <c r="BHL57" s="76"/>
      <c r="BHM57" s="76"/>
      <c r="BHN57" s="76"/>
      <c r="BHO57" s="76"/>
      <c r="BHP57" s="76"/>
      <c r="BHQ57" s="76"/>
      <c r="BHR57" s="76"/>
      <c r="BHS57" s="76"/>
      <c r="BHT57" s="76"/>
      <c r="BHU57" s="76"/>
      <c r="BHV57" s="76"/>
      <c r="BHW57" s="76"/>
      <c r="BHX57" s="76"/>
      <c r="BHY57" s="76"/>
      <c r="BHZ57" s="76"/>
      <c r="BIA57" s="76"/>
      <c r="BIB57" s="76"/>
      <c r="BIC57" s="76"/>
      <c r="BID57" s="76"/>
      <c r="BIE57" s="76"/>
      <c r="BIF57" s="76"/>
      <c r="BIG57" s="76"/>
      <c r="BIH57" s="76"/>
      <c r="BII57" s="76"/>
      <c r="BIJ57" s="76"/>
      <c r="BIK57" s="76"/>
      <c r="BIL57" s="76"/>
      <c r="BIM57" s="76"/>
      <c r="BIN57" s="76"/>
      <c r="BIO57" s="76"/>
      <c r="BIP57" s="76"/>
      <c r="BIQ57" s="76"/>
      <c r="BIR57" s="76"/>
      <c r="BIS57" s="76"/>
      <c r="BIT57" s="76"/>
      <c r="BIU57" s="76"/>
      <c r="BIV57" s="76"/>
      <c r="BIW57" s="76"/>
      <c r="BIX57" s="76"/>
      <c r="BIY57" s="76"/>
      <c r="BIZ57" s="76"/>
      <c r="BJA57" s="76"/>
      <c r="BJB57" s="76"/>
      <c r="BJC57" s="76"/>
      <c r="BJD57" s="76"/>
      <c r="BJE57" s="76"/>
      <c r="BJF57" s="76"/>
      <c r="BJG57" s="76"/>
      <c r="BJH57" s="76"/>
      <c r="BJI57" s="76"/>
      <c r="BJJ57" s="76"/>
      <c r="BJK57" s="76"/>
      <c r="BJL57" s="76"/>
      <c r="BJM57" s="76"/>
      <c r="BJN57" s="76"/>
      <c r="BJO57" s="76"/>
      <c r="BJP57" s="76"/>
      <c r="BJQ57" s="76"/>
      <c r="BJR57" s="76"/>
      <c r="BJS57" s="76"/>
      <c r="BJT57" s="76"/>
      <c r="BJU57" s="76"/>
      <c r="BJV57" s="76"/>
      <c r="BJW57" s="76"/>
      <c r="BJX57" s="76"/>
      <c r="BJY57" s="76"/>
      <c r="BJZ57" s="76"/>
      <c r="BKA57" s="76"/>
      <c r="BKB57" s="76"/>
      <c r="BKC57" s="76"/>
      <c r="BKD57" s="76"/>
      <c r="BKE57" s="76"/>
      <c r="BKF57" s="76"/>
      <c r="BKG57" s="76"/>
      <c r="BKH57" s="76"/>
      <c r="BKI57" s="76"/>
      <c r="BKJ57" s="76"/>
      <c r="BKK57" s="76"/>
      <c r="BKL57" s="76"/>
      <c r="BKM57" s="76"/>
      <c r="BKN57" s="76"/>
      <c r="BKO57" s="76"/>
      <c r="BKP57" s="76"/>
      <c r="BKQ57" s="76"/>
      <c r="BKR57" s="76"/>
      <c r="BKS57" s="76"/>
      <c r="BKT57" s="76"/>
      <c r="BKU57" s="76"/>
      <c r="BKV57" s="76"/>
      <c r="BKW57" s="76"/>
      <c r="BKX57" s="76"/>
      <c r="BKY57" s="76"/>
      <c r="BKZ57" s="76"/>
      <c r="BLA57" s="76"/>
      <c r="BLB57" s="76"/>
      <c r="BLC57" s="76"/>
      <c r="BLD57" s="76"/>
      <c r="BLE57" s="76"/>
      <c r="BLF57" s="76"/>
      <c r="BLG57" s="76"/>
      <c r="BLH57" s="76"/>
      <c r="BLI57" s="76"/>
      <c r="BLJ57" s="76"/>
      <c r="BLK57" s="76"/>
      <c r="BLL57" s="76"/>
      <c r="BLM57" s="76"/>
      <c r="BLN57" s="76"/>
      <c r="BLO57" s="76"/>
      <c r="BLP57" s="76"/>
      <c r="BLQ57" s="76"/>
      <c r="BLR57" s="76"/>
      <c r="BLS57" s="76"/>
      <c r="BLT57" s="76"/>
      <c r="BLU57" s="76"/>
      <c r="BLV57" s="76"/>
      <c r="BLW57" s="76"/>
      <c r="BLX57" s="76"/>
      <c r="BLY57" s="76"/>
      <c r="BLZ57" s="76"/>
      <c r="BMA57" s="76"/>
      <c r="BMB57" s="76"/>
      <c r="BMC57" s="76"/>
      <c r="BMD57" s="76"/>
      <c r="BME57" s="76"/>
      <c r="BMF57" s="76"/>
      <c r="BMG57" s="76"/>
      <c r="BMH57" s="76"/>
      <c r="BMI57" s="76"/>
      <c r="BMJ57" s="76"/>
      <c r="BMK57" s="76"/>
      <c r="BML57" s="76"/>
      <c r="BMM57" s="76"/>
      <c r="BMN57" s="76"/>
      <c r="BMO57" s="76"/>
      <c r="BMP57" s="76"/>
      <c r="BMQ57" s="76"/>
      <c r="BMR57" s="76"/>
      <c r="BMS57" s="76"/>
      <c r="BMT57" s="76"/>
      <c r="BMU57" s="76"/>
      <c r="BMV57" s="76"/>
      <c r="BMW57" s="76"/>
      <c r="BMX57" s="76"/>
      <c r="BMY57" s="76"/>
      <c r="BMZ57" s="76"/>
      <c r="BNA57" s="76"/>
      <c r="BNB57" s="76"/>
      <c r="BNC57" s="76"/>
      <c r="BND57" s="76"/>
      <c r="BNE57" s="76"/>
      <c r="BNF57" s="76"/>
      <c r="BNG57" s="76"/>
      <c r="BNH57" s="76"/>
      <c r="BNI57" s="76"/>
      <c r="BNJ57" s="76"/>
      <c r="BNK57" s="76"/>
      <c r="BNL57" s="76"/>
      <c r="BNM57" s="76"/>
      <c r="BNN57" s="76"/>
      <c r="BNO57" s="76"/>
      <c r="BNP57" s="76"/>
      <c r="BNQ57" s="76"/>
      <c r="BNR57" s="76"/>
      <c r="BNS57" s="76"/>
      <c r="BNT57" s="76"/>
      <c r="BNU57" s="76"/>
      <c r="BNV57" s="76"/>
      <c r="BNW57" s="76"/>
      <c r="BNX57" s="76"/>
      <c r="BNY57" s="76"/>
      <c r="BNZ57" s="76"/>
      <c r="BOA57" s="76"/>
      <c r="BOB57" s="76"/>
      <c r="BOC57" s="76"/>
      <c r="BOD57" s="76"/>
      <c r="BOE57" s="76"/>
      <c r="BOF57" s="76"/>
      <c r="BOG57" s="76"/>
      <c r="BOH57" s="76"/>
      <c r="BOI57" s="76"/>
      <c r="BOJ57" s="76"/>
      <c r="BOK57" s="76"/>
      <c r="BOL57" s="76"/>
      <c r="BOM57" s="76"/>
      <c r="BON57" s="76"/>
      <c r="BOO57" s="76"/>
      <c r="BOP57" s="76"/>
      <c r="BOQ57" s="76"/>
      <c r="BOR57" s="76"/>
      <c r="BOS57" s="76"/>
      <c r="BOT57" s="76"/>
      <c r="BOU57" s="76"/>
      <c r="BOV57" s="76"/>
      <c r="BOW57" s="76"/>
      <c r="BOX57" s="76"/>
      <c r="BOY57" s="76"/>
      <c r="BOZ57" s="76"/>
      <c r="BPA57" s="76"/>
      <c r="BPB57" s="76"/>
      <c r="BPC57" s="76"/>
      <c r="BPD57" s="76"/>
      <c r="BPE57" s="76"/>
      <c r="BPF57" s="76"/>
      <c r="BPG57" s="76"/>
      <c r="BPH57" s="76"/>
      <c r="BPI57" s="76"/>
      <c r="BPJ57" s="76"/>
      <c r="BPK57" s="76"/>
      <c r="BPL57" s="76"/>
      <c r="BPM57" s="76"/>
      <c r="BPN57" s="76"/>
      <c r="BPO57" s="76"/>
      <c r="BPP57" s="76"/>
      <c r="BPQ57" s="76"/>
      <c r="BPR57" s="76"/>
      <c r="BPS57" s="76"/>
      <c r="BPT57" s="76"/>
      <c r="BPU57" s="76"/>
      <c r="BPV57" s="76"/>
      <c r="BPW57" s="76"/>
      <c r="BPX57" s="76"/>
      <c r="BPY57" s="76"/>
      <c r="BPZ57" s="76"/>
      <c r="BQA57" s="76"/>
      <c r="BQB57" s="76"/>
      <c r="BQC57" s="76"/>
      <c r="BQD57" s="76"/>
      <c r="BQE57" s="76"/>
      <c r="BQF57" s="76"/>
      <c r="BQG57" s="76"/>
      <c r="BQH57" s="76"/>
      <c r="BQI57" s="76"/>
      <c r="BQJ57" s="76"/>
      <c r="BQK57" s="76"/>
      <c r="BQL57" s="76"/>
      <c r="BQM57" s="76"/>
      <c r="BQN57" s="76"/>
      <c r="BQO57" s="76"/>
      <c r="BQP57" s="76"/>
      <c r="BQQ57" s="76"/>
      <c r="BQR57" s="76"/>
      <c r="BQS57" s="76"/>
      <c r="BQT57" s="76"/>
      <c r="BQU57" s="76"/>
      <c r="BQV57" s="76"/>
      <c r="BQW57" s="76"/>
      <c r="BQX57" s="76"/>
      <c r="BQY57" s="76"/>
      <c r="BQZ57" s="76"/>
      <c r="BRA57" s="76"/>
      <c r="BRB57" s="76"/>
      <c r="BRC57" s="76"/>
      <c r="BRD57" s="76"/>
      <c r="BRE57" s="76"/>
      <c r="BRF57" s="76"/>
      <c r="BRG57" s="76"/>
      <c r="BRH57" s="76"/>
      <c r="BRI57" s="76"/>
      <c r="BRJ57" s="76"/>
      <c r="BRK57" s="76"/>
      <c r="BRL57" s="76"/>
      <c r="BRM57" s="76"/>
      <c r="BRN57" s="76"/>
      <c r="BRO57" s="76"/>
      <c r="BRP57" s="76"/>
      <c r="BRQ57" s="76"/>
      <c r="BRR57" s="76"/>
      <c r="BRS57" s="76"/>
      <c r="BRT57" s="76"/>
      <c r="BRU57" s="76"/>
      <c r="BRV57" s="76"/>
      <c r="BRW57" s="76"/>
      <c r="BRX57" s="76"/>
      <c r="BRY57" s="76"/>
      <c r="BRZ57" s="76"/>
      <c r="BSA57" s="76"/>
      <c r="BSB57" s="76"/>
      <c r="BSC57" s="76"/>
      <c r="BSD57" s="76"/>
      <c r="BSE57" s="76"/>
      <c r="BSF57" s="76"/>
      <c r="BSG57" s="76"/>
      <c r="BSH57" s="76"/>
      <c r="BSI57" s="76"/>
      <c r="BSJ57" s="76"/>
      <c r="BSK57" s="76"/>
      <c r="BSL57" s="76"/>
      <c r="BSM57" s="76"/>
      <c r="BSN57" s="76"/>
      <c r="BSO57" s="76"/>
      <c r="BSP57" s="76"/>
      <c r="BSQ57" s="76"/>
      <c r="BSR57" s="76"/>
      <c r="BSS57" s="76"/>
      <c r="BST57" s="76"/>
      <c r="BSU57" s="76"/>
      <c r="BSV57" s="76"/>
      <c r="BSW57" s="76"/>
      <c r="BSX57" s="76"/>
      <c r="BSY57" s="76"/>
      <c r="BSZ57" s="76"/>
      <c r="BTA57" s="76"/>
      <c r="BTB57" s="76"/>
      <c r="BTC57" s="76"/>
      <c r="BTD57" s="76"/>
      <c r="BTE57" s="76"/>
      <c r="BTF57" s="76"/>
      <c r="BTG57" s="76"/>
      <c r="BTH57" s="76"/>
      <c r="BTI57" s="76"/>
      <c r="BTJ57" s="76"/>
      <c r="BTK57" s="76"/>
      <c r="BTL57" s="76"/>
      <c r="BTM57" s="76"/>
      <c r="BTN57" s="76"/>
      <c r="BTO57" s="76"/>
      <c r="BTP57" s="76"/>
      <c r="BTQ57" s="76"/>
      <c r="BTR57" s="76"/>
      <c r="BTS57" s="76"/>
      <c r="BTT57" s="76"/>
      <c r="BTU57" s="76"/>
      <c r="BTV57" s="76"/>
      <c r="BTW57" s="76"/>
      <c r="BTX57" s="76"/>
      <c r="BTY57" s="76"/>
      <c r="BTZ57" s="76"/>
      <c r="BUA57" s="76"/>
      <c r="BUB57" s="76"/>
      <c r="BUC57" s="76"/>
      <c r="BUD57" s="76"/>
      <c r="BUE57" s="76"/>
      <c r="BUF57" s="76"/>
      <c r="BUG57" s="76"/>
      <c r="BUH57" s="76"/>
      <c r="BUI57" s="76"/>
      <c r="BUJ57" s="76"/>
      <c r="BUK57" s="76"/>
      <c r="BUL57" s="76"/>
      <c r="BUM57" s="76"/>
      <c r="BUN57" s="76"/>
      <c r="BUO57" s="76"/>
      <c r="BUP57" s="76"/>
      <c r="BUQ57" s="76"/>
      <c r="BUR57" s="76"/>
      <c r="BUS57" s="76"/>
      <c r="BUT57" s="76"/>
      <c r="BUU57" s="76"/>
      <c r="BUV57" s="76"/>
      <c r="BUW57" s="76"/>
      <c r="BUX57" s="76"/>
      <c r="BUY57" s="76"/>
      <c r="BUZ57" s="76"/>
      <c r="BVA57" s="76"/>
      <c r="BVB57" s="76"/>
      <c r="BVC57" s="76"/>
      <c r="BVD57" s="76"/>
      <c r="BVE57" s="76"/>
      <c r="BVF57" s="76"/>
      <c r="BVG57" s="76"/>
      <c r="BVH57" s="76"/>
      <c r="BVI57" s="76"/>
      <c r="BVJ57" s="76"/>
      <c r="BVK57" s="76"/>
      <c r="BVL57" s="76"/>
      <c r="BVM57" s="76"/>
      <c r="BVN57" s="76"/>
      <c r="BVO57" s="76"/>
      <c r="BVP57" s="76"/>
      <c r="BVQ57" s="76"/>
      <c r="BVR57" s="76"/>
      <c r="BVS57" s="76"/>
      <c r="BVT57" s="76"/>
      <c r="BVU57" s="76"/>
      <c r="BVV57" s="76"/>
      <c r="BVW57" s="76"/>
      <c r="BVX57" s="76"/>
      <c r="BVY57" s="76"/>
      <c r="BVZ57" s="76"/>
      <c r="BWA57" s="76"/>
      <c r="BWB57" s="76"/>
      <c r="BWC57" s="76"/>
      <c r="BWD57" s="76"/>
      <c r="BWE57" s="76"/>
      <c r="BWF57" s="76"/>
      <c r="BWG57" s="76"/>
      <c r="BWH57" s="76"/>
      <c r="BWI57" s="76"/>
      <c r="BWJ57" s="76"/>
      <c r="BWK57" s="76"/>
      <c r="BWL57" s="76"/>
      <c r="BWM57" s="76"/>
      <c r="BWN57" s="76"/>
      <c r="BWO57" s="76"/>
      <c r="BWP57" s="76"/>
      <c r="BWQ57" s="76"/>
      <c r="BWR57" s="76"/>
      <c r="BWS57" s="76"/>
      <c r="BWT57" s="76"/>
      <c r="BWU57" s="76"/>
      <c r="BWV57" s="76"/>
      <c r="BWW57" s="76"/>
      <c r="BWX57" s="76"/>
      <c r="BWY57" s="76"/>
      <c r="BWZ57" s="76"/>
      <c r="BXA57" s="76"/>
      <c r="BXB57" s="76"/>
      <c r="BXC57" s="76"/>
      <c r="BXD57" s="76"/>
      <c r="BXE57" s="76"/>
      <c r="BXF57" s="76"/>
      <c r="BXG57" s="76"/>
      <c r="BXH57" s="76"/>
      <c r="BXI57" s="76"/>
      <c r="BXJ57" s="76"/>
      <c r="BXK57" s="76"/>
      <c r="BXL57" s="76"/>
      <c r="BXM57" s="76"/>
      <c r="BXN57" s="76"/>
      <c r="BXO57" s="76"/>
      <c r="BXP57" s="76"/>
      <c r="BXQ57" s="76"/>
      <c r="BXR57" s="76"/>
      <c r="BXS57" s="76"/>
      <c r="BXT57" s="76"/>
      <c r="BXU57" s="76"/>
      <c r="BXV57" s="76"/>
      <c r="BXW57" s="76"/>
      <c r="BXX57" s="76"/>
      <c r="BXY57" s="76"/>
      <c r="BXZ57" s="76"/>
      <c r="BYA57" s="76"/>
      <c r="BYB57" s="76"/>
      <c r="BYC57" s="76"/>
      <c r="BYD57" s="76"/>
      <c r="BYE57" s="76"/>
      <c r="BYF57" s="76"/>
      <c r="BYG57" s="76"/>
      <c r="BYH57" s="76"/>
      <c r="BYI57" s="76"/>
      <c r="BYJ57" s="76"/>
      <c r="BYK57" s="76"/>
      <c r="BYL57" s="76"/>
      <c r="BYM57" s="76"/>
      <c r="BYN57" s="76"/>
      <c r="BYO57" s="76"/>
      <c r="BYP57" s="76"/>
      <c r="BYQ57" s="76"/>
      <c r="BYR57" s="76"/>
      <c r="BYS57" s="76"/>
      <c r="BYT57" s="76"/>
      <c r="BYU57" s="76"/>
      <c r="BYV57" s="76"/>
      <c r="BYW57" s="76"/>
      <c r="BYX57" s="76"/>
      <c r="BYY57" s="76"/>
      <c r="BYZ57" s="76"/>
      <c r="BZA57" s="76"/>
      <c r="BZB57" s="76"/>
      <c r="BZC57" s="76"/>
      <c r="BZD57" s="76"/>
      <c r="BZE57" s="76"/>
      <c r="BZF57" s="76"/>
      <c r="BZG57" s="76"/>
      <c r="BZH57" s="76"/>
      <c r="BZI57" s="76"/>
      <c r="BZJ57" s="76"/>
      <c r="BZK57" s="76"/>
      <c r="BZL57" s="76"/>
      <c r="BZM57" s="76"/>
      <c r="BZN57" s="76"/>
      <c r="BZO57" s="76"/>
      <c r="BZP57" s="76"/>
      <c r="BZQ57" s="76"/>
      <c r="BZR57" s="76"/>
      <c r="BZS57" s="76"/>
      <c r="BZT57" s="76"/>
      <c r="BZU57" s="76"/>
      <c r="BZV57" s="76"/>
      <c r="BZW57" s="76"/>
      <c r="BZX57" s="76"/>
      <c r="BZY57" s="76"/>
      <c r="BZZ57" s="76"/>
      <c r="CAA57" s="76"/>
      <c r="CAB57" s="76"/>
      <c r="CAC57" s="76"/>
      <c r="CAD57" s="76"/>
      <c r="CAE57" s="76"/>
      <c r="CAF57" s="76"/>
      <c r="CAG57" s="76"/>
      <c r="CAH57" s="76"/>
      <c r="CAI57" s="76"/>
      <c r="CAJ57" s="76"/>
      <c r="CAK57" s="76"/>
      <c r="CAL57" s="76"/>
      <c r="CAM57" s="76"/>
      <c r="CAN57" s="76"/>
      <c r="CAO57" s="76"/>
      <c r="CAP57" s="76"/>
      <c r="CAQ57" s="76"/>
      <c r="CAR57" s="76"/>
      <c r="CAS57" s="76"/>
      <c r="CAT57" s="76"/>
      <c r="CAU57" s="76"/>
      <c r="CAV57" s="76"/>
      <c r="CAW57" s="76"/>
      <c r="CAX57" s="76"/>
      <c r="CAY57" s="76"/>
      <c r="CAZ57" s="76"/>
      <c r="CBA57" s="76"/>
      <c r="CBB57" s="76"/>
      <c r="CBC57" s="76"/>
      <c r="CBD57" s="76"/>
      <c r="CBE57" s="76"/>
      <c r="CBF57" s="76"/>
      <c r="CBG57" s="76"/>
      <c r="CBH57" s="76"/>
      <c r="CBI57" s="76"/>
      <c r="CBJ57" s="76"/>
      <c r="CBK57" s="76"/>
      <c r="CBL57" s="76"/>
      <c r="CBM57" s="76"/>
      <c r="CBN57" s="76"/>
      <c r="CBO57" s="76"/>
      <c r="CBP57" s="76"/>
      <c r="CBQ57" s="76"/>
      <c r="CBR57" s="76"/>
      <c r="CBS57" s="76"/>
      <c r="CBT57" s="76"/>
      <c r="CBU57" s="76"/>
      <c r="CBV57" s="76"/>
      <c r="CBW57" s="76"/>
      <c r="CBX57" s="76"/>
      <c r="CBY57" s="76"/>
      <c r="CBZ57" s="76"/>
      <c r="CCA57" s="76"/>
      <c r="CCB57" s="76"/>
      <c r="CCC57" s="76"/>
      <c r="CCD57" s="76"/>
      <c r="CCE57" s="76"/>
      <c r="CCF57" s="76"/>
      <c r="CCG57" s="76"/>
      <c r="CCH57" s="76"/>
      <c r="CCI57" s="76"/>
      <c r="CCJ57" s="76"/>
      <c r="CCK57" s="76"/>
      <c r="CCL57" s="76"/>
      <c r="CCM57" s="76"/>
      <c r="CCN57" s="76"/>
      <c r="CCO57" s="76"/>
      <c r="CCP57" s="76"/>
      <c r="CCQ57" s="76"/>
      <c r="CCR57" s="76"/>
      <c r="CCS57" s="76"/>
      <c r="CCT57" s="76"/>
      <c r="CCU57" s="76"/>
      <c r="CCV57" s="76"/>
      <c r="CCW57" s="76"/>
      <c r="CCX57" s="76"/>
      <c r="CCY57" s="76"/>
      <c r="CCZ57" s="76"/>
      <c r="CDA57" s="76"/>
      <c r="CDB57" s="76"/>
      <c r="CDC57" s="76"/>
      <c r="CDD57" s="76"/>
      <c r="CDE57" s="76"/>
      <c r="CDF57" s="76"/>
      <c r="CDG57" s="76"/>
      <c r="CDH57" s="76"/>
      <c r="CDI57" s="76"/>
      <c r="CDJ57" s="76"/>
      <c r="CDK57" s="76"/>
      <c r="CDL57" s="76"/>
      <c r="CDM57" s="76"/>
      <c r="CDN57" s="76"/>
      <c r="CDO57" s="76"/>
      <c r="CDP57" s="76"/>
      <c r="CDQ57" s="76"/>
      <c r="CDR57" s="76"/>
      <c r="CDS57" s="76"/>
      <c r="CDT57" s="76"/>
      <c r="CDU57" s="76"/>
      <c r="CDV57" s="76"/>
      <c r="CDW57" s="76"/>
      <c r="CDX57" s="76"/>
      <c r="CDY57" s="76"/>
      <c r="CDZ57" s="76"/>
      <c r="CEA57" s="76"/>
      <c r="CEB57" s="76"/>
      <c r="CEC57" s="76"/>
      <c r="CED57" s="76"/>
      <c r="CEE57" s="76"/>
      <c r="CEF57" s="76"/>
      <c r="CEG57" s="76"/>
      <c r="CEH57" s="76"/>
      <c r="CEI57" s="76"/>
      <c r="CEJ57" s="76"/>
      <c r="CEK57" s="76"/>
      <c r="CEL57" s="76"/>
      <c r="CEM57" s="76"/>
      <c r="CEN57" s="76"/>
      <c r="CEO57" s="76"/>
      <c r="CEP57" s="76"/>
      <c r="CEQ57" s="76"/>
      <c r="CER57" s="76"/>
      <c r="CES57" s="76"/>
      <c r="CET57" s="76"/>
      <c r="CEU57" s="76"/>
      <c r="CEV57" s="76"/>
      <c r="CEW57" s="76"/>
      <c r="CEX57" s="76"/>
      <c r="CEY57" s="76"/>
      <c r="CEZ57" s="76"/>
      <c r="CFA57" s="76"/>
      <c r="CFB57" s="76"/>
      <c r="CFC57" s="76"/>
      <c r="CFD57" s="76"/>
      <c r="CFE57" s="76"/>
      <c r="CFF57" s="76"/>
      <c r="CFG57" s="76"/>
      <c r="CFH57" s="76"/>
      <c r="CFI57" s="76"/>
      <c r="CFJ57" s="76"/>
      <c r="CFK57" s="76"/>
      <c r="CFL57" s="76"/>
      <c r="CFM57" s="76"/>
      <c r="CFN57" s="76"/>
      <c r="CFO57" s="76"/>
      <c r="CFP57" s="76"/>
      <c r="CFQ57" s="76"/>
      <c r="CFR57" s="76"/>
      <c r="CFS57" s="76"/>
      <c r="CFT57" s="76"/>
      <c r="CFU57" s="76"/>
      <c r="CFV57" s="76"/>
      <c r="CFW57" s="76"/>
      <c r="CFX57" s="76"/>
      <c r="CFY57" s="76"/>
      <c r="CFZ57" s="76"/>
      <c r="CGA57" s="76"/>
      <c r="CGB57" s="76"/>
      <c r="CGC57" s="76"/>
      <c r="CGD57" s="76"/>
      <c r="CGE57" s="76"/>
      <c r="CGF57" s="76"/>
      <c r="CGG57" s="76"/>
      <c r="CGH57" s="76"/>
      <c r="CGI57" s="76"/>
      <c r="CGJ57" s="76"/>
      <c r="CGK57" s="76"/>
      <c r="CGL57" s="76"/>
      <c r="CGM57" s="76"/>
      <c r="CGN57" s="76"/>
      <c r="CGO57" s="76"/>
      <c r="CGP57" s="76"/>
      <c r="CGQ57" s="76"/>
      <c r="CGR57" s="76"/>
      <c r="CGS57" s="76"/>
      <c r="CGT57" s="76"/>
      <c r="CGU57" s="76"/>
      <c r="CGV57" s="76"/>
      <c r="CGW57" s="76"/>
      <c r="CGX57" s="76"/>
      <c r="CGY57" s="76"/>
      <c r="CGZ57" s="76"/>
      <c r="CHA57" s="76"/>
      <c r="CHB57" s="76"/>
      <c r="CHC57" s="76"/>
      <c r="CHD57" s="76"/>
      <c r="CHE57" s="76"/>
      <c r="CHF57" s="76"/>
      <c r="CHG57" s="76"/>
      <c r="CHH57" s="76"/>
      <c r="CHI57" s="76"/>
      <c r="CHJ57" s="76"/>
      <c r="CHK57" s="76"/>
      <c r="CHL57" s="76"/>
      <c r="CHM57" s="76"/>
      <c r="CHN57" s="76"/>
      <c r="CHO57" s="76"/>
      <c r="CHP57" s="76"/>
      <c r="CHQ57" s="76"/>
      <c r="CHR57" s="76"/>
      <c r="CHS57" s="76"/>
      <c r="CHT57" s="76"/>
      <c r="CHU57" s="76"/>
      <c r="CHV57" s="76"/>
      <c r="CHW57" s="76"/>
      <c r="CHX57" s="76"/>
      <c r="CHY57" s="76"/>
      <c r="CHZ57" s="76"/>
      <c r="CIA57" s="76"/>
      <c r="CIB57" s="76"/>
      <c r="CIC57" s="76"/>
      <c r="CID57" s="76"/>
      <c r="CIE57" s="76"/>
      <c r="CIF57" s="76"/>
      <c r="CIG57" s="76"/>
      <c r="CIH57" s="76"/>
      <c r="CII57" s="76"/>
      <c r="CIJ57" s="76"/>
      <c r="CIK57" s="76"/>
      <c r="CIL57" s="76"/>
      <c r="CIM57" s="76"/>
      <c r="CIN57" s="76"/>
      <c r="CIO57" s="76"/>
      <c r="CIP57" s="76"/>
      <c r="CIQ57" s="76"/>
      <c r="CIR57" s="76"/>
      <c r="CIS57" s="76"/>
      <c r="CIT57" s="76"/>
      <c r="CIU57" s="76"/>
      <c r="CIV57" s="76"/>
      <c r="CIW57" s="76"/>
      <c r="CIX57" s="76"/>
      <c r="CIY57" s="76"/>
      <c r="CIZ57" s="76"/>
      <c r="CJA57" s="76"/>
      <c r="CJB57" s="76"/>
      <c r="CJC57" s="76"/>
      <c r="CJD57" s="76"/>
      <c r="CJE57" s="76"/>
      <c r="CJF57" s="76"/>
      <c r="CJG57" s="76"/>
      <c r="CJH57" s="76"/>
      <c r="CJI57" s="76"/>
      <c r="CJJ57" s="76"/>
      <c r="CJK57" s="76"/>
      <c r="CJL57" s="76"/>
      <c r="CJM57" s="76"/>
      <c r="CJN57" s="76"/>
      <c r="CJO57" s="76"/>
      <c r="CJP57" s="76"/>
      <c r="CJQ57" s="76"/>
      <c r="CJR57" s="76"/>
      <c r="CJS57" s="76"/>
      <c r="CJT57" s="76"/>
      <c r="CJU57" s="76"/>
      <c r="CJV57" s="76"/>
      <c r="CJW57" s="76"/>
      <c r="CJX57" s="76"/>
      <c r="CJY57" s="76"/>
      <c r="CJZ57" s="76"/>
      <c r="CKA57" s="76"/>
      <c r="CKB57" s="76"/>
      <c r="CKC57" s="76"/>
      <c r="CKD57" s="76"/>
      <c r="CKE57" s="76"/>
      <c r="CKF57" s="76"/>
      <c r="CKG57" s="76"/>
      <c r="CKH57" s="76"/>
      <c r="CKI57" s="76"/>
      <c r="CKJ57" s="76"/>
      <c r="CKK57" s="76"/>
      <c r="CKL57" s="76"/>
      <c r="CKM57" s="76"/>
      <c r="CKN57" s="76"/>
      <c r="CKO57" s="76"/>
      <c r="CKP57" s="76"/>
      <c r="CKQ57" s="76"/>
      <c r="CKR57" s="76"/>
      <c r="CKS57" s="76"/>
      <c r="CKT57" s="76"/>
      <c r="CKU57" s="76"/>
      <c r="CKV57" s="76"/>
      <c r="CKW57" s="76"/>
      <c r="CKX57" s="76"/>
      <c r="CKY57" s="76"/>
      <c r="CKZ57" s="76"/>
      <c r="CLA57" s="76"/>
      <c r="CLB57" s="76"/>
      <c r="CLC57" s="76"/>
      <c r="CLD57" s="76"/>
      <c r="CLE57" s="76"/>
      <c r="CLF57" s="76"/>
      <c r="CLG57" s="76"/>
      <c r="CLH57" s="76"/>
      <c r="CLI57" s="76"/>
      <c r="CLJ57" s="76"/>
      <c r="CLK57" s="76"/>
      <c r="CLL57" s="76"/>
      <c r="CLM57" s="76"/>
      <c r="CLN57" s="76"/>
      <c r="CLO57" s="76"/>
      <c r="CLP57" s="76"/>
      <c r="CLQ57" s="76"/>
      <c r="CLR57" s="76"/>
      <c r="CLS57" s="76"/>
      <c r="CLT57" s="76"/>
      <c r="CLU57" s="76"/>
      <c r="CLV57" s="76"/>
      <c r="CLW57" s="76"/>
      <c r="CLX57" s="76"/>
      <c r="CLY57" s="76"/>
      <c r="CLZ57" s="76"/>
      <c r="CMA57" s="76"/>
      <c r="CMB57" s="76"/>
      <c r="CMC57" s="76"/>
      <c r="CMD57" s="76"/>
      <c r="CME57" s="76"/>
      <c r="CMF57" s="76"/>
      <c r="CMG57" s="76"/>
      <c r="CMH57" s="76"/>
      <c r="CMI57" s="76"/>
      <c r="CMJ57" s="76"/>
      <c r="CMK57" s="76"/>
      <c r="CML57" s="76"/>
      <c r="CMM57" s="76"/>
      <c r="CMN57" s="76"/>
      <c r="CMO57" s="76"/>
      <c r="CMP57" s="76"/>
      <c r="CMQ57" s="76"/>
      <c r="CMR57" s="76"/>
      <c r="CMS57" s="76"/>
      <c r="CMT57" s="76"/>
      <c r="CMU57" s="76"/>
      <c r="CMV57" s="76"/>
      <c r="CMW57" s="76"/>
      <c r="CMX57" s="76"/>
      <c r="CMY57" s="76"/>
      <c r="CMZ57" s="76"/>
      <c r="CNA57" s="76"/>
      <c r="CNB57" s="76"/>
      <c r="CNC57" s="76"/>
      <c r="CND57" s="76"/>
      <c r="CNE57" s="76"/>
      <c r="CNF57" s="76"/>
      <c r="CNG57" s="76"/>
      <c r="CNH57" s="76"/>
      <c r="CNI57" s="76"/>
      <c r="CNJ57" s="76"/>
      <c r="CNK57" s="76"/>
      <c r="CNL57" s="76"/>
      <c r="CNM57" s="76"/>
      <c r="CNN57" s="76"/>
      <c r="CNO57" s="76"/>
      <c r="CNP57" s="76"/>
      <c r="CNQ57" s="76"/>
      <c r="CNR57" s="76"/>
      <c r="CNS57" s="76"/>
      <c r="CNT57" s="76"/>
      <c r="CNU57" s="76"/>
      <c r="CNV57" s="76"/>
      <c r="CNW57" s="76"/>
      <c r="CNX57" s="76"/>
      <c r="CNY57" s="76"/>
      <c r="CNZ57" s="76"/>
      <c r="COA57" s="76"/>
      <c r="COB57" s="76"/>
      <c r="COC57" s="76"/>
      <c r="COD57" s="76"/>
      <c r="COE57" s="76"/>
      <c r="COF57" s="76"/>
      <c r="COG57" s="76"/>
      <c r="COH57" s="76"/>
      <c r="COI57" s="76"/>
      <c r="COJ57" s="76"/>
      <c r="COK57" s="76"/>
      <c r="COL57" s="76"/>
      <c r="COM57" s="76"/>
      <c r="CON57" s="76"/>
      <c r="COO57" s="76"/>
      <c r="COP57" s="76"/>
      <c r="COQ57" s="76"/>
      <c r="COR57" s="76"/>
      <c r="COS57" s="76"/>
      <c r="COT57" s="76"/>
      <c r="COU57" s="76"/>
      <c r="COV57" s="76"/>
      <c r="COW57" s="76"/>
      <c r="COX57" s="76"/>
      <c r="COY57" s="76"/>
      <c r="COZ57" s="76"/>
      <c r="CPA57" s="76"/>
      <c r="CPB57" s="76"/>
      <c r="CPC57" s="76"/>
      <c r="CPD57" s="76"/>
      <c r="CPE57" s="76"/>
      <c r="CPF57" s="76"/>
      <c r="CPG57" s="76"/>
      <c r="CPH57" s="76"/>
      <c r="CPI57" s="76"/>
      <c r="CPJ57" s="76"/>
      <c r="CPK57" s="76"/>
      <c r="CPL57" s="76"/>
      <c r="CPM57" s="76"/>
      <c r="CPN57" s="76"/>
      <c r="CPO57" s="76"/>
      <c r="CPP57" s="76"/>
      <c r="CPQ57" s="76"/>
      <c r="CPR57" s="76"/>
      <c r="CPS57" s="76"/>
      <c r="CPT57" s="76"/>
      <c r="CPU57" s="76"/>
      <c r="CPV57" s="76"/>
      <c r="CPW57" s="76"/>
      <c r="CPX57" s="76"/>
      <c r="CPY57" s="76"/>
      <c r="CPZ57" s="76"/>
      <c r="CQA57" s="76"/>
      <c r="CQB57" s="76"/>
      <c r="CQC57" s="76"/>
      <c r="CQD57" s="76"/>
      <c r="CQE57" s="76"/>
      <c r="CQF57" s="76"/>
      <c r="CQG57" s="76"/>
      <c r="CQH57" s="76"/>
      <c r="CQI57" s="76"/>
      <c r="CQJ57" s="76"/>
      <c r="CQK57" s="76"/>
      <c r="CQL57" s="76"/>
      <c r="CQM57" s="76"/>
      <c r="CQN57" s="76"/>
      <c r="CQO57" s="76"/>
      <c r="CQP57" s="76"/>
      <c r="CQQ57" s="76"/>
      <c r="CQR57" s="76"/>
      <c r="CQS57" s="76"/>
      <c r="CQT57" s="76"/>
      <c r="CQU57" s="76"/>
      <c r="CQV57" s="76"/>
      <c r="CQW57" s="76"/>
      <c r="CQX57" s="76"/>
      <c r="CQY57" s="76"/>
      <c r="CQZ57" s="76"/>
      <c r="CRA57" s="76"/>
      <c r="CRB57" s="76"/>
      <c r="CRC57" s="76"/>
      <c r="CRD57" s="76"/>
      <c r="CRE57" s="76"/>
      <c r="CRF57" s="76"/>
      <c r="CRG57" s="76"/>
      <c r="CRH57" s="76"/>
      <c r="CRI57" s="76"/>
      <c r="CRJ57" s="76"/>
      <c r="CRK57" s="76"/>
      <c r="CRL57" s="76"/>
      <c r="CRM57" s="76"/>
      <c r="CRN57" s="76"/>
      <c r="CRO57" s="76"/>
      <c r="CRP57" s="76"/>
      <c r="CRQ57" s="76"/>
      <c r="CRR57" s="76"/>
      <c r="CRS57" s="76"/>
      <c r="CRT57" s="76"/>
      <c r="CRU57" s="76"/>
      <c r="CRV57" s="76"/>
      <c r="CRW57" s="76"/>
      <c r="CRX57" s="76"/>
      <c r="CRY57" s="76"/>
      <c r="CRZ57" s="76"/>
      <c r="CSA57" s="76"/>
      <c r="CSB57" s="76"/>
      <c r="CSC57" s="76"/>
      <c r="CSD57" s="76"/>
      <c r="CSE57" s="76"/>
      <c r="CSF57" s="76"/>
      <c r="CSG57" s="76"/>
      <c r="CSH57" s="76"/>
      <c r="CSI57" s="76"/>
      <c r="CSJ57" s="76"/>
      <c r="CSK57" s="76"/>
      <c r="CSL57" s="76"/>
      <c r="CSM57" s="76"/>
      <c r="CSN57" s="76"/>
      <c r="CSO57" s="76"/>
      <c r="CSP57" s="76"/>
      <c r="CSQ57" s="76"/>
      <c r="CSR57" s="76"/>
      <c r="CSS57" s="76"/>
      <c r="CST57" s="76"/>
      <c r="CSU57" s="76"/>
      <c r="CSV57" s="76"/>
      <c r="CSW57" s="76"/>
      <c r="CSX57" s="76"/>
      <c r="CSY57" s="76"/>
      <c r="CSZ57" s="76"/>
      <c r="CTA57" s="76"/>
      <c r="CTB57" s="76"/>
      <c r="CTC57" s="76"/>
      <c r="CTD57" s="76"/>
      <c r="CTE57" s="76"/>
      <c r="CTF57" s="76"/>
      <c r="CTG57" s="76"/>
      <c r="CTH57" s="76"/>
      <c r="CTI57" s="76"/>
      <c r="CTJ57" s="76"/>
      <c r="CTK57" s="76"/>
      <c r="CTL57" s="76"/>
      <c r="CTM57" s="76"/>
      <c r="CTN57" s="76"/>
      <c r="CTO57" s="76"/>
      <c r="CTP57" s="76"/>
      <c r="CTQ57" s="76"/>
      <c r="CTR57" s="76"/>
      <c r="CTS57" s="76"/>
      <c r="CTT57" s="76"/>
      <c r="CTU57" s="76"/>
      <c r="CTV57" s="76"/>
      <c r="CTW57" s="76"/>
      <c r="CTX57" s="76"/>
      <c r="CTY57" s="76"/>
      <c r="CTZ57" s="76"/>
      <c r="CUA57" s="76"/>
      <c r="CUB57" s="76"/>
      <c r="CUC57" s="76"/>
      <c r="CUD57" s="76"/>
      <c r="CUE57" s="76"/>
      <c r="CUF57" s="76"/>
      <c r="CUG57" s="76"/>
      <c r="CUH57" s="76"/>
      <c r="CUI57" s="76"/>
      <c r="CUJ57" s="76"/>
      <c r="CUK57" s="76"/>
      <c r="CUL57" s="76"/>
      <c r="CUM57" s="76"/>
      <c r="CUN57" s="76"/>
      <c r="CUO57" s="76"/>
      <c r="CUP57" s="76"/>
      <c r="CUQ57" s="76"/>
      <c r="CUR57" s="76"/>
      <c r="CUS57" s="76"/>
      <c r="CUT57" s="76"/>
      <c r="CUU57" s="76"/>
      <c r="CUV57" s="76"/>
      <c r="CUW57" s="76"/>
      <c r="CUX57" s="76"/>
      <c r="CUY57" s="76"/>
      <c r="CUZ57" s="76"/>
      <c r="CVA57" s="76"/>
      <c r="CVB57" s="76"/>
      <c r="CVC57" s="76"/>
      <c r="CVD57" s="76"/>
      <c r="CVE57" s="76"/>
      <c r="CVF57" s="76"/>
      <c r="CVG57" s="76"/>
      <c r="CVH57" s="76"/>
      <c r="CVI57" s="76"/>
      <c r="CVJ57" s="76"/>
      <c r="CVK57" s="76"/>
      <c r="CVL57" s="76"/>
      <c r="CVM57" s="76"/>
      <c r="CVN57" s="76"/>
      <c r="CVO57" s="76"/>
      <c r="CVP57" s="76"/>
      <c r="CVQ57" s="76"/>
      <c r="CVR57" s="76"/>
      <c r="CVS57" s="76"/>
      <c r="CVT57" s="76"/>
      <c r="CVU57" s="76"/>
      <c r="CVV57" s="76"/>
      <c r="CVW57" s="76"/>
      <c r="CVX57" s="76"/>
      <c r="CVY57" s="76"/>
      <c r="CVZ57" s="76"/>
      <c r="CWA57" s="76"/>
      <c r="CWB57" s="76"/>
      <c r="CWC57" s="76"/>
      <c r="CWD57" s="76"/>
      <c r="CWE57" s="76"/>
      <c r="CWF57" s="76"/>
      <c r="CWG57" s="76"/>
      <c r="CWH57" s="76"/>
      <c r="CWI57" s="76"/>
      <c r="CWJ57" s="76"/>
      <c r="CWK57" s="76"/>
      <c r="CWL57" s="76"/>
      <c r="CWM57" s="76"/>
      <c r="CWN57" s="76"/>
      <c r="CWO57" s="76"/>
      <c r="CWP57" s="76"/>
      <c r="CWQ57" s="76"/>
      <c r="CWR57" s="76"/>
      <c r="CWS57" s="76"/>
      <c r="CWT57" s="76"/>
      <c r="CWU57" s="76"/>
      <c r="CWV57" s="76"/>
      <c r="CWW57" s="76"/>
      <c r="CWX57" s="76"/>
      <c r="CWY57" s="76"/>
      <c r="CWZ57" s="76"/>
      <c r="CXA57" s="76"/>
      <c r="CXB57" s="76"/>
      <c r="CXC57" s="76"/>
      <c r="CXD57" s="76"/>
      <c r="CXE57" s="76"/>
      <c r="CXF57" s="76"/>
      <c r="CXG57" s="76"/>
      <c r="CXH57" s="76"/>
      <c r="CXI57" s="76"/>
      <c r="CXJ57" s="76"/>
      <c r="CXK57" s="76"/>
      <c r="CXL57" s="76"/>
      <c r="CXM57" s="76"/>
      <c r="CXN57" s="76"/>
      <c r="CXO57" s="76"/>
      <c r="CXP57" s="76"/>
      <c r="CXQ57" s="76"/>
      <c r="CXR57" s="76"/>
      <c r="CXS57" s="76"/>
      <c r="CXT57" s="76"/>
      <c r="CXU57" s="76"/>
      <c r="CXV57" s="76"/>
      <c r="CXW57" s="76"/>
      <c r="CXX57" s="76"/>
      <c r="CXY57" s="76"/>
      <c r="CXZ57" s="76"/>
      <c r="CYA57" s="76"/>
      <c r="CYB57" s="76"/>
      <c r="CYC57" s="76"/>
      <c r="CYD57" s="76"/>
      <c r="CYE57" s="76"/>
      <c r="CYF57" s="76"/>
      <c r="CYG57" s="76"/>
      <c r="CYH57" s="76"/>
      <c r="CYI57" s="76"/>
      <c r="CYJ57" s="76"/>
      <c r="CYK57" s="76"/>
      <c r="CYL57" s="76"/>
      <c r="CYM57" s="76"/>
      <c r="CYN57" s="76"/>
      <c r="CYO57" s="76"/>
      <c r="CYP57" s="76"/>
      <c r="CYQ57" s="76"/>
      <c r="CYR57" s="76"/>
      <c r="CYS57" s="76"/>
      <c r="CYT57" s="76"/>
      <c r="CYU57" s="76"/>
      <c r="CYV57" s="76"/>
      <c r="CYW57" s="76"/>
      <c r="CYX57" s="76"/>
      <c r="CYY57" s="76"/>
      <c r="CYZ57" s="76"/>
      <c r="CZA57" s="76"/>
      <c r="CZB57" s="76"/>
      <c r="CZC57" s="76"/>
      <c r="CZD57" s="76"/>
      <c r="CZE57" s="76"/>
      <c r="CZF57" s="76"/>
      <c r="CZG57" s="76"/>
      <c r="CZH57" s="76"/>
      <c r="CZI57" s="76"/>
      <c r="CZJ57" s="76"/>
      <c r="CZK57" s="76"/>
      <c r="CZL57" s="76"/>
      <c r="CZM57" s="76"/>
      <c r="CZN57" s="76"/>
      <c r="CZO57" s="76"/>
      <c r="CZP57" s="76"/>
      <c r="CZQ57" s="76"/>
      <c r="CZR57" s="76"/>
      <c r="CZS57" s="76"/>
      <c r="CZT57" s="76"/>
      <c r="CZU57" s="76"/>
      <c r="CZV57" s="76"/>
      <c r="CZW57" s="76"/>
      <c r="CZX57" s="76"/>
      <c r="CZY57" s="76"/>
      <c r="CZZ57" s="76"/>
      <c r="DAA57" s="76"/>
      <c r="DAB57" s="76"/>
      <c r="DAC57" s="76"/>
      <c r="DAD57" s="76"/>
      <c r="DAE57" s="76"/>
      <c r="DAF57" s="76"/>
      <c r="DAG57" s="76"/>
      <c r="DAH57" s="76"/>
      <c r="DAI57" s="76"/>
      <c r="DAJ57" s="76"/>
      <c r="DAK57" s="76"/>
      <c r="DAL57" s="76"/>
      <c r="DAM57" s="76"/>
      <c r="DAN57" s="76"/>
      <c r="DAO57" s="76"/>
      <c r="DAP57" s="76"/>
      <c r="DAQ57" s="76"/>
      <c r="DAR57" s="76"/>
      <c r="DAS57" s="76"/>
      <c r="DAT57" s="76"/>
      <c r="DAU57" s="76"/>
      <c r="DAV57" s="76"/>
      <c r="DAW57" s="76"/>
      <c r="DAX57" s="76"/>
      <c r="DAY57" s="76"/>
      <c r="DAZ57" s="76"/>
      <c r="DBA57" s="76"/>
      <c r="DBB57" s="76"/>
      <c r="DBC57" s="76"/>
      <c r="DBD57" s="76"/>
      <c r="DBE57" s="76"/>
      <c r="DBF57" s="76"/>
      <c r="DBG57" s="76"/>
      <c r="DBH57" s="76"/>
      <c r="DBI57" s="76"/>
      <c r="DBJ57" s="76"/>
      <c r="DBK57" s="76"/>
      <c r="DBL57" s="76"/>
      <c r="DBM57" s="76"/>
      <c r="DBN57" s="76"/>
      <c r="DBO57" s="76"/>
      <c r="DBP57" s="76"/>
      <c r="DBQ57" s="76"/>
      <c r="DBR57" s="76"/>
      <c r="DBS57" s="76"/>
      <c r="DBT57" s="76"/>
      <c r="DBU57" s="76"/>
      <c r="DBV57" s="76"/>
      <c r="DBW57" s="76"/>
      <c r="DBX57" s="76"/>
      <c r="DBY57" s="76"/>
      <c r="DBZ57" s="76"/>
      <c r="DCA57" s="76"/>
      <c r="DCB57" s="76"/>
      <c r="DCC57" s="76"/>
      <c r="DCD57" s="76"/>
      <c r="DCE57" s="76"/>
      <c r="DCF57" s="76"/>
      <c r="DCG57" s="76"/>
      <c r="DCH57" s="76"/>
      <c r="DCI57" s="76"/>
      <c r="DCJ57" s="76"/>
      <c r="DCK57" s="76"/>
      <c r="DCL57" s="76"/>
      <c r="DCM57" s="76"/>
      <c r="DCN57" s="76"/>
      <c r="DCO57" s="76"/>
      <c r="DCP57" s="76"/>
      <c r="DCQ57" s="76"/>
      <c r="DCR57" s="76"/>
      <c r="DCS57" s="76"/>
      <c r="DCT57" s="76"/>
      <c r="DCU57" s="76"/>
      <c r="DCV57" s="76"/>
      <c r="DCW57" s="76"/>
      <c r="DCX57" s="76"/>
      <c r="DCY57" s="76"/>
      <c r="DCZ57" s="76"/>
      <c r="DDA57" s="76"/>
      <c r="DDB57" s="76"/>
      <c r="DDC57" s="76"/>
      <c r="DDD57" s="76"/>
      <c r="DDE57" s="76"/>
      <c r="DDF57" s="76"/>
      <c r="DDG57" s="76"/>
      <c r="DDH57" s="76"/>
      <c r="DDI57" s="76"/>
      <c r="DDJ57" s="76"/>
      <c r="DDK57" s="76"/>
      <c r="DDL57" s="76"/>
      <c r="DDM57" s="76"/>
      <c r="DDN57" s="76"/>
      <c r="DDO57" s="76"/>
      <c r="DDP57" s="76"/>
      <c r="DDQ57" s="76"/>
      <c r="DDR57" s="76"/>
      <c r="DDS57" s="76"/>
      <c r="DDT57" s="76"/>
      <c r="DDU57" s="76"/>
      <c r="DDV57" s="76"/>
      <c r="DDW57" s="76"/>
      <c r="DDX57" s="76"/>
      <c r="DDY57" s="76"/>
      <c r="DDZ57" s="76"/>
      <c r="DEA57" s="76"/>
      <c r="DEB57" s="76"/>
      <c r="DEC57" s="76"/>
      <c r="DED57" s="76"/>
      <c r="DEE57" s="76"/>
      <c r="DEF57" s="76"/>
      <c r="DEG57" s="76"/>
      <c r="DEH57" s="76"/>
      <c r="DEI57" s="76"/>
      <c r="DEJ57" s="76"/>
      <c r="DEK57" s="76"/>
      <c r="DEL57" s="76"/>
      <c r="DEM57" s="76"/>
      <c r="DEN57" s="76"/>
      <c r="DEO57" s="76"/>
      <c r="DEP57" s="76"/>
      <c r="DEQ57" s="76"/>
      <c r="DER57" s="76"/>
      <c r="DES57" s="76"/>
      <c r="DET57" s="76"/>
      <c r="DEU57" s="76"/>
      <c r="DEV57" s="76"/>
      <c r="DEW57" s="76"/>
      <c r="DEX57" s="76"/>
      <c r="DEY57" s="76"/>
      <c r="DEZ57" s="76"/>
      <c r="DFA57" s="76"/>
      <c r="DFB57" s="76"/>
      <c r="DFC57" s="76"/>
      <c r="DFD57" s="76"/>
      <c r="DFE57" s="76"/>
      <c r="DFF57" s="76"/>
      <c r="DFG57" s="76"/>
      <c r="DFH57" s="76"/>
      <c r="DFI57" s="76"/>
      <c r="DFJ57" s="76"/>
      <c r="DFK57" s="76"/>
      <c r="DFL57" s="76"/>
      <c r="DFM57" s="76"/>
      <c r="DFN57" s="76"/>
      <c r="DFO57" s="76"/>
      <c r="DFP57" s="76"/>
      <c r="DFQ57" s="76"/>
      <c r="DFR57" s="76"/>
      <c r="DFS57" s="76"/>
      <c r="DFT57" s="76"/>
      <c r="DFU57" s="76"/>
      <c r="DFV57" s="76"/>
      <c r="DFW57" s="76"/>
      <c r="DFX57" s="76"/>
      <c r="DFY57" s="76"/>
      <c r="DFZ57" s="76"/>
      <c r="DGA57" s="76"/>
      <c r="DGB57" s="76"/>
      <c r="DGC57" s="76"/>
      <c r="DGD57" s="76"/>
      <c r="DGE57" s="76"/>
      <c r="DGF57" s="76"/>
      <c r="DGG57" s="76"/>
      <c r="DGH57" s="76"/>
      <c r="DGI57" s="76"/>
      <c r="DGJ57" s="76"/>
      <c r="DGK57" s="76"/>
      <c r="DGL57" s="76"/>
      <c r="DGM57" s="76"/>
      <c r="DGN57" s="76"/>
      <c r="DGO57" s="76"/>
      <c r="DGP57" s="76"/>
      <c r="DGQ57" s="76"/>
      <c r="DGR57" s="76"/>
      <c r="DGS57" s="76"/>
      <c r="DGT57" s="76"/>
      <c r="DGU57" s="76"/>
      <c r="DGV57" s="76"/>
      <c r="DGW57" s="76"/>
      <c r="DGX57" s="76"/>
      <c r="DGY57" s="76"/>
      <c r="DGZ57" s="76"/>
      <c r="DHA57" s="76"/>
      <c r="DHB57" s="76"/>
      <c r="DHC57" s="76"/>
      <c r="DHD57" s="76"/>
      <c r="DHE57" s="76"/>
      <c r="DHF57" s="76"/>
      <c r="DHG57" s="76"/>
      <c r="DHH57" s="76"/>
      <c r="DHI57" s="76"/>
      <c r="DHJ57" s="76"/>
      <c r="DHK57" s="76"/>
      <c r="DHL57" s="76"/>
      <c r="DHM57" s="76"/>
      <c r="DHN57" s="76"/>
      <c r="DHO57" s="76"/>
      <c r="DHP57" s="76"/>
      <c r="DHQ57" s="76"/>
      <c r="DHR57" s="76"/>
      <c r="DHS57" s="76"/>
      <c r="DHT57" s="76"/>
      <c r="DHU57" s="76"/>
      <c r="DHV57" s="76"/>
      <c r="DHW57" s="76"/>
      <c r="DHX57" s="76"/>
      <c r="DHY57" s="76"/>
      <c r="DHZ57" s="76"/>
      <c r="DIA57" s="76"/>
      <c r="DIB57" s="76"/>
      <c r="DIC57" s="76"/>
      <c r="DID57" s="76"/>
      <c r="DIE57" s="76"/>
      <c r="DIF57" s="76"/>
      <c r="DIG57" s="76"/>
      <c r="DIH57" s="76"/>
      <c r="DII57" s="76"/>
      <c r="DIJ57" s="76"/>
      <c r="DIK57" s="76"/>
      <c r="DIL57" s="76"/>
      <c r="DIM57" s="76"/>
      <c r="DIN57" s="76"/>
      <c r="DIO57" s="76"/>
      <c r="DIP57" s="76"/>
      <c r="DIQ57" s="76"/>
      <c r="DIR57" s="76"/>
      <c r="DIS57" s="76"/>
      <c r="DIT57" s="76"/>
      <c r="DIU57" s="76"/>
      <c r="DIV57" s="76"/>
      <c r="DIW57" s="76"/>
      <c r="DIX57" s="76"/>
      <c r="DIY57" s="76"/>
      <c r="DIZ57" s="76"/>
      <c r="DJA57" s="76"/>
      <c r="DJB57" s="76"/>
      <c r="DJC57" s="76"/>
      <c r="DJD57" s="76"/>
      <c r="DJE57" s="76"/>
      <c r="DJF57" s="76"/>
      <c r="DJG57" s="76"/>
      <c r="DJH57" s="76"/>
      <c r="DJI57" s="76"/>
      <c r="DJJ57" s="76"/>
      <c r="DJK57" s="76"/>
      <c r="DJL57" s="76"/>
      <c r="DJM57" s="76"/>
      <c r="DJN57" s="76"/>
      <c r="DJO57" s="76"/>
      <c r="DJP57" s="76"/>
      <c r="DJQ57" s="76"/>
      <c r="DJR57" s="76"/>
      <c r="DJS57" s="76"/>
      <c r="DJT57" s="76"/>
      <c r="DJU57" s="76"/>
      <c r="DJV57" s="76"/>
      <c r="DJW57" s="76"/>
      <c r="DJX57" s="76"/>
      <c r="DJY57" s="76"/>
      <c r="DJZ57" s="76"/>
      <c r="DKA57" s="76"/>
      <c r="DKB57" s="76"/>
      <c r="DKC57" s="76"/>
      <c r="DKD57" s="76"/>
      <c r="DKE57" s="76"/>
      <c r="DKF57" s="76"/>
      <c r="DKG57" s="76"/>
      <c r="DKH57" s="76"/>
      <c r="DKI57" s="76"/>
      <c r="DKJ57" s="76"/>
      <c r="DKK57" s="76"/>
      <c r="DKL57" s="76"/>
      <c r="DKM57" s="76"/>
      <c r="DKN57" s="76"/>
      <c r="DKO57" s="76"/>
      <c r="DKP57" s="76"/>
      <c r="DKQ57" s="76"/>
      <c r="DKR57" s="76"/>
      <c r="DKS57" s="76"/>
      <c r="DKT57" s="76"/>
      <c r="DKU57" s="76"/>
      <c r="DKV57" s="76"/>
      <c r="DKW57" s="76"/>
      <c r="DKX57" s="76"/>
      <c r="DKY57" s="76"/>
      <c r="DKZ57" s="76"/>
      <c r="DLA57" s="76"/>
      <c r="DLB57" s="76"/>
      <c r="DLC57" s="76"/>
      <c r="DLD57" s="76"/>
      <c r="DLE57" s="76"/>
      <c r="DLF57" s="76"/>
      <c r="DLG57" s="76"/>
      <c r="DLH57" s="76"/>
      <c r="DLI57" s="76"/>
      <c r="DLJ57" s="76"/>
      <c r="DLK57" s="76"/>
      <c r="DLL57" s="76"/>
      <c r="DLM57" s="76"/>
      <c r="DLN57" s="76"/>
      <c r="DLO57" s="76"/>
      <c r="DLP57" s="76"/>
      <c r="DLQ57" s="76"/>
      <c r="DLR57" s="76"/>
      <c r="DLS57" s="76"/>
      <c r="DLT57" s="76"/>
      <c r="DLU57" s="76"/>
      <c r="DLV57" s="76"/>
      <c r="DLW57" s="76"/>
      <c r="DLX57" s="76"/>
      <c r="DLY57" s="76"/>
      <c r="DLZ57" s="76"/>
      <c r="DMA57" s="76"/>
      <c r="DMB57" s="76"/>
      <c r="DMC57" s="76"/>
      <c r="DMD57" s="76"/>
      <c r="DME57" s="76"/>
      <c r="DMF57" s="76"/>
      <c r="DMG57" s="76"/>
      <c r="DMH57" s="76"/>
      <c r="DMI57" s="76"/>
      <c r="DMJ57" s="76"/>
      <c r="DMK57" s="76"/>
      <c r="DML57" s="76"/>
      <c r="DMM57" s="76"/>
      <c r="DMN57" s="76"/>
      <c r="DMO57" s="76"/>
      <c r="DMP57" s="76"/>
      <c r="DMQ57" s="76"/>
      <c r="DMR57" s="76"/>
      <c r="DMS57" s="76"/>
      <c r="DMT57" s="76"/>
      <c r="DMU57" s="76"/>
      <c r="DMV57" s="76"/>
      <c r="DMW57" s="76"/>
      <c r="DMX57" s="76"/>
      <c r="DMY57" s="76"/>
      <c r="DMZ57" s="76"/>
      <c r="DNA57" s="76"/>
      <c r="DNB57" s="76"/>
      <c r="DNC57" s="76"/>
      <c r="DND57" s="76"/>
      <c r="DNE57" s="76"/>
      <c r="DNF57" s="76"/>
      <c r="DNG57" s="76"/>
      <c r="DNH57" s="76"/>
      <c r="DNI57" s="76"/>
      <c r="DNJ57" s="76"/>
      <c r="DNK57" s="76"/>
      <c r="DNL57" s="76"/>
      <c r="DNM57" s="76"/>
      <c r="DNN57" s="76"/>
      <c r="DNO57" s="76"/>
      <c r="DNP57" s="76"/>
      <c r="DNQ57" s="76"/>
      <c r="DNR57" s="76"/>
      <c r="DNS57" s="76"/>
      <c r="DNT57" s="76"/>
      <c r="DNU57" s="76"/>
      <c r="DNV57" s="76"/>
      <c r="DNW57" s="76"/>
      <c r="DNX57" s="76"/>
      <c r="DNY57" s="76"/>
      <c r="DNZ57" s="76"/>
      <c r="DOA57" s="76"/>
      <c r="DOB57" s="76"/>
      <c r="DOC57" s="76"/>
      <c r="DOD57" s="76"/>
      <c r="DOE57" s="76"/>
      <c r="DOF57" s="76"/>
      <c r="DOG57" s="76"/>
      <c r="DOH57" s="76"/>
      <c r="DOI57" s="76"/>
      <c r="DOJ57" s="76"/>
      <c r="DOK57" s="76"/>
      <c r="DOL57" s="76"/>
      <c r="DOM57" s="76"/>
      <c r="DON57" s="76"/>
      <c r="DOO57" s="76"/>
      <c r="DOP57" s="76"/>
      <c r="DOQ57" s="76"/>
      <c r="DOR57" s="76"/>
      <c r="DOS57" s="76"/>
      <c r="DOT57" s="76"/>
      <c r="DOU57" s="76"/>
      <c r="DOV57" s="76"/>
      <c r="DOW57" s="76"/>
      <c r="DOX57" s="76"/>
      <c r="DOY57" s="76"/>
      <c r="DOZ57" s="76"/>
      <c r="DPA57" s="76"/>
      <c r="DPB57" s="76"/>
      <c r="DPC57" s="76"/>
      <c r="DPD57" s="76"/>
      <c r="DPE57" s="76"/>
      <c r="DPF57" s="76"/>
      <c r="DPG57" s="76"/>
      <c r="DPH57" s="76"/>
      <c r="DPI57" s="76"/>
      <c r="DPJ57" s="76"/>
      <c r="DPK57" s="76"/>
      <c r="DPL57" s="76"/>
      <c r="DPM57" s="76"/>
      <c r="DPN57" s="76"/>
      <c r="DPO57" s="76"/>
      <c r="DPP57" s="76"/>
      <c r="DPQ57" s="76"/>
      <c r="DPR57" s="76"/>
      <c r="DPS57" s="76"/>
      <c r="DPT57" s="76"/>
      <c r="DPU57" s="76"/>
      <c r="DPV57" s="76"/>
      <c r="DPW57" s="76"/>
      <c r="DPX57" s="76"/>
      <c r="DPY57" s="76"/>
      <c r="DPZ57" s="76"/>
      <c r="DQA57" s="76"/>
      <c r="DQB57" s="76"/>
      <c r="DQC57" s="76"/>
      <c r="DQD57" s="76"/>
      <c r="DQE57" s="76"/>
      <c r="DQF57" s="76"/>
      <c r="DQG57" s="76"/>
      <c r="DQH57" s="76"/>
      <c r="DQI57" s="76"/>
      <c r="DQJ57" s="76"/>
      <c r="DQK57" s="76"/>
      <c r="DQL57" s="76"/>
      <c r="DQM57" s="76"/>
      <c r="DQN57" s="76"/>
      <c r="DQO57" s="76"/>
      <c r="DQP57" s="76"/>
      <c r="DQQ57" s="76"/>
      <c r="DQR57" s="76"/>
      <c r="DQS57" s="76"/>
      <c r="DQT57" s="76"/>
      <c r="DQU57" s="76"/>
      <c r="DQV57" s="76"/>
      <c r="DQW57" s="76"/>
      <c r="DQX57" s="76"/>
      <c r="DQY57" s="76"/>
      <c r="DQZ57" s="76"/>
      <c r="DRA57" s="76"/>
      <c r="DRB57" s="76"/>
      <c r="DRC57" s="76"/>
      <c r="DRD57" s="76"/>
      <c r="DRE57" s="76"/>
      <c r="DRF57" s="76"/>
      <c r="DRG57" s="76"/>
      <c r="DRH57" s="76"/>
      <c r="DRI57" s="76"/>
      <c r="DRJ57" s="76"/>
      <c r="DRK57" s="76"/>
      <c r="DRL57" s="76"/>
      <c r="DRM57" s="76"/>
      <c r="DRN57" s="76"/>
      <c r="DRO57" s="76"/>
      <c r="DRP57" s="76"/>
      <c r="DRQ57" s="76"/>
      <c r="DRR57" s="76"/>
      <c r="DRS57" s="76"/>
      <c r="DRT57" s="76"/>
      <c r="DRU57" s="76"/>
      <c r="DRV57" s="76"/>
      <c r="DRW57" s="76"/>
      <c r="DRX57" s="76"/>
      <c r="DRY57" s="76"/>
      <c r="DRZ57" s="76"/>
      <c r="DSA57" s="76"/>
      <c r="DSB57" s="76"/>
      <c r="DSC57" s="76"/>
      <c r="DSD57" s="76"/>
      <c r="DSE57" s="76"/>
      <c r="DSF57" s="76"/>
      <c r="DSG57" s="76"/>
      <c r="DSH57" s="76"/>
      <c r="DSI57" s="76"/>
      <c r="DSJ57" s="76"/>
      <c r="DSK57" s="76"/>
      <c r="DSL57" s="76"/>
      <c r="DSM57" s="76"/>
      <c r="DSN57" s="76"/>
      <c r="DSO57" s="76"/>
      <c r="DSP57" s="76"/>
      <c r="DSQ57" s="76"/>
      <c r="DSR57" s="76"/>
      <c r="DSS57" s="76"/>
      <c r="DST57" s="76"/>
      <c r="DSU57" s="76"/>
      <c r="DSV57" s="76"/>
      <c r="DSW57" s="76"/>
      <c r="DSX57" s="76"/>
      <c r="DSY57" s="76"/>
      <c r="DSZ57" s="76"/>
      <c r="DTA57" s="76"/>
      <c r="DTB57" s="76"/>
      <c r="DTC57" s="76"/>
      <c r="DTD57" s="76"/>
      <c r="DTE57" s="76"/>
      <c r="DTF57" s="76"/>
      <c r="DTG57" s="76"/>
      <c r="DTH57" s="76"/>
      <c r="DTI57" s="76"/>
      <c r="DTJ57" s="76"/>
      <c r="DTK57" s="76"/>
      <c r="DTL57" s="76"/>
      <c r="DTM57" s="76"/>
      <c r="DTN57" s="76"/>
      <c r="DTO57" s="76"/>
      <c r="DTP57" s="76"/>
      <c r="DTQ57" s="76"/>
      <c r="DTR57" s="76"/>
      <c r="DTS57" s="76"/>
      <c r="DTT57" s="76"/>
      <c r="DTU57" s="76"/>
      <c r="DTV57" s="76"/>
      <c r="DTW57" s="76"/>
      <c r="DTX57" s="76"/>
      <c r="DTY57" s="76"/>
      <c r="DTZ57" s="76"/>
      <c r="DUA57" s="76"/>
      <c r="DUB57" s="76"/>
      <c r="DUC57" s="76"/>
      <c r="DUD57" s="76"/>
      <c r="DUE57" s="76"/>
      <c r="DUF57" s="76"/>
      <c r="DUG57" s="76"/>
      <c r="DUH57" s="76"/>
      <c r="DUI57" s="76"/>
      <c r="DUJ57" s="76"/>
      <c r="DUK57" s="76"/>
      <c r="DUL57" s="76"/>
      <c r="DUM57" s="76"/>
      <c r="DUN57" s="76"/>
      <c r="DUO57" s="76"/>
      <c r="DUP57" s="76"/>
      <c r="DUQ57" s="76"/>
      <c r="DUR57" s="76"/>
      <c r="DUS57" s="76"/>
      <c r="DUT57" s="76"/>
      <c r="DUU57" s="76"/>
      <c r="DUV57" s="76"/>
      <c r="DUW57" s="76"/>
      <c r="DUX57" s="76"/>
      <c r="DUY57" s="76"/>
      <c r="DUZ57" s="76"/>
      <c r="DVA57" s="76"/>
      <c r="DVB57" s="76"/>
      <c r="DVC57" s="76"/>
      <c r="DVD57" s="76"/>
      <c r="DVE57" s="76"/>
      <c r="DVF57" s="76"/>
      <c r="DVG57" s="76"/>
      <c r="DVH57" s="76"/>
      <c r="DVI57" s="76"/>
      <c r="DVJ57" s="76"/>
      <c r="DVK57" s="76"/>
      <c r="DVL57" s="76"/>
      <c r="DVM57" s="76"/>
      <c r="DVN57" s="76"/>
      <c r="DVO57" s="76"/>
      <c r="DVP57" s="76"/>
      <c r="DVQ57" s="76"/>
      <c r="DVR57" s="76"/>
      <c r="DVS57" s="76"/>
      <c r="DVT57" s="76"/>
      <c r="DVU57" s="76"/>
      <c r="DVV57" s="76"/>
      <c r="DVW57" s="76"/>
      <c r="DVX57" s="76"/>
      <c r="DVY57" s="76"/>
      <c r="DVZ57" s="76"/>
      <c r="DWA57" s="76"/>
      <c r="DWB57" s="76"/>
      <c r="DWC57" s="76"/>
      <c r="DWD57" s="76"/>
      <c r="DWE57" s="76"/>
      <c r="DWF57" s="76"/>
      <c r="DWG57" s="76"/>
      <c r="DWH57" s="76"/>
      <c r="DWI57" s="76"/>
      <c r="DWJ57" s="76"/>
      <c r="DWK57" s="76"/>
      <c r="DWL57" s="76"/>
      <c r="DWM57" s="76"/>
      <c r="DWN57" s="76"/>
      <c r="DWO57" s="76"/>
      <c r="DWP57" s="76"/>
      <c r="DWQ57" s="76"/>
      <c r="DWR57" s="76"/>
      <c r="DWS57" s="76"/>
      <c r="DWT57" s="76"/>
      <c r="DWU57" s="76"/>
      <c r="DWV57" s="76"/>
      <c r="DWW57" s="76"/>
      <c r="DWX57" s="76"/>
      <c r="DWY57" s="76"/>
      <c r="DWZ57" s="76"/>
      <c r="DXA57" s="76"/>
      <c r="DXB57" s="76"/>
      <c r="DXC57" s="76"/>
      <c r="DXD57" s="76"/>
      <c r="DXE57" s="76"/>
      <c r="DXF57" s="76"/>
      <c r="DXG57" s="76"/>
      <c r="DXH57" s="76"/>
      <c r="DXI57" s="76"/>
      <c r="DXJ57" s="76"/>
      <c r="DXK57" s="76"/>
      <c r="DXL57" s="76"/>
      <c r="DXM57" s="76"/>
      <c r="DXN57" s="76"/>
      <c r="DXO57" s="76"/>
      <c r="DXP57" s="76"/>
      <c r="DXQ57" s="76"/>
      <c r="DXR57" s="76"/>
      <c r="DXS57" s="76"/>
      <c r="DXT57" s="76"/>
      <c r="DXU57" s="76"/>
      <c r="DXV57" s="76"/>
      <c r="DXW57" s="76"/>
      <c r="DXX57" s="76"/>
      <c r="DXY57" s="76"/>
      <c r="DXZ57" s="76"/>
      <c r="DYA57" s="76"/>
      <c r="DYB57" s="76"/>
      <c r="DYC57" s="76"/>
      <c r="DYD57" s="76"/>
      <c r="DYE57" s="76"/>
      <c r="DYF57" s="76"/>
      <c r="DYG57" s="76"/>
      <c r="DYH57" s="76"/>
      <c r="DYI57" s="76"/>
      <c r="DYJ57" s="76"/>
      <c r="DYK57" s="76"/>
      <c r="DYL57" s="76"/>
      <c r="DYM57" s="76"/>
      <c r="DYN57" s="76"/>
      <c r="DYO57" s="76"/>
      <c r="DYP57" s="76"/>
      <c r="DYQ57" s="76"/>
      <c r="DYR57" s="76"/>
      <c r="DYS57" s="76"/>
      <c r="DYT57" s="76"/>
      <c r="DYU57" s="76"/>
      <c r="DYV57" s="76"/>
      <c r="DYW57" s="76"/>
      <c r="DYX57" s="76"/>
      <c r="DYY57" s="76"/>
      <c r="DYZ57" s="76"/>
      <c r="DZA57" s="76"/>
      <c r="DZB57" s="76"/>
      <c r="DZC57" s="76"/>
      <c r="DZD57" s="76"/>
      <c r="DZE57" s="76"/>
      <c r="DZF57" s="76"/>
      <c r="DZG57" s="76"/>
      <c r="DZH57" s="76"/>
      <c r="DZI57" s="76"/>
      <c r="DZJ57" s="76"/>
      <c r="DZK57" s="76"/>
      <c r="DZL57" s="76"/>
      <c r="DZM57" s="76"/>
      <c r="DZN57" s="76"/>
      <c r="DZO57" s="76"/>
      <c r="DZP57" s="76"/>
      <c r="DZQ57" s="76"/>
      <c r="DZR57" s="76"/>
      <c r="DZS57" s="76"/>
      <c r="DZT57" s="76"/>
      <c r="DZU57" s="76"/>
      <c r="DZV57" s="76"/>
      <c r="DZW57" s="76"/>
      <c r="DZX57" s="76"/>
      <c r="DZY57" s="76"/>
      <c r="DZZ57" s="76"/>
      <c r="EAA57" s="76"/>
      <c r="EAB57" s="76"/>
      <c r="EAC57" s="76"/>
      <c r="EAD57" s="76"/>
      <c r="EAE57" s="76"/>
      <c r="EAF57" s="76"/>
      <c r="EAG57" s="76"/>
      <c r="EAH57" s="76"/>
      <c r="EAI57" s="76"/>
      <c r="EAJ57" s="76"/>
      <c r="EAK57" s="76"/>
      <c r="EAL57" s="76"/>
      <c r="EAM57" s="76"/>
      <c r="EAN57" s="76"/>
      <c r="EAO57" s="76"/>
      <c r="EAP57" s="76"/>
      <c r="EAQ57" s="76"/>
      <c r="EAR57" s="76"/>
      <c r="EAS57" s="76"/>
      <c r="EAT57" s="76"/>
      <c r="EAU57" s="76"/>
      <c r="EAV57" s="76"/>
      <c r="EAW57" s="76"/>
      <c r="EAX57" s="76"/>
      <c r="EAY57" s="76"/>
      <c r="EAZ57" s="76"/>
      <c r="EBA57" s="76"/>
      <c r="EBB57" s="76"/>
      <c r="EBC57" s="76"/>
      <c r="EBD57" s="76"/>
      <c r="EBE57" s="76"/>
      <c r="EBF57" s="76"/>
      <c r="EBG57" s="76"/>
      <c r="EBH57" s="76"/>
      <c r="EBI57" s="76"/>
      <c r="EBJ57" s="76"/>
      <c r="EBK57" s="76"/>
      <c r="EBL57" s="76"/>
      <c r="EBM57" s="76"/>
      <c r="EBN57" s="76"/>
      <c r="EBO57" s="76"/>
      <c r="EBP57" s="76"/>
      <c r="EBQ57" s="76"/>
      <c r="EBR57" s="76"/>
      <c r="EBS57" s="76"/>
      <c r="EBT57" s="76"/>
      <c r="EBU57" s="76"/>
      <c r="EBV57" s="76"/>
      <c r="EBW57" s="76"/>
      <c r="EBX57" s="76"/>
      <c r="EBY57" s="76"/>
      <c r="EBZ57" s="76"/>
      <c r="ECA57" s="76"/>
      <c r="ECB57" s="76"/>
      <c r="ECC57" s="76"/>
      <c r="ECD57" s="76"/>
      <c r="ECE57" s="76"/>
      <c r="ECF57" s="76"/>
      <c r="ECG57" s="76"/>
      <c r="ECH57" s="76"/>
      <c r="ECI57" s="76"/>
      <c r="ECJ57" s="76"/>
      <c r="ECK57" s="76"/>
      <c r="ECL57" s="76"/>
      <c r="ECM57" s="76"/>
      <c r="ECN57" s="76"/>
      <c r="ECO57" s="76"/>
      <c r="ECP57" s="76"/>
      <c r="ECQ57" s="76"/>
      <c r="ECR57" s="76"/>
      <c r="ECS57" s="76"/>
      <c r="ECT57" s="76"/>
      <c r="ECU57" s="76"/>
      <c r="ECV57" s="76"/>
      <c r="ECW57" s="76"/>
      <c r="ECX57" s="76"/>
      <c r="ECY57" s="76"/>
      <c r="ECZ57" s="76"/>
      <c r="EDA57" s="76"/>
      <c r="EDB57" s="76"/>
      <c r="EDC57" s="76"/>
      <c r="EDD57" s="76"/>
      <c r="EDE57" s="76"/>
      <c r="EDF57" s="76"/>
      <c r="EDG57" s="76"/>
      <c r="EDH57" s="76"/>
      <c r="EDI57" s="76"/>
      <c r="EDJ57" s="76"/>
      <c r="EDK57" s="76"/>
      <c r="EDL57" s="76"/>
      <c r="EDM57" s="76"/>
      <c r="EDN57" s="76"/>
      <c r="EDO57" s="76"/>
      <c r="EDP57" s="76"/>
      <c r="EDQ57" s="76"/>
      <c r="EDR57" s="76"/>
      <c r="EDS57" s="76"/>
      <c r="EDT57" s="76"/>
      <c r="EDU57" s="76"/>
      <c r="EDV57" s="76"/>
      <c r="EDW57" s="76"/>
      <c r="EDX57" s="76"/>
      <c r="EDY57" s="76"/>
      <c r="EDZ57" s="76"/>
      <c r="EEA57" s="76"/>
      <c r="EEB57" s="76"/>
      <c r="EEC57" s="76"/>
      <c r="EED57" s="76"/>
      <c r="EEE57" s="76"/>
      <c r="EEF57" s="76"/>
      <c r="EEG57" s="76"/>
      <c r="EEH57" s="76"/>
      <c r="EEI57" s="76"/>
      <c r="EEJ57" s="76"/>
      <c r="EEK57" s="76"/>
      <c r="EEL57" s="76"/>
      <c r="EEM57" s="76"/>
      <c r="EEN57" s="76"/>
      <c r="EEO57" s="76"/>
      <c r="EEP57" s="76"/>
      <c r="EEQ57" s="76"/>
      <c r="EER57" s="76"/>
      <c r="EES57" s="76"/>
      <c r="EET57" s="76"/>
      <c r="EEU57" s="76"/>
      <c r="EEV57" s="76"/>
      <c r="EEW57" s="76"/>
      <c r="EEX57" s="76"/>
      <c r="EEY57" s="76"/>
      <c r="EEZ57" s="76"/>
      <c r="EFA57" s="76"/>
      <c r="EFB57" s="76"/>
      <c r="EFC57" s="76"/>
      <c r="EFD57" s="76"/>
      <c r="EFE57" s="76"/>
      <c r="EFF57" s="76"/>
      <c r="EFG57" s="76"/>
      <c r="EFH57" s="76"/>
      <c r="EFI57" s="76"/>
      <c r="EFJ57" s="76"/>
      <c r="EFK57" s="76"/>
      <c r="EFL57" s="76"/>
      <c r="EFM57" s="76"/>
      <c r="EFN57" s="76"/>
      <c r="EFO57" s="76"/>
      <c r="EFP57" s="76"/>
      <c r="EFQ57" s="76"/>
      <c r="EFR57" s="76"/>
      <c r="EFS57" s="76"/>
      <c r="EFT57" s="76"/>
      <c r="EFU57" s="76"/>
      <c r="EFV57" s="76"/>
      <c r="EFW57" s="76"/>
      <c r="EFX57" s="76"/>
      <c r="EFY57" s="76"/>
      <c r="EFZ57" s="76"/>
      <c r="EGA57" s="76"/>
      <c r="EGB57" s="76"/>
      <c r="EGC57" s="76"/>
      <c r="EGD57" s="76"/>
      <c r="EGE57" s="76"/>
      <c r="EGF57" s="76"/>
      <c r="EGG57" s="76"/>
      <c r="EGH57" s="76"/>
      <c r="EGI57" s="76"/>
      <c r="EGJ57" s="76"/>
      <c r="EGK57" s="76"/>
      <c r="EGL57" s="76"/>
      <c r="EGM57" s="76"/>
      <c r="EGN57" s="76"/>
      <c r="EGO57" s="76"/>
      <c r="EGP57" s="76"/>
      <c r="EGQ57" s="76"/>
      <c r="EGR57" s="76"/>
      <c r="EGS57" s="76"/>
      <c r="EGT57" s="76"/>
      <c r="EGU57" s="76"/>
      <c r="EGV57" s="76"/>
      <c r="EGW57" s="76"/>
      <c r="EGX57" s="76"/>
      <c r="EGY57" s="76"/>
      <c r="EGZ57" s="76"/>
      <c r="EHA57" s="76"/>
      <c r="EHB57" s="76"/>
      <c r="EHC57" s="76"/>
      <c r="EHD57" s="76"/>
      <c r="EHE57" s="76"/>
      <c r="EHF57" s="76"/>
      <c r="EHG57" s="76"/>
      <c r="EHH57" s="76"/>
      <c r="EHI57" s="76"/>
      <c r="EHJ57" s="76"/>
      <c r="EHK57" s="76"/>
      <c r="EHL57" s="76"/>
      <c r="EHM57" s="76"/>
      <c r="EHN57" s="76"/>
      <c r="EHO57" s="76"/>
      <c r="EHP57" s="76"/>
      <c r="EHQ57" s="76"/>
      <c r="EHR57" s="76"/>
      <c r="EHS57" s="76"/>
      <c r="EHT57" s="76"/>
      <c r="EHU57" s="76"/>
      <c r="EHV57" s="76"/>
      <c r="EHW57" s="76"/>
      <c r="EHX57" s="76"/>
      <c r="EHY57" s="76"/>
      <c r="EHZ57" s="76"/>
      <c r="EIA57" s="76"/>
      <c r="EIB57" s="76"/>
      <c r="EIC57" s="76"/>
      <c r="EID57" s="76"/>
      <c r="EIE57" s="76"/>
      <c r="EIF57" s="76"/>
      <c r="EIG57" s="76"/>
      <c r="EIH57" s="76"/>
      <c r="EII57" s="76"/>
      <c r="EIJ57" s="76"/>
      <c r="EIK57" s="76"/>
      <c r="EIL57" s="76"/>
      <c r="EIM57" s="76"/>
      <c r="EIN57" s="76"/>
      <c r="EIO57" s="76"/>
      <c r="EIP57" s="76"/>
      <c r="EIQ57" s="76"/>
      <c r="EIR57" s="76"/>
      <c r="EIS57" s="76"/>
      <c r="EIT57" s="76"/>
      <c r="EIU57" s="76"/>
      <c r="EIV57" s="76"/>
      <c r="EIW57" s="76"/>
      <c r="EIX57" s="76"/>
      <c r="EIY57" s="76"/>
      <c r="EIZ57" s="76"/>
      <c r="EJA57" s="76"/>
      <c r="EJB57" s="76"/>
      <c r="EJC57" s="76"/>
      <c r="EJD57" s="76"/>
      <c r="EJE57" s="76"/>
      <c r="EJF57" s="76"/>
      <c r="EJG57" s="76"/>
      <c r="EJH57" s="76"/>
      <c r="EJI57" s="76"/>
      <c r="EJJ57" s="76"/>
      <c r="EJK57" s="76"/>
      <c r="EJL57" s="76"/>
      <c r="EJM57" s="76"/>
      <c r="EJN57" s="76"/>
      <c r="EJO57" s="76"/>
      <c r="EJP57" s="76"/>
      <c r="EJQ57" s="76"/>
      <c r="EJR57" s="76"/>
      <c r="EJS57" s="76"/>
      <c r="EJT57" s="76"/>
      <c r="EJU57" s="76"/>
      <c r="EJV57" s="76"/>
      <c r="EJW57" s="76"/>
      <c r="EJX57" s="76"/>
      <c r="EJY57" s="76"/>
      <c r="EJZ57" s="76"/>
      <c r="EKA57" s="76"/>
      <c r="EKB57" s="76"/>
      <c r="EKC57" s="76"/>
      <c r="EKD57" s="76"/>
      <c r="EKE57" s="76"/>
      <c r="EKF57" s="76"/>
      <c r="EKG57" s="76"/>
      <c r="EKH57" s="76"/>
      <c r="EKI57" s="76"/>
      <c r="EKJ57" s="76"/>
      <c r="EKK57" s="76"/>
      <c r="EKL57" s="76"/>
      <c r="EKM57" s="76"/>
      <c r="EKN57" s="76"/>
      <c r="EKO57" s="76"/>
      <c r="EKP57" s="76"/>
      <c r="EKQ57" s="76"/>
      <c r="EKR57" s="76"/>
      <c r="EKS57" s="76"/>
      <c r="EKT57" s="76"/>
      <c r="EKU57" s="76"/>
      <c r="EKV57" s="76"/>
      <c r="EKW57" s="76"/>
      <c r="EKX57" s="76"/>
      <c r="EKY57" s="76"/>
      <c r="EKZ57" s="76"/>
      <c r="ELA57" s="76"/>
      <c r="ELB57" s="76"/>
      <c r="ELC57" s="76"/>
      <c r="ELD57" s="76"/>
      <c r="ELE57" s="76"/>
      <c r="ELF57" s="76"/>
      <c r="ELG57" s="76"/>
      <c r="ELH57" s="76"/>
      <c r="ELI57" s="76"/>
      <c r="ELJ57" s="76"/>
      <c r="ELK57" s="76"/>
      <c r="ELL57" s="76"/>
      <c r="ELM57" s="76"/>
      <c r="ELN57" s="76"/>
      <c r="ELO57" s="76"/>
      <c r="ELP57" s="76"/>
      <c r="ELQ57" s="76"/>
      <c r="ELR57" s="76"/>
      <c r="ELS57" s="76"/>
      <c r="ELT57" s="76"/>
      <c r="ELU57" s="76"/>
      <c r="ELV57" s="76"/>
      <c r="ELW57" s="76"/>
      <c r="ELX57" s="76"/>
      <c r="ELY57" s="76"/>
      <c r="ELZ57" s="76"/>
      <c r="EMA57" s="76"/>
      <c r="EMB57" s="76"/>
      <c r="EMC57" s="76"/>
      <c r="EMD57" s="76"/>
      <c r="EME57" s="76"/>
      <c r="EMF57" s="76"/>
      <c r="EMG57" s="76"/>
      <c r="EMH57" s="76"/>
      <c r="EMI57" s="76"/>
      <c r="EMJ57" s="76"/>
      <c r="EMK57" s="76"/>
      <c r="EML57" s="76"/>
      <c r="EMM57" s="76"/>
      <c r="EMN57" s="76"/>
      <c r="EMO57" s="76"/>
      <c r="EMP57" s="76"/>
      <c r="EMQ57" s="76"/>
      <c r="EMR57" s="76"/>
      <c r="EMS57" s="76"/>
      <c r="EMT57" s="76"/>
      <c r="EMU57" s="76"/>
      <c r="EMV57" s="76"/>
      <c r="EMW57" s="76"/>
      <c r="EMX57" s="76"/>
      <c r="EMY57" s="76"/>
      <c r="EMZ57" s="76"/>
      <c r="ENA57" s="76"/>
      <c r="ENB57" s="76"/>
      <c r="ENC57" s="76"/>
      <c r="END57" s="76"/>
      <c r="ENE57" s="76"/>
      <c r="ENF57" s="76"/>
      <c r="ENG57" s="76"/>
      <c r="ENH57" s="76"/>
      <c r="ENI57" s="76"/>
      <c r="ENJ57" s="76"/>
      <c r="ENK57" s="76"/>
      <c r="ENL57" s="76"/>
      <c r="ENM57" s="76"/>
      <c r="ENN57" s="76"/>
      <c r="ENO57" s="76"/>
      <c r="ENP57" s="76"/>
      <c r="ENQ57" s="76"/>
      <c r="ENR57" s="76"/>
      <c r="ENS57" s="76"/>
      <c r="ENT57" s="76"/>
      <c r="ENU57" s="76"/>
      <c r="ENV57" s="76"/>
      <c r="ENW57" s="76"/>
      <c r="ENX57" s="76"/>
      <c r="ENY57" s="76"/>
      <c r="ENZ57" s="76"/>
      <c r="EOA57" s="76"/>
      <c r="EOB57" s="76"/>
      <c r="EOC57" s="76"/>
      <c r="EOD57" s="76"/>
      <c r="EOE57" s="76"/>
      <c r="EOF57" s="76"/>
      <c r="EOG57" s="76"/>
      <c r="EOH57" s="76"/>
      <c r="EOI57" s="76"/>
      <c r="EOJ57" s="76"/>
      <c r="EOK57" s="76"/>
      <c r="EOL57" s="76"/>
      <c r="EOM57" s="76"/>
      <c r="EON57" s="76"/>
      <c r="EOO57" s="76"/>
      <c r="EOP57" s="76"/>
      <c r="EOQ57" s="76"/>
      <c r="EOR57" s="76"/>
      <c r="EOS57" s="76"/>
      <c r="EOT57" s="76"/>
      <c r="EOU57" s="76"/>
      <c r="EOV57" s="76"/>
      <c r="EOW57" s="76"/>
      <c r="EOX57" s="76"/>
      <c r="EOY57" s="76"/>
      <c r="EOZ57" s="76"/>
      <c r="EPA57" s="76"/>
      <c r="EPB57" s="76"/>
      <c r="EPC57" s="76"/>
      <c r="EPD57" s="76"/>
      <c r="EPE57" s="76"/>
      <c r="EPF57" s="76"/>
      <c r="EPG57" s="76"/>
      <c r="EPH57" s="76"/>
      <c r="EPI57" s="76"/>
      <c r="EPJ57" s="76"/>
      <c r="EPK57" s="76"/>
      <c r="EPL57" s="76"/>
      <c r="EPM57" s="76"/>
      <c r="EPN57" s="76"/>
      <c r="EPO57" s="76"/>
      <c r="EPP57" s="76"/>
      <c r="EPQ57" s="76"/>
      <c r="EPR57" s="76"/>
      <c r="EPS57" s="76"/>
      <c r="EPT57" s="76"/>
      <c r="EPU57" s="76"/>
      <c r="EPV57" s="76"/>
      <c r="EPW57" s="76"/>
      <c r="EPX57" s="76"/>
      <c r="EPY57" s="76"/>
      <c r="EPZ57" s="76"/>
      <c r="EQA57" s="76"/>
      <c r="EQB57" s="76"/>
      <c r="EQC57" s="76"/>
      <c r="EQD57" s="76"/>
      <c r="EQE57" s="76"/>
      <c r="EQF57" s="76"/>
      <c r="EQG57" s="76"/>
      <c r="EQH57" s="76"/>
      <c r="EQI57" s="76"/>
      <c r="EQJ57" s="76"/>
      <c r="EQK57" s="76"/>
      <c r="EQL57" s="76"/>
      <c r="EQM57" s="76"/>
      <c r="EQN57" s="76"/>
      <c r="EQO57" s="76"/>
      <c r="EQP57" s="76"/>
      <c r="EQQ57" s="76"/>
      <c r="EQR57" s="76"/>
      <c r="EQS57" s="76"/>
      <c r="EQT57" s="76"/>
      <c r="EQU57" s="76"/>
      <c r="EQV57" s="76"/>
      <c r="EQW57" s="76"/>
      <c r="EQX57" s="76"/>
      <c r="EQY57" s="76"/>
      <c r="EQZ57" s="76"/>
      <c r="ERA57" s="76"/>
      <c r="ERB57" s="76"/>
      <c r="ERC57" s="76"/>
      <c r="ERD57" s="76"/>
      <c r="ERE57" s="76"/>
      <c r="ERF57" s="76"/>
      <c r="ERG57" s="76"/>
      <c r="ERH57" s="76"/>
      <c r="ERI57" s="76"/>
      <c r="ERJ57" s="76"/>
      <c r="ERK57" s="76"/>
      <c r="ERL57" s="76"/>
      <c r="ERM57" s="76"/>
      <c r="ERN57" s="76"/>
      <c r="ERO57" s="76"/>
      <c r="ERP57" s="76"/>
      <c r="ERQ57" s="76"/>
      <c r="ERR57" s="76"/>
      <c r="ERS57" s="76"/>
      <c r="ERT57" s="76"/>
      <c r="ERU57" s="76"/>
      <c r="ERV57" s="76"/>
      <c r="ERW57" s="76"/>
      <c r="ERX57" s="76"/>
      <c r="ERY57" s="76"/>
      <c r="ERZ57" s="76"/>
      <c r="ESA57" s="76"/>
      <c r="ESB57" s="76"/>
      <c r="ESC57" s="76"/>
      <c r="ESD57" s="76"/>
      <c r="ESE57" s="76"/>
      <c r="ESF57" s="76"/>
      <c r="ESG57" s="76"/>
      <c r="ESH57" s="76"/>
      <c r="ESI57" s="76"/>
      <c r="ESJ57" s="76"/>
      <c r="ESK57" s="76"/>
      <c r="ESL57" s="76"/>
      <c r="ESM57" s="76"/>
      <c r="ESN57" s="76"/>
      <c r="ESO57" s="76"/>
      <c r="ESP57" s="76"/>
      <c r="ESQ57" s="76"/>
      <c r="ESR57" s="76"/>
      <c r="ESS57" s="76"/>
      <c r="EST57" s="76"/>
      <c r="ESU57" s="76"/>
      <c r="ESV57" s="76"/>
      <c r="ESW57" s="76"/>
      <c r="ESX57" s="76"/>
      <c r="ESY57" s="76"/>
      <c r="ESZ57" s="76"/>
      <c r="ETA57" s="76"/>
      <c r="ETB57" s="76"/>
      <c r="ETC57" s="76"/>
      <c r="ETD57" s="76"/>
      <c r="ETE57" s="76"/>
      <c r="ETF57" s="76"/>
      <c r="ETG57" s="76"/>
      <c r="ETH57" s="76"/>
      <c r="ETI57" s="76"/>
      <c r="ETJ57" s="76"/>
      <c r="ETK57" s="76"/>
      <c r="ETL57" s="76"/>
      <c r="ETM57" s="76"/>
      <c r="ETN57" s="76"/>
      <c r="ETO57" s="76"/>
      <c r="ETP57" s="76"/>
      <c r="ETQ57" s="76"/>
      <c r="ETR57" s="76"/>
      <c r="ETS57" s="76"/>
      <c r="ETT57" s="76"/>
      <c r="ETU57" s="76"/>
      <c r="ETV57" s="76"/>
      <c r="ETW57" s="76"/>
      <c r="ETX57" s="76"/>
      <c r="ETY57" s="76"/>
      <c r="ETZ57" s="76"/>
      <c r="EUA57" s="76"/>
      <c r="EUB57" s="76"/>
      <c r="EUC57" s="76"/>
      <c r="EUD57" s="76"/>
      <c r="EUE57" s="76"/>
      <c r="EUF57" s="76"/>
      <c r="EUG57" s="76"/>
      <c r="EUH57" s="76"/>
      <c r="EUI57" s="76"/>
      <c r="EUJ57" s="76"/>
      <c r="EUK57" s="76"/>
      <c r="EUL57" s="76"/>
      <c r="EUM57" s="76"/>
      <c r="EUN57" s="76"/>
      <c r="EUO57" s="76"/>
      <c r="EUP57" s="76"/>
      <c r="EUQ57" s="76"/>
      <c r="EUR57" s="76"/>
      <c r="EUS57" s="76"/>
      <c r="EUT57" s="76"/>
      <c r="EUU57" s="76"/>
      <c r="EUV57" s="76"/>
      <c r="EUW57" s="76"/>
      <c r="EUX57" s="76"/>
      <c r="EUY57" s="76"/>
      <c r="EUZ57" s="76"/>
      <c r="EVA57" s="76"/>
      <c r="EVB57" s="76"/>
      <c r="EVC57" s="76"/>
      <c r="EVD57" s="76"/>
      <c r="EVE57" s="76"/>
      <c r="EVF57" s="76"/>
      <c r="EVG57" s="76"/>
      <c r="EVH57" s="76"/>
      <c r="EVI57" s="76"/>
      <c r="EVJ57" s="76"/>
      <c r="EVK57" s="76"/>
      <c r="EVL57" s="76"/>
      <c r="EVM57" s="76"/>
      <c r="EVN57" s="76"/>
      <c r="EVO57" s="76"/>
      <c r="EVP57" s="76"/>
      <c r="EVQ57" s="76"/>
      <c r="EVR57" s="76"/>
      <c r="EVS57" s="76"/>
      <c r="EVT57" s="76"/>
      <c r="EVU57" s="76"/>
      <c r="EVV57" s="76"/>
      <c r="EVW57" s="76"/>
      <c r="EVX57" s="76"/>
      <c r="EVY57" s="76"/>
      <c r="EVZ57" s="76"/>
      <c r="EWA57" s="76"/>
      <c r="EWB57" s="76"/>
      <c r="EWC57" s="76"/>
      <c r="EWD57" s="76"/>
      <c r="EWE57" s="76"/>
      <c r="EWF57" s="76"/>
      <c r="EWG57" s="76"/>
      <c r="EWH57" s="76"/>
      <c r="EWI57" s="76"/>
      <c r="EWJ57" s="76"/>
      <c r="EWK57" s="76"/>
      <c r="EWL57" s="76"/>
      <c r="EWM57" s="76"/>
      <c r="EWN57" s="76"/>
      <c r="EWO57" s="76"/>
      <c r="EWP57" s="76"/>
      <c r="EWQ57" s="76"/>
      <c r="EWR57" s="76"/>
      <c r="EWS57" s="76"/>
      <c r="EWT57" s="76"/>
      <c r="EWU57" s="76"/>
      <c r="EWV57" s="76"/>
      <c r="EWW57" s="76"/>
      <c r="EWX57" s="76"/>
      <c r="EWY57" s="76"/>
      <c r="EWZ57" s="76"/>
      <c r="EXA57" s="76"/>
      <c r="EXB57" s="76"/>
      <c r="EXC57" s="76"/>
      <c r="EXD57" s="76"/>
      <c r="EXE57" s="76"/>
      <c r="EXF57" s="76"/>
      <c r="EXG57" s="76"/>
      <c r="EXH57" s="76"/>
      <c r="EXI57" s="76"/>
      <c r="EXJ57" s="76"/>
      <c r="EXK57" s="76"/>
      <c r="EXL57" s="76"/>
      <c r="EXM57" s="76"/>
      <c r="EXN57" s="76"/>
      <c r="EXO57" s="76"/>
      <c r="EXP57" s="76"/>
      <c r="EXQ57" s="76"/>
      <c r="EXR57" s="76"/>
      <c r="EXS57" s="76"/>
      <c r="EXT57" s="76"/>
      <c r="EXU57" s="76"/>
      <c r="EXV57" s="76"/>
      <c r="EXW57" s="76"/>
      <c r="EXX57" s="76"/>
      <c r="EXY57" s="76"/>
      <c r="EXZ57" s="76"/>
      <c r="EYA57" s="76"/>
      <c r="EYB57" s="76"/>
      <c r="EYC57" s="76"/>
      <c r="EYD57" s="76"/>
      <c r="EYE57" s="76"/>
      <c r="EYF57" s="76"/>
      <c r="EYG57" s="76"/>
      <c r="EYH57" s="76"/>
      <c r="EYI57" s="76"/>
      <c r="EYJ57" s="76"/>
      <c r="EYK57" s="76"/>
      <c r="EYL57" s="76"/>
      <c r="EYM57" s="76"/>
      <c r="EYN57" s="76"/>
      <c r="EYO57" s="76"/>
      <c r="EYP57" s="76"/>
      <c r="EYQ57" s="76"/>
      <c r="EYR57" s="76"/>
      <c r="EYS57" s="76"/>
      <c r="EYT57" s="76"/>
      <c r="EYU57" s="76"/>
      <c r="EYV57" s="76"/>
      <c r="EYW57" s="76"/>
      <c r="EYX57" s="76"/>
      <c r="EYY57" s="76"/>
      <c r="EYZ57" s="76"/>
      <c r="EZA57" s="76"/>
      <c r="EZB57" s="76"/>
      <c r="EZC57" s="76"/>
      <c r="EZD57" s="76"/>
      <c r="EZE57" s="76"/>
      <c r="EZF57" s="76"/>
      <c r="EZG57" s="76"/>
      <c r="EZH57" s="76"/>
      <c r="EZI57" s="76"/>
      <c r="EZJ57" s="76"/>
      <c r="EZK57" s="76"/>
      <c r="EZL57" s="76"/>
      <c r="EZM57" s="76"/>
      <c r="EZN57" s="76"/>
      <c r="EZO57" s="76"/>
      <c r="EZP57" s="76"/>
      <c r="EZQ57" s="76"/>
      <c r="EZR57" s="76"/>
      <c r="EZS57" s="76"/>
      <c r="EZT57" s="76"/>
      <c r="EZU57" s="76"/>
      <c r="EZV57" s="76"/>
      <c r="EZW57" s="76"/>
      <c r="EZX57" s="76"/>
      <c r="EZY57" s="76"/>
      <c r="EZZ57" s="76"/>
      <c r="FAA57" s="76"/>
      <c r="FAB57" s="76"/>
      <c r="FAC57" s="76"/>
      <c r="FAD57" s="76"/>
      <c r="FAE57" s="76"/>
      <c r="FAF57" s="76"/>
      <c r="FAG57" s="76"/>
      <c r="FAH57" s="76"/>
      <c r="FAI57" s="76"/>
      <c r="FAJ57" s="76"/>
      <c r="FAK57" s="76"/>
      <c r="FAL57" s="76"/>
      <c r="FAM57" s="76"/>
      <c r="FAN57" s="76"/>
      <c r="FAO57" s="76"/>
      <c r="FAP57" s="76"/>
      <c r="FAQ57" s="76"/>
      <c r="FAR57" s="76"/>
      <c r="FAS57" s="76"/>
      <c r="FAT57" s="76"/>
      <c r="FAU57" s="76"/>
      <c r="FAV57" s="76"/>
      <c r="FAW57" s="76"/>
      <c r="FAX57" s="76"/>
      <c r="FAY57" s="76"/>
      <c r="FAZ57" s="76"/>
      <c r="FBA57" s="76"/>
      <c r="FBB57" s="76"/>
      <c r="FBC57" s="76"/>
      <c r="FBD57" s="76"/>
      <c r="FBE57" s="76"/>
      <c r="FBF57" s="76"/>
      <c r="FBG57" s="76"/>
      <c r="FBH57" s="76"/>
      <c r="FBI57" s="76"/>
      <c r="FBJ57" s="76"/>
      <c r="FBK57" s="76"/>
      <c r="FBL57" s="76"/>
      <c r="FBM57" s="76"/>
      <c r="FBN57" s="76"/>
      <c r="FBO57" s="76"/>
      <c r="FBP57" s="76"/>
      <c r="FBQ57" s="76"/>
      <c r="FBR57" s="76"/>
      <c r="FBS57" s="76"/>
      <c r="FBT57" s="76"/>
      <c r="FBU57" s="76"/>
      <c r="FBV57" s="76"/>
      <c r="FBW57" s="76"/>
      <c r="FBX57" s="76"/>
      <c r="FBY57" s="76"/>
      <c r="FBZ57" s="76"/>
      <c r="FCA57" s="76"/>
      <c r="FCB57" s="76"/>
      <c r="FCC57" s="76"/>
      <c r="FCD57" s="76"/>
      <c r="FCE57" s="76"/>
      <c r="FCF57" s="76"/>
      <c r="FCG57" s="76"/>
      <c r="FCH57" s="76"/>
      <c r="FCI57" s="76"/>
      <c r="FCJ57" s="76"/>
      <c r="FCK57" s="76"/>
      <c r="FCL57" s="76"/>
      <c r="FCM57" s="76"/>
      <c r="FCN57" s="76"/>
      <c r="FCO57" s="76"/>
      <c r="FCP57" s="76"/>
      <c r="FCQ57" s="76"/>
      <c r="FCR57" s="76"/>
      <c r="FCS57" s="76"/>
      <c r="FCT57" s="76"/>
      <c r="FCU57" s="76"/>
      <c r="FCV57" s="76"/>
      <c r="FCW57" s="76"/>
      <c r="FCX57" s="76"/>
      <c r="FCY57" s="76"/>
      <c r="FCZ57" s="76"/>
      <c r="FDA57" s="76"/>
      <c r="FDB57" s="76"/>
      <c r="FDC57" s="76"/>
      <c r="FDD57" s="76"/>
      <c r="FDE57" s="76"/>
      <c r="FDF57" s="76"/>
      <c r="FDG57" s="76"/>
      <c r="FDH57" s="76"/>
      <c r="FDI57" s="76"/>
      <c r="FDJ57" s="76"/>
      <c r="FDK57" s="76"/>
      <c r="FDL57" s="76"/>
      <c r="FDM57" s="76"/>
      <c r="FDN57" s="76"/>
      <c r="FDO57" s="76"/>
      <c r="FDP57" s="76"/>
      <c r="FDQ57" s="76"/>
      <c r="FDR57" s="76"/>
      <c r="FDS57" s="76"/>
      <c r="FDT57" s="76"/>
      <c r="FDU57" s="76"/>
      <c r="FDV57" s="76"/>
      <c r="FDW57" s="76"/>
      <c r="FDX57" s="76"/>
      <c r="FDY57" s="76"/>
      <c r="FDZ57" s="76"/>
      <c r="FEA57" s="76"/>
      <c r="FEB57" s="76"/>
      <c r="FEC57" s="76"/>
      <c r="FED57" s="76"/>
      <c r="FEE57" s="76"/>
      <c r="FEF57" s="76"/>
      <c r="FEG57" s="76"/>
      <c r="FEH57" s="76"/>
      <c r="FEI57" s="76"/>
      <c r="FEJ57" s="76"/>
      <c r="FEK57" s="76"/>
      <c r="FEL57" s="76"/>
      <c r="FEM57" s="76"/>
      <c r="FEN57" s="76"/>
      <c r="FEO57" s="76"/>
      <c r="FEP57" s="76"/>
      <c r="FEQ57" s="76"/>
      <c r="FER57" s="76"/>
      <c r="FES57" s="76"/>
      <c r="FET57" s="76"/>
      <c r="FEU57" s="76"/>
      <c r="FEV57" s="76"/>
      <c r="FEW57" s="76"/>
      <c r="FEX57" s="76"/>
      <c r="FEY57" s="76"/>
      <c r="FEZ57" s="76"/>
      <c r="FFA57" s="76"/>
      <c r="FFB57" s="76"/>
      <c r="FFC57" s="76"/>
      <c r="FFD57" s="76"/>
      <c r="FFE57" s="76"/>
      <c r="FFF57" s="76"/>
      <c r="FFG57" s="76"/>
      <c r="FFH57" s="76"/>
      <c r="FFI57" s="76"/>
      <c r="FFJ57" s="76"/>
      <c r="FFK57" s="76"/>
      <c r="FFL57" s="76"/>
      <c r="FFM57" s="76"/>
      <c r="FFN57" s="76"/>
      <c r="FFO57" s="76"/>
      <c r="FFP57" s="76"/>
      <c r="FFQ57" s="76"/>
      <c r="FFR57" s="76"/>
      <c r="FFS57" s="76"/>
      <c r="FFT57" s="76"/>
      <c r="FFU57" s="76"/>
      <c r="FFV57" s="76"/>
      <c r="FFW57" s="76"/>
      <c r="FFX57" s="76"/>
      <c r="FFY57" s="76"/>
      <c r="FFZ57" s="76"/>
      <c r="FGA57" s="76"/>
      <c r="FGB57" s="76"/>
      <c r="FGC57" s="76"/>
      <c r="FGD57" s="76"/>
      <c r="FGE57" s="76"/>
      <c r="FGF57" s="76"/>
      <c r="FGG57" s="76"/>
      <c r="FGH57" s="76"/>
      <c r="FGI57" s="76"/>
      <c r="FGJ57" s="76"/>
      <c r="FGK57" s="76"/>
      <c r="FGL57" s="76"/>
      <c r="FGM57" s="76"/>
      <c r="FGN57" s="76"/>
      <c r="FGO57" s="76"/>
      <c r="FGP57" s="76"/>
      <c r="FGQ57" s="76"/>
      <c r="FGR57" s="76"/>
      <c r="FGS57" s="76"/>
      <c r="FGT57" s="76"/>
      <c r="FGU57" s="76"/>
      <c r="FGV57" s="76"/>
      <c r="FGW57" s="76"/>
      <c r="FGX57" s="76"/>
      <c r="FGY57" s="76"/>
      <c r="FGZ57" s="76"/>
      <c r="FHA57" s="76"/>
      <c r="FHB57" s="76"/>
      <c r="FHC57" s="76"/>
      <c r="FHD57" s="76"/>
      <c r="FHE57" s="76"/>
      <c r="FHF57" s="76"/>
      <c r="FHG57" s="76"/>
      <c r="FHH57" s="76"/>
      <c r="FHI57" s="76"/>
      <c r="FHJ57" s="76"/>
      <c r="FHK57" s="76"/>
      <c r="FHL57" s="76"/>
      <c r="FHM57" s="76"/>
      <c r="FHN57" s="76"/>
      <c r="FHO57" s="76"/>
      <c r="FHP57" s="76"/>
      <c r="FHQ57" s="76"/>
      <c r="FHR57" s="76"/>
      <c r="FHS57" s="76"/>
      <c r="FHT57" s="76"/>
      <c r="FHU57" s="76"/>
      <c r="FHV57" s="76"/>
      <c r="FHW57" s="76"/>
      <c r="FHX57" s="76"/>
      <c r="FHY57" s="76"/>
      <c r="FHZ57" s="76"/>
      <c r="FIA57" s="76"/>
      <c r="FIB57" s="76"/>
      <c r="FIC57" s="76"/>
      <c r="FID57" s="76"/>
      <c r="FIE57" s="76"/>
      <c r="FIF57" s="76"/>
      <c r="FIG57" s="76"/>
      <c r="FIH57" s="76"/>
      <c r="FII57" s="76"/>
      <c r="FIJ57" s="76"/>
      <c r="FIK57" s="76"/>
      <c r="FIL57" s="76"/>
      <c r="FIM57" s="76"/>
      <c r="FIN57" s="76"/>
      <c r="FIO57" s="76"/>
      <c r="FIP57" s="76"/>
      <c r="FIQ57" s="76"/>
      <c r="FIR57" s="76"/>
      <c r="FIS57" s="76"/>
      <c r="FIT57" s="76"/>
      <c r="FIU57" s="76"/>
      <c r="FIV57" s="76"/>
      <c r="FIW57" s="76"/>
      <c r="FIX57" s="76"/>
      <c r="FIY57" s="76"/>
      <c r="FIZ57" s="76"/>
      <c r="FJA57" s="76"/>
      <c r="FJB57" s="76"/>
      <c r="FJC57" s="76"/>
      <c r="FJD57" s="76"/>
      <c r="FJE57" s="76"/>
      <c r="FJF57" s="76"/>
      <c r="FJG57" s="76"/>
      <c r="FJH57" s="76"/>
      <c r="FJI57" s="76"/>
      <c r="FJJ57" s="76"/>
      <c r="FJK57" s="76"/>
      <c r="FJL57" s="76"/>
      <c r="FJM57" s="76"/>
      <c r="FJN57" s="76"/>
      <c r="FJO57" s="76"/>
      <c r="FJP57" s="76"/>
      <c r="FJQ57" s="76"/>
      <c r="FJR57" s="76"/>
      <c r="FJS57" s="76"/>
      <c r="FJT57" s="76"/>
      <c r="FJU57" s="76"/>
      <c r="FJV57" s="76"/>
      <c r="FJW57" s="76"/>
      <c r="FJX57" s="76"/>
      <c r="FJY57" s="76"/>
      <c r="FJZ57" s="76"/>
      <c r="FKA57" s="76"/>
      <c r="FKB57" s="76"/>
      <c r="FKC57" s="76"/>
      <c r="FKD57" s="76"/>
      <c r="FKE57" s="76"/>
      <c r="FKF57" s="76"/>
      <c r="FKG57" s="76"/>
      <c r="FKH57" s="76"/>
      <c r="FKI57" s="76"/>
      <c r="FKJ57" s="76"/>
      <c r="FKK57" s="76"/>
      <c r="FKL57" s="76"/>
      <c r="FKM57" s="76"/>
      <c r="FKN57" s="76"/>
      <c r="FKO57" s="76"/>
      <c r="FKP57" s="76"/>
      <c r="FKQ57" s="76"/>
      <c r="FKR57" s="76"/>
      <c r="FKS57" s="76"/>
      <c r="FKT57" s="76"/>
      <c r="FKU57" s="76"/>
      <c r="FKV57" s="76"/>
      <c r="FKW57" s="76"/>
      <c r="FKX57" s="76"/>
      <c r="FKY57" s="76"/>
      <c r="FKZ57" s="76"/>
      <c r="FLA57" s="76"/>
      <c r="FLB57" s="76"/>
      <c r="FLC57" s="76"/>
      <c r="FLD57" s="76"/>
      <c r="FLE57" s="76"/>
      <c r="FLF57" s="76"/>
      <c r="FLG57" s="76"/>
      <c r="FLH57" s="76"/>
      <c r="FLI57" s="76"/>
      <c r="FLJ57" s="76"/>
      <c r="FLK57" s="76"/>
      <c r="FLL57" s="76"/>
      <c r="FLM57" s="76"/>
      <c r="FLN57" s="76"/>
      <c r="FLO57" s="76"/>
      <c r="FLP57" s="76"/>
      <c r="FLQ57" s="76"/>
      <c r="FLR57" s="76"/>
      <c r="FLS57" s="76"/>
      <c r="FLT57" s="76"/>
      <c r="FLU57" s="76"/>
      <c r="FLV57" s="76"/>
      <c r="FLW57" s="76"/>
      <c r="FLX57" s="76"/>
      <c r="FLY57" s="76"/>
      <c r="FLZ57" s="76"/>
      <c r="FMA57" s="76"/>
      <c r="FMB57" s="76"/>
      <c r="FMC57" s="76"/>
      <c r="FMD57" s="76"/>
      <c r="FME57" s="76"/>
      <c r="FMF57" s="76"/>
      <c r="FMG57" s="76"/>
      <c r="FMH57" s="76"/>
      <c r="FMI57" s="76"/>
      <c r="FMJ57" s="76"/>
      <c r="FMK57" s="76"/>
      <c r="FML57" s="76"/>
      <c r="FMM57" s="76"/>
      <c r="FMN57" s="76"/>
      <c r="FMO57" s="76"/>
      <c r="FMP57" s="76"/>
      <c r="FMQ57" s="76"/>
      <c r="FMR57" s="76"/>
      <c r="FMS57" s="76"/>
      <c r="FMT57" s="76"/>
      <c r="FMU57" s="76"/>
      <c r="FMV57" s="76"/>
      <c r="FMW57" s="76"/>
      <c r="FMX57" s="76"/>
      <c r="FMY57" s="76"/>
      <c r="FMZ57" s="76"/>
      <c r="FNA57" s="76"/>
      <c r="FNB57" s="76"/>
      <c r="FNC57" s="76"/>
      <c r="FND57" s="76"/>
      <c r="FNE57" s="76"/>
      <c r="FNF57" s="76"/>
      <c r="FNG57" s="76"/>
      <c r="FNH57" s="76"/>
      <c r="FNI57" s="76"/>
      <c r="FNJ57" s="76"/>
      <c r="FNK57" s="76"/>
      <c r="FNL57" s="76"/>
      <c r="FNM57" s="76"/>
      <c r="FNN57" s="76"/>
      <c r="FNO57" s="76"/>
      <c r="FNP57" s="76"/>
      <c r="FNQ57" s="76"/>
      <c r="FNR57" s="76"/>
      <c r="FNS57" s="76"/>
      <c r="FNT57" s="76"/>
      <c r="FNU57" s="76"/>
      <c r="FNV57" s="76"/>
      <c r="FNW57" s="76"/>
      <c r="FNX57" s="76"/>
      <c r="FNY57" s="76"/>
      <c r="FNZ57" s="76"/>
      <c r="FOA57" s="76"/>
      <c r="FOB57" s="76"/>
      <c r="FOC57" s="76"/>
      <c r="FOD57" s="76"/>
      <c r="FOE57" s="76"/>
      <c r="FOF57" s="76"/>
      <c r="FOG57" s="76"/>
      <c r="FOH57" s="76"/>
      <c r="FOI57" s="76"/>
      <c r="FOJ57" s="76"/>
      <c r="FOK57" s="76"/>
      <c r="FOL57" s="76"/>
      <c r="FOM57" s="76"/>
      <c r="FON57" s="76"/>
      <c r="FOO57" s="76"/>
      <c r="FOP57" s="76"/>
      <c r="FOQ57" s="76"/>
      <c r="FOR57" s="76"/>
      <c r="FOS57" s="76"/>
      <c r="FOT57" s="76"/>
      <c r="FOU57" s="76"/>
      <c r="FOV57" s="76"/>
      <c r="FOW57" s="76"/>
      <c r="FOX57" s="76"/>
      <c r="FOY57" s="76"/>
      <c r="FOZ57" s="76"/>
      <c r="FPA57" s="76"/>
      <c r="FPB57" s="76"/>
      <c r="FPC57" s="76"/>
      <c r="FPD57" s="76"/>
      <c r="FPE57" s="76"/>
      <c r="FPF57" s="76"/>
      <c r="FPG57" s="76"/>
      <c r="FPH57" s="76"/>
      <c r="FPI57" s="76"/>
      <c r="FPJ57" s="76"/>
      <c r="FPK57" s="76"/>
      <c r="FPL57" s="76"/>
      <c r="FPM57" s="76"/>
      <c r="FPN57" s="76"/>
      <c r="FPO57" s="76"/>
      <c r="FPP57" s="76"/>
      <c r="FPQ57" s="76"/>
      <c r="FPR57" s="76"/>
      <c r="FPS57" s="76"/>
      <c r="FPT57" s="76"/>
      <c r="FPU57" s="76"/>
      <c r="FPV57" s="76"/>
      <c r="FPW57" s="76"/>
      <c r="FPX57" s="76"/>
      <c r="FPY57" s="76"/>
      <c r="FPZ57" s="76"/>
      <c r="FQA57" s="76"/>
      <c r="FQB57" s="76"/>
      <c r="FQC57" s="76"/>
      <c r="FQD57" s="76"/>
      <c r="FQE57" s="76"/>
      <c r="FQF57" s="76"/>
      <c r="FQG57" s="76"/>
      <c r="FQH57" s="76"/>
      <c r="FQI57" s="76"/>
      <c r="FQJ57" s="76"/>
      <c r="FQK57" s="76"/>
      <c r="FQL57" s="76"/>
      <c r="FQM57" s="76"/>
      <c r="FQN57" s="76"/>
      <c r="FQO57" s="76"/>
      <c r="FQP57" s="76"/>
      <c r="FQQ57" s="76"/>
      <c r="FQR57" s="76"/>
      <c r="FQS57" s="76"/>
      <c r="FQT57" s="76"/>
      <c r="FQU57" s="76"/>
      <c r="FQV57" s="76"/>
      <c r="FQW57" s="76"/>
      <c r="FQX57" s="76"/>
      <c r="FQY57" s="76"/>
      <c r="FQZ57" s="76"/>
      <c r="FRA57" s="76"/>
      <c r="FRB57" s="76"/>
      <c r="FRC57" s="76"/>
      <c r="FRD57" s="76"/>
      <c r="FRE57" s="76"/>
      <c r="FRF57" s="76"/>
      <c r="FRG57" s="76"/>
      <c r="FRH57" s="76"/>
      <c r="FRI57" s="76"/>
      <c r="FRJ57" s="76"/>
      <c r="FRK57" s="76"/>
      <c r="FRL57" s="76"/>
      <c r="FRM57" s="76"/>
      <c r="FRN57" s="76"/>
      <c r="FRO57" s="76"/>
      <c r="FRP57" s="76"/>
      <c r="FRQ57" s="76"/>
      <c r="FRR57" s="76"/>
      <c r="FRS57" s="76"/>
      <c r="FRT57" s="76"/>
      <c r="FRU57" s="76"/>
      <c r="FRV57" s="76"/>
      <c r="FRW57" s="76"/>
      <c r="FRX57" s="76"/>
      <c r="FRY57" s="76"/>
      <c r="FRZ57" s="76"/>
      <c r="FSA57" s="76"/>
      <c r="FSB57" s="76"/>
      <c r="FSC57" s="76"/>
      <c r="FSD57" s="76"/>
      <c r="FSE57" s="76"/>
      <c r="FSF57" s="76"/>
      <c r="FSG57" s="76"/>
      <c r="FSH57" s="76"/>
      <c r="FSI57" s="76"/>
      <c r="FSJ57" s="76"/>
      <c r="FSK57" s="76"/>
      <c r="FSL57" s="76"/>
      <c r="FSM57" s="76"/>
      <c r="FSN57" s="76"/>
      <c r="FSO57" s="76"/>
      <c r="FSP57" s="76"/>
      <c r="FSQ57" s="76"/>
      <c r="FSR57" s="76"/>
      <c r="FSS57" s="76"/>
      <c r="FST57" s="76"/>
      <c r="FSU57" s="76"/>
      <c r="FSV57" s="76"/>
      <c r="FSW57" s="76"/>
      <c r="FSX57" s="76"/>
      <c r="FSY57" s="76"/>
      <c r="FSZ57" s="76"/>
      <c r="FTA57" s="76"/>
      <c r="FTB57" s="76"/>
      <c r="FTC57" s="76"/>
      <c r="FTD57" s="76"/>
      <c r="FTE57" s="76"/>
      <c r="FTF57" s="76"/>
      <c r="FTG57" s="76"/>
      <c r="FTH57" s="76"/>
      <c r="FTI57" s="76"/>
      <c r="FTJ57" s="76"/>
      <c r="FTK57" s="76"/>
      <c r="FTL57" s="76"/>
      <c r="FTM57" s="76"/>
      <c r="FTN57" s="76"/>
      <c r="FTO57" s="76"/>
      <c r="FTP57" s="76"/>
      <c r="FTQ57" s="76"/>
      <c r="FTR57" s="76"/>
      <c r="FTS57" s="76"/>
      <c r="FTT57" s="76"/>
      <c r="FTU57" s="76"/>
      <c r="FTV57" s="76"/>
      <c r="FTW57" s="76"/>
      <c r="FTX57" s="76"/>
      <c r="FTY57" s="76"/>
      <c r="FTZ57" s="76"/>
      <c r="FUA57" s="76"/>
      <c r="FUB57" s="76"/>
      <c r="FUC57" s="76"/>
      <c r="FUD57" s="76"/>
      <c r="FUE57" s="76"/>
      <c r="FUF57" s="76"/>
      <c r="FUG57" s="76"/>
      <c r="FUH57" s="76"/>
      <c r="FUI57" s="76"/>
      <c r="FUJ57" s="76"/>
      <c r="FUK57" s="76"/>
      <c r="FUL57" s="76"/>
      <c r="FUM57" s="76"/>
      <c r="FUN57" s="76"/>
      <c r="FUO57" s="76"/>
      <c r="FUP57" s="76"/>
      <c r="FUQ57" s="76"/>
      <c r="FUR57" s="76"/>
      <c r="FUS57" s="76"/>
      <c r="FUT57" s="76"/>
      <c r="FUU57" s="76"/>
      <c r="FUV57" s="76"/>
      <c r="FUW57" s="76"/>
      <c r="FUX57" s="76"/>
      <c r="FUY57" s="76"/>
      <c r="FUZ57" s="76"/>
      <c r="FVA57" s="76"/>
      <c r="FVB57" s="76"/>
      <c r="FVC57" s="76"/>
      <c r="FVD57" s="76"/>
      <c r="FVE57" s="76"/>
      <c r="FVF57" s="76"/>
      <c r="FVG57" s="76"/>
      <c r="FVH57" s="76"/>
      <c r="FVI57" s="76"/>
      <c r="FVJ57" s="76"/>
      <c r="FVK57" s="76"/>
      <c r="FVL57" s="76"/>
      <c r="FVM57" s="76"/>
      <c r="FVN57" s="76"/>
      <c r="FVO57" s="76"/>
      <c r="FVP57" s="76"/>
      <c r="FVQ57" s="76"/>
      <c r="FVR57" s="76"/>
      <c r="FVS57" s="76"/>
      <c r="FVT57" s="76"/>
      <c r="FVU57" s="76"/>
      <c r="FVV57" s="76"/>
      <c r="FVW57" s="76"/>
      <c r="FVX57" s="76"/>
      <c r="FVY57" s="76"/>
      <c r="FVZ57" s="76"/>
      <c r="FWA57" s="76"/>
      <c r="FWB57" s="76"/>
      <c r="FWC57" s="76"/>
      <c r="FWD57" s="76"/>
      <c r="FWE57" s="76"/>
      <c r="FWF57" s="76"/>
      <c r="FWG57" s="76"/>
      <c r="FWH57" s="76"/>
      <c r="FWI57" s="76"/>
      <c r="FWJ57" s="76"/>
      <c r="FWK57" s="76"/>
      <c r="FWL57" s="76"/>
      <c r="FWM57" s="76"/>
      <c r="FWN57" s="76"/>
      <c r="FWO57" s="76"/>
      <c r="FWP57" s="76"/>
      <c r="FWQ57" s="76"/>
      <c r="FWR57" s="76"/>
      <c r="FWS57" s="76"/>
      <c r="FWT57" s="76"/>
      <c r="FWU57" s="76"/>
      <c r="FWV57" s="76"/>
      <c r="FWW57" s="76"/>
      <c r="FWX57" s="76"/>
      <c r="FWY57" s="76"/>
      <c r="FWZ57" s="76"/>
      <c r="FXA57" s="76"/>
      <c r="FXB57" s="76"/>
      <c r="FXC57" s="76"/>
      <c r="FXD57" s="76"/>
      <c r="FXE57" s="76"/>
      <c r="FXF57" s="76"/>
      <c r="FXG57" s="76"/>
      <c r="FXH57" s="76"/>
      <c r="FXI57" s="76"/>
      <c r="FXJ57" s="76"/>
      <c r="FXK57" s="76"/>
      <c r="FXL57" s="76"/>
      <c r="FXM57" s="76"/>
      <c r="FXN57" s="76"/>
      <c r="FXO57" s="76"/>
      <c r="FXP57" s="76"/>
      <c r="FXQ57" s="76"/>
      <c r="FXR57" s="76"/>
      <c r="FXS57" s="76"/>
      <c r="FXT57" s="76"/>
      <c r="FXU57" s="76"/>
      <c r="FXV57" s="76"/>
      <c r="FXW57" s="76"/>
      <c r="FXX57" s="76"/>
      <c r="FXY57" s="76"/>
      <c r="FXZ57" s="76"/>
      <c r="FYA57" s="76"/>
      <c r="FYB57" s="76"/>
      <c r="FYC57" s="76"/>
      <c r="FYD57" s="76"/>
      <c r="FYE57" s="76"/>
      <c r="FYF57" s="76"/>
      <c r="FYG57" s="76"/>
      <c r="FYH57" s="76"/>
      <c r="FYI57" s="76"/>
      <c r="FYJ57" s="76"/>
      <c r="FYK57" s="76"/>
      <c r="FYL57" s="76"/>
      <c r="FYM57" s="76"/>
      <c r="FYN57" s="76"/>
      <c r="FYO57" s="76"/>
      <c r="FYP57" s="76"/>
      <c r="FYQ57" s="76"/>
      <c r="FYR57" s="76"/>
      <c r="FYS57" s="76"/>
      <c r="FYT57" s="76"/>
      <c r="FYU57" s="76"/>
      <c r="FYV57" s="76"/>
      <c r="FYW57" s="76"/>
      <c r="FYX57" s="76"/>
      <c r="FYY57" s="76"/>
      <c r="FYZ57" s="76"/>
      <c r="FZA57" s="76"/>
      <c r="FZB57" s="76"/>
      <c r="FZC57" s="76"/>
      <c r="FZD57" s="76"/>
      <c r="FZE57" s="76"/>
      <c r="FZF57" s="76"/>
      <c r="FZG57" s="76"/>
      <c r="FZH57" s="76"/>
      <c r="FZI57" s="76"/>
      <c r="FZJ57" s="76"/>
      <c r="FZK57" s="76"/>
      <c r="FZL57" s="76"/>
      <c r="FZM57" s="76"/>
      <c r="FZN57" s="76"/>
      <c r="FZO57" s="76"/>
      <c r="FZP57" s="76"/>
      <c r="FZQ57" s="76"/>
      <c r="FZR57" s="76"/>
      <c r="FZS57" s="76"/>
      <c r="FZT57" s="76"/>
      <c r="FZU57" s="76"/>
      <c r="FZV57" s="76"/>
      <c r="FZW57" s="76"/>
      <c r="FZX57" s="76"/>
      <c r="FZY57" s="76"/>
      <c r="FZZ57" s="76"/>
      <c r="GAA57" s="76"/>
      <c r="GAB57" s="76"/>
      <c r="GAC57" s="76"/>
      <c r="GAD57" s="76"/>
      <c r="GAE57" s="76"/>
      <c r="GAF57" s="76"/>
      <c r="GAG57" s="76"/>
      <c r="GAH57" s="76"/>
      <c r="GAI57" s="76"/>
      <c r="GAJ57" s="76"/>
      <c r="GAK57" s="76"/>
      <c r="GAL57" s="76"/>
      <c r="GAM57" s="76"/>
      <c r="GAN57" s="76"/>
      <c r="GAO57" s="76"/>
      <c r="GAP57" s="76"/>
      <c r="GAQ57" s="76"/>
      <c r="GAR57" s="76"/>
      <c r="GAS57" s="76"/>
      <c r="GAT57" s="76"/>
      <c r="GAU57" s="76"/>
      <c r="GAV57" s="76"/>
      <c r="GAW57" s="76"/>
      <c r="GAX57" s="76"/>
      <c r="GAY57" s="76"/>
      <c r="GAZ57" s="76"/>
      <c r="GBA57" s="76"/>
      <c r="GBB57" s="76"/>
      <c r="GBC57" s="76"/>
      <c r="GBD57" s="76"/>
      <c r="GBE57" s="76"/>
      <c r="GBF57" s="76"/>
      <c r="GBG57" s="76"/>
      <c r="GBH57" s="76"/>
      <c r="GBI57" s="76"/>
      <c r="GBJ57" s="76"/>
      <c r="GBK57" s="76"/>
      <c r="GBL57" s="76"/>
      <c r="GBM57" s="76"/>
      <c r="GBN57" s="76"/>
      <c r="GBO57" s="76"/>
      <c r="GBP57" s="76"/>
      <c r="GBQ57" s="76"/>
      <c r="GBR57" s="76"/>
      <c r="GBS57" s="76"/>
      <c r="GBT57" s="76"/>
      <c r="GBU57" s="76"/>
      <c r="GBV57" s="76"/>
      <c r="GBW57" s="76"/>
      <c r="GBX57" s="76"/>
      <c r="GBY57" s="76"/>
      <c r="GBZ57" s="76"/>
      <c r="GCA57" s="76"/>
      <c r="GCB57" s="76"/>
      <c r="GCC57" s="76"/>
      <c r="GCD57" s="76"/>
      <c r="GCE57" s="76"/>
      <c r="GCF57" s="76"/>
      <c r="GCG57" s="76"/>
      <c r="GCH57" s="76"/>
      <c r="GCI57" s="76"/>
      <c r="GCJ57" s="76"/>
      <c r="GCK57" s="76"/>
      <c r="GCL57" s="76"/>
      <c r="GCM57" s="76"/>
      <c r="GCN57" s="76"/>
      <c r="GCO57" s="76"/>
      <c r="GCP57" s="76"/>
      <c r="GCQ57" s="76"/>
      <c r="GCR57" s="76"/>
      <c r="GCS57" s="76"/>
      <c r="GCT57" s="76"/>
      <c r="GCU57" s="76"/>
      <c r="GCV57" s="76"/>
      <c r="GCW57" s="76"/>
      <c r="GCX57" s="76"/>
      <c r="GCY57" s="76"/>
      <c r="GCZ57" s="76"/>
      <c r="GDA57" s="76"/>
      <c r="GDB57" s="76"/>
      <c r="GDC57" s="76"/>
      <c r="GDD57" s="76"/>
      <c r="GDE57" s="76"/>
      <c r="GDF57" s="76"/>
      <c r="GDG57" s="76"/>
      <c r="GDH57" s="76"/>
      <c r="GDI57" s="76"/>
      <c r="GDJ57" s="76"/>
      <c r="GDK57" s="76"/>
      <c r="GDL57" s="76"/>
      <c r="GDM57" s="76"/>
      <c r="GDN57" s="76"/>
      <c r="GDO57" s="76"/>
      <c r="GDP57" s="76"/>
      <c r="GDQ57" s="76"/>
      <c r="GDR57" s="76"/>
      <c r="GDS57" s="76"/>
      <c r="GDT57" s="76"/>
      <c r="GDU57" s="76"/>
      <c r="GDV57" s="76"/>
      <c r="GDW57" s="76"/>
      <c r="GDX57" s="76"/>
      <c r="GDY57" s="76"/>
      <c r="GDZ57" s="76"/>
      <c r="GEA57" s="76"/>
      <c r="GEB57" s="76"/>
      <c r="GEC57" s="76"/>
      <c r="GED57" s="76"/>
      <c r="GEE57" s="76"/>
      <c r="GEF57" s="76"/>
      <c r="GEG57" s="76"/>
      <c r="GEH57" s="76"/>
      <c r="GEI57" s="76"/>
      <c r="GEJ57" s="76"/>
      <c r="GEK57" s="76"/>
      <c r="GEL57" s="76"/>
      <c r="GEM57" s="76"/>
      <c r="GEN57" s="76"/>
      <c r="GEO57" s="76"/>
      <c r="GEP57" s="76"/>
      <c r="GEQ57" s="76"/>
      <c r="GER57" s="76"/>
      <c r="GES57" s="76"/>
      <c r="GET57" s="76"/>
      <c r="GEU57" s="76"/>
      <c r="GEV57" s="76"/>
      <c r="GEW57" s="76"/>
      <c r="GEX57" s="76"/>
      <c r="GEY57" s="76"/>
      <c r="GEZ57" s="76"/>
      <c r="GFA57" s="76"/>
      <c r="GFB57" s="76"/>
      <c r="GFC57" s="76"/>
      <c r="GFD57" s="76"/>
      <c r="GFE57" s="76"/>
      <c r="GFF57" s="76"/>
      <c r="GFG57" s="76"/>
      <c r="GFH57" s="76"/>
      <c r="GFI57" s="76"/>
      <c r="GFJ57" s="76"/>
      <c r="GFK57" s="76"/>
      <c r="GFL57" s="76"/>
      <c r="GFM57" s="76"/>
      <c r="GFN57" s="76"/>
      <c r="GFO57" s="76"/>
      <c r="GFP57" s="76"/>
      <c r="GFQ57" s="76"/>
      <c r="GFR57" s="76"/>
      <c r="GFS57" s="76"/>
      <c r="GFT57" s="76"/>
      <c r="GFU57" s="76"/>
      <c r="GFV57" s="76"/>
      <c r="GFW57" s="76"/>
      <c r="GFX57" s="76"/>
      <c r="GFY57" s="76"/>
      <c r="GFZ57" s="76"/>
      <c r="GGA57" s="76"/>
      <c r="GGB57" s="76"/>
      <c r="GGC57" s="76"/>
      <c r="GGD57" s="76"/>
      <c r="GGE57" s="76"/>
      <c r="GGF57" s="76"/>
      <c r="GGG57" s="76"/>
      <c r="GGH57" s="76"/>
      <c r="GGI57" s="76"/>
      <c r="GGJ57" s="76"/>
      <c r="GGK57" s="76"/>
      <c r="GGL57" s="76"/>
      <c r="GGM57" s="76"/>
      <c r="GGN57" s="76"/>
      <c r="GGO57" s="76"/>
      <c r="GGP57" s="76"/>
      <c r="GGQ57" s="76"/>
      <c r="GGR57" s="76"/>
      <c r="GGS57" s="76"/>
      <c r="GGT57" s="76"/>
      <c r="GGU57" s="76"/>
      <c r="GGV57" s="76"/>
      <c r="GGW57" s="76"/>
      <c r="GGX57" s="76"/>
      <c r="GGY57" s="76"/>
      <c r="GGZ57" s="76"/>
      <c r="GHA57" s="76"/>
      <c r="GHB57" s="76"/>
      <c r="GHC57" s="76"/>
      <c r="GHD57" s="76"/>
      <c r="GHE57" s="76"/>
      <c r="GHF57" s="76"/>
      <c r="GHG57" s="76"/>
      <c r="GHH57" s="76"/>
      <c r="GHI57" s="76"/>
      <c r="GHJ57" s="76"/>
      <c r="GHK57" s="76"/>
      <c r="GHL57" s="76"/>
      <c r="GHM57" s="76"/>
      <c r="GHN57" s="76"/>
      <c r="GHO57" s="76"/>
      <c r="GHP57" s="76"/>
      <c r="GHQ57" s="76"/>
      <c r="GHR57" s="76"/>
      <c r="GHS57" s="76"/>
      <c r="GHT57" s="76"/>
      <c r="GHU57" s="76"/>
      <c r="GHV57" s="76"/>
      <c r="GHW57" s="76"/>
      <c r="GHX57" s="76"/>
      <c r="GHY57" s="76"/>
      <c r="GHZ57" s="76"/>
      <c r="GIA57" s="76"/>
      <c r="GIB57" s="76"/>
      <c r="GIC57" s="76"/>
      <c r="GID57" s="76"/>
      <c r="GIE57" s="76"/>
      <c r="GIF57" s="76"/>
      <c r="GIG57" s="76"/>
      <c r="GIH57" s="76"/>
      <c r="GII57" s="76"/>
      <c r="GIJ57" s="76"/>
      <c r="GIK57" s="76"/>
      <c r="GIL57" s="76"/>
      <c r="GIM57" s="76"/>
      <c r="GIN57" s="76"/>
      <c r="GIO57" s="76"/>
      <c r="GIP57" s="76"/>
      <c r="GIQ57" s="76"/>
      <c r="GIR57" s="76"/>
      <c r="GIS57" s="76"/>
      <c r="GIT57" s="76"/>
      <c r="GIU57" s="76"/>
      <c r="GIV57" s="76"/>
      <c r="GIW57" s="76"/>
      <c r="GIX57" s="76"/>
      <c r="GIY57" s="76"/>
      <c r="GIZ57" s="76"/>
      <c r="GJA57" s="76"/>
      <c r="GJB57" s="76"/>
      <c r="GJC57" s="76"/>
      <c r="GJD57" s="76"/>
      <c r="GJE57" s="76"/>
      <c r="GJF57" s="76"/>
      <c r="GJG57" s="76"/>
      <c r="GJH57" s="76"/>
      <c r="GJI57" s="76"/>
      <c r="GJJ57" s="76"/>
      <c r="GJK57" s="76"/>
      <c r="GJL57" s="76"/>
      <c r="GJM57" s="76"/>
      <c r="GJN57" s="76"/>
      <c r="GJO57" s="76"/>
      <c r="GJP57" s="76"/>
      <c r="GJQ57" s="76"/>
      <c r="GJR57" s="76"/>
      <c r="GJS57" s="76"/>
      <c r="GJT57" s="76"/>
      <c r="GJU57" s="76"/>
      <c r="GJV57" s="76"/>
      <c r="GJW57" s="76"/>
      <c r="GJX57" s="76"/>
      <c r="GJY57" s="76"/>
      <c r="GJZ57" s="76"/>
      <c r="GKA57" s="76"/>
      <c r="GKB57" s="76"/>
      <c r="GKC57" s="76"/>
      <c r="GKD57" s="76"/>
      <c r="GKE57" s="76"/>
      <c r="GKF57" s="76"/>
      <c r="GKG57" s="76"/>
      <c r="GKH57" s="76"/>
      <c r="GKI57" s="76"/>
      <c r="GKJ57" s="76"/>
      <c r="GKK57" s="76"/>
      <c r="GKL57" s="76"/>
      <c r="GKM57" s="76"/>
      <c r="GKN57" s="76"/>
      <c r="GKO57" s="76"/>
      <c r="GKP57" s="76"/>
      <c r="GKQ57" s="76"/>
      <c r="GKR57" s="76"/>
      <c r="GKS57" s="76"/>
      <c r="GKT57" s="76"/>
      <c r="GKU57" s="76"/>
      <c r="GKV57" s="76"/>
      <c r="GKW57" s="76"/>
      <c r="GKX57" s="76"/>
      <c r="GKY57" s="76"/>
      <c r="GKZ57" s="76"/>
      <c r="GLA57" s="76"/>
      <c r="GLB57" s="76"/>
      <c r="GLC57" s="76"/>
      <c r="GLD57" s="76"/>
      <c r="GLE57" s="76"/>
      <c r="GLF57" s="76"/>
      <c r="GLG57" s="76"/>
      <c r="GLH57" s="76"/>
      <c r="GLI57" s="76"/>
      <c r="GLJ57" s="76"/>
      <c r="GLK57" s="76"/>
      <c r="GLL57" s="76"/>
      <c r="GLM57" s="76"/>
      <c r="GLN57" s="76"/>
      <c r="GLO57" s="76"/>
      <c r="GLP57" s="76"/>
      <c r="GLQ57" s="76"/>
      <c r="GLR57" s="76"/>
      <c r="GLS57" s="76"/>
      <c r="GLT57" s="76"/>
      <c r="GLU57" s="76"/>
      <c r="GLV57" s="76"/>
      <c r="GLW57" s="76"/>
      <c r="GLX57" s="76"/>
      <c r="GLY57" s="76"/>
      <c r="GLZ57" s="76"/>
      <c r="GMA57" s="76"/>
      <c r="GMB57" s="76"/>
      <c r="GMC57" s="76"/>
      <c r="GMD57" s="76"/>
      <c r="GME57" s="76"/>
      <c r="GMF57" s="76"/>
      <c r="GMG57" s="76"/>
      <c r="GMH57" s="76"/>
      <c r="GMI57" s="76"/>
      <c r="GMJ57" s="76"/>
      <c r="GMK57" s="76"/>
      <c r="GML57" s="76"/>
      <c r="GMM57" s="76"/>
      <c r="GMN57" s="76"/>
      <c r="GMO57" s="76"/>
      <c r="GMP57" s="76"/>
      <c r="GMQ57" s="76"/>
      <c r="GMR57" s="76"/>
      <c r="GMS57" s="76"/>
      <c r="GMT57" s="76"/>
      <c r="GMU57" s="76"/>
      <c r="GMV57" s="76"/>
      <c r="GMW57" s="76"/>
      <c r="GMX57" s="76"/>
      <c r="GMY57" s="76"/>
      <c r="GMZ57" s="76"/>
      <c r="GNA57" s="76"/>
      <c r="GNB57" s="76"/>
      <c r="GNC57" s="76"/>
      <c r="GND57" s="76"/>
      <c r="GNE57" s="76"/>
      <c r="GNF57" s="76"/>
      <c r="GNG57" s="76"/>
      <c r="GNH57" s="76"/>
      <c r="GNI57" s="76"/>
      <c r="GNJ57" s="76"/>
      <c r="GNK57" s="76"/>
      <c r="GNL57" s="76"/>
      <c r="GNM57" s="76"/>
      <c r="GNN57" s="76"/>
      <c r="GNO57" s="76"/>
      <c r="GNP57" s="76"/>
      <c r="GNQ57" s="76"/>
      <c r="GNR57" s="76"/>
      <c r="GNS57" s="76"/>
      <c r="GNT57" s="76"/>
      <c r="GNU57" s="76"/>
      <c r="GNV57" s="76"/>
      <c r="GNW57" s="76"/>
      <c r="GNX57" s="76"/>
      <c r="GNY57" s="76"/>
      <c r="GNZ57" s="76"/>
      <c r="GOA57" s="76"/>
      <c r="GOB57" s="76"/>
      <c r="GOC57" s="76"/>
      <c r="GOD57" s="76"/>
      <c r="GOE57" s="76"/>
      <c r="GOF57" s="76"/>
      <c r="GOG57" s="76"/>
      <c r="GOH57" s="76"/>
      <c r="GOI57" s="76"/>
      <c r="GOJ57" s="76"/>
      <c r="GOK57" s="76"/>
      <c r="GOL57" s="76"/>
      <c r="GOM57" s="76"/>
      <c r="GON57" s="76"/>
      <c r="GOO57" s="76"/>
      <c r="GOP57" s="76"/>
      <c r="GOQ57" s="76"/>
      <c r="GOR57" s="76"/>
      <c r="GOS57" s="76"/>
      <c r="GOT57" s="76"/>
      <c r="GOU57" s="76"/>
      <c r="GOV57" s="76"/>
      <c r="GOW57" s="76"/>
      <c r="GOX57" s="76"/>
      <c r="GOY57" s="76"/>
      <c r="GOZ57" s="76"/>
      <c r="GPA57" s="76"/>
      <c r="GPB57" s="76"/>
      <c r="GPC57" s="76"/>
      <c r="GPD57" s="76"/>
      <c r="GPE57" s="76"/>
      <c r="GPF57" s="76"/>
      <c r="GPG57" s="76"/>
      <c r="GPH57" s="76"/>
      <c r="GPI57" s="76"/>
      <c r="GPJ57" s="76"/>
      <c r="GPK57" s="76"/>
      <c r="GPL57" s="76"/>
      <c r="GPM57" s="76"/>
      <c r="GPN57" s="76"/>
      <c r="GPO57" s="76"/>
      <c r="GPP57" s="76"/>
      <c r="GPQ57" s="76"/>
      <c r="GPR57" s="76"/>
      <c r="GPS57" s="76"/>
      <c r="GPT57" s="76"/>
      <c r="GPU57" s="76"/>
      <c r="GPV57" s="76"/>
      <c r="GPW57" s="76"/>
      <c r="GPX57" s="76"/>
      <c r="GPY57" s="76"/>
      <c r="GPZ57" s="76"/>
      <c r="GQA57" s="76"/>
      <c r="GQB57" s="76"/>
      <c r="GQC57" s="76"/>
      <c r="GQD57" s="76"/>
      <c r="GQE57" s="76"/>
      <c r="GQF57" s="76"/>
      <c r="GQG57" s="76"/>
      <c r="GQH57" s="76"/>
      <c r="GQI57" s="76"/>
      <c r="GQJ57" s="76"/>
      <c r="GQK57" s="76"/>
      <c r="GQL57" s="76"/>
      <c r="GQM57" s="76"/>
      <c r="GQN57" s="76"/>
      <c r="GQO57" s="76"/>
      <c r="GQP57" s="76"/>
      <c r="GQQ57" s="76"/>
      <c r="GQR57" s="76"/>
      <c r="GQS57" s="76"/>
      <c r="GQT57" s="76"/>
      <c r="GQU57" s="76"/>
      <c r="GQV57" s="76"/>
      <c r="GQW57" s="76"/>
      <c r="GQX57" s="76"/>
      <c r="GQY57" s="76"/>
      <c r="GQZ57" s="76"/>
      <c r="GRA57" s="76"/>
      <c r="GRB57" s="76"/>
      <c r="GRC57" s="76"/>
      <c r="GRD57" s="76"/>
      <c r="GRE57" s="76"/>
      <c r="GRF57" s="76"/>
      <c r="GRG57" s="76"/>
      <c r="GRH57" s="76"/>
      <c r="GRI57" s="76"/>
      <c r="GRJ57" s="76"/>
      <c r="GRK57" s="76"/>
      <c r="GRL57" s="76"/>
      <c r="GRM57" s="76"/>
      <c r="GRN57" s="76"/>
      <c r="GRO57" s="76"/>
      <c r="GRP57" s="76"/>
      <c r="GRQ57" s="76"/>
      <c r="GRR57" s="76"/>
      <c r="GRS57" s="76"/>
      <c r="GRT57" s="76"/>
      <c r="GRU57" s="76"/>
      <c r="GRV57" s="76"/>
      <c r="GRW57" s="76"/>
      <c r="GRX57" s="76"/>
      <c r="GRY57" s="76"/>
      <c r="GRZ57" s="76"/>
      <c r="GSA57" s="76"/>
      <c r="GSB57" s="76"/>
      <c r="GSC57" s="76"/>
      <c r="GSD57" s="76"/>
      <c r="GSE57" s="76"/>
      <c r="GSF57" s="76"/>
      <c r="GSG57" s="76"/>
      <c r="GSH57" s="76"/>
      <c r="GSI57" s="76"/>
      <c r="GSJ57" s="76"/>
      <c r="GSK57" s="76"/>
      <c r="GSL57" s="76"/>
      <c r="GSM57" s="76"/>
      <c r="GSN57" s="76"/>
      <c r="GSO57" s="76"/>
      <c r="GSP57" s="76"/>
      <c r="GSQ57" s="76"/>
      <c r="GSR57" s="76"/>
      <c r="GSS57" s="76"/>
      <c r="GST57" s="76"/>
      <c r="GSU57" s="76"/>
      <c r="GSV57" s="76"/>
      <c r="GSW57" s="76"/>
      <c r="GSX57" s="76"/>
      <c r="GSY57" s="76"/>
      <c r="GSZ57" s="76"/>
      <c r="GTA57" s="76"/>
      <c r="GTB57" s="76"/>
      <c r="GTC57" s="76"/>
      <c r="GTD57" s="76"/>
      <c r="GTE57" s="76"/>
      <c r="GTF57" s="76"/>
      <c r="GTG57" s="76"/>
      <c r="GTH57" s="76"/>
      <c r="GTI57" s="76"/>
      <c r="GTJ57" s="76"/>
      <c r="GTK57" s="76"/>
      <c r="GTL57" s="76"/>
      <c r="GTM57" s="76"/>
      <c r="GTN57" s="76"/>
      <c r="GTO57" s="76"/>
      <c r="GTP57" s="76"/>
      <c r="GTQ57" s="76"/>
      <c r="GTR57" s="76"/>
      <c r="GTS57" s="76"/>
      <c r="GTT57" s="76"/>
      <c r="GTU57" s="76"/>
      <c r="GTV57" s="76"/>
      <c r="GTW57" s="76"/>
      <c r="GTX57" s="76"/>
      <c r="GTY57" s="76"/>
      <c r="GTZ57" s="76"/>
      <c r="GUA57" s="76"/>
      <c r="GUB57" s="76"/>
      <c r="GUC57" s="76"/>
      <c r="GUD57" s="76"/>
      <c r="GUE57" s="76"/>
      <c r="GUF57" s="76"/>
      <c r="GUG57" s="76"/>
      <c r="GUH57" s="76"/>
      <c r="GUI57" s="76"/>
      <c r="GUJ57" s="76"/>
      <c r="GUK57" s="76"/>
      <c r="GUL57" s="76"/>
      <c r="GUM57" s="76"/>
      <c r="GUN57" s="76"/>
      <c r="GUO57" s="76"/>
      <c r="GUP57" s="76"/>
      <c r="GUQ57" s="76"/>
      <c r="GUR57" s="76"/>
      <c r="GUS57" s="76"/>
      <c r="GUT57" s="76"/>
      <c r="GUU57" s="76"/>
      <c r="GUV57" s="76"/>
      <c r="GUW57" s="76"/>
      <c r="GUX57" s="76"/>
      <c r="GUY57" s="76"/>
      <c r="GUZ57" s="76"/>
      <c r="GVA57" s="76"/>
      <c r="GVB57" s="76"/>
      <c r="GVC57" s="76"/>
      <c r="GVD57" s="76"/>
      <c r="GVE57" s="76"/>
      <c r="GVF57" s="76"/>
      <c r="GVG57" s="76"/>
      <c r="GVH57" s="76"/>
      <c r="GVI57" s="76"/>
      <c r="GVJ57" s="76"/>
      <c r="GVK57" s="76"/>
      <c r="GVL57" s="76"/>
      <c r="GVM57" s="76"/>
      <c r="GVN57" s="76"/>
      <c r="GVO57" s="76"/>
      <c r="GVP57" s="76"/>
      <c r="GVQ57" s="76"/>
      <c r="GVR57" s="76"/>
      <c r="GVS57" s="76"/>
      <c r="GVT57" s="76"/>
      <c r="GVU57" s="76"/>
      <c r="GVV57" s="76"/>
      <c r="GVW57" s="76"/>
      <c r="GVX57" s="76"/>
      <c r="GVY57" s="76"/>
      <c r="GVZ57" s="76"/>
      <c r="GWA57" s="76"/>
      <c r="GWB57" s="76"/>
      <c r="GWC57" s="76"/>
      <c r="GWD57" s="76"/>
      <c r="GWE57" s="76"/>
      <c r="GWF57" s="76"/>
      <c r="GWG57" s="76"/>
      <c r="GWH57" s="76"/>
      <c r="GWI57" s="76"/>
      <c r="GWJ57" s="76"/>
      <c r="GWK57" s="76"/>
      <c r="GWL57" s="76"/>
      <c r="GWM57" s="76"/>
      <c r="GWN57" s="76"/>
      <c r="GWO57" s="76"/>
      <c r="GWP57" s="76"/>
      <c r="GWQ57" s="76"/>
      <c r="GWR57" s="76"/>
      <c r="GWS57" s="76"/>
      <c r="GWT57" s="76"/>
      <c r="GWU57" s="76"/>
      <c r="GWV57" s="76"/>
      <c r="GWW57" s="76"/>
      <c r="GWX57" s="76"/>
      <c r="GWY57" s="76"/>
      <c r="GWZ57" s="76"/>
      <c r="GXA57" s="76"/>
      <c r="GXB57" s="76"/>
      <c r="GXC57" s="76"/>
      <c r="GXD57" s="76"/>
      <c r="GXE57" s="76"/>
      <c r="GXF57" s="76"/>
      <c r="GXG57" s="76"/>
      <c r="GXH57" s="76"/>
      <c r="GXI57" s="76"/>
      <c r="GXJ57" s="76"/>
      <c r="GXK57" s="76"/>
      <c r="GXL57" s="76"/>
      <c r="GXM57" s="76"/>
      <c r="GXN57" s="76"/>
      <c r="GXO57" s="76"/>
      <c r="GXP57" s="76"/>
      <c r="GXQ57" s="76"/>
      <c r="GXR57" s="76"/>
      <c r="GXS57" s="76"/>
      <c r="GXT57" s="76"/>
      <c r="GXU57" s="76"/>
      <c r="GXV57" s="76"/>
      <c r="GXW57" s="76"/>
      <c r="GXX57" s="76"/>
      <c r="GXY57" s="76"/>
      <c r="GXZ57" s="76"/>
      <c r="GYA57" s="76"/>
      <c r="GYB57" s="76"/>
      <c r="GYC57" s="76"/>
      <c r="GYD57" s="76"/>
      <c r="GYE57" s="76"/>
      <c r="GYF57" s="76"/>
      <c r="GYG57" s="76"/>
      <c r="GYH57" s="76"/>
      <c r="GYI57" s="76"/>
      <c r="GYJ57" s="76"/>
      <c r="GYK57" s="76"/>
      <c r="GYL57" s="76"/>
      <c r="GYM57" s="76"/>
      <c r="GYN57" s="76"/>
      <c r="GYO57" s="76"/>
      <c r="GYP57" s="76"/>
      <c r="GYQ57" s="76"/>
      <c r="GYR57" s="76"/>
      <c r="GYS57" s="76"/>
      <c r="GYT57" s="76"/>
      <c r="GYU57" s="76"/>
      <c r="GYV57" s="76"/>
      <c r="GYW57" s="76"/>
      <c r="GYX57" s="76"/>
      <c r="GYY57" s="76"/>
      <c r="GYZ57" s="76"/>
      <c r="GZA57" s="76"/>
      <c r="GZB57" s="76"/>
      <c r="GZC57" s="76"/>
      <c r="GZD57" s="76"/>
      <c r="GZE57" s="76"/>
      <c r="GZF57" s="76"/>
      <c r="GZG57" s="76"/>
      <c r="GZH57" s="76"/>
      <c r="GZI57" s="76"/>
      <c r="GZJ57" s="76"/>
      <c r="GZK57" s="76"/>
      <c r="GZL57" s="76"/>
      <c r="GZM57" s="76"/>
      <c r="GZN57" s="76"/>
      <c r="GZO57" s="76"/>
      <c r="GZP57" s="76"/>
      <c r="GZQ57" s="76"/>
      <c r="GZR57" s="76"/>
      <c r="GZS57" s="76"/>
      <c r="GZT57" s="76"/>
      <c r="GZU57" s="76"/>
      <c r="GZV57" s="76"/>
      <c r="GZW57" s="76"/>
      <c r="GZX57" s="76"/>
      <c r="GZY57" s="76"/>
      <c r="GZZ57" s="76"/>
      <c r="HAA57" s="76"/>
      <c r="HAB57" s="76"/>
      <c r="HAC57" s="76"/>
      <c r="HAD57" s="76"/>
      <c r="HAE57" s="76"/>
      <c r="HAF57" s="76"/>
      <c r="HAG57" s="76"/>
      <c r="HAH57" s="76"/>
      <c r="HAI57" s="76"/>
      <c r="HAJ57" s="76"/>
      <c r="HAK57" s="76"/>
      <c r="HAL57" s="76"/>
      <c r="HAM57" s="76"/>
      <c r="HAN57" s="76"/>
      <c r="HAO57" s="76"/>
      <c r="HAP57" s="76"/>
      <c r="HAQ57" s="76"/>
      <c r="HAR57" s="76"/>
      <c r="HAS57" s="76"/>
      <c r="HAT57" s="76"/>
      <c r="HAU57" s="76"/>
      <c r="HAV57" s="76"/>
      <c r="HAW57" s="76"/>
      <c r="HAX57" s="76"/>
      <c r="HAY57" s="76"/>
      <c r="HAZ57" s="76"/>
      <c r="HBA57" s="76"/>
      <c r="HBB57" s="76"/>
      <c r="HBC57" s="76"/>
      <c r="HBD57" s="76"/>
      <c r="HBE57" s="76"/>
      <c r="HBF57" s="76"/>
      <c r="HBG57" s="76"/>
      <c r="HBH57" s="76"/>
      <c r="HBI57" s="76"/>
      <c r="HBJ57" s="76"/>
      <c r="HBK57" s="76"/>
      <c r="HBL57" s="76"/>
      <c r="HBM57" s="76"/>
      <c r="HBN57" s="76"/>
      <c r="HBO57" s="76"/>
      <c r="HBP57" s="76"/>
      <c r="HBQ57" s="76"/>
      <c r="HBR57" s="76"/>
      <c r="HBS57" s="76"/>
      <c r="HBT57" s="76"/>
      <c r="HBU57" s="76"/>
      <c r="HBV57" s="76"/>
      <c r="HBW57" s="76"/>
      <c r="HBX57" s="76"/>
      <c r="HBY57" s="76"/>
      <c r="HBZ57" s="76"/>
      <c r="HCA57" s="76"/>
      <c r="HCB57" s="76"/>
      <c r="HCC57" s="76"/>
      <c r="HCD57" s="76"/>
      <c r="HCE57" s="76"/>
      <c r="HCF57" s="76"/>
      <c r="HCG57" s="76"/>
      <c r="HCH57" s="76"/>
      <c r="HCI57" s="76"/>
      <c r="HCJ57" s="76"/>
      <c r="HCK57" s="76"/>
      <c r="HCL57" s="76"/>
      <c r="HCM57" s="76"/>
      <c r="HCN57" s="76"/>
      <c r="HCO57" s="76"/>
      <c r="HCP57" s="76"/>
      <c r="HCQ57" s="76"/>
      <c r="HCR57" s="76"/>
      <c r="HCS57" s="76"/>
      <c r="HCT57" s="76"/>
      <c r="HCU57" s="76"/>
      <c r="HCV57" s="76"/>
      <c r="HCW57" s="76"/>
      <c r="HCX57" s="76"/>
      <c r="HCY57" s="76"/>
      <c r="HCZ57" s="76"/>
      <c r="HDA57" s="76"/>
      <c r="HDB57" s="76"/>
      <c r="HDC57" s="76"/>
      <c r="HDD57" s="76"/>
      <c r="HDE57" s="76"/>
      <c r="HDF57" s="76"/>
      <c r="HDG57" s="76"/>
      <c r="HDH57" s="76"/>
      <c r="HDI57" s="76"/>
      <c r="HDJ57" s="76"/>
      <c r="HDK57" s="76"/>
      <c r="HDL57" s="76"/>
      <c r="HDM57" s="76"/>
      <c r="HDN57" s="76"/>
      <c r="HDO57" s="76"/>
      <c r="HDP57" s="76"/>
      <c r="HDQ57" s="76"/>
      <c r="HDR57" s="76"/>
      <c r="HDS57" s="76"/>
      <c r="HDT57" s="76"/>
      <c r="HDU57" s="76"/>
      <c r="HDV57" s="76"/>
      <c r="HDW57" s="76"/>
      <c r="HDX57" s="76"/>
      <c r="HDY57" s="76"/>
      <c r="HDZ57" s="76"/>
      <c r="HEA57" s="76"/>
      <c r="HEB57" s="76"/>
      <c r="HEC57" s="76"/>
      <c r="HED57" s="76"/>
      <c r="HEE57" s="76"/>
      <c r="HEF57" s="76"/>
      <c r="HEG57" s="76"/>
      <c r="HEH57" s="76"/>
      <c r="HEI57" s="76"/>
      <c r="HEJ57" s="76"/>
      <c r="HEK57" s="76"/>
      <c r="HEL57" s="76"/>
      <c r="HEM57" s="76"/>
      <c r="HEN57" s="76"/>
      <c r="HEO57" s="76"/>
      <c r="HEP57" s="76"/>
      <c r="HEQ57" s="76"/>
      <c r="HER57" s="76"/>
      <c r="HES57" s="76"/>
      <c r="HET57" s="76"/>
      <c r="HEU57" s="76"/>
      <c r="HEV57" s="76"/>
      <c r="HEW57" s="76"/>
      <c r="HEX57" s="76"/>
      <c r="HEY57" s="76"/>
      <c r="HEZ57" s="76"/>
      <c r="HFA57" s="76"/>
      <c r="HFB57" s="76"/>
      <c r="HFC57" s="76"/>
      <c r="HFD57" s="76"/>
      <c r="HFE57" s="76"/>
      <c r="HFF57" s="76"/>
      <c r="HFG57" s="76"/>
      <c r="HFH57" s="76"/>
      <c r="HFI57" s="76"/>
      <c r="HFJ57" s="76"/>
      <c r="HFK57" s="76"/>
      <c r="HFL57" s="76"/>
      <c r="HFM57" s="76"/>
      <c r="HFN57" s="76"/>
      <c r="HFO57" s="76"/>
      <c r="HFP57" s="76"/>
      <c r="HFQ57" s="76"/>
      <c r="HFR57" s="76"/>
      <c r="HFS57" s="76"/>
      <c r="HFT57" s="76"/>
      <c r="HFU57" s="76"/>
      <c r="HFV57" s="76"/>
      <c r="HFW57" s="76"/>
      <c r="HFX57" s="76"/>
      <c r="HFY57" s="76"/>
      <c r="HFZ57" s="76"/>
      <c r="HGA57" s="76"/>
      <c r="HGB57" s="76"/>
      <c r="HGC57" s="76"/>
      <c r="HGD57" s="76"/>
      <c r="HGE57" s="76"/>
      <c r="HGF57" s="76"/>
      <c r="HGG57" s="76"/>
      <c r="HGH57" s="76"/>
      <c r="HGI57" s="76"/>
      <c r="HGJ57" s="76"/>
      <c r="HGK57" s="76"/>
      <c r="HGL57" s="76"/>
      <c r="HGM57" s="76"/>
      <c r="HGN57" s="76"/>
      <c r="HGO57" s="76"/>
      <c r="HGP57" s="76"/>
      <c r="HGQ57" s="76"/>
      <c r="HGR57" s="76"/>
      <c r="HGS57" s="76"/>
      <c r="HGT57" s="76"/>
      <c r="HGU57" s="76"/>
      <c r="HGV57" s="76"/>
      <c r="HGW57" s="76"/>
      <c r="HGX57" s="76"/>
      <c r="HGY57" s="76"/>
      <c r="HGZ57" s="76"/>
      <c r="HHA57" s="76"/>
      <c r="HHB57" s="76"/>
      <c r="HHC57" s="76"/>
      <c r="HHD57" s="76"/>
      <c r="HHE57" s="76"/>
      <c r="HHF57" s="76"/>
      <c r="HHG57" s="76"/>
      <c r="HHH57" s="76"/>
      <c r="HHI57" s="76"/>
      <c r="HHJ57" s="76"/>
      <c r="HHK57" s="76"/>
      <c r="HHL57" s="76"/>
      <c r="HHM57" s="76"/>
      <c r="HHN57" s="76"/>
      <c r="HHO57" s="76"/>
      <c r="HHP57" s="76"/>
      <c r="HHQ57" s="76"/>
      <c r="HHR57" s="76"/>
      <c r="HHS57" s="76"/>
      <c r="HHT57" s="76"/>
      <c r="HHU57" s="76"/>
      <c r="HHV57" s="76"/>
      <c r="HHW57" s="76"/>
      <c r="HHX57" s="76"/>
      <c r="HHY57" s="76"/>
      <c r="HHZ57" s="76"/>
      <c r="HIA57" s="76"/>
      <c r="HIB57" s="76"/>
      <c r="HIC57" s="76"/>
      <c r="HID57" s="76"/>
      <c r="HIE57" s="76"/>
      <c r="HIF57" s="76"/>
      <c r="HIG57" s="76"/>
      <c r="HIH57" s="76"/>
      <c r="HII57" s="76"/>
      <c r="HIJ57" s="76"/>
      <c r="HIK57" s="76"/>
      <c r="HIL57" s="76"/>
      <c r="HIM57" s="76"/>
      <c r="HIN57" s="76"/>
      <c r="HIO57" s="76"/>
      <c r="HIP57" s="76"/>
      <c r="HIQ57" s="76"/>
      <c r="HIR57" s="76"/>
      <c r="HIS57" s="76"/>
      <c r="HIT57" s="76"/>
      <c r="HIU57" s="76"/>
      <c r="HIV57" s="76"/>
      <c r="HIW57" s="76"/>
      <c r="HIX57" s="76"/>
      <c r="HIY57" s="76"/>
      <c r="HIZ57" s="76"/>
      <c r="HJA57" s="76"/>
      <c r="HJB57" s="76"/>
      <c r="HJC57" s="76"/>
      <c r="HJD57" s="76"/>
      <c r="HJE57" s="76"/>
      <c r="HJF57" s="76"/>
      <c r="HJG57" s="76"/>
      <c r="HJH57" s="76"/>
      <c r="HJI57" s="76"/>
      <c r="HJJ57" s="76"/>
      <c r="HJK57" s="76"/>
      <c r="HJL57" s="76"/>
      <c r="HJM57" s="76"/>
      <c r="HJN57" s="76"/>
      <c r="HJO57" s="76"/>
      <c r="HJP57" s="76"/>
      <c r="HJQ57" s="76"/>
      <c r="HJR57" s="76"/>
      <c r="HJS57" s="76"/>
      <c r="HJT57" s="76"/>
      <c r="HJU57" s="76"/>
      <c r="HJV57" s="76"/>
      <c r="HJW57" s="76"/>
      <c r="HJX57" s="76"/>
      <c r="HJY57" s="76"/>
      <c r="HJZ57" s="76"/>
      <c r="HKA57" s="76"/>
      <c r="HKB57" s="76"/>
      <c r="HKC57" s="76"/>
      <c r="HKD57" s="76"/>
      <c r="HKE57" s="76"/>
      <c r="HKF57" s="76"/>
      <c r="HKG57" s="76"/>
      <c r="HKH57" s="76"/>
      <c r="HKI57" s="76"/>
      <c r="HKJ57" s="76"/>
      <c r="HKK57" s="76"/>
      <c r="HKL57" s="76"/>
      <c r="HKM57" s="76"/>
      <c r="HKN57" s="76"/>
      <c r="HKO57" s="76"/>
      <c r="HKP57" s="76"/>
      <c r="HKQ57" s="76"/>
      <c r="HKR57" s="76"/>
      <c r="HKS57" s="76"/>
      <c r="HKT57" s="76"/>
      <c r="HKU57" s="76"/>
      <c r="HKV57" s="76"/>
      <c r="HKW57" s="76"/>
      <c r="HKX57" s="76"/>
      <c r="HKY57" s="76"/>
      <c r="HKZ57" s="76"/>
      <c r="HLA57" s="76"/>
      <c r="HLB57" s="76"/>
      <c r="HLC57" s="76"/>
      <c r="HLD57" s="76"/>
      <c r="HLE57" s="76"/>
      <c r="HLF57" s="76"/>
      <c r="HLG57" s="76"/>
      <c r="HLH57" s="76"/>
      <c r="HLI57" s="76"/>
      <c r="HLJ57" s="76"/>
      <c r="HLK57" s="76"/>
      <c r="HLL57" s="76"/>
      <c r="HLM57" s="76"/>
      <c r="HLN57" s="76"/>
      <c r="HLO57" s="76"/>
      <c r="HLP57" s="76"/>
      <c r="HLQ57" s="76"/>
      <c r="HLR57" s="76"/>
      <c r="HLS57" s="76"/>
      <c r="HLT57" s="76"/>
      <c r="HLU57" s="76"/>
      <c r="HLV57" s="76"/>
      <c r="HLW57" s="76"/>
      <c r="HLX57" s="76"/>
      <c r="HLY57" s="76"/>
      <c r="HLZ57" s="76"/>
      <c r="HMA57" s="76"/>
      <c r="HMB57" s="76"/>
      <c r="HMC57" s="76"/>
      <c r="HMD57" s="76"/>
      <c r="HME57" s="76"/>
      <c r="HMF57" s="76"/>
      <c r="HMG57" s="76"/>
      <c r="HMH57" s="76"/>
      <c r="HMI57" s="76"/>
      <c r="HMJ57" s="76"/>
      <c r="HMK57" s="76"/>
      <c r="HML57" s="76"/>
      <c r="HMM57" s="76"/>
      <c r="HMN57" s="76"/>
      <c r="HMO57" s="76"/>
      <c r="HMP57" s="76"/>
      <c r="HMQ57" s="76"/>
      <c r="HMR57" s="76"/>
      <c r="HMS57" s="76"/>
      <c r="HMT57" s="76"/>
      <c r="HMU57" s="76"/>
      <c r="HMV57" s="76"/>
      <c r="HMW57" s="76"/>
      <c r="HMX57" s="76"/>
      <c r="HMY57" s="76"/>
      <c r="HMZ57" s="76"/>
      <c r="HNA57" s="76"/>
      <c r="HNB57" s="76"/>
      <c r="HNC57" s="76"/>
      <c r="HND57" s="76"/>
      <c r="HNE57" s="76"/>
      <c r="HNF57" s="76"/>
      <c r="HNG57" s="76"/>
      <c r="HNH57" s="76"/>
      <c r="HNI57" s="76"/>
      <c r="HNJ57" s="76"/>
      <c r="HNK57" s="76"/>
      <c r="HNL57" s="76"/>
      <c r="HNM57" s="76"/>
      <c r="HNN57" s="76"/>
      <c r="HNO57" s="76"/>
      <c r="HNP57" s="76"/>
      <c r="HNQ57" s="76"/>
      <c r="HNR57" s="76"/>
      <c r="HNS57" s="76"/>
      <c r="HNT57" s="76"/>
      <c r="HNU57" s="76"/>
      <c r="HNV57" s="76"/>
      <c r="HNW57" s="76"/>
      <c r="HNX57" s="76"/>
      <c r="HNY57" s="76"/>
      <c r="HNZ57" s="76"/>
      <c r="HOA57" s="76"/>
      <c r="HOB57" s="76"/>
      <c r="HOC57" s="76"/>
      <c r="HOD57" s="76"/>
      <c r="HOE57" s="76"/>
      <c r="HOF57" s="76"/>
      <c r="HOG57" s="76"/>
      <c r="HOH57" s="76"/>
      <c r="HOI57" s="76"/>
      <c r="HOJ57" s="76"/>
      <c r="HOK57" s="76"/>
      <c r="HOL57" s="76"/>
      <c r="HOM57" s="76"/>
      <c r="HON57" s="76"/>
      <c r="HOO57" s="76"/>
      <c r="HOP57" s="76"/>
      <c r="HOQ57" s="76"/>
      <c r="HOR57" s="76"/>
      <c r="HOS57" s="76"/>
      <c r="HOT57" s="76"/>
      <c r="HOU57" s="76"/>
      <c r="HOV57" s="76"/>
      <c r="HOW57" s="76"/>
      <c r="HOX57" s="76"/>
      <c r="HOY57" s="76"/>
      <c r="HOZ57" s="76"/>
      <c r="HPA57" s="76"/>
      <c r="HPB57" s="76"/>
      <c r="HPC57" s="76"/>
      <c r="HPD57" s="76"/>
      <c r="HPE57" s="76"/>
      <c r="HPF57" s="76"/>
      <c r="HPG57" s="76"/>
      <c r="HPH57" s="76"/>
      <c r="HPI57" s="76"/>
      <c r="HPJ57" s="76"/>
      <c r="HPK57" s="76"/>
      <c r="HPL57" s="76"/>
      <c r="HPM57" s="76"/>
      <c r="HPN57" s="76"/>
      <c r="HPO57" s="76"/>
      <c r="HPP57" s="76"/>
      <c r="HPQ57" s="76"/>
      <c r="HPR57" s="76"/>
      <c r="HPS57" s="76"/>
      <c r="HPT57" s="76"/>
      <c r="HPU57" s="76"/>
      <c r="HPV57" s="76"/>
      <c r="HPW57" s="76"/>
      <c r="HPX57" s="76"/>
      <c r="HPY57" s="76"/>
      <c r="HPZ57" s="76"/>
      <c r="HQA57" s="76"/>
      <c r="HQB57" s="76"/>
      <c r="HQC57" s="76"/>
      <c r="HQD57" s="76"/>
      <c r="HQE57" s="76"/>
      <c r="HQF57" s="76"/>
      <c r="HQG57" s="76"/>
      <c r="HQH57" s="76"/>
      <c r="HQI57" s="76"/>
      <c r="HQJ57" s="76"/>
      <c r="HQK57" s="76"/>
      <c r="HQL57" s="76"/>
      <c r="HQM57" s="76"/>
      <c r="HQN57" s="76"/>
      <c r="HQO57" s="76"/>
      <c r="HQP57" s="76"/>
      <c r="HQQ57" s="76"/>
      <c r="HQR57" s="76"/>
      <c r="HQS57" s="76"/>
      <c r="HQT57" s="76"/>
      <c r="HQU57" s="76"/>
      <c r="HQV57" s="76"/>
      <c r="HQW57" s="76"/>
      <c r="HQX57" s="76"/>
      <c r="HQY57" s="76"/>
      <c r="HQZ57" s="76"/>
      <c r="HRA57" s="76"/>
      <c r="HRB57" s="76"/>
      <c r="HRC57" s="76"/>
      <c r="HRD57" s="76"/>
      <c r="HRE57" s="76"/>
      <c r="HRF57" s="76"/>
      <c r="HRG57" s="76"/>
      <c r="HRH57" s="76"/>
      <c r="HRI57" s="76"/>
      <c r="HRJ57" s="76"/>
      <c r="HRK57" s="76"/>
      <c r="HRL57" s="76"/>
      <c r="HRM57" s="76"/>
      <c r="HRN57" s="76"/>
      <c r="HRO57" s="76"/>
      <c r="HRP57" s="76"/>
      <c r="HRQ57" s="76"/>
      <c r="HRR57" s="76"/>
      <c r="HRS57" s="76"/>
      <c r="HRT57" s="76"/>
      <c r="HRU57" s="76"/>
      <c r="HRV57" s="76"/>
      <c r="HRW57" s="76"/>
      <c r="HRX57" s="76"/>
      <c r="HRY57" s="76"/>
      <c r="HRZ57" s="76"/>
      <c r="HSA57" s="76"/>
      <c r="HSB57" s="76"/>
      <c r="HSC57" s="76"/>
      <c r="HSD57" s="76"/>
      <c r="HSE57" s="76"/>
      <c r="HSF57" s="76"/>
      <c r="HSG57" s="76"/>
      <c r="HSH57" s="76"/>
      <c r="HSI57" s="76"/>
      <c r="HSJ57" s="76"/>
      <c r="HSK57" s="76"/>
      <c r="HSL57" s="76"/>
      <c r="HSM57" s="76"/>
      <c r="HSN57" s="76"/>
      <c r="HSO57" s="76"/>
      <c r="HSP57" s="76"/>
      <c r="HSQ57" s="76"/>
      <c r="HSR57" s="76"/>
      <c r="HSS57" s="76"/>
      <c r="HST57" s="76"/>
      <c r="HSU57" s="76"/>
      <c r="HSV57" s="76"/>
      <c r="HSW57" s="76"/>
      <c r="HSX57" s="76"/>
      <c r="HSY57" s="76"/>
      <c r="HSZ57" s="76"/>
      <c r="HTA57" s="76"/>
      <c r="HTB57" s="76"/>
      <c r="HTC57" s="76"/>
      <c r="HTD57" s="76"/>
      <c r="HTE57" s="76"/>
      <c r="HTF57" s="76"/>
      <c r="HTG57" s="76"/>
      <c r="HTH57" s="76"/>
      <c r="HTI57" s="76"/>
      <c r="HTJ57" s="76"/>
      <c r="HTK57" s="76"/>
      <c r="HTL57" s="76"/>
      <c r="HTM57" s="76"/>
      <c r="HTN57" s="76"/>
      <c r="HTO57" s="76"/>
      <c r="HTP57" s="76"/>
      <c r="HTQ57" s="76"/>
      <c r="HTR57" s="76"/>
      <c r="HTS57" s="76"/>
      <c r="HTT57" s="76"/>
      <c r="HTU57" s="76"/>
      <c r="HTV57" s="76"/>
      <c r="HTW57" s="76"/>
      <c r="HTX57" s="76"/>
      <c r="HTY57" s="76"/>
      <c r="HTZ57" s="76"/>
      <c r="HUA57" s="76"/>
      <c r="HUB57" s="76"/>
      <c r="HUC57" s="76"/>
      <c r="HUD57" s="76"/>
      <c r="HUE57" s="76"/>
      <c r="HUF57" s="76"/>
      <c r="HUG57" s="76"/>
      <c r="HUH57" s="76"/>
      <c r="HUI57" s="76"/>
      <c r="HUJ57" s="76"/>
      <c r="HUK57" s="76"/>
      <c r="HUL57" s="76"/>
      <c r="HUM57" s="76"/>
      <c r="HUN57" s="76"/>
      <c r="HUO57" s="76"/>
      <c r="HUP57" s="76"/>
      <c r="HUQ57" s="76"/>
      <c r="HUR57" s="76"/>
      <c r="HUS57" s="76"/>
      <c r="HUT57" s="76"/>
      <c r="HUU57" s="76"/>
      <c r="HUV57" s="76"/>
      <c r="HUW57" s="76"/>
      <c r="HUX57" s="76"/>
      <c r="HUY57" s="76"/>
      <c r="HUZ57" s="76"/>
      <c r="HVA57" s="76"/>
      <c r="HVB57" s="76"/>
      <c r="HVC57" s="76"/>
      <c r="HVD57" s="76"/>
      <c r="HVE57" s="76"/>
      <c r="HVF57" s="76"/>
      <c r="HVG57" s="76"/>
      <c r="HVH57" s="76"/>
      <c r="HVI57" s="76"/>
      <c r="HVJ57" s="76"/>
      <c r="HVK57" s="76"/>
      <c r="HVL57" s="76"/>
      <c r="HVM57" s="76"/>
      <c r="HVN57" s="76"/>
      <c r="HVO57" s="76"/>
      <c r="HVP57" s="76"/>
      <c r="HVQ57" s="76"/>
      <c r="HVR57" s="76"/>
      <c r="HVS57" s="76"/>
      <c r="HVT57" s="76"/>
      <c r="HVU57" s="76"/>
      <c r="HVV57" s="76"/>
      <c r="HVW57" s="76"/>
      <c r="HVX57" s="76"/>
      <c r="HVY57" s="76"/>
      <c r="HVZ57" s="76"/>
      <c r="HWA57" s="76"/>
      <c r="HWB57" s="76"/>
      <c r="HWC57" s="76"/>
      <c r="HWD57" s="76"/>
      <c r="HWE57" s="76"/>
      <c r="HWF57" s="76"/>
      <c r="HWG57" s="76"/>
      <c r="HWH57" s="76"/>
      <c r="HWI57" s="76"/>
      <c r="HWJ57" s="76"/>
      <c r="HWK57" s="76"/>
      <c r="HWL57" s="76"/>
      <c r="HWM57" s="76"/>
      <c r="HWN57" s="76"/>
      <c r="HWO57" s="76"/>
      <c r="HWP57" s="76"/>
      <c r="HWQ57" s="76"/>
      <c r="HWR57" s="76"/>
      <c r="HWS57" s="76"/>
      <c r="HWT57" s="76"/>
      <c r="HWU57" s="76"/>
      <c r="HWV57" s="76"/>
      <c r="HWW57" s="76"/>
      <c r="HWX57" s="76"/>
      <c r="HWY57" s="76"/>
      <c r="HWZ57" s="76"/>
      <c r="HXA57" s="76"/>
      <c r="HXB57" s="76"/>
      <c r="HXC57" s="76"/>
      <c r="HXD57" s="76"/>
      <c r="HXE57" s="76"/>
      <c r="HXF57" s="76"/>
      <c r="HXG57" s="76"/>
      <c r="HXH57" s="76"/>
      <c r="HXI57" s="76"/>
      <c r="HXJ57" s="76"/>
      <c r="HXK57" s="76"/>
      <c r="HXL57" s="76"/>
      <c r="HXM57" s="76"/>
      <c r="HXN57" s="76"/>
      <c r="HXO57" s="76"/>
      <c r="HXP57" s="76"/>
      <c r="HXQ57" s="76"/>
      <c r="HXR57" s="76"/>
      <c r="HXS57" s="76"/>
      <c r="HXT57" s="76"/>
      <c r="HXU57" s="76"/>
      <c r="HXV57" s="76"/>
      <c r="HXW57" s="76"/>
      <c r="HXX57" s="76"/>
      <c r="HXY57" s="76"/>
      <c r="HXZ57" s="76"/>
      <c r="HYA57" s="76"/>
      <c r="HYB57" s="76"/>
      <c r="HYC57" s="76"/>
      <c r="HYD57" s="76"/>
      <c r="HYE57" s="76"/>
      <c r="HYF57" s="76"/>
      <c r="HYG57" s="76"/>
      <c r="HYH57" s="76"/>
      <c r="HYI57" s="76"/>
      <c r="HYJ57" s="76"/>
      <c r="HYK57" s="76"/>
      <c r="HYL57" s="76"/>
      <c r="HYM57" s="76"/>
      <c r="HYN57" s="76"/>
      <c r="HYO57" s="76"/>
      <c r="HYP57" s="76"/>
      <c r="HYQ57" s="76"/>
      <c r="HYR57" s="76"/>
      <c r="HYS57" s="76"/>
      <c r="HYT57" s="76"/>
      <c r="HYU57" s="76"/>
      <c r="HYV57" s="76"/>
      <c r="HYW57" s="76"/>
      <c r="HYX57" s="76"/>
      <c r="HYY57" s="76"/>
      <c r="HYZ57" s="76"/>
      <c r="HZA57" s="76"/>
      <c r="HZB57" s="76"/>
      <c r="HZC57" s="76"/>
      <c r="HZD57" s="76"/>
      <c r="HZE57" s="76"/>
      <c r="HZF57" s="76"/>
      <c r="HZG57" s="76"/>
      <c r="HZH57" s="76"/>
      <c r="HZI57" s="76"/>
      <c r="HZJ57" s="76"/>
      <c r="HZK57" s="76"/>
      <c r="HZL57" s="76"/>
      <c r="HZM57" s="76"/>
      <c r="HZN57" s="76"/>
      <c r="HZO57" s="76"/>
      <c r="HZP57" s="76"/>
      <c r="HZQ57" s="76"/>
      <c r="HZR57" s="76"/>
      <c r="HZS57" s="76"/>
      <c r="HZT57" s="76"/>
      <c r="HZU57" s="76"/>
      <c r="HZV57" s="76"/>
      <c r="HZW57" s="76"/>
      <c r="HZX57" s="76"/>
      <c r="HZY57" s="76"/>
      <c r="HZZ57" s="76"/>
      <c r="IAA57" s="76"/>
      <c r="IAB57" s="76"/>
      <c r="IAC57" s="76"/>
      <c r="IAD57" s="76"/>
      <c r="IAE57" s="76"/>
      <c r="IAF57" s="76"/>
      <c r="IAG57" s="76"/>
      <c r="IAH57" s="76"/>
      <c r="IAI57" s="76"/>
      <c r="IAJ57" s="76"/>
      <c r="IAK57" s="76"/>
      <c r="IAL57" s="76"/>
      <c r="IAM57" s="76"/>
      <c r="IAN57" s="76"/>
      <c r="IAO57" s="76"/>
      <c r="IAP57" s="76"/>
      <c r="IAQ57" s="76"/>
      <c r="IAR57" s="76"/>
      <c r="IAS57" s="76"/>
      <c r="IAT57" s="76"/>
      <c r="IAU57" s="76"/>
      <c r="IAV57" s="76"/>
      <c r="IAW57" s="76"/>
      <c r="IAX57" s="76"/>
      <c r="IAY57" s="76"/>
      <c r="IAZ57" s="76"/>
      <c r="IBA57" s="76"/>
      <c r="IBB57" s="76"/>
      <c r="IBC57" s="76"/>
      <c r="IBD57" s="76"/>
      <c r="IBE57" s="76"/>
      <c r="IBF57" s="76"/>
      <c r="IBG57" s="76"/>
      <c r="IBH57" s="76"/>
      <c r="IBI57" s="76"/>
      <c r="IBJ57" s="76"/>
      <c r="IBK57" s="76"/>
      <c r="IBL57" s="76"/>
      <c r="IBM57" s="76"/>
      <c r="IBN57" s="76"/>
      <c r="IBO57" s="76"/>
      <c r="IBP57" s="76"/>
      <c r="IBQ57" s="76"/>
      <c r="IBR57" s="76"/>
      <c r="IBS57" s="76"/>
      <c r="IBT57" s="76"/>
      <c r="IBU57" s="76"/>
      <c r="IBV57" s="76"/>
      <c r="IBW57" s="76"/>
      <c r="IBX57" s="76"/>
      <c r="IBY57" s="76"/>
      <c r="IBZ57" s="76"/>
      <c r="ICA57" s="76"/>
      <c r="ICB57" s="76"/>
      <c r="ICC57" s="76"/>
      <c r="ICD57" s="76"/>
      <c r="ICE57" s="76"/>
      <c r="ICF57" s="76"/>
      <c r="ICG57" s="76"/>
      <c r="ICH57" s="76"/>
      <c r="ICI57" s="76"/>
      <c r="ICJ57" s="76"/>
      <c r="ICK57" s="76"/>
      <c r="ICL57" s="76"/>
      <c r="ICM57" s="76"/>
      <c r="ICN57" s="76"/>
      <c r="ICO57" s="76"/>
      <c r="ICP57" s="76"/>
      <c r="ICQ57" s="76"/>
      <c r="ICR57" s="76"/>
      <c r="ICS57" s="76"/>
      <c r="ICT57" s="76"/>
      <c r="ICU57" s="76"/>
      <c r="ICV57" s="76"/>
      <c r="ICW57" s="76"/>
      <c r="ICX57" s="76"/>
      <c r="ICY57" s="76"/>
      <c r="ICZ57" s="76"/>
      <c r="IDA57" s="76"/>
      <c r="IDB57" s="76"/>
      <c r="IDC57" s="76"/>
      <c r="IDD57" s="76"/>
      <c r="IDE57" s="76"/>
      <c r="IDF57" s="76"/>
      <c r="IDG57" s="76"/>
      <c r="IDH57" s="76"/>
      <c r="IDI57" s="76"/>
      <c r="IDJ57" s="76"/>
      <c r="IDK57" s="76"/>
      <c r="IDL57" s="76"/>
      <c r="IDM57" s="76"/>
      <c r="IDN57" s="76"/>
      <c r="IDO57" s="76"/>
      <c r="IDP57" s="76"/>
      <c r="IDQ57" s="76"/>
      <c r="IDR57" s="76"/>
      <c r="IDS57" s="76"/>
      <c r="IDT57" s="76"/>
      <c r="IDU57" s="76"/>
      <c r="IDV57" s="76"/>
      <c r="IDW57" s="76"/>
      <c r="IDX57" s="76"/>
      <c r="IDY57" s="76"/>
      <c r="IDZ57" s="76"/>
      <c r="IEA57" s="76"/>
      <c r="IEB57" s="76"/>
      <c r="IEC57" s="76"/>
      <c r="IED57" s="76"/>
      <c r="IEE57" s="76"/>
      <c r="IEF57" s="76"/>
      <c r="IEG57" s="76"/>
      <c r="IEH57" s="76"/>
      <c r="IEI57" s="76"/>
      <c r="IEJ57" s="76"/>
      <c r="IEK57" s="76"/>
      <c r="IEL57" s="76"/>
      <c r="IEM57" s="76"/>
      <c r="IEN57" s="76"/>
      <c r="IEO57" s="76"/>
      <c r="IEP57" s="76"/>
      <c r="IEQ57" s="76"/>
      <c r="IER57" s="76"/>
      <c r="IES57" s="76"/>
      <c r="IET57" s="76"/>
      <c r="IEU57" s="76"/>
      <c r="IEV57" s="76"/>
      <c r="IEW57" s="76"/>
      <c r="IEX57" s="76"/>
      <c r="IEY57" s="76"/>
      <c r="IEZ57" s="76"/>
      <c r="IFA57" s="76"/>
      <c r="IFB57" s="76"/>
      <c r="IFC57" s="76"/>
      <c r="IFD57" s="76"/>
      <c r="IFE57" s="76"/>
      <c r="IFF57" s="76"/>
      <c r="IFG57" s="76"/>
      <c r="IFH57" s="76"/>
      <c r="IFI57" s="76"/>
      <c r="IFJ57" s="76"/>
      <c r="IFK57" s="76"/>
      <c r="IFL57" s="76"/>
      <c r="IFM57" s="76"/>
      <c r="IFN57" s="76"/>
      <c r="IFO57" s="76"/>
      <c r="IFP57" s="76"/>
      <c r="IFQ57" s="76"/>
      <c r="IFR57" s="76"/>
      <c r="IFS57" s="76"/>
      <c r="IFT57" s="76"/>
      <c r="IFU57" s="76"/>
      <c r="IFV57" s="76"/>
      <c r="IFW57" s="76"/>
      <c r="IFX57" s="76"/>
      <c r="IFY57" s="76"/>
      <c r="IFZ57" s="76"/>
      <c r="IGA57" s="76"/>
      <c r="IGB57" s="76"/>
      <c r="IGC57" s="76"/>
      <c r="IGD57" s="76"/>
      <c r="IGE57" s="76"/>
      <c r="IGF57" s="76"/>
      <c r="IGG57" s="76"/>
      <c r="IGH57" s="76"/>
      <c r="IGI57" s="76"/>
      <c r="IGJ57" s="76"/>
      <c r="IGK57" s="76"/>
      <c r="IGL57" s="76"/>
      <c r="IGM57" s="76"/>
      <c r="IGN57" s="76"/>
      <c r="IGO57" s="76"/>
      <c r="IGP57" s="76"/>
      <c r="IGQ57" s="76"/>
      <c r="IGR57" s="76"/>
      <c r="IGS57" s="76"/>
      <c r="IGT57" s="76"/>
      <c r="IGU57" s="76"/>
      <c r="IGV57" s="76"/>
      <c r="IGW57" s="76"/>
      <c r="IGX57" s="76"/>
      <c r="IGY57" s="76"/>
      <c r="IGZ57" s="76"/>
      <c r="IHA57" s="76"/>
      <c r="IHB57" s="76"/>
      <c r="IHC57" s="76"/>
      <c r="IHD57" s="76"/>
      <c r="IHE57" s="76"/>
      <c r="IHF57" s="76"/>
      <c r="IHG57" s="76"/>
      <c r="IHH57" s="76"/>
      <c r="IHI57" s="76"/>
      <c r="IHJ57" s="76"/>
      <c r="IHK57" s="76"/>
      <c r="IHL57" s="76"/>
      <c r="IHM57" s="76"/>
      <c r="IHN57" s="76"/>
      <c r="IHO57" s="76"/>
      <c r="IHP57" s="76"/>
      <c r="IHQ57" s="76"/>
      <c r="IHR57" s="76"/>
      <c r="IHS57" s="76"/>
      <c r="IHT57" s="76"/>
      <c r="IHU57" s="76"/>
      <c r="IHV57" s="76"/>
      <c r="IHW57" s="76"/>
      <c r="IHX57" s="76"/>
      <c r="IHY57" s="76"/>
      <c r="IHZ57" s="76"/>
      <c r="IIA57" s="76"/>
      <c r="IIB57" s="76"/>
      <c r="IIC57" s="76"/>
      <c r="IID57" s="76"/>
      <c r="IIE57" s="76"/>
      <c r="IIF57" s="76"/>
      <c r="IIG57" s="76"/>
      <c r="IIH57" s="76"/>
      <c r="III57" s="76"/>
      <c r="IIJ57" s="76"/>
      <c r="IIK57" s="76"/>
      <c r="IIL57" s="76"/>
      <c r="IIM57" s="76"/>
      <c r="IIN57" s="76"/>
      <c r="IIO57" s="76"/>
      <c r="IIP57" s="76"/>
      <c r="IIQ57" s="76"/>
      <c r="IIR57" s="76"/>
      <c r="IIS57" s="76"/>
      <c r="IIT57" s="76"/>
      <c r="IIU57" s="76"/>
      <c r="IIV57" s="76"/>
      <c r="IIW57" s="76"/>
      <c r="IIX57" s="76"/>
      <c r="IIY57" s="76"/>
      <c r="IIZ57" s="76"/>
      <c r="IJA57" s="76"/>
      <c r="IJB57" s="76"/>
      <c r="IJC57" s="76"/>
      <c r="IJD57" s="76"/>
      <c r="IJE57" s="76"/>
      <c r="IJF57" s="76"/>
      <c r="IJG57" s="76"/>
      <c r="IJH57" s="76"/>
      <c r="IJI57" s="76"/>
      <c r="IJJ57" s="76"/>
      <c r="IJK57" s="76"/>
      <c r="IJL57" s="76"/>
      <c r="IJM57" s="76"/>
      <c r="IJN57" s="76"/>
      <c r="IJO57" s="76"/>
      <c r="IJP57" s="76"/>
      <c r="IJQ57" s="76"/>
      <c r="IJR57" s="76"/>
      <c r="IJS57" s="76"/>
      <c r="IJT57" s="76"/>
      <c r="IJU57" s="76"/>
      <c r="IJV57" s="76"/>
      <c r="IJW57" s="76"/>
      <c r="IJX57" s="76"/>
      <c r="IJY57" s="76"/>
      <c r="IJZ57" s="76"/>
      <c r="IKA57" s="76"/>
      <c r="IKB57" s="76"/>
      <c r="IKC57" s="76"/>
      <c r="IKD57" s="76"/>
      <c r="IKE57" s="76"/>
      <c r="IKF57" s="76"/>
      <c r="IKG57" s="76"/>
      <c r="IKH57" s="76"/>
      <c r="IKI57" s="76"/>
      <c r="IKJ57" s="76"/>
      <c r="IKK57" s="76"/>
      <c r="IKL57" s="76"/>
      <c r="IKM57" s="76"/>
      <c r="IKN57" s="76"/>
      <c r="IKO57" s="76"/>
      <c r="IKP57" s="76"/>
      <c r="IKQ57" s="76"/>
      <c r="IKR57" s="76"/>
      <c r="IKS57" s="76"/>
      <c r="IKT57" s="76"/>
      <c r="IKU57" s="76"/>
      <c r="IKV57" s="76"/>
      <c r="IKW57" s="76"/>
      <c r="IKX57" s="76"/>
      <c r="IKY57" s="76"/>
      <c r="IKZ57" s="76"/>
      <c r="ILA57" s="76"/>
      <c r="ILB57" s="76"/>
      <c r="ILC57" s="76"/>
      <c r="ILD57" s="76"/>
      <c r="ILE57" s="76"/>
      <c r="ILF57" s="76"/>
      <c r="ILG57" s="76"/>
      <c r="ILH57" s="76"/>
      <c r="ILI57" s="76"/>
      <c r="ILJ57" s="76"/>
      <c r="ILK57" s="76"/>
      <c r="ILL57" s="76"/>
      <c r="ILM57" s="76"/>
      <c r="ILN57" s="76"/>
      <c r="ILO57" s="76"/>
      <c r="ILP57" s="76"/>
      <c r="ILQ57" s="76"/>
      <c r="ILR57" s="76"/>
      <c r="ILS57" s="76"/>
      <c r="ILT57" s="76"/>
      <c r="ILU57" s="76"/>
      <c r="ILV57" s="76"/>
      <c r="ILW57" s="76"/>
      <c r="ILX57" s="76"/>
      <c r="ILY57" s="76"/>
      <c r="ILZ57" s="76"/>
      <c r="IMA57" s="76"/>
      <c r="IMB57" s="76"/>
      <c r="IMC57" s="76"/>
      <c r="IMD57" s="76"/>
      <c r="IME57" s="76"/>
      <c r="IMF57" s="76"/>
      <c r="IMG57" s="76"/>
      <c r="IMH57" s="76"/>
      <c r="IMI57" s="76"/>
      <c r="IMJ57" s="76"/>
      <c r="IMK57" s="76"/>
      <c r="IML57" s="76"/>
      <c r="IMM57" s="76"/>
      <c r="IMN57" s="76"/>
      <c r="IMO57" s="76"/>
      <c r="IMP57" s="76"/>
      <c r="IMQ57" s="76"/>
      <c r="IMR57" s="76"/>
      <c r="IMS57" s="76"/>
      <c r="IMT57" s="76"/>
      <c r="IMU57" s="76"/>
      <c r="IMV57" s="76"/>
      <c r="IMW57" s="76"/>
      <c r="IMX57" s="76"/>
      <c r="IMY57" s="76"/>
      <c r="IMZ57" s="76"/>
      <c r="INA57" s="76"/>
      <c r="INB57" s="76"/>
      <c r="INC57" s="76"/>
      <c r="IND57" s="76"/>
      <c r="INE57" s="76"/>
      <c r="INF57" s="76"/>
      <c r="ING57" s="76"/>
      <c r="INH57" s="76"/>
      <c r="INI57" s="76"/>
      <c r="INJ57" s="76"/>
      <c r="INK57" s="76"/>
      <c r="INL57" s="76"/>
      <c r="INM57" s="76"/>
      <c r="INN57" s="76"/>
      <c r="INO57" s="76"/>
      <c r="INP57" s="76"/>
      <c r="INQ57" s="76"/>
      <c r="INR57" s="76"/>
      <c r="INS57" s="76"/>
      <c r="INT57" s="76"/>
      <c r="INU57" s="76"/>
      <c r="INV57" s="76"/>
      <c r="INW57" s="76"/>
      <c r="INX57" s="76"/>
      <c r="INY57" s="76"/>
      <c r="INZ57" s="76"/>
      <c r="IOA57" s="76"/>
      <c r="IOB57" s="76"/>
      <c r="IOC57" s="76"/>
      <c r="IOD57" s="76"/>
      <c r="IOE57" s="76"/>
      <c r="IOF57" s="76"/>
      <c r="IOG57" s="76"/>
      <c r="IOH57" s="76"/>
      <c r="IOI57" s="76"/>
      <c r="IOJ57" s="76"/>
      <c r="IOK57" s="76"/>
      <c r="IOL57" s="76"/>
      <c r="IOM57" s="76"/>
      <c r="ION57" s="76"/>
      <c r="IOO57" s="76"/>
      <c r="IOP57" s="76"/>
      <c r="IOQ57" s="76"/>
      <c r="IOR57" s="76"/>
      <c r="IOS57" s="76"/>
      <c r="IOT57" s="76"/>
      <c r="IOU57" s="76"/>
      <c r="IOV57" s="76"/>
      <c r="IOW57" s="76"/>
      <c r="IOX57" s="76"/>
      <c r="IOY57" s="76"/>
      <c r="IOZ57" s="76"/>
      <c r="IPA57" s="76"/>
      <c r="IPB57" s="76"/>
      <c r="IPC57" s="76"/>
      <c r="IPD57" s="76"/>
      <c r="IPE57" s="76"/>
      <c r="IPF57" s="76"/>
      <c r="IPG57" s="76"/>
      <c r="IPH57" s="76"/>
      <c r="IPI57" s="76"/>
      <c r="IPJ57" s="76"/>
      <c r="IPK57" s="76"/>
      <c r="IPL57" s="76"/>
      <c r="IPM57" s="76"/>
      <c r="IPN57" s="76"/>
      <c r="IPO57" s="76"/>
      <c r="IPP57" s="76"/>
      <c r="IPQ57" s="76"/>
      <c r="IPR57" s="76"/>
      <c r="IPS57" s="76"/>
      <c r="IPT57" s="76"/>
      <c r="IPU57" s="76"/>
      <c r="IPV57" s="76"/>
      <c r="IPW57" s="76"/>
      <c r="IPX57" s="76"/>
      <c r="IPY57" s="76"/>
      <c r="IPZ57" s="76"/>
      <c r="IQA57" s="76"/>
      <c r="IQB57" s="76"/>
      <c r="IQC57" s="76"/>
      <c r="IQD57" s="76"/>
      <c r="IQE57" s="76"/>
      <c r="IQF57" s="76"/>
      <c r="IQG57" s="76"/>
      <c r="IQH57" s="76"/>
      <c r="IQI57" s="76"/>
      <c r="IQJ57" s="76"/>
      <c r="IQK57" s="76"/>
      <c r="IQL57" s="76"/>
      <c r="IQM57" s="76"/>
      <c r="IQN57" s="76"/>
      <c r="IQO57" s="76"/>
      <c r="IQP57" s="76"/>
      <c r="IQQ57" s="76"/>
      <c r="IQR57" s="76"/>
      <c r="IQS57" s="76"/>
      <c r="IQT57" s="76"/>
      <c r="IQU57" s="76"/>
      <c r="IQV57" s="76"/>
      <c r="IQW57" s="76"/>
      <c r="IQX57" s="76"/>
      <c r="IQY57" s="76"/>
      <c r="IQZ57" s="76"/>
      <c r="IRA57" s="76"/>
      <c r="IRB57" s="76"/>
      <c r="IRC57" s="76"/>
      <c r="IRD57" s="76"/>
      <c r="IRE57" s="76"/>
      <c r="IRF57" s="76"/>
      <c r="IRG57" s="76"/>
      <c r="IRH57" s="76"/>
      <c r="IRI57" s="76"/>
      <c r="IRJ57" s="76"/>
      <c r="IRK57" s="76"/>
      <c r="IRL57" s="76"/>
      <c r="IRM57" s="76"/>
      <c r="IRN57" s="76"/>
      <c r="IRO57" s="76"/>
      <c r="IRP57" s="76"/>
      <c r="IRQ57" s="76"/>
      <c r="IRR57" s="76"/>
      <c r="IRS57" s="76"/>
      <c r="IRT57" s="76"/>
      <c r="IRU57" s="76"/>
      <c r="IRV57" s="76"/>
      <c r="IRW57" s="76"/>
      <c r="IRX57" s="76"/>
      <c r="IRY57" s="76"/>
      <c r="IRZ57" s="76"/>
      <c r="ISA57" s="76"/>
      <c r="ISB57" s="76"/>
      <c r="ISC57" s="76"/>
      <c r="ISD57" s="76"/>
      <c r="ISE57" s="76"/>
      <c r="ISF57" s="76"/>
      <c r="ISG57" s="76"/>
      <c r="ISH57" s="76"/>
      <c r="ISI57" s="76"/>
      <c r="ISJ57" s="76"/>
      <c r="ISK57" s="76"/>
      <c r="ISL57" s="76"/>
      <c r="ISM57" s="76"/>
      <c r="ISN57" s="76"/>
      <c r="ISO57" s="76"/>
      <c r="ISP57" s="76"/>
      <c r="ISQ57" s="76"/>
      <c r="ISR57" s="76"/>
      <c r="ISS57" s="76"/>
      <c r="IST57" s="76"/>
      <c r="ISU57" s="76"/>
      <c r="ISV57" s="76"/>
      <c r="ISW57" s="76"/>
      <c r="ISX57" s="76"/>
      <c r="ISY57" s="76"/>
      <c r="ISZ57" s="76"/>
      <c r="ITA57" s="76"/>
      <c r="ITB57" s="76"/>
      <c r="ITC57" s="76"/>
      <c r="ITD57" s="76"/>
      <c r="ITE57" s="76"/>
      <c r="ITF57" s="76"/>
      <c r="ITG57" s="76"/>
      <c r="ITH57" s="76"/>
      <c r="ITI57" s="76"/>
      <c r="ITJ57" s="76"/>
      <c r="ITK57" s="76"/>
      <c r="ITL57" s="76"/>
      <c r="ITM57" s="76"/>
      <c r="ITN57" s="76"/>
      <c r="ITO57" s="76"/>
      <c r="ITP57" s="76"/>
      <c r="ITQ57" s="76"/>
      <c r="ITR57" s="76"/>
      <c r="ITS57" s="76"/>
      <c r="ITT57" s="76"/>
      <c r="ITU57" s="76"/>
      <c r="ITV57" s="76"/>
      <c r="ITW57" s="76"/>
      <c r="ITX57" s="76"/>
      <c r="ITY57" s="76"/>
      <c r="ITZ57" s="76"/>
      <c r="IUA57" s="76"/>
      <c r="IUB57" s="76"/>
      <c r="IUC57" s="76"/>
      <c r="IUD57" s="76"/>
      <c r="IUE57" s="76"/>
      <c r="IUF57" s="76"/>
      <c r="IUG57" s="76"/>
      <c r="IUH57" s="76"/>
      <c r="IUI57" s="76"/>
      <c r="IUJ57" s="76"/>
      <c r="IUK57" s="76"/>
      <c r="IUL57" s="76"/>
      <c r="IUM57" s="76"/>
      <c r="IUN57" s="76"/>
      <c r="IUO57" s="76"/>
      <c r="IUP57" s="76"/>
      <c r="IUQ57" s="76"/>
      <c r="IUR57" s="76"/>
      <c r="IUS57" s="76"/>
      <c r="IUT57" s="76"/>
      <c r="IUU57" s="76"/>
      <c r="IUV57" s="76"/>
      <c r="IUW57" s="76"/>
      <c r="IUX57" s="76"/>
      <c r="IUY57" s="76"/>
      <c r="IUZ57" s="76"/>
      <c r="IVA57" s="76"/>
      <c r="IVB57" s="76"/>
      <c r="IVC57" s="76"/>
      <c r="IVD57" s="76"/>
      <c r="IVE57" s="76"/>
      <c r="IVF57" s="76"/>
      <c r="IVG57" s="76"/>
      <c r="IVH57" s="76"/>
      <c r="IVI57" s="76"/>
      <c r="IVJ57" s="76"/>
      <c r="IVK57" s="76"/>
      <c r="IVL57" s="76"/>
      <c r="IVM57" s="76"/>
      <c r="IVN57" s="76"/>
      <c r="IVO57" s="76"/>
      <c r="IVP57" s="76"/>
      <c r="IVQ57" s="76"/>
      <c r="IVR57" s="76"/>
      <c r="IVS57" s="76"/>
      <c r="IVT57" s="76"/>
      <c r="IVU57" s="76"/>
      <c r="IVV57" s="76"/>
      <c r="IVW57" s="76"/>
      <c r="IVX57" s="76"/>
      <c r="IVY57" s="76"/>
      <c r="IVZ57" s="76"/>
      <c r="IWA57" s="76"/>
      <c r="IWB57" s="76"/>
      <c r="IWC57" s="76"/>
      <c r="IWD57" s="76"/>
      <c r="IWE57" s="76"/>
      <c r="IWF57" s="76"/>
      <c r="IWG57" s="76"/>
      <c r="IWH57" s="76"/>
      <c r="IWI57" s="76"/>
      <c r="IWJ57" s="76"/>
      <c r="IWK57" s="76"/>
      <c r="IWL57" s="76"/>
      <c r="IWM57" s="76"/>
      <c r="IWN57" s="76"/>
      <c r="IWO57" s="76"/>
      <c r="IWP57" s="76"/>
      <c r="IWQ57" s="76"/>
      <c r="IWR57" s="76"/>
      <c r="IWS57" s="76"/>
      <c r="IWT57" s="76"/>
      <c r="IWU57" s="76"/>
      <c r="IWV57" s="76"/>
      <c r="IWW57" s="76"/>
      <c r="IWX57" s="76"/>
      <c r="IWY57" s="76"/>
      <c r="IWZ57" s="76"/>
      <c r="IXA57" s="76"/>
      <c r="IXB57" s="76"/>
      <c r="IXC57" s="76"/>
      <c r="IXD57" s="76"/>
      <c r="IXE57" s="76"/>
      <c r="IXF57" s="76"/>
      <c r="IXG57" s="76"/>
      <c r="IXH57" s="76"/>
      <c r="IXI57" s="76"/>
      <c r="IXJ57" s="76"/>
      <c r="IXK57" s="76"/>
      <c r="IXL57" s="76"/>
      <c r="IXM57" s="76"/>
      <c r="IXN57" s="76"/>
      <c r="IXO57" s="76"/>
      <c r="IXP57" s="76"/>
      <c r="IXQ57" s="76"/>
      <c r="IXR57" s="76"/>
      <c r="IXS57" s="76"/>
      <c r="IXT57" s="76"/>
      <c r="IXU57" s="76"/>
      <c r="IXV57" s="76"/>
      <c r="IXW57" s="76"/>
      <c r="IXX57" s="76"/>
      <c r="IXY57" s="76"/>
      <c r="IXZ57" s="76"/>
      <c r="IYA57" s="76"/>
      <c r="IYB57" s="76"/>
      <c r="IYC57" s="76"/>
      <c r="IYD57" s="76"/>
      <c r="IYE57" s="76"/>
      <c r="IYF57" s="76"/>
      <c r="IYG57" s="76"/>
      <c r="IYH57" s="76"/>
      <c r="IYI57" s="76"/>
      <c r="IYJ57" s="76"/>
      <c r="IYK57" s="76"/>
      <c r="IYL57" s="76"/>
      <c r="IYM57" s="76"/>
      <c r="IYN57" s="76"/>
      <c r="IYO57" s="76"/>
      <c r="IYP57" s="76"/>
      <c r="IYQ57" s="76"/>
      <c r="IYR57" s="76"/>
      <c r="IYS57" s="76"/>
      <c r="IYT57" s="76"/>
      <c r="IYU57" s="76"/>
      <c r="IYV57" s="76"/>
      <c r="IYW57" s="76"/>
      <c r="IYX57" s="76"/>
      <c r="IYY57" s="76"/>
      <c r="IYZ57" s="76"/>
      <c r="IZA57" s="76"/>
      <c r="IZB57" s="76"/>
      <c r="IZC57" s="76"/>
      <c r="IZD57" s="76"/>
      <c r="IZE57" s="76"/>
      <c r="IZF57" s="76"/>
      <c r="IZG57" s="76"/>
      <c r="IZH57" s="76"/>
      <c r="IZI57" s="76"/>
      <c r="IZJ57" s="76"/>
      <c r="IZK57" s="76"/>
      <c r="IZL57" s="76"/>
      <c r="IZM57" s="76"/>
      <c r="IZN57" s="76"/>
      <c r="IZO57" s="76"/>
      <c r="IZP57" s="76"/>
      <c r="IZQ57" s="76"/>
      <c r="IZR57" s="76"/>
      <c r="IZS57" s="76"/>
      <c r="IZT57" s="76"/>
      <c r="IZU57" s="76"/>
      <c r="IZV57" s="76"/>
      <c r="IZW57" s="76"/>
      <c r="IZX57" s="76"/>
      <c r="IZY57" s="76"/>
      <c r="IZZ57" s="76"/>
      <c r="JAA57" s="76"/>
      <c r="JAB57" s="76"/>
      <c r="JAC57" s="76"/>
      <c r="JAD57" s="76"/>
      <c r="JAE57" s="76"/>
      <c r="JAF57" s="76"/>
      <c r="JAG57" s="76"/>
      <c r="JAH57" s="76"/>
      <c r="JAI57" s="76"/>
      <c r="JAJ57" s="76"/>
      <c r="JAK57" s="76"/>
      <c r="JAL57" s="76"/>
      <c r="JAM57" s="76"/>
      <c r="JAN57" s="76"/>
      <c r="JAO57" s="76"/>
      <c r="JAP57" s="76"/>
      <c r="JAQ57" s="76"/>
      <c r="JAR57" s="76"/>
      <c r="JAS57" s="76"/>
      <c r="JAT57" s="76"/>
      <c r="JAU57" s="76"/>
      <c r="JAV57" s="76"/>
      <c r="JAW57" s="76"/>
      <c r="JAX57" s="76"/>
      <c r="JAY57" s="76"/>
      <c r="JAZ57" s="76"/>
      <c r="JBA57" s="76"/>
      <c r="JBB57" s="76"/>
      <c r="JBC57" s="76"/>
      <c r="JBD57" s="76"/>
      <c r="JBE57" s="76"/>
      <c r="JBF57" s="76"/>
      <c r="JBG57" s="76"/>
      <c r="JBH57" s="76"/>
      <c r="JBI57" s="76"/>
      <c r="JBJ57" s="76"/>
      <c r="JBK57" s="76"/>
      <c r="JBL57" s="76"/>
      <c r="JBM57" s="76"/>
      <c r="JBN57" s="76"/>
      <c r="JBO57" s="76"/>
      <c r="JBP57" s="76"/>
      <c r="JBQ57" s="76"/>
      <c r="JBR57" s="76"/>
      <c r="JBS57" s="76"/>
      <c r="JBT57" s="76"/>
      <c r="JBU57" s="76"/>
      <c r="JBV57" s="76"/>
      <c r="JBW57" s="76"/>
      <c r="JBX57" s="76"/>
      <c r="JBY57" s="76"/>
      <c r="JBZ57" s="76"/>
      <c r="JCA57" s="76"/>
      <c r="JCB57" s="76"/>
      <c r="JCC57" s="76"/>
      <c r="JCD57" s="76"/>
      <c r="JCE57" s="76"/>
      <c r="JCF57" s="76"/>
      <c r="JCG57" s="76"/>
      <c r="JCH57" s="76"/>
      <c r="JCI57" s="76"/>
      <c r="JCJ57" s="76"/>
      <c r="JCK57" s="76"/>
      <c r="JCL57" s="76"/>
      <c r="JCM57" s="76"/>
      <c r="JCN57" s="76"/>
      <c r="JCO57" s="76"/>
      <c r="JCP57" s="76"/>
      <c r="JCQ57" s="76"/>
      <c r="JCR57" s="76"/>
      <c r="JCS57" s="76"/>
      <c r="JCT57" s="76"/>
      <c r="JCU57" s="76"/>
      <c r="JCV57" s="76"/>
      <c r="JCW57" s="76"/>
      <c r="JCX57" s="76"/>
      <c r="JCY57" s="76"/>
      <c r="JCZ57" s="76"/>
      <c r="JDA57" s="76"/>
      <c r="JDB57" s="76"/>
      <c r="JDC57" s="76"/>
      <c r="JDD57" s="76"/>
      <c r="JDE57" s="76"/>
      <c r="JDF57" s="76"/>
      <c r="JDG57" s="76"/>
      <c r="JDH57" s="76"/>
      <c r="JDI57" s="76"/>
      <c r="JDJ57" s="76"/>
      <c r="JDK57" s="76"/>
      <c r="JDL57" s="76"/>
      <c r="JDM57" s="76"/>
      <c r="JDN57" s="76"/>
      <c r="JDO57" s="76"/>
      <c r="JDP57" s="76"/>
      <c r="JDQ57" s="76"/>
      <c r="JDR57" s="76"/>
      <c r="JDS57" s="76"/>
      <c r="JDT57" s="76"/>
      <c r="JDU57" s="76"/>
      <c r="JDV57" s="76"/>
      <c r="JDW57" s="76"/>
      <c r="JDX57" s="76"/>
      <c r="JDY57" s="76"/>
      <c r="JDZ57" s="76"/>
      <c r="JEA57" s="76"/>
      <c r="JEB57" s="76"/>
      <c r="JEC57" s="76"/>
      <c r="JED57" s="76"/>
      <c r="JEE57" s="76"/>
      <c r="JEF57" s="76"/>
      <c r="JEG57" s="76"/>
      <c r="JEH57" s="76"/>
      <c r="JEI57" s="76"/>
      <c r="JEJ57" s="76"/>
      <c r="JEK57" s="76"/>
      <c r="JEL57" s="76"/>
      <c r="JEM57" s="76"/>
      <c r="JEN57" s="76"/>
      <c r="JEO57" s="76"/>
      <c r="JEP57" s="76"/>
      <c r="JEQ57" s="76"/>
      <c r="JER57" s="76"/>
      <c r="JES57" s="76"/>
      <c r="JET57" s="76"/>
      <c r="JEU57" s="76"/>
      <c r="JEV57" s="76"/>
      <c r="JEW57" s="76"/>
      <c r="JEX57" s="76"/>
      <c r="JEY57" s="76"/>
      <c r="JEZ57" s="76"/>
      <c r="JFA57" s="76"/>
      <c r="JFB57" s="76"/>
      <c r="JFC57" s="76"/>
      <c r="JFD57" s="76"/>
      <c r="JFE57" s="76"/>
      <c r="JFF57" s="76"/>
      <c r="JFG57" s="76"/>
      <c r="JFH57" s="76"/>
      <c r="JFI57" s="76"/>
      <c r="JFJ57" s="76"/>
      <c r="JFK57" s="76"/>
      <c r="JFL57" s="76"/>
      <c r="JFM57" s="76"/>
      <c r="JFN57" s="76"/>
      <c r="JFO57" s="76"/>
      <c r="JFP57" s="76"/>
      <c r="JFQ57" s="76"/>
      <c r="JFR57" s="76"/>
      <c r="JFS57" s="76"/>
      <c r="JFT57" s="76"/>
      <c r="JFU57" s="76"/>
      <c r="JFV57" s="76"/>
      <c r="JFW57" s="76"/>
      <c r="JFX57" s="76"/>
      <c r="JFY57" s="76"/>
      <c r="JFZ57" s="76"/>
      <c r="JGA57" s="76"/>
      <c r="JGB57" s="76"/>
      <c r="JGC57" s="76"/>
      <c r="JGD57" s="76"/>
      <c r="JGE57" s="76"/>
      <c r="JGF57" s="76"/>
      <c r="JGG57" s="76"/>
      <c r="JGH57" s="76"/>
      <c r="JGI57" s="76"/>
      <c r="JGJ57" s="76"/>
      <c r="JGK57" s="76"/>
      <c r="JGL57" s="76"/>
      <c r="JGM57" s="76"/>
      <c r="JGN57" s="76"/>
      <c r="JGO57" s="76"/>
      <c r="JGP57" s="76"/>
      <c r="JGQ57" s="76"/>
      <c r="JGR57" s="76"/>
      <c r="JGS57" s="76"/>
      <c r="JGT57" s="76"/>
      <c r="JGU57" s="76"/>
      <c r="JGV57" s="76"/>
      <c r="JGW57" s="76"/>
      <c r="JGX57" s="76"/>
      <c r="JGY57" s="76"/>
      <c r="JGZ57" s="76"/>
      <c r="JHA57" s="76"/>
      <c r="JHB57" s="76"/>
      <c r="JHC57" s="76"/>
      <c r="JHD57" s="76"/>
      <c r="JHE57" s="76"/>
      <c r="JHF57" s="76"/>
      <c r="JHG57" s="76"/>
      <c r="JHH57" s="76"/>
      <c r="JHI57" s="76"/>
      <c r="JHJ57" s="76"/>
      <c r="JHK57" s="76"/>
      <c r="JHL57" s="76"/>
      <c r="JHM57" s="76"/>
      <c r="JHN57" s="76"/>
      <c r="JHO57" s="76"/>
      <c r="JHP57" s="76"/>
      <c r="JHQ57" s="76"/>
      <c r="JHR57" s="76"/>
      <c r="JHS57" s="76"/>
      <c r="JHT57" s="76"/>
      <c r="JHU57" s="76"/>
      <c r="JHV57" s="76"/>
      <c r="JHW57" s="76"/>
      <c r="JHX57" s="76"/>
      <c r="JHY57" s="76"/>
      <c r="JHZ57" s="76"/>
      <c r="JIA57" s="76"/>
      <c r="JIB57" s="76"/>
      <c r="JIC57" s="76"/>
      <c r="JID57" s="76"/>
      <c r="JIE57" s="76"/>
      <c r="JIF57" s="76"/>
      <c r="JIG57" s="76"/>
      <c r="JIH57" s="76"/>
      <c r="JII57" s="76"/>
      <c r="JIJ57" s="76"/>
      <c r="JIK57" s="76"/>
      <c r="JIL57" s="76"/>
      <c r="JIM57" s="76"/>
      <c r="JIN57" s="76"/>
      <c r="JIO57" s="76"/>
      <c r="JIP57" s="76"/>
      <c r="JIQ57" s="76"/>
      <c r="JIR57" s="76"/>
      <c r="JIS57" s="76"/>
      <c r="JIT57" s="76"/>
      <c r="JIU57" s="76"/>
      <c r="JIV57" s="76"/>
      <c r="JIW57" s="76"/>
      <c r="JIX57" s="76"/>
      <c r="JIY57" s="76"/>
      <c r="JIZ57" s="76"/>
      <c r="JJA57" s="76"/>
      <c r="JJB57" s="76"/>
      <c r="JJC57" s="76"/>
      <c r="JJD57" s="76"/>
      <c r="JJE57" s="76"/>
      <c r="JJF57" s="76"/>
      <c r="JJG57" s="76"/>
      <c r="JJH57" s="76"/>
      <c r="JJI57" s="76"/>
      <c r="JJJ57" s="76"/>
      <c r="JJK57" s="76"/>
      <c r="JJL57" s="76"/>
      <c r="JJM57" s="76"/>
      <c r="JJN57" s="76"/>
      <c r="JJO57" s="76"/>
      <c r="JJP57" s="76"/>
      <c r="JJQ57" s="76"/>
      <c r="JJR57" s="76"/>
      <c r="JJS57" s="76"/>
      <c r="JJT57" s="76"/>
      <c r="JJU57" s="76"/>
      <c r="JJV57" s="76"/>
      <c r="JJW57" s="76"/>
      <c r="JJX57" s="76"/>
      <c r="JJY57" s="76"/>
      <c r="JJZ57" s="76"/>
      <c r="JKA57" s="76"/>
      <c r="JKB57" s="76"/>
      <c r="JKC57" s="76"/>
      <c r="JKD57" s="76"/>
      <c r="JKE57" s="76"/>
      <c r="JKF57" s="76"/>
      <c r="JKG57" s="76"/>
      <c r="JKH57" s="76"/>
      <c r="JKI57" s="76"/>
      <c r="JKJ57" s="76"/>
      <c r="JKK57" s="76"/>
      <c r="JKL57" s="76"/>
      <c r="JKM57" s="76"/>
      <c r="JKN57" s="76"/>
      <c r="JKO57" s="76"/>
      <c r="JKP57" s="76"/>
      <c r="JKQ57" s="76"/>
      <c r="JKR57" s="76"/>
      <c r="JKS57" s="76"/>
      <c r="JKT57" s="76"/>
      <c r="JKU57" s="76"/>
      <c r="JKV57" s="76"/>
      <c r="JKW57" s="76"/>
      <c r="JKX57" s="76"/>
      <c r="JKY57" s="76"/>
      <c r="JKZ57" s="76"/>
      <c r="JLA57" s="76"/>
      <c r="JLB57" s="76"/>
      <c r="JLC57" s="76"/>
      <c r="JLD57" s="76"/>
      <c r="JLE57" s="76"/>
      <c r="JLF57" s="76"/>
      <c r="JLG57" s="76"/>
      <c r="JLH57" s="76"/>
      <c r="JLI57" s="76"/>
      <c r="JLJ57" s="76"/>
      <c r="JLK57" s="76"/>
      <c r="JLL57" s="76"/>
      <c r="JLM57" s="76"/>
      <c r="JLN57" s="76"/>
      <c r="JLO57" s="76"/>
      <c r="JLP57" s="76"/>
      <c r="JLQ57" s="76"/>
      <c r="JLR57" s="76"/>
      <c r="JLS57" s="76"/>
      <c r="JLT57" s="76"/>
      <c r="JLU57" s="76"/>
      <c r="JLV57" s="76"/>
      <c r="JLW57" s="76"/>
      <c r="JLX57" s="76"/>
      <c r="JLY57" s="76"/>
      <c r="JLZ57" s="76"/>
      <c r="JMA57" s="76"/>
      <c r="JMB57" s="76"/>
      <c r="JMC57" s="76"/>
      <c r="JMD57" s="76"/>
      <c r="JME57" s="76"/>
      <c r="JMF57" s="76"/>
      <c r="JMG57" s="76"/>
      <c r="JMH57" s="76"/>
      <c r="JMI57" s="76"/>
      <c r="JMJ57" s="76"/>
      <c r="JMK57" s="76"/>
      <c r="JML57" s="76"/>
      <c r="JMM57" s="76"/>
      <c r="JMN57" s="76"/>
      <c r="JMO57" s="76"/>
      <c r="JMP57" s="76"/>
      <c r="JMQ57" s="76"/>
      <c r="JMR57" s="76"/>
      <c r="JMS57" s="76"/>
      <c r="JMT57" s="76"/>
      <c r="JMU57" s="76"/>
      <c r="JMV57" s="76"/>
      <c r="JMW57" s="76"/>
      <c r="JMX57" s="76"/>
      <c r="JMY57" s="76"/>
      <c r="JMZ57" s="76"/>
      <c r="JNA57" s="76"/>
      <c r="JNB57" s="76"/>
      <c r="JNC57" s="76"/>
      <c r="JND57" s="76"/>
      <c r="JNE57" s="76"/>
      <c r="JNF57" s="76"/>
      <c r="JNG57" s="76"/>
      <c r="JNH57" s="76"/>
      <c r="JNI57" s="76"/>
      <c r="JNJ57" s="76"/>
      <c r="JNK57" s="76"/>
      <c r="JNL57" s="76"/>
      <c r="JNM57" s="76"/>
      <c r="JNN57" s="76"/>
      <c r="JNO57" s="76"/>
      <c r="JNP57" s="76"/>
      <c r="JNQ57" s="76"/>
      <c r="JNR57" s="76"/>
      <c r="JNS57" s="76"/>
      <c r="JNT57" s="76"/>
      <c r="JNU57" s="76"/>
      <c r="JNV57" s="76"/>
      <c r="JNW57" s="76"/>
      <c r="JNX57" s="76"/>
      <c r="JNY57" s="76"/>
      <c r="JNZ57" s="76"/>
      <c r="JOA57" s="76"/>
      <c r="JOB57" s="76"/>
      <c r="JOC57" s="76"/>
      <c r="JOD57" s="76"/>
      <c r="JOE57" s="76"/>
      <c r="JOF57" s="76"/>
      <c r="JOG57" s="76"/>
      <c r="JOH57" s="76"/>
      <c r="JOI57" s="76"/>
      <c r="JOJ57" s="76"/>
      <c r="JOK57" s="76"/>
      <c r="JOL57" s="76"/>
      <c r="JOM57" s="76"/>
      <c r="JON57" s="76"/>
      <c r="JOO57" s="76"/>
      <c r="JOP57" s="76"/>
      <c r="JOQ57" s="76"/>
      <c r="JOR57" s="76"/>
      <c r="JOS57" s="76"/>
      <c r="JOT57" s="76"/>
      <c r="JOU57" s="76"/>
      <c r="JOV57" s="76"/>
      <c r="JOW57" s="76"/>
      <c r="JOX57" s="76"/>
      <c r="JOY57" s="76"/>
      <c r="JOZ57" s="76"/>
      <c r="JPA57" s="76"/>
      <c r="JPB57" s="76"/>
      <c r="JPC57" s="76"/>
      <c r="JPD57" s="76"/>
      <c r="JPE57" s="76"/>
      <c r="JPF57" s="76"/>
      <c r="JPG57" s="76"/>
      <c r="JPH57" s="76"/>
      <c r="JPI57" s="76"/>
      <c r="JPJ57" s="76"/>
      <c r="JPK57" s="76"/>
      <c r="JPL57" s="76"/>
      <c r="JPM57" s="76"/>
      <c r="JPN57" s="76"/>
      <c r="JPO57" s="76"/>
      <c r="JPP57" s="76"/>
      <c r="JPQ57" s="76"/>
      <c r="JPR57" s="76"/>
      <c r="JPS57" s="76"/>
      <c r="JPT57" s="76"/>
      <c r="JPU57" s="76"/>
      <c r="JPV57" s="76"/>
      <c r="JPW57" s="76"/>
      <c r="JPX57" s="76"/>
      <c r="JPY57" s="76"/>
      <c r="JPZ57" s="76"/>
      <c r="JQA57" s="76"/>
      <c r="JQB57" s="76"/>
      <c r="JQC57" s="76"/>
      <c r="JQD57" s="76"/>
      <c r="JQE57" s="76"/>
      <c r="JQF57" s="76"/>
      <c r="JQG57" s="76"/>
      <c r="JQH57" s="76"/>
      <c r="JQI57" s="76"/>
      <c r="JQJ57" s="76"/>
      <c r="JQK57" s="76"/>
      <c r="JQL57" s="76"/>
      <c r="JQM57" s="76"/>
      <c r="JQN57" s="76"/>
      <c r="JQO57" s="76"/>
      <c r="JQP57" s="76"/>
      <c r="JQQ57" s="76"/>
      <c r="JQR57" s="76"/>
      <c r="JQS57" s="76"/>
      <c r="JQT57" s="76"/>
      <c r="JQU57" s="76"/>
      <c r="JQV57" s="76"/>
      <c r="JQW57" s="76"/>
      <c r="JQX57" s="76"/>
      <c r="JQY57" s="76"/>
      <c r="JQZ57" s="76"/>
      <c r="JRA57" s="76"/>
      <c r="JRB57" s="76"/>
      <c r="JRC57" s="76"/>
      <c r="JRD57" s="76"/>
      <c r="JRE57" s="76"/>
      <c r="JRF57" s="76"/>
      <c r="JRG57" s="76"/>
      <c r="JRH57" s="76"/>
      <c r="JRI57" s="76"/>
      <c r="JRJ57" s="76"/>
      <c r="JRK57" s="76"/>
      <c r="JRL57" s="76"/>
      <c r="JRM57" s="76"/>
      <c r="JRN57" s="76"/>
      <c r="JRO57" s="76"/>
      <c r="JRP57" s="76"/>
      <c r="JRQ57" s="76"/>
      <c r="JRR57" s="76"/>
      <c r="JRS57" s="76"/>
      <c r="JRT57" s="76"/>
      <c r="JRU57" s="76"/>
      <c r="JRV57" s="76"/>
      <c r="JRW57" s="76"/>
      <c r="JRX57" s="76"/>
      <c r="JRY57" s="76"/>
      <c r="JRZ57" s="76"/>
      <c r="JSA57" s="76"/>
      <c r="JSB57" s="76"/>
      <c r="JSC57" s="76"/>
      <c r="JSD57" s="76"/>
      <c r="JSE57" s="76"/>
      <c r="JSF57" s="76"/>
      <c r="JSG57" s="76"/>
      <c r="JSH57" s="76"/>
      <c r="JSI57" s="76"/>
      <c r="JSJ57" s="76"/>
      <c r="JSK57" s="76"/>
      <c r="JSL57" s="76"/>
      <c r="JSM57" s="76"/>
      <c r="JSN57" s="76"/>
      <c r="JSO57" s="76"/>
      <c r="JSP57" s="76"/>
      <c r="JSQ57" s="76"/>
      <c r="JSR57" s="76"/>
      <c r="JSS57" s="76"/>
      <c r="JST57" s="76"/>
      <c r="JSU57" s="76"/>
      <c r="JSV57" s="76"/>
      <c r="JSW57" s="76"/>
      <c r="JSX57" s="76"/>
      <c r="JSY57" s="76"/>
      <c r="JSZ57" s="76"/>
      <c r="JTA57" s="76"/>
      <c r="JTB57" s="76"/>
      <c r="JTC57" s="76"/>
      <c r="JTD57" s="76"/>
      <c r="JTE57" s="76"/>
      <c r="JTF57" s="76"/>
      <c r="JTG57" s="76"/>
      <c r="JTH57" s="76"/>
      <c r="JTI57" s="76"/>
      <c r="JTJ57" s="76"/>
      <c r="JTK57" s="76"/>
      <c r="JTL57" s="76"/>
      <c r="JTM57" s="76"/>
      <c r="JTN57" s="76"/>
      <c r="JTO57" s="76"/>
      <c r="JTP57" s="76"/>
      <c r="JTQ57" s="76"/>
      <c r="JTR57" s="76"/>
      <c r="JTS57" s="76"/>
      <c r="JTT57" s="76"/>
      <c r="JTU57" s="76"/>
      <c r="JTV57" s="76"/>
      <c r="JTW57" s="76"/>
      <c r="JTX57" s="76"/>
      <c r="JTY57" s="76"/>
      <c r="JTZ57" s="76"/>
      <c r="JUA57" s="76"/>
      <c r="JUB57" s="76"/>
      <c r="JUC57" s="76"/>
      <c r="JUD57" s="76"/>
      <c r="JUE57" s="76"/>
      <c r="JUF57" s="76"/>
      <c r="JUG57" s="76"/>
      <c r="JUH57" s="76"/>
      <c r="JUI57" s="76"/>
      <c r="JUJ57" s="76"/>
      <c r="JUK57" s="76"/>
      <c r="JUL57" s="76"/>
      <c r="JUM57" s="76"/>
      <c r="JUN57" s="76"/>
      <c r="JUO57" s="76"/>
      <c r="JUP57" s="76"/>
      <c r="JUQ57" s="76"/>
      <c r="JUR57" s="76"/>
      <c r="JUS57" s="76"/>
      <c r="JUT57" s="76"/>
      <c r="JUU57" s="76"/>
      <c r="JUV57" s="76"/>
      <c r="JUW57" s="76"/>
      <c r="JUX57" s="76"/>
      <c r="JUY57" s="76"/>
      <c r="JUZ57" s="76"/>
      <c r="JVA57" s="76"/>
      <c r="JVB57" s="76"/>
      <c r="JVC57" s="76"/>
      <c r="JVD57" s="76"/>
      <c r="JVE57" s="76"/>
      <c r="JVF57" s="76"/>
      <c r="JVG57" s="76"/>
      <c r="JVH57" s="76"/>
      <c r="JVI57" s="76"/>
      <c r="JVJ57" s="76"/>
      <c r="JVK57" s="76"/>
      <c r="JVL57" s="76"/>
      <c r="JVM57" s="76"/>
      <c r="JVN57" s="76"/>
      <c r="JVO57" s="76"/>
      <c r="JVP57" s="76"/>
      <c r="JVQ57" s="76"/>
      <c r="JVR57" s="76"/>
      <c r="JVS57" s="76"/>
      <c r="JVT57" s="76"/>
      <c r="JVU57" s="76"/>
      <c r="JVV57" s="76"/>
      <c r="JVW57" s="76"/>
      <c r="JVX57" s="76"/>
      <c r="JVY57" s="76"/>
      <c r="JVZ57" s="76"/>
      <c r="JWA57" s="76"/>
      <c r="JWB57" s="76"/>
      <c r="JWC57" s="76"/>
      <c r="JWD57" s="76"/>
      <c r="JWE57" s="76"/>
      <c r="JWF57" s="76"/>
      <c r="JWG57" s="76"/>
      <c r="JWH57" s="76"/>
      <c r="JWI57" s="76"/>
      <c r="JWJ57" s="76"/>
      <c r="JWK57" s="76"/>
      <c r="JWL57" s="76"/>
      <c r="JWM57" s="76"/>
      <c r="JWN57" s="76"/>
      <c r="JWO57" s="76"/>
      <c r="JWP57" s="76"/>
      <c r="JWQ57" s="76"/>
      <c r="JWR57" s="76"/>
      <c r="JWS57" s="76"/>
      <c r="JWT57" s="76"/>
      <c r="JWU57" s="76"/>
      <c r="JWV57" s="76"/>
      <c r="JWW57" s="76"/>
      <c r="JWX57" s="76"/>
      <c r="JWY57" s="76"/>
      <c r="JWZ57" s="76"/>
      <c r="JXA57" s="76"/>
      <c r="JXB57" s="76"/>
      <c r="JXC57" s="76"/>
      <c r="JXD57" s="76"/>
      <c r="JXE57" s="76"/>
      <c r="JXF57" s="76"/>
      <c r="JXG57" s="76"/>
      <c r="JXH57" s="76"/>
      <c r="JXI57" s="76"/>
      <c r="JXJ57" s="76"/>
      <c r="JXK57" s="76"/>
      <c r="JXL57" s="76"/>
      <c r="JXM57" s="76"/>
      <c r="JXN57" s="76"/>
      <c r="JXO57" s="76"/>
      <c r="JXP57" s="76"/>
      <c r="JXQ57" s="76"/>
      <c r="JXR57" s="76"/>
      <c r="JXS57" s="76"/>
      <c r="JXT57" s="76"/>
      <c r="JXU57" s="76"/>
      <c r="JXV57" s="76"/>
      <c r="JXW57" s="76"/>
      <c r="JXX57" s="76"/>
      <c r="JXY57" s="76"/>
      <c r="JXZ57" s="76"/>
      <c r="JYA57" s="76"/>
      <c r="JYB57" s="76"/>
      <c r="JYC57" s="76"/>
      <c r="JYD57" s="76"/>
      <c r="JYE57" s="76"/>
      <c r="JYF57" s="76"/>
      <c r="JYG57" s="76"/>
      <c r="JYH57" s="76"/>
      <c r="JYI57" s="76"/>
      <c r="JYJ57" s="76"/>
      <c r="JYK57" s="76"/>
      <c r="JYL57" s="76"/>
      <c r="JYM57" s="76"/>
      <c r="JYN57" s="76"/>
      <c r="JYO57" s="76"/>
      <c r="JYP57" s="76"/>
      <c r="JYQ57" s="76"/>
      <c r="JYR57" s="76"/>
      <c r="JYS57" s="76"/>
      <c r="JYT57" s="76"/>
      <c r="JYU57" s="76"/>
      <c r="JYV57" s="76"/>
      <c r="JYW57" s="76"/>
      <c r="JYX57" s="76"/>
      <c r="JYY57" s="76"/>
      <c r="JYZ57" s="76"/>
      <c r="JZA57" s="76"/>
      <c r="JZB57" s="76"/>
      <c r="JZC57" s="76"/>
      <c r="JZD57" s="76"/>
      <c r="JZE57" s="76"/>
      <c r="JZF57" s="76"/>
      <c r="JZG57" s="76"/>
      <c r="JZH57" s="76"/>
      <c r="JZI57" s="76"/>
      <c r="JZJ57" s="76"/>
      <c r="JZK57" s="76"/>
      <c r="JZL57" s="76"/>
      <c r="JZM57" s="76"/>
      <c r="JZN57" s="76"/>
      <c r="JZO57" s="76"/>
      <c r="JZP57" s="76"/>
      <c r="JZQ57" s="76"/>
      <c r="JZR57" s="76"/>
      <c r="JZS57" s="76"/>
      <c r="JZT57" s="76"/>
      <c r="JZU57" s="76"/>
      <c r="JZV57" s="76"/>
      <c r="JZW57" s="76"/>
      <c r="JZX57" s="76"/>
      <c r="JZY57" s="76"/>
      <c r="JZZ57" s="76"/>
      <c r="KAA57" s="76"/>
      <c r="KAB57" s="76"/>
      <c r="KAC57" s="76"/>
      <c r="KAD57" s="76"/>
      <c r="KAE57" s="76"/>
      <c r="KAF57" s="76"/>
      <c r="KAG57" s="76"/>
      <c r="KAH57" s="76"/>
      <c r="KAI57" s="76"/>
      <c r="KAJ57" s="76"/>
      <c r="KAK57" s="76"/>
      <c r="KAL57" s="76"/>
      <c r="KAM57" s="76"/>
      <c r="KAN57" s="76"/>
      <c r="KAO57" s="76"/>
      <c r="KAP57" s="76"/>
      <c r="KAQ57" s="76"/>
      <c r="KAR57" s="76"/>
      <c r="KAS57" s="76"/>
      <c r="KAT57" s="76"/>
      <c r="KAU57" s="76"/>
      <c r="KAV57" s="76"/>
      <c r="KAW57" s="76"/>
      <c r="KAX57" s="76"/>
      <c r="KAY57" s="76"/>
      <c r="KAZ57" s="76"/>
      <c r="KBA57" s="76"/>
      <c r="KBB57" s="76"/>
      <c r="KBC57" s="76"/>
      <c r="KBD57" s="76"/>
      <c r="KBE57" s="76"/>
      <c r="KBF57" s="76"/>
      <c r="KBG57" s="76"/>
      <c r="KBH57" s="76"/>
      <c r="KBI57" s="76"/>
      <c r="KBJ57" s="76"/>
      <c r="KBK57" s="76"/>
      <c r="KBL57" s="76"/>
      <c r="KBM57" s="76"/>
      <c r="KBN57" s="76"/>
      <c r="KBO57" s="76"/>
      <c r="KBP57" s="76"/>
      <c r="KBQ57" s="76"/>
      <c r="KBR57" s="76"/>
      <c r="KBS57" s="76"/>
      <c r="KBT57" s="76"/>
      <c r="KBU57" s="76"/>
      <c r="KBV57" s="76"/>
      <c r="KBW57" s="76"/>
      <c r="KBX57" s="76"/>
      <c r="KBY57" s="76"/>
      <c r="KBZ57" s="76"/>
      <c r="KCA57" s="76"/>
      <c r="KCB57" s="76"/>
      <c r="KCC57" s="76"/>
      <c r="KCD57" s="76"/>
      <c r="KCE57" s="76"/>
      <c r="KCF57" s="76"/>
      <c r="KCG57" s="76"/>
      <c r="KCH57" s="76"/>
      <c r="KCI57" s="76"/>
      <c r="KCJ57" s="76"/>
      <c r="KCK57" s="76"/>
      <c r="KCL57" s="76"/>
      <c r="KCM57" s="76"/>
      <c r="KCN57" s="76"/>
      <c r="KCO57" s="76"/>
      <c r="KCP57" s="76"/>
      <c r="KCQ57" s="76"/>
      <c r="KCR57" s="76"/>
      <c r="KCS57" s="76"/>
      <c r="KCT57" s="76"/>
      <c r="KCU57" s="76"/>
      <c r="KCV57" s="76"/>
      <c r="KCW57" s="76"/>
      <c r="KCX57" s="76"/>
      <c r="KCY57" s="76"/>
      <c r="KCZ57" s="76"/>
      <c r="KDA57" s="76"/>
      <c r="KDB57" s="76"/>
      <c r="KDC57" s="76"/>
      <c r="KDD57" s="76"/>
      <c r="KDE57" s="76"/>
      <c r="KDF57" s="76"/>
      <c r="KDG57" s="76"/>
      <c r="KDH57" s="76"/>
      <c r="KDI57" s="76"/>
      <c r="KDJ57" s="76"/>
      <c r="KDK57" s="76"/>
      <c r="KDL57" s="76"/>
      <c r="KDM57" s="76"/>
      <c r="KDN57" s="76"/>
      <c r="KDO57" s="76"/>
      <c r="KDP57" s="76"/>
      <c r="KDQ57" s="76"/>
      <c r="KDR57" s="76"/>
      <c r="KDS57" s="76"/>
      <c r="KDT57" s="76"/>
      <c r="KDU57" s="76"/>
      <c r="KDV57" s="76"/>
      <c r="KDW57" s="76"/>
      <c r="KDX57" s="76"/>
      <c r="KDY57" s="76"/>
      <c r="KDZ57" s="76"/>
      <c r="KEA57" s="76"/>
      <c r="KEB57" s="76"/>
      <c r="KEC57" s="76"/>
      <c r="KED57" s="76"/>
      <c r="KEE57" s="76"/>
      <c r="KEF57" s="76"/>
      <c r="KEG57" s="76"/>
      <c r="KEH57" s="76"/>
      <c r="KEI57" s="76"/>
      <c r="KEJ57" s="76"/>
      <c r="KEK57" s="76"/>
      <c r="KEL57" s="76"/>
      <c r="KEM57" s="76"/>
      <c r="KEN57" s="76"/>
      <c r="KEO57" s="76"/>
      <c r="KEP57" s="76"/>
      <c r="KEQ57" s="76"/>
      <c r="KER57" s="76"/>
      <c r="KES57" s="76"/>
      <c r="KET57" s="76"/>
      <c r="KEU57" s="76"/>
      <c r="KEV57" s="76"/>
      <c r="KEW57" s="76"/>
      <c r="KEX57" s="76"/>
      <c r="KEY57" s="76"/>
      <c r="KEZ57" s="76"/>
      <c r="KFA57" s="76"/>
      <c r="KFB57" s="76"/>
      <c r="KFC57" s="76"/>
      <c r="KFD57" s="76"/>
      <c r="KFE57" s="76"/>
      <c r="KFF57" s="76"/>
      <c r="KFG57" s="76"/>
      <c r="KFH57" s="76"/>
      <c r="KFI57" s="76"/>
      <c r="KFJ57" s="76"/>
      <c r="KFK57" s="76"/>
      <c r="KFL57" s="76"/>
      <c r="KFM57" s="76"/>
      <c r="KFN57" s="76"/>
      <c r="KFO57" s="76"/>
      <c r="KFP57" s="76"/>
      <c r="KFQ57" s="76"/>
      <c r="KFR57" s="76"/>
      <c r="KFS57" s="76"/>
      <c r="KFT57" s="76"/>
      <c r="KFU57" s="76"/>
      <c r="KFV57" s="76"/>
      <c r="KFW57" s="76"/>
      <c r="KFX57" s="76"/>
      <c r="KFY57" s="76"/>
      <c r="KFZ57" s="76"/>
      <c r="KGA57" s="76"/>
      <c r="KGB57" s="76"/>
      <c r="KGC57" s="76"/>
      <c r="KGD57" s="76"/>
      <c r="KGE57" s="76"/>
      <c r="KGF57" s="76"/>
      <c r="KGG57" s="76"/>
      <c r="KGH57" s="76"/>
      <c r="KGI57" s="76"/>
      <c r="KGJ57" s="76"/>
      <c r="KGK57" s="76"/>
      <c r="KGL57" s="76"/>
      <c r="KGM57" s="76"/>
      <c r="KGN57" s="76"/>
      <c r="KGO57" s="76"/>
      <c r="KGP57" s="76"/>
      <c r="KGQ57" s="76"/>
      <c r="KGR57" s="76"/>
      <c r="KGS57" s="76"/>
      <c r="KGT57" s="76"/>
      <c r="KGU57" s="76"/>
      <c r="KGV57" s="76"/>
      <c r="KGW57" s="76"/>
      <c r="KGX57" s="76"/>
      <c r="KGY57" s="76"/>
      <c r="KGZ57" s="76"/>
      <c r="KHA57" s="76"/>
      <c r="KHB57" s="76"/>
      <c r="KHC57" s="76"/>
      <c r="KHD57" s="76"/>
      <c r="KHE57" s="76"/>
      <c r="KHF57" s="76"/>
      <c r="KHG57" s="76"/>
      <c r="KHH57" s="76"/>
      <c r="KHI57" s="76"/>
      <c r="KHJ57" s="76"/>
      <c r="KHK57" s="76"/>
      <c r="KHL57" s="76"/>
      <c r="KHM57" s="76"/>
      <c r="KHN57" s="76"/>
      <c r="KHO57" s="76"/>
      <c r="KHP57" s="76"/>
      <c r="KHQ57" s="76"/>
      <c r="KHR57" s="76"/>
      <c r="KHS57" s="76"/>
      <c r="KHT57" s="76"/>
      <c r="KHU57" s="76"/>
      <c r="KHV57" s="76"/>
      <c r="KHW57" s="76"/>
      <c r="KHX57" s="76"/>
      <c r="KHY57" s="76"/>
      <c r="KHZ57" s="76"/>
      <c r="KIA57" s="76"/>
      <c r="KIB57" s="76"/>
      <c r="KIC57" s="76"/>
      <c r="KID57" s="76"/>
      <c r="KIE57" s="76"/>
      <c r="KIF57" s="76"/>
      <c r="KIG57" s="76"/>
      <c r="KIH57" s="76"/>
      <c r="KII57" s="76"/>
      <c r="KIJ57" s="76"/>
      <c r="KIK57" s="76"/>
      <c r="KIL57" s="76"/>
      <c r="KIM57" s="76"/>
      <c r="KIN57" s="76"/>
      <c r="KIO57" s="76"/>
      <c r="KIP57" s="76"/>
      <c r="KIQ57" s="76"/>
      <c r="KIR57" s="76"/>
      <c r="KIS57" s="76"/>
      <c r="KIT57" s="76"/>
      <c r="KIU57" s="76"/>
      <c r="KIV57" s="76"/>
      <c r="KIW57" s="76"/>
      <c r="KIX57" s="76"/>
      <c r="KIY57" s="76"/>
      <c r="KIZ57" s="76"/>
      <c r="KJA57" s="76"/>
      <c r="KJB57" s="76"/>
      <c r="KJC57" s="76"/>
      <c r="KJD57" s="76"/>
      <c r="KJE57" s="76"/>
      <c r="KJF57" s="76"/>
      <c r="KJG57" s="76"/>
      <c r="KJH57" s="76"/>
      <c r="KJI57" s="76"/>
      <c r="KJJ57" s="76"/>
      <c r="KJK57" s="76"/>
      <c r="KJL57" s="76"/>
      <c r="KJM57" s="76"/>
      <c r="KJN57" s="76"/>
      <c r="KJO57" s="76"/>
      <c r="KJP57" s="76"/>
      <c r="KJQ57" s="76"/>
      <c r="KJR57" s="76"/>
      <c r="KJS57" s="76"/>
      <c r="KJT57" s="76"/>
      <c r="KJU57" s="76"/>
      <c r="KJV57" s="76"/>
      <c r="KJW57" s="76"/>
      <c r="KJX57" s="76"/>
      <c r="KJY57" s="76"/>
      <c r="KJZ57" s="76"/>
      <c r="KKA57" s="76"/>
      <c r="KKB57" s="76"/>
      <c r="KKC57" s="76"/>
      <c r="KKD57" s="76"/>
      <c r="KKE57" s="76"/>
      <c r="KKF57" s="76"/>
      <c r="KKG57" s="76"/>
      <c r="KKH57" s="76"/>
      <c r="KKI57" s="76"/>
      <c r="KKJ57" s="76"/>
      <c r="KKK57" s="76"/>
      <c r="KKL57" s="76"/>
      <c r="KKM57" s="76"/>
      <c r="KKN57" s="76"/>
      <c r="KKO57" s="76"/>
      <c r="KKP57" s="76"/>
      <c r="KKQ57" s="76"/>
      <c r="KKR57" s="76"/>
      <c r="KKS57" s="76"/>
      <c r="KKT57" s="76"/>
      <c r="KKU57" s="76"/>
      <c r="KKV57" s="76"/>
      <c r="KKW57" s="76"/>
      <c r="KKX57" s="76"/>
      <c r="KKY57" s="76"/>
      <c r="KKZ57" s="76"/>
      <c r="KLA57" s="76"/>
      <c r="KLB57" s="76"/>
      <c r="KLC57" s="76"/>
      <c r="KLD57" s="76"/>
      <c r="KLE57" s="76"/>
      <c r="KLF57" s="76"/>
      <c r="KLG57" s="76"/>
      <c r="KLH57" s="76"/>
      <c r="KLI57" s="76"/>
      <c r="KLJ57" s="76"/>
      <c r="KLK57" s="76"/>
      <c r="KLL57" s="76"/>
      <c r="KLM57" s="76"/>
      <c r="KLN57" s="76"/>
      <c r="KLO57" s="76"/>
      <c r="KLP57" s="76"/>
      <c r="KLQ57" s="76"/>
      <c r="KLR57" s="76"/>
      <c r="KLS57" s="76"/>
      <c r="KLT57" s="76"/>
      <c r="KLU57" s="76"/>
      <c r="KLV57" s="76"/>
      <c r="KLW57" s="76"/>
      <c r="KLX57" s="76"/>
      <c r="KLY57" s="76"/>
      <c r="KLZ57" s="76"/>
      <c r="KMA57" s="76"/>
      <c r="KMB57" s="76"/>
      <c r="KMC57" s="76"/>
      <c r="KMD57" s="76"/>
      <c r="KME57" s="76"/>
      <c r="KMF57" s="76"/>
      <c r="KMG57" s="76"/>
      <c r="KMH57" s="76"/>
      <c r="KMI57" s="76"/>
      <c r="KMJ57" s="76"/>
      <c r="KMK57" s="76"/>
      <c r="KML57" s="76"/>
      <c r="KMM57" s="76"/>
      <c r="KMN57" s="76"/>
      <c r="KMO57" s="76"/>
      <c r="KMP57" s="76"/>
      <c r="KMQ57" s="76"/>
      <c r="KMR57" s="76"/>
      <c r="KMS57" s="76"/>
      <c r="KMT57" s="76"/>
      <c r="KMU57" s="76"/>
      <c r="KMV57" s="76"/>
      <c r="KMW57" s="76"/>
      <c r="KMX57" s="76"/>
      <c r="KMY57" s="76"/>
      <c r="KMZ57" s="76"/>
      <c r="KNA57" s="76"/>
      <c r="KNB57" s="76"/>
      <c r="KNC57" s="76"/>
      <c r="KND57" s="76"/>
      <c r="KNE57" s="76"/>
      <c r="KNF57" s="76"/>
      <c r="KNG57" s="76"/>
      <c r="KNH57" s="76"/>
      <c r="KNI57" s="76"/>
      <c r="KNJ57" s="76"/>
      <c r="KNK57" s="76"/>
      <c r="KNL57" s="76"/>
      <c r="KNM57" s="76"/>
      <c r="KNN57" s="76"/>
      <c r="KNO57" s="76"/>
      <c r="KNP57" s="76"/>
      <c r="KNQ57" s="76"/>
      <c r="KNR57" s="76"/>
      <c r="KNS57" s="76"/>
      <c r="KNT57" s="76"/>
      <c r="KNU57" s="76"/>
      <c r="KNV57" s="76"/>
      <c r="KNW57" s="76"/>
      <c r="KNX57" s="76"/>
      <c r="KNY57" s="76"/>
      <c r="KNZ57" s="76"/>
      <c r="KOA57" s="76"/>
      <c r="KOB57" s="76"/>
      <c r="KOC57" s="76"/>
      <c r="KOD57" s="76"/>
      <c r="KOE57" s="76"/>
      <c r="KOF57" s="76"/>
      <c r="KOG57" s="76"/>
      <c r="KOH57" s="76"/>
      <c r="KOI57" s="76"/>
      <c r="KOJ57" s="76"/>
      <c r="KOK57" s="76"/>
      <c r="KOL57" s="76"/>
      <c r="KOM57" s="76"/>
      <c r="KON57" s="76"/>
      <c r="KOO57" s="76"/>
      <c r="KOP57" s="76"/>
      <c r="KOQ57" s="76"/>
      <c r="KOR57" s="76"/>
      <c r="KOS57" s="76"/>
      <c r="KOT57" s="76"/>
      <c r="KOU57" s="76"/>
      <c r="KOV57" s="76"/>
      <c r="KOW57" s="76"/>
      <c r="KOX57" s="76"/>
      <c r="KOY57" s="76"/>
      <c r="KOZ57" s="76"/>
      <c r="KPA57" s="76"/>
      <c r="KPB57" s="76"/>
      <c r="KPC57" s="76"/>
      <c r="KPD57" s="76"/>
      <c r="KPE57" s="76"/>
      <c r="KPF57" s="76"/>
      <c r="KPG57" s="76"/>
      <c r="KPH57" s="76"/>
      <c r="KPI57" s="76"/>
      <c r="KPJ57" s="76"/>
      <c r="KPK57" s="76"/>
      <c r="KPL57" s="76"/>
      <c r="KPM57" s="76"/>
      <c r="KPN57" s="76"/>
      <c r="KPO57" s="76"/>
      <c r="KPP57" s="76"/>
      <c r="KPQ57" s="76"/>
      <c r="KPR57" s="76"/>
      <c r="KPS57" s="76"/>
      <c r="KPT57" s="76"/>
      <c r="KPU57" s="76"/>
      <c r="KPV57" s="76"/>
      <c r="KPW57" s="76"/>
      <c r="KPX57" s="76"/>
      <c r="KPY57" s="76"/>
      <c r="KPZ57" s="76"/>
      <c r="KQA57" s="76"/>
      <c r="KQB57" s="76"/>
      <c r="KQC57" s="76"/>
      <c r="KQD57" s="76"/>
      <c r="KQE57" s="76"/>
      <c r="KQF57" s="76"/>
      <c r="KQG57" s="76"/>
      <c r="KQH57" s="76"/>
      <c r="KQI57" s="76"/>
      <c r="KQJ57" s="76"/>
      <c r="KQK57" s="76"/>
      <c r="KQL57" s="76"/>
      <c r="KQM57" s="76"/>
      <c r="KQN57" s="76"/>
      <c r="KQO57" s="76"/>
      <c r="KQP57" s="76"/>
      <c r="KQQ57" s="76"/>
      <c r="KQR57" s="76"/>
      <c r="KQS57" s="76"/>
      <c r="KQT57" s="76"/>
      <c r="KQU57" s="76"/>
      <c r="KQV57" s="76"/>
      <c r="KQW57" s="76"/>
      <c r="KQX57" s="76"/>
      <c r="KQY57" s="76"/>
      <c r="KQZ57" s="76"/>
      <c r="KRA57" s="76"/>
      <c r="KRB57" s="76"/>
      <c r="KRC57" s="76"/>
      <c r="KRD57" s="76"/>
      <c r="KRE57" s="76"/>
      <c r="KRF57" s="76"/>
      <c r="KRG57" s="76"/>
      <c r="KRH57" s="76"/>
      <c r="KRI57" s="76"/>
      <c r="KRJ57" s="76"/>
      <c r="KRK57" s="76"/>
      <c r="KRL57" s="76"/>
      <c r="KRM57" s="76"/>
      <c r="KRN57" s="76"/>
      <c r="KRO57" s="76"/>
      <c r="KRP57" s="76"/>
      <c r="KRQ57" s="76"/>
      <c r="KRR57" s="76"/>
      <c r="KRS57" s="76"/>
      <c r="KRT57" s="76"/>
      <c r="KRU57" s="76"/>
      <c r="KRV57" s="76"/>
      <c r="KRW57" s="76"/>
      <c r="KRX57" s="76"/>
      <c r="KRY57" s="76"/>
      <c r="KRZ57" s="76"/>
      <c r="KSA57" s="76"/>
      <c r="KSB57" s="76"/>
      <c r="KSC57" s="76"/>
      <c r="KSD57" s="76"/>
      <c r="KSE57" s="76"/>
      <c r="KSF57" s="76"/>
      <c r="KSG57" s="76"/>
      <c r="KSH57" s="76"/>
      <c r="KSI57" s="76"/>
      <c r="KSJ57" s="76"/>
      <c r="KSK57" s="76"/>
      <c r="KSL57" s="76"/>
      <c r="KSM57" s="76"/>
      <c r="KSN57" s="76"/>
      <c r="KSO57" s="76"/>
      <c r="KSP57" s="76"/>
      <c r="KSQ57" s="76"/>
      <c r="KSR57" s="76"/>
      <c r="KSS57" s="76"/>
      <c r="KST57" s="76"/>
      <c r="KSU57" s="76"/>
      <c r="KSV57" s="76"/>
      <c r="KSW57" s="76"/>
      <c r="KSX57" s="76"/>
      <c r="KSY57" s="76"/>
      <c r="KSZ57" s="76"/>
      <c r="KTA57" s="76"/>
      <c r="KTB57" s="76"/>
      <c r="KTC57" s="76"/>
      <c r="KTD57" s="76"/>
      <c r="KTE57" s="76"/>
      <c r="KTF57" s="76"/>
      <c r="KTG57" s="76"/>
      <c r="KTH57" s="76"/>
      <c r="KTI57" s="76"/>
      <c r="KTJ57" s="76"/>
      <c r="KTK57" s="76"/>
      <c r="KTL57" s="76"/>
      <c r="KTM57" s="76"/>
      <c r="KTN57" s="76"/>
      <c r="KTO57" s="76"/>
      <c r="KTP57" s="76"/>
      <c r="KTQ57" s="76"/>
      <c r="KTR57" s="76"/>
      <c r="KTS57" s="76"/>
      <c r="KTT57" s="76"/>
      <c r="KTU57" s="76"/>
      <c r="KTV57" s="76"/>
      <c r="KTW57" s="76"/>
      <c r="KTX57" s="76"/>
      <c r="KTY57" s="76"/>
      <c r="KTZ57" s="76"/>
      <c r="KUA57" s="76"/>
      <c r="KUB57" s="76"/>
      <c r="KUC57" s="76"/>
      <c r="KUD57" s="76"/>
      <c r="KUE57" s="76"/>
      <c r="KUF57" s="76"/>
      <c r="KUG57" s="76"/>
      <c r="KUH57" s="76"/>
      <c r="KUI57" s="76"/>
      <c r="KUJ57" s="76"/>
      <c r="KUK57" s="76"/>
      <c r="KUL57" s="76"/>
      <c r="KUM57" s="76"/>
      <c r="KUN57" s="76"/>
      <c r="KUO57" s="76"/>
      <c r="KUP57" s="76"/>
      <c r="KUQ57" s="76"/>
      <c r="KUR57" s="76"/>
      <c r="KUS57" s="76"/>
      <c r="KUT57" s="76"/>
      <c r="KUU57" s="76"/>
      <c r="KUV57" s="76"/>
      <c r="KUW57" s="76"/>
      <c r="KUX57" s="76"/>
      <c r="KUY57" s="76"/>
      <c r="KUZ57" s="76"/>
      <c r="KVA57" s="76"/>
      <c r="KVB57" s="76"/>
      <c r="KVC57" s="76"/>
      <c r="KVD57" s="76"/>
      <c r="KVE57" s="76"/>
      <c r="KVF57" s="76"/>
      <c r="KVG57" s="76"/>
      <c r="KVH57" s="76"/>
      <c r="KVI57" s="76"/>
      <c r="KVJ57" s="76"/>
      <c r="KVK57" s="76"/>
      <c r="KVL57" s="76"/>
      <c r="KVM57" s="76"/>
      <c r="KVN57" s="76"/>
      <c r="KVO57" s="76"/>
      <c r="KVP57" s="76"/>
      <c r="KVQ57" s="76"/>
      <c r="KVR57" s="76"/>
      <c r="KVS57" s="76"/>
      <c r="KVT57" s="76"/>
      <c r="KVU57" s="76"/>
      <c r="KVV57" s="76"/>
      <c r="KVW57" s="76"/>
      <c r="KVX57" s="76"/>
      <c r="KVY57" s="76"/>
      <c r="KVZ57" s="76"/>
      <c r="KWA57" s="76"/>
      <c r="KWB57" s="76"/>
      <c r="KWC57" s="76"/>
      <c r="KWD57" s="76"/>
      <c r="KWE57" s="76"/>
      <c r="KWF57" s="76"/>
      <c r="KWG57" s="76"/>
      <c r="KWH57" s="76"/>
      <c r="KWI57" s="76"/>
      <c r="KWJ57" s="76"/>
      <c r="KWK57" s="76"/>
      <c r="KWL57" s="76"/>
      <c r="KWM57" s="76"/>
      <c r="KWN57" s="76"/>
      <c r="KWO57" s="76"/>
      <c r="KWP57" s="76"/>
      <c r="KWQ57" s="76"/>
      <c r="KWR57" s="76"/>
      <c r="KWS57" s="76"/>
      <c r="KWT57" s="76"/>
      <c r="KWU57" s="76"/>
      <c r="KWV57" s="76"/>
      <c r="KWW57" s="76"/>
      <c r="KWX57" s="76"/>
      <c r="KWY57" s="76"/>
      <c r="KWZ57" s="76"/>
      <c r="KXA57" s="76"/>
      <c r="KXB57" s="76"/>
      <c r="KXC57" s="76"/>
      <c r="KXD57" s="76"/>
      <c r="KXE57" s="76"/>
      <c r="KXF57" s="76"/>
      <c r="KXG57" s="76"/>
      <c r="KXH57" s="76"/>
      <c r="KXI57" s="76"/>
      <c r="KXJ57" s="76"/>
      <c r="KXK57" s="76"/>
      <c r="KXL57" s="76"/>
      <c r="KXM57" s="76"/>
      <c r="KXN57" s="76"/>
      <c r="KXO57" s="76"/>
      <c r="KXP57" s="76"/>
      <c r="KXQ57" s="76"/>
      <c r="KXR57" s="76"/>
      <c r="KXS57" s="76"/>
      <c r="KXT57" s="76"/>
      <c r="KXU57" s="76"/>
      <c r="KXV57" s="76"/>
      <c r="KXW57" s="76"/>
      <c r="KXX57" s="76"/>
      <c r="KXY57" s="76"/>
      <c r="KXZ57" s="76"/>
      <c r="KYA57" s="76"/>
      <c r="KYB57" s="76"/>
      <c r="KYC57" s="76"/>
      <c r="KYD57" s="76"/>
      <c r="KYE57" s="76"/>
      <c r="KYF57" s="76"/>
      <c r="KYG57" s="76"/>
      <c r="KYH57" s="76"/>
      <c r="KYI57" s="76"/>
      <c r="KYJ57" s="76"/>
      <c r="KYK57" s="76"/>
      <c r="KYL57" s="76"/>
      <c r="KYM57" s="76"/>
      <c r="KYN57" s="76"/>
      <c r="KYO57" s="76"/>
      <c r="KYP57" s="76"/>
      <c r="KYQ57" s="76"/>
      <c r="KYR57" s="76"/>
      <c r="KYS57" s="76"/>
      <c r="KYT57" s="76"/>
      <c r="KYU57" s="76"/>
      <c r="KYV57" s="76"/>
      <c r="KYW57" s="76"/>
      <c r="KYX57" s="76"/>
      <c r="KYY57" s="76"/>
      <c r="KYZ57" s="76"/>
      <c r="KZA57" s="76"/>
      <c r="KZB57" s="76"/>
      <c r="KZC57" s="76"/>
      <c r="KZD57" s="76"/>
      <c r="KZE57" s="76"/>
      <c r="KZF57" s="76"/>
      <c r="KZG57" s="76"/>
      <c r="KZH57" s="76"/>
      <c r="KZI57" s="76"/>
      <c r="KZJ57" s="76"/>
      <c r="KZK57" s="76"/>
      <c r="KZL57" s="76"/>
      <c r="KZM57" s="76"/>
      <c r="KZN57" s="76"/>
      <c r="KZO57" s="76"/>
      <c r="KZP57" s="76"/>
      <c r="KZQ57" s="76"/>
      <c r="KZR57" s="76"/>
      <c r="KZS57" s="76"/>
      <c r="KZT57" s="76"/>
      <c r="KZU57" s="76"/>
      <c r="KZV57" s="76"/>
      <c r="KZW57" s="76"/>
      <c r="KZX57" s="76"/>
      <c r="KZY57" s="76"/>
      <c r="KZZ57" s="76"/>
      <c r="LAA57" s="76"/>
      <c r="LAB57" s="76"/>
      <c r="LAC57" s="76"/>
      <c r="LAD57" s="76"/>
      <c r="LAE57" s="76"/>
      <c r="LAF57" s="76"/>
      <c r="LAG57" s="76"/>
      <c r="LAH57" s="76"/>
      <c r="LAI57" s="76"/>
      <c r="LAJ57" s="76"/>
      <c r="LAK57" s="76"/>
      <c r="LAL57" s="76"/>
      <c r="LAM57" s="76"/>
      <c r="LAN57" s="76"/>
      <c r="LAO57" s="76"/>
      <c r="LAP57" s="76"/>
      <c r="LAQ57" s="76"/>
      <c r="LAR57" s="76"/>
      <c r="LAS57" s="76"/>
      <c r="LAT57" s="76"/>
      <c r="LAU57" s="76"/>
      <c r="LAV57" s="76"/>
      <c r="LAW57" s="76"/>
      <c r="LAX57" s="76"/>
      <c r="LAY57" s="76"/>
      <c r="LAZ57" s="76"/>
      <c r="LBA57" s="76"/>
      <c r="LBB57" s="76"/>
      <c r="LBC57" s="76"/>
      <c r="LBD57" s="76"/>
      <c r="LBE57" s="76"/>
      <c r="LBF57" s="76"/>
      <c r="LBG57" s="76"/>
      <c r="LBH57" s="76"/>
      <c r="LBI57" s="76"/>
      <c r="LBJ57" s="76"/>
      <c r="LBK57" s="76"/>
      <c r="LBL57" s="76"/>
      <c r="LBM57" s="76"/>
      <c r="LBN57" s="76"/>
      <c r="LBO57" s="76"/>
      <c r="LBP57" s="76"/>
      <c r="LBQ57" s="76"/>
      <c r="LBR57" s="76"/>
      <c r="LBS57" s="76"/>
      <c r="LBT57" s="76"/>
      <c r="LBU57" s="76"/>
      <c r="LBV57" s="76"/>
      <c r="LBW57" s="76"/>
      <c r="LBX57" s="76"/>
      <c r="LBY57" s="76"/>
      <c r="LBZ57" s="76"/>
      <c r="LCA57" s="76"/>
      <c r="LCB57" s="76"/>
      <c r="LCC57" s="76"/>
      <c r="LCD57" s="76"/>
      <c r="LCE57" s="76"/>
      <c r="LCF57" s="76"/>
      <c r="LCG57" s="76"/>
      <c r="LCH57" s="76"/>
      <c r="LCI57" s="76"/>
      <c r="LCJ57" s="76"/>
      <c r="LCK57" s="76"/>
      <c r="LCL57" s="76"/>
      <c r="LCM57" s="76"/>
      <c r="LCN57" s="76"/>
      <c r="LCO57" s="76"/>
      <c r="LCP57" s="76"/>
      <c r="LCQ57" s="76"/>
      <c r="LCR57" s="76"/>
      <c r="LCS57" s="76"/>
      <c r="LCT57" s="76"/>
      <c r="LCU57" s="76"/>
      <c r="LCV57" s="76"/>
      <c r="LCW57" s="76"/>
      <c r="LCX57" s="76"/>
      <c r="LCY57" s="76"/>
      <c r="LCZ57" s="76"/>
      <c r="LDA57" s="76"/>
      <c r="LDB57" s="76"/>
      <c r="LDC57" s="76"/>
      <c r="LDD57" s="76"/>
      <c r="LDE57" s="76"/>
      <c r="LDF57" s="76"/>
      <c r="LDG57" s="76"/>
      <c r="LDH57" s="76"/>
      <c r="LDI57" s="76"/>
      <c r="LDJ57" s="76"/>
      <c r="LDK57" s="76"/>
      <c r="LDL57" s="76"/>
      <c r="LDM57" s="76"/>
      <c r="LDN57" s="76"/>
      <c r="LDO57" s="76"/>
      <c r="LDP57" s="76"/>
      <c r="LDQ57" s="76"/>
      <c r="LDR57" s="76"/>
      <c r="LDS57" s="76"/>
      <c r="LDT57" s="76"/>
      <c r="LDU57" s="76"/>
      <c r="LDV57" s="76"/>
      <c r="LDW57" s="76"/>
      <c r="LDX57" s="76"/>
      <c r="LDY57" s="76"/>
      <c r="LDZ57" s="76"/>
      <c r="LEA57" s="76"/>
      <c r="LEB57" s="76"/>
      <c r="LEC57" s="76"/>
      <c r="LED57" s="76"/>
      <c r="LEE57" s="76"/>
      <c r="LEF57" s="76"/>
      <c r="LEG57" s="76"/>
      <c r="LEH57" s="76"/>
      <c r="LEI57" s="76"/>
      <c r="LEJ57" s="76"/>
      <c r="LEK57" s="76"/>
      <c r="LEL57" s="76"/>
      <c r="LEM57" s="76"/>
      <c r="LEN57" s="76"/>
      <c r="LEO57" s="76"/>
      <c r="LEP57" s="76"/>
      <c r="LEQ57" s="76"/>
      <c r="LER57" s="76"/>
      <c r="LES57" s="76"/>
      <c r="LET57" s="76"/>
      <c r="LEU57" s="76"/>
      <c r="LEV57" s="76"/>
      <c r="LEW57" s="76"/>
      <c r="LEX57" s="76"/>
      <c r="LEY57" s="76"/>
      <c r="LEZ57" s="76"/>
      <c r="LFA57" s="76"/>
      <c r="LFB57" s="76"/>
      <c r="LFC57" s="76"/>
      <c r="LFD57" s="76"/>
      <c r="LFE57" s="76"/>
      <c r="LFF57" s="76"/>
      <c r="LFG57" s="76"/>
      <c r="LFH57" s="76"/>
      <c r="LFI57" s="76"/>
      <c r="LFJ57" s="76"/>
      <c r="LFK57" s="76"/>
      <c r="LFL57" s="76"/>
      <c r="LFM57" s="76"/>
      <c r="LFN57" s="76"/>
      <c r="LFO57" s="76"/>
      <c r="LFP57" s="76"/>
      <c r="LFQ57" s="76"/>
      <c r="LFR57" s="76"/>
      <c r="LFS57" s="76"/>
      <c r="LFT57" s="76"/>
      <c r="LFU57" s="76"/>
      <c r="LFV57" s="76"/>
      <c r="LFW57" s="76"/>
      <c r="LFX57" s="76"/>
      <c r="LFY57" s="76"/>
      <c r="LFZ57" s="76"/>
      <c r="LGA57" s="76"/>
      <c r="LGB57" s="76"/>
      <c r="LGC57" s="76"/>
      <c r="LGD57" s="76"/>
      <c r="LGE57" s="76"/>
      <c r="LGF57" s="76"/>
      <c r="LGG57" s="76"/>
      <c r="LGH57" s="76"/>
      <c r="LGI57" s="76"/>
      <c r="LGJ57" s="76"/>
      <c r="LGK57" s="76"/>
      <c r="LGL57" s="76"/>
      <c r="LGM57" s="76"/>
      <c r="LGN57" s="76"/>
      <c r="LGO57" s="76"/>
      <c r="LGP57" s="76"/>
      <c r="LGQ57" s="76"/>
      <c r="LGR57" s="76"/>
      <c r="LGS57" s="76"/>
      <c r="LGT57" s="76"/>
      <c r="LGU57" s="76"/>
      <c r="LGV57" s="76"/>
      <c r="LGW57" s="76"/>
      <c r="LGX57" s="76"/>
      <c r="LGY57" s="76"/>
      <c r="LGZ57" s="76"/>
      <c r="LHA57" s="76"/>
      <c r="LHB57" s="76"/>
      <c r="LHC57" s="76"/>
      <c r="LHD57" s="76"/>
      <c r="LHE57" s="76"/>
      <c r="LHF57" s="76"/>
      <c r="LHG57" s="76"/>
      <c r="LHH57" s="76"/>
      <c r="LHI57" s="76"/>
      <c r="LHJ57" s="76"/>
      <c r="LHK57" s="76"/>
      <c r="LHL57" s="76"/>
      <c r="LHM57" s="76"/>
      <c r="LHN57" s="76"/>
      <c r="LHO57" s="76"/>
      <c r="LHP57" s="76"/>
      <c r="LHQ57" s="76"/>
      <c r="LHR57" s="76"/>
      <c r="LHS57" s="76"/>
      <c r="LHT57" s="76"/>
      <c r="LHU57" s="76"/>
      <c r="LHV57" s="76"/>
      <c r="LHW57" s="76"/>
      <c r="LHX57" s="76"/>
      <c r="LHY57" s="76"/>
      <c r="LHZ57" s="76"/>
      <c r="LIA57" s="76"/>
      <c r="LIB57" s="76"/>
      <c r="LIC57" s="76"/>
      <c r="LID57" s="76"/>
      <c r="LIE57" s="76"/>
      <c r="LIF57" s="76"/>
      <c r="LIG57" s="76"/>
      <c r="LIH57" s="76"/>
      <c r="LII57" s="76"/>
      <c r="LIJ57" s="76"/>
      <c r="LIK57" s="76"/>
      <c r="LIL57" s="76"/>
      <c r="LIM57" s="76"/>
      <c r="LIN57" s="76"/>
      <c r="LIO57" s="76"/>
      <c r="LIP57" s="76"/>
      <c r="LIQ57" s="76"/>
      <c r="LIR57" s="76"/>
      <c r="LIS57" s="76"/>
      <c r="LIT57" s="76"/>
      <c r="LIU57" s="76"/>
      <c r="LIV57" s="76"/>
      <c r="LIW57" s="76"/>
      <c r="LIX57" s="76"/>
      <c r="LIY57" s="76"/>
      <c r="LIZ57" s="76"/>
      <c r="LJA57" s="76"/>
      <c r="LJB57" s="76"/>
      <c r="LJC57" s="76"/>
      <c r="LJD57" s="76"/>
      <c r="LJE57" s="76"/>
      <c r="LJF57" s="76"/>
      <c r="LJG57" s="76"/>
      <c r="LJH57" s="76"/>
      <c r="LJI57" s="76"/>
      <c r="LJJ57" s="76"/>
      <c r="LJK57" s="76"/>
      <c r="LJL57" s="76"/>
      <c r="LJM57" s="76"/>
      <c r="LJN57" s="76"/>
      <c r="LJO57" s="76"/>
      <c r="LJP57" s="76"/>
      <c r="LJQ57" s="76"/>
      <c r="LJR57" s="76"/>
      <c r="LJS57" s="76"/>
      <c r="LJT57" s="76"/>
      <c r="LJU57" s="76"/>
      <c r="LJV57" s="76"/>
      <c r="LJW57" s="76"/>
      <c r="LJX57" s="76"/>
      <c r="LJY57" s="76"/>
      <c r="LJZ57" s="76"/>
      <c r="LKA57" s="76"/>
      <c r="LKB57" s="76"/>
      <c r="LKC57" s="76"/>
      <c r="LKD57" s="76"/>
      <c r="LKE57" s="76"/>
      <c r="LKF57" s="76"/>
      <c r="LKG57" s="76"/>
      <c r="LKH57" s="76"/>
      <c r="LKI57" s="76"/>
      <c r="LKJ57" s="76"/>
      <c r="LKK57" s="76"/>
      <c r="LKL57" s="76"/>
      <c r="LKM57" s="76"/>
      <c r="LKN57" s="76"/>
      <c r="LKO57" s="76"/>
      <c r="LKP57" s="76"/>
      <c r="LKQ57" s="76"/>
      <c r="LKR57" s="76"/>
      <c r="LKS57" s="76"/>
      <c r="LKT57" s="76"/>
      <c r="LKU57" s="76"/>
      <c r="LKV57" s="76"/>
      <c r="LKW57" s="76"/>
      <c r="LKX57" s="76"/>
      <c r="LKY57" s="76"/>
      <c r="LKZ57" s="76"/>
      <c r="LLA57" s="76"/>
      <c r="LLB57" s="76"/>
      <c r="LLC57" s="76"/>
      <c r="LLD57" s="76"/>
      <c r="LLE57" s="76"/>
      <c r="LLF57" s="76"/>
      <c r="LLG57" s="76"/>
      <c r="LLH57" s="76"/>
      <c r="LLI57" s="76"/>
      <c r="LLJ57" s="76"/>
      <c r="LLK57" s="76"/>
      <c r="LLL57" s="76"/>
      <c r="LLM57" s="76"/>
      <c r="LLN57" s="76"/>
      <c r="LLO57" s="76"/>
      <c r="LLP57" s="76"/>
      <c r="LLQ57" s="76"/>
      <c r="LLR57" s="76"/>
      <c r="LLS57" s="76"/>
      <c r="LLT57" s="76"/>
      <c r="LLU57" s="76"/>
      <c r="LLV57" s="76"/>
      <c r="LLW57" s="76"/>
      <c r="LLX57" s="76"/>
      <c r="LLY57" s="76"/>
      <c r="LLZ57" s="76"/>
      <c r="LMA57" s="76"/>
      <c r="LMB57" s="76"/>
      <c r="LMC57" s="76"/>
      <c r="LMD57" s="76"/>
      <c r="LME57" s="76"/>
      <c r="LMF57" s="76"/>
      <c r="LMG57" s="76"/>
      <c r="LMH57" s="76"/>
      <c r="LMI57" s="76"/>
      <c r="LMJ57" s="76"/>
      <c r="LMK57" s="76"/>
      <c r="LML57" s="76"/>
      <c r="LMM57" s="76"/>
      <c r="LMN57" s="76"/>
      <c r="LMO57" s="76"/>
      <c r="LMP57" s="76"/>
      <c r="LMQ57" s="76"/>
      <c r="LMR57" s="76"/>
      <c r="LMS57" s="76"/>
      <c r="LMT57" s="76"/>
      <c r="LMU57" s="76"/>
      <c r="LMV57" s="76"/>
      <c r="LMW57" s="76"/>
      <c r="LMX57" s="76"/>
      <c r="LMY57" s="76"/>
      <c r="LMZ57" s="76"/>
      <c r="LNA57" s="76"/>
      <c r="LNB57" s="76"/>
      <c r="LNC57" s="76"/>
      <c r="LND57" s="76"/>
      <c r="LNE57" s="76"/>
      <c r="LNF57" s="76"/>
      <c r="LNG57" s="76"/>
      <c r="LNH57" s="76"/>
      <c r="LNI57" s="76"/>
      <c r="LNJ57" s="76"/>
      <c r="LNK57" s="76"/>
      <c r="LNL57" s="76"/>
      <c r="LNM57" s="76"/>
      <c r="LNN57" s="76"/>
      <c r="LNO57" s="76"/>
      <c r="LNP57" s="76"/>
      <c r="LNQ57" s="76"/>
      <c r="LNR57" s="76"/>
      <c r="LNS57" s="76"/>
      <c r="LNT57" s="76"/>
      <c r="LNU57" s="76"/>
      <c r="LNV57" s="76"/>
      <c r="LNW57" s="76"/>
      <c r="LNX57" s="76"/>
      <c r="LNY57" s="76"/>
      <c r="LNZ57" s="76"/>
      <c r="LOA57" s="76"/>
      <c r="LOB57" s="76"/>
      <c r="LOC57" s="76"/>
      <c r="LOD57" s="76"/>
      <c r="LOE57" s="76"/>
      <c r="LOF57" s="76"/>
      <c r="LOG57" s="76"/>
      <c r="LOH57" s="76"/>
      <c r="LOI57" s="76"/>
      <c r="LOJ57" s="76"/>
      <c r="LOK57" s="76"/>
      <c r="LOL57" s="76"/>
      <c r="LOM57" s="76"/>
      <c r="LON57" s="76"/>
      <c r="LOO57" s="76"/>
      <c r="LOP57" s="76"/>
      <c r="LOQ57" s="76"/>
      <c r="LOR57" s="76"/>
      <c r="LOS57" s="76"/>
      <c r="LOT57" s="76"/>
      <c r="LOU57" s="76"/>
      <c r="LOV57" s="76"/>
      <c r="LOW57" s="76"/>
      <c r="LOX57" s="76"/>
      <c r="LOY57" s="76"/>
      <c r="LOZ57" s="76"/>
      <c r="LPA57" s="76"/>
      <c r="LPB57" s="76"/>
      <c r="LPC57" s="76"/>
      <c r="LPD57" s="76"/>
      <c r="LPE57" s="76"/>
      <c r="LPF57" s="76"/>
      <c r="LPG57" s="76"/>
      <c r="LPH57" s="76"/>
      <c r="LPI57" s="76"/>
      <c r="LPJ57" s="76"/>
      <c r="LPK57" s="76"/>
      <c r="LPL57" s="76"/>
      <c r="LPM57" s="76"/>
      <c r="LPN57" s="76"/>
      <c r="LPO57" s="76"/>
      <c r="LPP57" s="76"/>
      <c r="LPQ57" s="76"/>
      <c r="LPR57" s="76"/>
      <c r="LPS57" s="76"/>
      <c r="LPT57" s="76"/>
      <c r="LPU57" s="76"/>
      <c r="LPV57" s="76"/>
      <c r="LPW57" s="76"/>
      <c r="LPX57" s="76"/>
      <c r="LPY57" s="76"/>
      <c r="LPZ57" s="76"/>
      <c r="LQA57" s="76"/>
      <c r="LQB57" s="76"/>
      <c r="LQC57" s="76"/>
      <c r="LQD57" s="76"/>
      <c r="LQE57" s="76"/>
      <c r="LQF57" s="76"/>
      <c r="LQG57" s="76"/>
      <c r="LQH57" s="76"/>
      <c r="LQI57" s="76"/>
      <c r="LQJ57" s="76"/>
      <c r="LQK57" s="76"/>
      <c r="LQL57" s="76"/>
      <c r="LQM57" s="76"/>
      <c r="LQN57" s="76"/>
      <c r="LQO57" s="76"/>
      <c r="LQP57" s="76"/>
      <c r="LQQ57" s="76"/>
      <c r="LQR57" s="76"/>
      <c r="LQS57" s="76"/>
      <c r="LQT57" s="76"/>
      <c r="LQU57" s="76"/>
      <c r="LQV57" s="76"/>
      <c r="LQW57" s="76"/>
      <c r="LQX57" s="76"/>
      <c r="LQY57" s="76"/>
      <c r="LQZ57" s="76"/>
      <c r="LRA57" s="76"/>
      <c r="LRB57" s="76"/>
      <c r="LRC57" s="76"/>
      <c r="LRD57" s="76"/>
      <c r="LRE57" s="76"/>
      <c r="LRF57" s="76"/>
      <c r="LRG57" s="76"/>
      <c r="LRH57" s="76"/>
      <c r="LRI57" s="76"/>
      <c r="LRJ57" s="76"/>
      <c r="LRK57" s="76"/>
      <c r="LRL57" s="76"/>
      <c r="LRM57" s="76"/>
      <c r="LRN57" s="76"/>
      <c r="LRO57" s="76"/>
      <c r="LRP57" s="76"/>
      <c r="LRQ57" s="76"/>
      <c r="LRR57" s="76"/>
      <c r="LRS57" s="76"/>
      <c r="LRT57" s="76"/>
      <c r="LRU57" s="76"/>
      <c r="LRV57" s="76"/>
      <c r="LRW57" s="76"/>
      <c r="LRX57" s="76"/>
      <c r="LRY57" s="76"/>
      <c r="LRZ57" s="76"/>
      <c r="LSA57" s="76"/>
      <c r="LSB57" s="76"/>
      <c r="LSC57" s="76"/>
      <c r="LSD57" s="76"/>
      <c r="LSE57" s="76"/>
      <c r="LSF57" s="76"/>
      <c r="LSG57" s="76"/>
      <c r="LSH57" s="76"/>
      <c r="LSI57" s="76"/>
      <c r="LSJ57" s="76"/>
      <c r="LSK57" s="76"/>
      <c r="LSL57" s="76"/>
      <c r="LSM57" s="76"/>
      <c r="LSN57" s="76"/>
      <c r="LSO57" s="76"/>
      <c r="LSP57" s="76"/>
      <c r="LSQ57" s="76"/>
      <c r="LSR57" s="76"/>
      <c r="LSS57" s="76"/>
      <c r="LST57" s="76"/>
      <c r="LSU57" s="76"/>
      <c r="LSV57" s="76"/>
      <c r="LSW57" s="76"/>
      <c r="LSX57" s="76"/>
      <c r="LSY57" s="76"/>
      <c r="LSZ57" s="76"/>
      <c r="LTA57" s="76"/>
      <c r="LTB57" s="76"/>
      <c r="LTC57" s="76"/>
      <c r="LTD57" s="76"/>
      <c r="LTE57" s="76"/>
      <c r="LTF57" s="76"/>
      <c r="LTG57" s="76"/>
      <c r="LTH57" s="76"/>
      <c r="LTI57" s="76"/>
      <c r="LTJ57" s="76"/>
      <c r="LTK57" s="76"/>
      <c r="LTL57" s="76"/>
      <c r="LTM57" s="76"/>
      <c r="LTN57" s="76"/>
      <c r="LTO57" s="76"/>
      <c r="LTP57" s="76"/>
      <c r="LTQ57" s="76"/>
      <c r="LTR57" s="76"/>
      <c r="LTS57" s="76"/>
      <c r="LTT57" s="76"/>
      <c r="LTU57" s="76"/>
      <c r="LTV57" s="76"/>
      <c r="LTW57" s="76"/>
      <c r="LTX57" s="76"/>
      <c r="LTY57" s="76"/>
      <c r="LTZ57" s="76"/>
      <c r="LUA57" s="76"/>
      <c r="LUB57" s="76"/>
      <c r="LUC57" s="76"/>
      <c r="LUD57" s="76"/>
      <c r="LUE57" s="76"/>
      <c r="LUF57" s="76"/>
      <c r="LUG57" s="76"/>
      <c r="LUH57" s="76"/>
      <c r="LUI57" s="76"/>
      <c r="LUJ57" s="76"/>
      <c r="LUK57" s="76"/>
      <c r="LUL57" s="76"/>
      <c r="LUM57" s="76"/>
      <c r="LUN57" s="76"/>
      <c r="LUO57" s="76"/>
      <c r="LUP57" s="76"/>
      <c r="LUQ57" s="76"/>
      <c r="LUR57" s="76"/>
      <c r="LUS57" s="76"/>
      <c r="LUT57" s="76"/>
      <c r="LUU57" s="76"/>
      <c r="LUV57" s="76"/>
      <c r="LUW57" s="76"/>
      <c r="LUX57" s="76"/>
      <c r="LUY57" s="76"/>
      <c r="LUZ57" s="76"/>
      <c r="LVA57" s="76"/>
      <c r="LVB57" s="76"/>
      <c r="LVC57" s="76"/>
      <c r="LVD57" s="76"/>
      <c r="LVE57" s="76"/>
      <c r="LVF57" s="76"/>
      <c r="LVG57" s="76"/>
      <c r="LVH57" s="76"/>
      <c r="LVI57" s="76"/>
      <c r="LVJ57" s="76"/>
      <c r="LVK57" s="76"/>
      <c r="LVL57" s="76"/>
      <c r="LVM57" s="76"/>
      <c r="LVN57" s="76"/>
      <c r="LVO57" s="76"/>
      <c r="LVP57" s="76"/>
      <c r="LVQ57" s="76"/>
      <c r="LVR57" s="76"/>
      <c r="LVS57" s="76"/>
      <c r="LVT57" s="76"/>
      <c r="LVU57" s="76"/>
      <c r="LVV57" s="76"/>
      <c r="LVW57" s="76"/>
      <c r="LVX57" s="76"/>
      <c r="LVY57" s="76"/>
      <c r="LVZ57" s="76"/>
      <c r="LWA57" s="76"/>
      <c r="LWB57" s="76"/>
      <c r="LWC57" s="76"/>
      <c r="LWD57" s="76"/>
      <c r="LWE57" s="76"/>
      <c r="LWF57" s="76"/>
      <c r="LWG57" s="76"/>
      <c r="LWH57" s="76"/>
      <c r="LWI57" s="76"/>
      <c r="LWJ57" s="76"/>
      <c r="LWK57" s="76"/>
      <c r="LWL57" s="76"/>
      <c r="LWM57" s="76"/>
      <c r="LWN57" s="76"/>
      <c r="LWO57" s="76"/>
      <c r="LWP57" s="76"/>
      <c r="LWQ57" s="76"/>
      <c r="LWR57" s="76"/>
      <c r="LWS57" s="76"/>
      <c r="LWT57" s="76"/>
      <c r="LWU57" s="76"/>
      <c r="LWV57" s="76"/>
      <c r="LWW57" s="76"/>
      <c r="LWX57" s="76"/>
      <c r="LWY57" s="76"/>
      <c r="LWZ57" s="76"/>
      <c r="LXA57" s="76"/>
      <c r="LXB57" s="76"/>
      <c r="LXC57" s="76"/>
      <c r="LXD57" s="76"/>
      <c r="LXE57" s="76"/>
      <c r="LXF57" s="76"/>
      <c r="LXG57" s="76"/>
      <c r="LXH57" s="76"/>
      <c r="LXI57" s="76"/>
      <c r="LXJ57" s="76"/>
      <c r="LXK57" s="76"/>
      <c r="LXL57" s="76"/>
      <c r="LXM57" s="76"/>
      <c r="LXN57" s="76"/>
      <c r="LXO57" s="76"/>
      <c r="LXP57" s="76"/>
      <c r="LXQ57" s="76"/>
      <c r="LXR57" s="76"/>
      <c r="LXS57" s="76"/>
      <c r="LXT57" s="76"/>
      <c r="LXU57" s="76"/>
      <c r="LXV57" s="76"/>
      <c r="LXW57" s="76"/>
      <c r="LXX57" s="76"/>
      <c r="LXY57" s="76"/>
      <c r="LXZ57" s="76"/>
      <c r="LYA57" s="76"/>
      <c r="LYB57" s="76"/>
      <c r="LYC57" s="76"/>
      <c r="LYD57" s="76"/>
      <c r="LYE57" s="76"/>
      <c r="LYF57" s="76"/>
      <c r="LYG57" s="76"/>
      <c r="LYH57" s="76"/>
      <c r="LYI57" s="76"/>
      <c r="LYJ57" s="76"/>
      <c r="LYK57" s="76"/>
      <c r="LYL57" s="76"/>
      <c r="LYM57" s="76"/>
      <c r="LYN57" s="76"/>
      <c r="LYO57" s="76"/>
      <c r="LYP57" s="76"/>
      <c r="LYQ57" s="76"/>
      <c r="LYR57" s="76"/>
      <c r="LYS57" s="76"/>
      <c r="LYT57" s="76"/>
      <c r="LYU57" s="76"/>
      <c r="LYV57" s="76"/>
      <c r="LYW57" s="76"/>
      <c r="LYX57" s="76"/>
      <c r="LYY57" s="76"/>
      <c r="LYZ57" s="76"/>
      <c r="LZA57" s="76"/>
      <c r="LZB57" s="76"/>
      <c r="LZC57" s="76"/>
      <c r="LZD57" s="76"/>
      <c r="LZE57" s="76"/>
      <c r="LZF57" s="76"/>
      <c r="LZG57" s="76"/>
      <c r="LZH57" s="76"/>
      <c r="LZI57" s="76"/>
      <c r="LZJ57" s="76"/>
      <c r="LZK57" s="76"/>
      <c r="LZL57" s="76"/>
      <c r="LZM57" s="76"/>
      <c r="LZN57" s="76"/>
      <c r="LZO57" s="76"/>
      <c r="LZP57" s="76"/>
      <c r="LZQ57" s="76"/>
      <c r="LZR57" s="76"/>
      <c r="LZS57" s="76"/>
      <c r="LZT57" s="76"/>
      <c r="LZU57" s="76"/>
      <c r="LZV57" s="76"/>
      <c r="LZW57" s="76"/>
      <c r="LZX57" s="76"/>
      <c r="LZY57" s="76"/>
      <c r="LZZ57" s="76"/>
      <c r="MAA57" s="76"/>
      <c r="MAB57" s="76"/>
      <c r="MAC57" s="76"/>
      <c r="MAD57" s="76"/>
      <c r="MAE57" s="76"/>
      <c r="MAF57" s="76"/>
      <c r="MAG57" s="76"/>
      <c r="MAH57" s="76"/>
      <c r="MAI57" s="76"/>
      <c r="MAJ57" s="76"/>
      <c r="MAK57" s="76"/>
      <c r="MAL57" s="76"/>
      <c r="MAM57" s="76"/>
      <c r="MAN57" s="76"/>
      <c r="MAO57" s="76"/>
      <c r="MAP57" s="76"/>
      <c r="MAQ57" s="76"/>
      <c r="MAR57" s="76"/>
      <c r="MAS57" s="76"/>
      <c r="MAT57" s="76"/>
      <c r="MAU57" s="76"/>
      <c r="MAV57" s="76"/>
      <c r="MAW57" s="76"/>
      <c r="MAX57" s="76"/>
      <c r="MAY57" s="76"/>
      <c r="MAZ57" s="76"/>
      <c r="MBA57" s="76"/>
      <c r="MBB57" s="76"/>
      <c r="MBC57" s="76"/>
      <c r="MBD57" s="76"/>
      <c r="MBE57" s="76"/>
      <c r="MBF57" s="76"/>
      <c r="MBG57" s="76"/>
      <c r="MBH57" s="76"/>
      <c r="MBI57" s="76"/>
      <c r="MBJ57" s="76"/>
      <c r="MBK57" s="76"/>
      <c r="MBL57" s="76"/>
      <c r="MBM57" s="76"/>
      <c r="MBN57" s="76"/>
      <c r="MBO57" s="76"/>
      <c r="MBP57" s="76"/>
      <c r="MBQ57" s="76"/>
      <c r="MBR57" s="76"/>
      <c r="MBS57" s="76"/>
      <c r="MBT57" s="76"/>
      <c r="MBU57" s="76"/>
      <c r="MBV57" s="76"/>
      <c r="MBW57" s="76"/>
      <c r="MBX57" s="76"/>
      <c r="MBY57" s="76"/>
      <c r="MBZ57" s="76"/>
      <c r="MCA57" s="76"/>
      <c r="MCB57" s="76"/>
      <c r="MCC57" s="76"/>
      <c r="MCD57" s="76"/>
      <c r="MCE57" s="76"/>
      <c r="MCF57" s="76"/>
      <c r="MCG57" s="76"/>
      <c r="MCH57" s="76"/>
      <c r="MCI57" s="76"/>
      <c r="MCJ57" s="76"/>
      <c r="MCK57" s="76"/>
      <c r="MCL57" s="76"/>
      <c r="MCM57" s="76"/>
      <c r="MCN57" s="76"/>
      <c r="MCO57" s="76"/>
      <c r="MCP57" s="76"/>
      <c r="MCQ57" s="76"/>
      <c r="MCR57" s="76"/>
      <c r="MCS57" s="76"/>
      <c r="MCT57" s="76"/>
      <c r="MCU57" s="76"/>
      <c r="MCV57" s="76"/>
      <c r="MCW57" s="76"/>
      <c r="MCX57" s="76"/>
      <c r="MCY57" s="76"/>
      <c r="MCZ57" s="76"/>
      <c r="MDA57" s="76"/>
      <c r="MDB57" s="76"/>
      <c r="MDC57" s="76"/>
      <c r="MDD57" s="76"/>
      <c r="MDE57" s="76"/>
      <c r="MDF57" s="76"/>
      <c r="MDG57" s="76"/>
      <c r="MDH57" s="76"/>
      <c r="MDI57" s="76"/>
      <c r="MDJ57" s="76"/>
      <c r="MDK57" s="76"/>
      <c r="MDL57" s="76"/>
      <c r="MDM57" s="76"/>
      <c r="MDN57" s="76"/>
      <c r="MDO57" s="76"/>
      <c r="MDP57" s="76"/>
      <c r="MDQ57" s="76"/>
      <c r="MDR57" s="76"/>
      <c r="MDS57" s="76"/>
      <c r="MDT57" s="76"/>
      <c r="MDU57" s="76"/>
      <c r="MDV57" s="76"/>
      <c r="MDW57" s="76"/>
      <c r="MDX57" s="76"/>
      <c r="MDY57" s="76"/>
      <c r="MDZ57" s="76"/>
      <c r="MEA57" s="76"/>
      <c r="MEB57" s="76"/>
      <c r="MEC57" s="76"/>
      <c r="MED57" s="76"/>
      <c r="MEE57" s="76"/>
      <c r="MEF57" s="76"/>
      <c r="MEG57" s="76"/>
      <c r="MEH57" s="76"/>
      <c r="MEI57" s="76"/>
      <c r="MEJ57" s="76"/>
      <c r="MEK57" s="76"/>
      <c r="MEL57" s="76"/>
      <c r="MEM57" s="76"/>
      <c r="MEN57" s="76"/>
      <c r="MEO57" s="76"/>
      <c r="MEP57" s="76"/>
      <c r="MEQ57" s="76"/>
      <c r="MER57" s="76"/>
      <c r="MES57" s="76"/>
      <c r="MET57" s="76"/>
      <c r="MEU57" s="76"/>
      <c r="MEV57" s="76"/>
      <c r="MEW57" s="76"/>
      <c r="MEX57" s="76"/>
      <c r="MEY57" s="76"/>
      <c r="MEZ57" s="76"/>
      <c r="MFA57" s="76"/>
      <c r="MFB57" s="76"/>
      <c r="MFC57" s="76"/>
      <c r="MFD57" s="76"/>
      <c r="MFE57" s="76"/>
      <c r="MFF57" s="76"/>
      <c r="MFG57" s="76"/>
      <c r="MFH57" s="76"/>
      <c r="MFI57" s="76"/>
      <c r="MFJ57" s="76"/>
      <c r="MFK57" s="76"/>
      <c r="MFL57" s="76"/>
      <c r="MFM57" s="76"/>
      <c r="MFN57" s="76"/>
      <c r="MFO57" s="76"/>
      <c r="MFP57" s="76"/>
      <c r="MFQ57" s="76"/>
      <c r="MFR57" s="76"/>
      <c r="MFS57" s="76"/>
      <c r="MFT57" s="76"/>
      <c r="MFU57" s="76"/>
      <c r="MFV57" s="76"/>
      <c r="MFW57" s="76"/>
      <c r="MFX57" s="76"/>
      <c r="MFY57" s="76"/>
      <c r="MFZ57" s="76"/>
      <c r="MGA57" s="76"/>
      <c r="MGB57" s="76"/>
      <c r="MGC57" s="76"/>
      <c r="MGD57" s="76"/>
      <c r="MGE57" s="76"/>
      <c r="MGF57" s="76"/>
      <c r="MGG57" s="76"/>
      <c r="MGH57" s="76"/>
      <c r="MGI57" s="76"/>
      <c r="MGJ57" s="76"/>
      <c r="MGK57" s="76"/>
      <c r="MGL57" s="76"/>
      <c r="MGM57" s="76"/>
      <c r="MGN57" s="76"/>
      <c r="MGO57" s="76"/>
      <c r="MGP57" s="76"/>
      <c r="MGQ57" s="76"/>
      <c r="MGR57" s="76"/>
      <c r="MGS57" s="76"/>
      <c r="MGT57" s="76"/>
      <c r="MGU57" s="76"/>
      <c r="MGV57" s="76"/>
      <c r="MGW57" s="76"/>
      <c r="MGX57" s="76"/>
      <c r="MGY57" s="76"/>
      <c r="MGZ57" s="76"/>
      <c r="MHA57" s="76"/>
      <c r="MHB57" s="76"/>
      <c r="MHC57" s="76"/>
      <c r="MHD57" s="76"/>
      <c r="MHE57" s="76"/>
      <c r="MHF57" s="76"/>
      <c r="MHG57" s="76"/>
      <c r="MHH57" s="76"/>
      <c r="MHI57" s="76"/>
      <c r="MHJ57" s="76"/>
      <c r="MHK57" s="76"/>
      <c r="MHL57" s="76"/>
      <c r="MHM57" s="76"/>
      <c r="MHN57" s="76"/>
      <c r="MHO57" s="76"/>
      <c r="MHP57" s="76"/>
      <c r="MHQ57" s="76"/>
      <c r="MHR57" s="76"/>
      <c r="MHS57" s="76"/>
      <c r="MHT57" s="76"/>
      <c r="MHU57" s="76"/>
      <c r="MHV57" s="76"/>
      <c r="MHW57" s="76"/>
      <c r="MHX57" s="76"/>
      <c r="MHY57" s="76"/>
      <c r="MHZ57" s="76"/>
      <c r="MIA57" s="76"/>
      <c r="MIB57" s="76"/>
      <c r="MIC57" s="76"/>
      <c r="MID57" s="76"/>
      <c r="MIE57" s="76"/>
      <c r="MIF57" s="76"/>
      <c r="MIG57" s="76"/>
      <c r="MIH57" s="76"/>
      <c r="MII57" s="76"/>
      <c r="MIJ57" s="76"/>
      <c r="MIK57" s="76"/>
      <c r="MIL57" s="76"/>
      <c r="MIM57" s="76"/>
      <c r="MIN57" s="76"/>
      <c r="MIO57" s="76"/>
      <c r="MIP57" s="76"/>
      <c r="MIQ57" s="76"/>
      <c r="MIR57" s="76"/>
      <c r="MIS57" s="76"/>
      <c r="MIT57" s="76"/>
      <c r="MIU57" s="76"/>
      <c r="MIV57" s="76"/>
      <c r="MIW57" s="76"/>
      <c r="MIX57" s="76"/>
      <c r="MIY57" s="76"/>
      <c r="MIZ57" s="76"/>
      <c r="MJA57" s="76"/>
      <c r="MJB57" s="76"/>
      <c r="MJC57" s="76"/>
      <c r="MJD57" s="76"/>
      <c r="MJE57" s="76"/>
      <c r="MJF57" s="76"/>
      <c r="MJG57" s="76"/>
      <c r="MJH57" s="76"/>
      <c r="MJI57" s="76"/>
      <c r="MJJ57" s="76"/>
      <c r="MJK57" s="76"/>
      <c r="MJL57" s="76"/>
      <c r="MJM57" s="76"/>
      <c r="MJN57" s="76"/>
      <c r="MJO57" s="76"/>
      <c r="MJP57" s="76"/>
      <c r="MJQ57" s="76"/>
      <c r="MJR57" s="76"/>
      <c r="MJS57" s="76"/>
      <c r="MJT57" s="76"/>
      <c r="MJU57" s="76"/>
      <c r="MJV57" s="76"/>
      <c r="MJW57" s="76"/>
      <c r="MJX57" s="76"/>
      <c r="MJY57" s="76"/>
      <c r="MJZ57" s="76"/>
      <c r="MKA57" s="76"/>
      <c r="MKB57" s="76"/>
      <c r="MKC57" s="76"/>
      <c r="MKD57" s="76"/>
      <c r="MKE57" s="76"/>
      <c r="MKF57" s="76"/>
      <c r="MKG57" s="76"/>
      <c r="MKH57" s="76"/>
      <c r="MKI57" s="76"/>
      <c r="MKJ57" s="76"/>
      <c r="MKK57" s="76"/>
      <c r="MKL57" s="76"/>
      <c r="MKM57" s="76"/>
      <c r="MKN57" s="76"/>
      <c r="MKO57" s="76"/>
      <c r="MKP57" s="76"/>
      <c r="MKQ57" s="76"/>
      <c r="MKR57" s="76"/>
      <c r="MKS57" s="76"/>
      <c r="MKT57" s="76"/>
      <c r="MKU57" s="76"/>
      <c r="MKV57" s="76"/>
      <c r="MKW57" s="76"/>
      <c r="MKX57" s="76"/>
      <c r="MKY57" s="76"/>
      <c r="MKZ57" s="76"/>
      <c r="MLA57" s="76"/>
      <c r="MLB57" s="76"/>
      <c r="MLC57" s="76"/>
      <c r="MLD57" s="76"/>
      <c r="MLE57" s="76"/>
      <c r="MLF57" s="76"/>
      <c r="MLG57" s="76"/>
      <c r="MLH57" s="76"/>
      <c r="MLI57" s="76"/>
      <c r="MLJ57" s="76"/>
      <c r="MLK57" s="76"/>
      <c r="MLL57" s="76"/>
      <c r="MLM57" s="76"/>
      <c r="MLN57" s="76"/>
      <c r="MLO57" s="76"/>
      <c r="MLP57" s="76"/>
      <c r="MLQ57" s="76"/>
      <c r="MLR57" s="76"/>
      <c r="MLS57" s="76"/>
      <c r="MLT57" s="76"/>
      <c r="MLU57" s="76"/>
      <c r="MLV57" s="76"/>
      <c r="MLW57" s="76"/>
      <c r="MLX57" s="76"/>
      <c r="MLY57" s="76"/>
      <c r="MLZ57" s="76"/>
      <c r="MMA57" s="76"/>
      <c r="MMB57" s="76"/>
      <c r="MMC57" s="76"/>
      <c r="MMD57" s="76"/>
      <c r="MME57" s="76"/>
      <c r="MMF57" s="76"/>
      <c r="MMG57" s="76"/>
      <c r="MMH57" s="76"/>
      <c r="MMI57" s="76"/>
      <c r="MMJ57" s="76"/>
      <c r="MMK57" s="76"/>
      <c r="MML57" s="76"/>
      <c r="MMM57" s="76"/>
      <c r="MMN57" s="76"/>
      <c r="MMO57" s="76"/>
      <c r="MMP57" s="76"/>
      <c r="MMQ57" s="76"/>
      <c r="MMR57" s="76"/>
      <c r="MMS57" s="76"/>
      <c r="MMT57" s="76"/>
      <c r="MMU57" s="76"/>
      <c r="MMV57" s="76"/>
      <c r="MMW57" s="76"/>
      <c r="MMX57" s="76"/>
      <c r="MMY57" s="76"/>
      <c r="MMZ57" s="76"/>
      <c r="MNA57" s="76"/>
      <c r="MNB57" s="76"/>
      <c r="MNC57" s="76"/>
      <c r="MND57" s="76"/>
      <c r="MNE57" s="76"/>
      <c r="MNF57" s="76"/>
      <c r="MNG57" s="76"/>
      <c r="MNH57" s="76"/>
      <c r="MNI57" s="76"/>
      <c r="MNJ57" s="76"/>
      <c r="MNK57" s="76"/>
      <c r="MNL57" s="76"/>
      <c r="MNM57" s="76"/>
      <c r="MNN57" s="76"/>
      <c r="MNO57" s="76"/>
      <c r="MNP57" s="76"/>
      <c r="MNQ57" s="76"/>
      <c r="MNR57" s="76"/>
      <c r="MNS57" s="76"/>
      <c r="MNT57" s="76"/>
      <c r="MNU57" s="76"/>
      <c r="MNV57" s="76"/>
      <c r="MNW57" s="76"/>
      <c r="MNX57" s="76"/>
      <c r="MNY57" s="76"/>
      <c r="MNZ57" s="76"/>
      <c r="MOA57" s="76"/>
      <c r="MOB57" s="76"/>
      <c r="MOC57" s="76"/>
      <c r="MOD57" s="76"/>
      <c r="MOE57" s="76"/>
      <c r="MOF57" s="76"/>
      <c r="MOG57" s="76"/>
      <c r="MOH57" s="76"/>
      <c r="MOI57" s="76"/>
      <c r="MOJ57" s="76"/>
      <c r="MOK57" s="76"/>
      <c r="MOL57" s="76"/>
      <c r="MOM57" s="76"/>
      <c r="MON57" s="76"/>
      <c r="MOO57" s="76"/>
      <c r="MOP57" s="76"/>
      <c r="MOQ57" s="76"/>
      <c r="MOR57" s="76"/>
      <c r="MOS57" s="76"/>
      <c r="MOT57" s="76"/>
      <c r="MOU57" s="76"/>
      <c r="MOV57" s="76"/>
      <c r="MOW57" s="76"/>
      <c r="MOX57" s="76"/>
      <c r="MOY57" s="76"/>
      <c r="MOZ57" s="76"/>
      <c r="MPA57" s="76"/>
      <c r="MPB57" s="76"/>
      <c r="MPC57" s="76"/>
      <c r="MPD57" s="76"/>
      <c r="MPE57" s="76"/>
      <c r="MPF57" s="76"/>
      <c r="MPG57" s="76"/>
      <c r="MPH57" s="76"/>
      <c r="MPI57" s="76"/>
      <c r="MPJ57" s="76"/>
      <c r="MPK57" s="76"/>
      <c r="MPL57" s="76"/>
      <c r="MPM57" s="76"/>
      <c r="MPN57" s="76"/>
      <c r="MPO57" s="76"/>
      <c r="MPP57" s="76"/>
      <c r="MPQ57" s="76"/>
      <c r="MPR57" s="76"/>
      <c r="MPS57" s="76"/>
      <c r="MPT57" s="76"/>
      <c r="MPU57" s="76"/>
      <c r="MPV57" s="76"/>
      <c r="MPW57" s="76"/>
      <c r="MPX57" s="76"/>
      <c r="MPY57" s="76"/>
      <c r="MPZ57" s="76"/>
      <c r="MQA57" s="76"/>
      <c r="MQB57" s="76"/>
      <c r="MQC57" s="76"/>
      <c r="MQD57" s="76"/>
      <c r="MQE57" s="76"/>
      <c r="MQF57" s="76"/>
      <c r="MQG57" s="76"/>
      <c r="MQH57" s="76"/>
      <c r="MQI57" s="76"/>
      <c r="MQJ57" s="76"/>
      <c r="MQK57" s="76"/>
      <c r="MQL57" s="76"/>
      <c r="MQM57" s="76"/>
      <c r="MQN57" s="76"/>
      <c r="MQO57" s="76"/>
      <c r="MQP57" s="76"/>
      <c r="MQQ57" s="76"/>
      <c r="MQR57" s="76"/>
      <c r="MQS57" s="76"/>
      <c r="MQT57" s="76"/>
      <c r="MQU57" s="76"/>
      <c r="MQV57" s="76"/>
      <c r="MQW57" s="76"/>
      <c r="MQX57" s="76"/>
      <c r="MQY57" s="76"/>
      <c r="MQZ57" s="76"/>
      <c r="MRA57" s="76"/>
      <c r="MRB57" s="76"/>
      <c r="MRC57" s="76"/>
      <c r="MRD57" s="76"/>
      <c r="MRE57" s="76"/>
      <c r="MRF57" s="76"/>
      <c r="MRG57" s="76"/>
      <c r="MRH57" s="76"/>
      <c r="MRI57" s="76"/>
      <c r="MRJ57" s="76"/>
      <c r="MRK57" s="76"/>
      <c r="MRL57" s="76"/>
      <c r="MRM57" s="76"/>
      <c r="MRN57" s="76"/>
      <c r="MRO57" s="76"/>
      <c r="MRP57" s="76"/>
      <c r="MRQ57" s="76"/>
      <c r="MRR57" s="76"/>
      <c r="MRS57" s="76"/>
      <c r="MRT57" s="76"/>
      <c r="MRU57" s="76"/>
      <c r="MRV57" s="76"/>
      <c r="MRW57" s="76"/>
      <c r="MRX57" s="76"/>
      <c r="MRY57" s="76"/>
      <c r="MRZ57" s="76"/>
      <c r="MSA57" s="76"/>
      <c r="MSB57" s="76"/>
      <c r="MSC57" s="76"/>
      <c r="MSD57" s="76"/>
      <c r="MSE57" s="76"/>
      <c r="MSF57" s="76"/>
      <c r="MSG57" s="76"/>
      <c r="MSH57" s="76"/>
      <c r="MSI57" s="76"/>
      <c r="MSJ57" s="76"/>
      <c r="MSK57" s="76"/>
      <c r="MSL57" s="76"/>
      <c r="MSM57" s="76"/>
      <c r="MSN57" s="76"/>
      <c r="MSO57" s="76"/>
      <c r="MSP57" s="76"/>
      <c r="MSQ57" s="76"/>
      <c r="MSR57" s="76"/>
      <c r="MSS57" s="76"/>
      <c r="MST57" s="76"/>
      <c r="MSU57" s="76"/>
      <c r="MSV57" s="76"/>
      <c r="MSW57" s="76"/>
      <c r="MSX57" s="76"/>
      <c r="MSY57" s="76"/>
      <c r="MSZ57" s="76"/>
      <c r="MTA57" s="76"/>
      <c r="MTB57" s="76"/>
      <c r="MTC57" s="76"/>
      <c r="MTD57" s="76"/>
      <c r="MTE57" s="76"/>
      <c r="MTF57" s="76"/>
      <c r="MTG57" s="76"/>
      <c r="MTH57" s="76"/>
      <c r="MTI57" s="76"/>
      <c r="MTJ57" s="76"/>
      <c r="MTK57" s="76"/>
      <c r="MTL57" s="76"/>
      <c r="MTM57" s="76"/>
      <c r="MTN57" s="76"/>
      <c r="MTO57" s="76"/>
      <c r="MTP57" s="76"/>
      <c r="MTQ57" s="76"/>
      <c r="MTR57" s="76"/>
      <c r="MTS57" s="76"/>
      <c r="MTT57" s="76"/>
      <c r="MTU57" s="76"/>
      <c r="MTV57" s="76"/>
      <c r="MTW57" s="76"/>
      <c r="MTX57" s="76"/>
      <c r="MTY57" s="76"/>
      <c r="MTZ57" s="76"/>
      <c r="MUA57" s="76"/>
      <c r="MUB57" s="76"/>
      <c r="MUC57" s="76"/>
      <c r="MUD57" s="76"/>
      <c r="MUE57" s="76"/>
      <c r="MUF57" s="76"/>
      <c r="MUG57" s="76"/>
      <c r="MUH57" s="76"/>
      <c r="MUI57" s="76"/>
      <c r="MUJ57" s="76"/>
      <c r="MUK57" s="76"/>
      <c r="MUL57" s="76"/>
      <c r="MUM57" s="76"/>
      <c r="MUN57" s="76"/>
      <c r="MUO57" s="76"/>
      <c r="MUP57" s="76"/>
      <c r="MUQ57" s="76"/>
      <c r="MUR57" s="76"/>
      <c r="MUS57" s="76"/>
      <c r="MUT57" s="76"/>
      <c r="MUU57" s="76"/>
      <c r="MUV57" s="76"/>
      <c r="MUW57" s="76"/>
      <c r="MUX57" s="76"/>
      <c r="MUY57" s="76"/>
      <c r="MUZ57" s="76"/>
      <c r="MVA57" s="76"/>
      <c r="MVB57" s="76"/>
      <c r="MVC57" s="76"/>
      <c r="MVD57" s="76"/>
      <c r="MVE57" s="76"/>
      <c r="MVF57" s="76"/>
      <c r="MVG57" s="76"/>
      <c r="MVH57" s="76"/>
      <c r="MVI57" s="76"/>
      <c r="MVJ57" s="76"/>
      <c r="MVK57" s="76"/>
      <c r="MVL57" s="76"/>
      <c r="MVM57" s="76"/>
      <c r="MVN57" s="76"/>
      <c r="MVO57" s="76"/>
      <c r="MVP57" s="76"/>
      <c r="MVQ57" s="76"/>
      <c r="MVR57" s="76"/>
      <c r="MVS57" s="76"/>
      <c r="MVT57" s="76"/>
      <c r="MVU57" s="76"/>
      <c r="MVV57" s="76"/>
      <c r="MVW57" s="76"/>
      <c r="MVX57" s="76"/>
      <c r="MVY57" s="76"/>
      <c r="MVZ57" s="76"/>
      <c r="MWA57" s="76"/>
      <c r="MWB57" s="76"/>
      <c r="MWC57" s="76"/>
      <c r="MWD57" s="76"/>
      <c r="MWE57" s="76"/>
      <c r="MWF57" s="76"/>
      <c r="MWG57" s="76"/>
      <c r="MWH57" s="76"/>
      <c r="MWI57" s="76"/>
      <c r="MWJ57" s="76"/>
      <c r="MWK57" s="76"/>
      <c r="MWL57" s="76"/>
      <c r="MWM57" s="76"/>
      <c r="MWN57" s="76"/>
      <c r="MWO57" s="76"/>
      <c r="MWP57" s="76"/>
      <c r="MWQ57" s="76"/>
      <c r="MWR57" s="76"/>
      <c r="MWS57" s="76"/>
      <c r="MWT57" s="76"/>
      <c r="MWU57" s="76"/>
      <c r="MWV57" s="76"/>
      <c r="MWW57" s="76"/>
      <c r="MWX57" s="76"/>
      <c r="MWY57" s="76"/>
      <c r="MWZ57" s="76"/>
      <c r="MXA57" s="76"/>
      <c r="MXB57" s="76"/>
      <c r="MXC57" s="76"/>
      <c r="MXD57" s="76"/>
      <c r="MXE57" s="76"/>
      <c r="MXF57" s="76"/>
      <c r="MXG57" s="76"/>
      <c r="MXH57" s="76"/>
      <c r="MXI57" s="76"/>
      <c r="MXJ57" s="76"/>
      <c r="MXK57" s="76"/>
      <c r="MXL57" s="76"/>
      <c r="MXM57" s="76"/>
      <c r="MXN57" s="76"/>
      <c r="MXO57" s="76"/>
      <c r="MXP57" s="76"/>
      <c r="MXQ57" s="76"/>
      <c r="MXR57" s="76"/>
      <c r="MXS57" s="76"/>
      <c r="MXT57" s="76"/>
      <c r="MXU57" s="76"/>
      <c r="MXV57" s="76"/>
      <c r="MXW57" s="76"/>
      <c r="MXX57" s="76"/>
      <c r="MXY57" s="76"/>
      <c r="MXZ57" s="76"/>
      <c r="MYA57" s="76"/>
      <c r="MYB57" s="76"/>
      <c r="MYC57" s="76"/>
      <c r="MYD57" s="76"/>
      <c r="MYE57" s="76"/>
      <c r="MYF57" s="76"/>
      <c r="MYG57" s="76"/>
      <c r="MYH57" s="76"/>
      <c r="MYI57" s="76"/>
      <c r="MYJ57" s="76"/>
      <c r="MYK57" s="76"/>
      <c r="MYL57" s="76"/>
      <c r="MYM57" s="76"/>
      <c r="MYN57" s="76"/>
      <c r="MYO57" s="76"/>
      <c r="MYP57" s="76"/>
      <c r="MYQ57" s="76"/>
      <c r="MYR57" s="76"/>
      <c r="MYS57" s="76"/>
      <c r="MYT57" s="76"/>
      <c r="MYU57" s="76"/>
      <c r="MYV57" s="76"/>
      <c r="MYW57" s="76"/>
      <c r="MYX57" s="76"/>
      <c r="MYY57" s="76"/>
      <c r="MYZ57" s="76"/>
      <c r="MZA57" s="76"/>
      <c r="MZB57" s="76"/>
      <c r="MZC57" s="76"/>
      <c r="MZD57" s="76"/>
      <c r="MZE57" s="76"/>
      <c r="MZF57" s="76"/>
      <c r="MZG57" s="76"/>
      <c r="MZH57" s="76"/>
      <c r="MZI57" s="76"/>
      <c r="MZJ57" s="76"/>
      <c r="MZK57" s="76"/>
      <c r="MZL57" s="76"/>
      <c r="MZM57" s="76"/>
      <c r="MZN57" s="76"/>
      <c r="MZO57" s="76"/>
      <c r="MZP57" s="76"/>
      <c r="MZQ57" s="76"/>
      <c r="MZR57" s="76"/>
      <c r="MZS57" s="76"/>
      <c r="MZT57" s="76"/>
      <c r="MZU57" s="76"/>
      <c r="MZV57" s="76"/>
      <c r="MZW57" s="76"/>
      <c r="MZX57" s="76"/>
      <c r="MZY57" s="76"/>
      <c r="MZZ57" s="76"/>
      <c r="NAA57" s="76"/>
      <c r="NAB57" s="76"/>
      <c r="NAC57" s="76"/>
      <c r="NAD57" s="76"/>
      <c r="NAE57" s="76"/>
      <c r="NAF57" s="76"/>
      <c r="NAG57" s="76"/>
      <c r="NAH57" s="76"/>
      <c r="NAI57" s="76"/>
      <c r="NAJ57" s="76"/>
      <c r="NAK57" s="76"/>
      <c r="NAL57" s="76"/>
      <c r="NAM57" s="76"/>
      <c r="NAN57" s="76"/>
      <c r="NAO57" s="76"/>
      <c r="NAP57" s="76"/>
      <c r="NAQ57" s="76"/>
      <c r="NAR57" s="76"/>
      <c r="NAS57" s="76"/>
      <c r="NAT57" s="76"/>
      <c r="NAU57" s="76"/>
      <c r="NAV57" s="76"/>
      <c r="NAW57" s="76"/>
      <c r="NAX57" s="76"/>
      <c r="NAY57" s="76"/>
      <c r="NAZ57" s="76"/>
      <c r="NBA57" s="76"/>
      <c r="NBB57" s="76"/>
      <c r="NBC57" s="76"/>
      <c r="NBD57" s="76"/>
      <c r="NBE57" s="76"/>
      <c r="NBF57" s="76"/>
      <c r="NBG57" s="76"/>
      <c r="NBH57" s="76"/>
      <c r="NBI57" s="76"/>
      <c r="NBJ57" s="76"/>
      <c r="NBK57" s="76"/>
      <c r="NBL57" s="76"/>
      <c r="NBM57" s="76"/>
      <c r="NBN57" s="76"/>
      <c r="NBO57" s="76"/>
      <c r="NBP57" s="76"/>
      <c r="NBQ57" s="76"/>
      <c r="NBR57" s="76"/>
      <c r="NBS57" s="76"/>
      <c r="NBT57" s="76"/>
      <c r="NBU57" s="76"/>
      <c r="NBV57" s="76"/>
      <c r="NBW57" s="76"/>
      <c r="NBX57" s="76"/>
      <c r="NBY57" s="76"/>
      <c r="NBZ57" s="76"/>
      <c r="NCA57" s="76"/>
      <c r="NCB57" s="76"/>
      <c r="NCC57" s="76"/>
      <c r="NCD57" s="76"/>
      <c r="NCE57" s="76"/>
      <c r="NCF57" s="76"/>
      <c r="NCG57" s="76"/>
      <c r="NCH57" s="76"/>
      <c r="NCI57" s="76"/>
      <c r="NCJ57" s="76"/>
      <c r="NCK57" s="76"/>
      <c r="NCL57" s="76"/>
      <c r="NCM57" s="76"/>
      <c r="NCN57" s="76"/>
      <c r="NCO57" s="76"/>
      <c r="NCP57" s="76"/>
      <c r="NCQ57" s="76"/>
      <c r="NCR57" s="76"/>
      <c r="NCS57" s="76"/>
      <c r="NCT57" s="76"/>
      <c r="NCU57" s="76"/>
      <c r="NCV57" s="76"/>
      <c r="NCW57" s="76"/>
      <c r="NCX57" s="76"/>
      <c r="NCY57" s="76"/>
      <c r="NCZ57" s="76"/>
      <c r="NDA57" s="76"/>
      <c r="NDB57" s="76"/>
      <c r="NDC57" s="76"/>
      <c r="NDD57" s="76"/>
      <c r="NDE57" s="76"/>
      <c r="NDF57" s="76"/>
      <c r="NDG57" s="76"/>
      <c r="NDH57" s="76"/>
      <c r="NDI57" s="76"/>
      <c r="NDJ57" s="76"/>
      <c r="NDK57" s="76"/>
      <c r="NDL57" s="76"/>
      <c r="NDM57" s="76"/>
      <c r="NDN57" s="76"/>
      <c r="NDO57" s="76"/>
      <c r="NDP57" s="76"/>
      <c r="NDQ57" s="76"/>
      <c r="NDR57" s="76"/>
      <c r="NDS57" s="76"/>
      <c r="NDT57" s="76"/>
      <c r="NDU57" s="76"/>
      <c r="NDV57" s="76"/>
      <c r="NDW57" s="76"/>
      <c r="NDX57" s="76"/>
      <c r="NDY57" s="76"/>
      <c r="NDZ57" s="76"/>
      <c r="NEA57" s="76"/>
      <c r="NEB57" s="76"/>
      <c r="NEC57" s="76"/>
      <c r="NED57" s="76"/>
      <c r="NEE57" s="76"/>
      <c r="NEF57" s="76"/>
      <c r="NEG57" s="76"/>
      <c r="NEH57" s="76"/>
      <c r="NEI57" s="76"/>
      <c r="NEJ57" s="76"/>
      <c r="NEK57" s="76"/>
      <c r="NEL57" s="76"/>
      <c r="NEM57" s="76"/>
      <c r="NEN57" s="76"/>
      <c r="NEO57" s="76"/>
      <c r="NEP57" s="76"/>
      <c r="NEQ57" s="76"/>
      <c r="NER57" s="76"/>
      <c r="NES57" s="76"/>
      <c r="NET57" s="76"/>
      <c r="NEU57" s="76"/>
      <c r="NEV57" s="76"/>
      <c r="NEW57" s="76"/>
      <c r="NEX57" s="76"/>
      <c r="NEY57" s="76"/>
      <c r="NEZ57" s="76"/>
      <c r="NFA57" s="76"/>
      <c r="NFB57" s="76"/>
      <c r="NFC57" s="76"/>
      <c r="NFD57" s="76"/>
      <c r="NFE57" s="76"/>
      <c r="NFF57" s="76"/>
      <c r="NFG57" s="76"/>
      <c r="NFH57" s="76"/>
      <c r="NFI57" s="76"/>
      <c r="NFJ57" s="76"/>
      <c r="NFK57" s="76"/>
      <c r="NFL57" s="76"/>
      <c r="NFM57" s="76"/>
      <c r="NFN57" s="76"/>
      <c r="NFO57" s="76"/>
      <c r="NFP57" s="76"/>
      <c r="NFQ57" s="76"/>
      <c r="NFR57" s="76"/>
      <c r="NFS57" s="76"/>
      <c r="NFT57" s="76"/>
      <c r="NFU57" s="76"/>
      <c r="NFV57" s="76"/>
      <c r="NFW57" s="76"/>
      <c r="NFX57" s="76"/>
      <c r="NFY57" s="76"/>
      <c r="NFZ57" s="76"/>
      <c r="NGA57" s="76"/>
      <c r="NGB57" s="76"/>
      <c r="NGC57" s="76"/>
      <c r="NGD57" s="76"/>
      <c r="NGE57" s="76"/>
      <c r="NGF57" s="76"/>
      <c r="NGG57" s="76"/>
      <c r="NGH57" s="76"/>
      <c r="NGI57" s="76"/>
      <c r="NGJ57" s="76"/>
      <c r="NGK57" s="76"/>
      <c r="NGL57" s="76"/>
      <c r="NGM57" s="76"/>
      <c r="NGN57" s="76"/>
      <c r="NGO57" s="76"/>
      <c r="NGP57" s="76"/>
      <c r="NGQ57" s="76"/>
      <c r="NGR57" s="76"/>
      <c r="NGS57" s="76"/>
      <c r="NGT57" s="76"/>
      <c r="NGU57" s="76"/>
      <c r="NGV57" s="76"/>
      <c r="NGW57" s="76"/>
      <c r="NGX57" s="76"/>
      <c r="NGY57" s="76"/>
      <c r="NGZ57" s="76"/>
      <c r="NHA57" s="76"/>
      <c r="NHB57" s="76"/>
      <c r="NHC57" s="76"/>
      <c r="NHD57" s="76"/>
      <c r="NHE57" s="76"/>
      <c r="NHF57" s="76"/>
      <c r="NHG57" s="76"/>
      <c r="NHH57" s="76"/>
      <c r="NHI57" s="76"/>
      <c r="NHJ57" s="76"/>
      <c r="NHK57" s="76"/>
      <c r="NHL57" s="76"/>
      <c r="NHM57" s="76"/>
      <c r="NHN57" s="76"/>
      <c r="NHO57" s="76"/>
      <c r="NHP57" s="76"/>
      <c r="NHQ57" s="76"/>
      <c r="NHR57" s="76"/>
      <c r="NHS57" s="76"/>
      <c r="NHT57" s="76"/>
      <c r="NHU57" s="76"/>
      <c r="NHV57" s="76"/>
      <c r="NHW57" s="76"/>
      <c r="NHX57" s="76"/>
      <c r="NHY57" s="76"/>
      <c r="NHZ57" s="76"/>
      <c r="NIA57" s="76"/>
      <c r="NIB57" s="76"/>
      <c r="NIC57" s="76"/>
      <c r="NID57" s="76"/>
      <c r="NIE57" s="76"/>
      <c r="NIF57" s="76"/>
      <c r="NIG57" s="76"/>
      <c r="NIH57" s="76"/>
      <c r="NII57" s="76"/>
      <c r="NIJ57" s="76"/>
      <c r="NIK57" s="76"/>
      <c r="NIL57" s="76"/>
      <c r="NIM57" s="76"/>
      <c r="NIN57" s="76"/>
      <c r="NIO57" s="76"/>
      <c r="NIP57" s="76"/>
      <c r="NIQ57" s="76"/>
      <c r="NIR57" s="76"/>
      <c r="NIS57" s="76"/>
      <c r="NIT57" s="76"/>
      <c r="NIU57" s="76"/>
      <c r="NIV57" s="76"/>
      <c r="NIW57" s="76"/>
      <c r="NIX57" s="76"/>
      <c r="NIY57" s="76"/>
      <c r="NIZ57" s="76"/>
      <c r="NJA57" s="76"/>
      <c r="NJB57" s="76"/>
      <c r="NJC57" s="76"/>
      <c r="NJD57" s="76"/>
      <c r="NJE57" s="76"/>
      <c r="NJF57" s="76"/>
      <c r="NJG57" s="76"/>
      <c r="NJH57" s="76"/>
      <c r="NJI57" s="76"/>
      <c r="NJJ57" s="76"/>
      <c r="NJK57" s="76"/>
      <c r="NJL57" s="76"/>
      <c r="NJM57" s="76"/>
      <c r="NJN57" s="76"/>
      <c r="NJO57" s="76"/>
      <c r="NJP57" s="76"/>
      <c r="NJQ57" s="76"/>
      <c r="NJR57" s="76"/>
      <c r="NJS57" s="76"/>
      <c r="NJT57" s="76"/>
      <c r="NJU57" s="76"/>
      <c r="NJV57" s="76"/>
      <c r="NJW57" s="76"/>
      <c r="NJX57" s="76"/>
      <c r="NJY57" s="76"/>
      <c r="NJZ57" s="76"/>
      <c r="NKA57" s="76"/>
      <c r="NKB57" s="76"/>
      <c r="NKC57" s="76"/>
      <c r="NKD57" s="76"/>
      <c r="NKE57" s="76"/>
      <c r="NKF57" s="76"/>
      <c r="NKG57" s="76"/>
      <c r="NKH57" s="76"/>
      <c r="NKI57" s="76"/>
      <c r="NKJ57" s="76"/>
      <c r="NKK57" s="76"/>
      <c r="NKL57" s="76"/>
      <c r="NKM57" s="76"/>
      <c r="NKN57" s="76"/>
      <c r="NKO57" s="76"/>
      <c r="NKP57" s="76"/>
      <c r="NKQ57" s="76"/>
      <c r="NKR57" s="76"/>
      <c r="NKS57" s="76"/>
      <c r="NKT57" s="76"/>
      <c r="NKU57" s="76"/>
      <c r="NKV57" s="76"/>
      <c r="NKW57" s="76"/>
      <c r="NKX57" s="76"/>
      <c r="NKY57" s="76"/>
      <c r="NKZ57" s="76"/>
      <c r="NLA57" s="76"/>
      <c r="NLB57" s="76"/>
      <c r="NLC57" s="76"/>
      <c r="NLD57" s="76"/>
      <c r="NLE57" s="76"/>
      <c r="NLF57" s="76"/>
      <c r="NLG57" s="76"/>
      <c r="NLH57" s="76"/>
      <c r="NLI57" s="76"/>
      <c r="NLJ57" s="76"/>
      <c r="NLK57" s="76"/>
      <c r="NLL57" s="76"/>
      <c r="NLM57" s="76"/>
      <c r="NLN57" s="76"/>
      <c r="NLO57" s="76"/>
      <c r="NLP57" s="76"/>
      <c r="NLQ57" s="76"/>
      <c r="NLR57" s="76"/>
      <c r="NLS57" s="76"/>
      <c r="NLT57" s="76"/>
      <c r="NLU57" s="76"/>
      <c r="NLV57" s="76"/>
      <c r="NLW57" s="76"/>
      <c r="NLX57" s="76"/>
      <c r="NLY57" s="76"/>
      <c r="NLZ57" s="76"/>
      <c r="NMA57" s="76"/>
      <c r="NMB57" s="76"/>
      <c r="NMC57" s="76"/>
      <c r="NMD57" s="76"/>
      <c r="NME57" s="76"/>
      <c r="NMF57" s="76"/>
      <c r="NMG57" s="76"/>
      <c r="NMH57" s="76"/>
      <c r="NMI57" s="76"/>
      <c r="NMJ57" s="76"/>
      <c r="NMK57" s="76"/>
      <c r="NML57" s="76"/>
      <c r="NMM57" s="76"/>
      <c r="NMN57" s="76"/>
      <c r="NMO57" s="76"/>
      <c r="NMP57" s="76"/>
      <c r="NMQ57" s="76"/>
      <c r="NMR57" s="76"/>
      <c r="NMS57" s="76"/>
      <c r="NMT57" s="76"/>
      <c r="NMU57" s="76"/>
      <c r="NMV57" s="76"/>
      <c r="NMW57" s="76"/>
      <c r="NMX57" s="76"/>
      <c r="NMY57" s="76"/>
      <c r="NMZ57" s="76"/>
      <c r="NNA57" s="76"/>
      <c r="NNB57" s="76"/>
      <c r="NNC57" s="76"/>
      <c r="NND57" s="76"/>
      <c r="NNE57" s="76"/>
      <c r="NNF57" s="76"/>
      <c r="NNG57" s="76"/>
      <c r="NNH57" s="76"/>
      <c r="NNI57" s="76"/>
      <c r="NNJ57" s="76"/>
      <c r="NNK57" s="76"/>
      <c r="NNL57" s="76"/>
      <c r="NNM57" s="76"/>
      <c r="NNN57" s="76"/>
      <c r="NNO57" s="76"/>
      <c r="NNP57" s="76"/>
      <c r="NNQ57" s="76"/>
      <c r="NNR57" s="76"/>
      <c r="NNS57" s="76"/>
      <c r="NNT57" s="76"/>
      <c r="NNU57" s="76"/>
      <c r="NNV57" s="76"/>
      <c r="NNW57" s="76"/>
      <c r="NNX57" s="76"/>
      <c r="NNY57" s="76"/>
      <c r="NNZ57" s="76"/>
      <c r="NOA57" s="76"/>
      <c r="NOB57" s="76"/>
      <c r="NOC57" s="76"/>
      <c r="NOD57" s="76"/>
      <c r="NOE57" s="76"/>
      <c r="NOF57" s="76"/>
      <c r="NOG57" s="76"/>
      <c r="NOH57" s="76"/>
      <c r="NOI57" s="76"/>
      <c r="NOJ57" s="76"/>
      <c r="NOK57" s="76"/>
      <c r="NOL57" s="76"/>
      <c r="NOM57" s="76"/>
      <c r="NON57" s="76"/>
      <c r="NOO57" s="76"/>
      <c r="NOP57" s="76"/>
      <c r="NOQ57" s="76"/>
      <c r="NOR57" s="76"/>
      <c r="NOS57" s="76"/>
      <c r="NOT57" s="76"/>
      <c r="NOU57" s="76"/>
      <c r="NOV57" s="76"/>
      <c r="NOW57" s="76"/>
      <c r="NOX57" s="76"/>
      <c r="NOY57" s="76"/>
      <c r="NOZ57" s="76"/>
      <c r="NPA57" s="76"/>
      <c r="NPB57" s="76"/>
      <c r="NPC57" s="76"/>
      <c r="NPD57" s="76"/>
      <c r="NPE57" s="76"/>
      <c r="NPF57" s="76"/>
      <c r="NPG57" s="76"/>
      <c r="NPH57" s="76"/>
      <c r="NPI57" s="76"/>
      <c r="NPJ57" s="76"/>
      <c r="NPK57" s="76"/>
      <c r="NPL57" s="76"/>
      <c r="NPM57" s="76"/>
      <c r="NPN57" s="76"/>
      <c r="NPO57" s="76"/>
      <c r="NPP57" s="76"/>
      <c r="NPQ57" s="76"/>
      <c r="NPR57" s="76"/>
      <c r="NPS57" s="76"/>
      <c r="NPT57" s="76"/>
      <c r="NPU57" s="76"/>
      <c r="NPV57" s="76"/>
      <c r="NPW57" s="76"/>
      <c r="NPX57" s="76"/>
      <c r="NPY57" s="76"/>
      <c r="NPZ57" s="76"/>
      <c r="NQA57" s="76"/>
      <c r="NQB57" s="76"/>
      <c r="NQC57" s="76"/>
      <c r="NQD57" s="76"/>
      <c r="NQE57" s="76"/>
      <c r="NQF57" s="76"/>
      <c r="NQG57" s="76"/>
      <c r="NQH57" s="76"/>
      <c r="NQI57" s="76"/>
      <c r="NQJ57" s="76"/>
      <c r="NQK57" s="76"/>
      <c r="NQL57" s="76"/>
      <c r="NQM57" s="76"/>
      <c r="NQN57" s="76"/>
      <c r="NQO57" s="76"/>
      <c r="NQP57" s="76"/>
      <c r="NQQ57" s="76"/>
      <c r="NQR57" s="76"/>
      <c r="NQS57" s="76"/>
      <c r="NQT57" s="76"/>
      <c r="NQU57" s="76"/>
      <c r="NQV57" s="76"/>
      <c r="NQW57" s="76"/>
      <c r="NQX57" s="76"/>
      <c r="NQY57" s="76"/>
      <c r="NQZ57" s="76"/>
      <c r="NRA57" s="76"/>
      <c r="NRB57" s="76"/>
      <c r="NRC57" s="76"/>
      <c r="NRD57" s="76"/>
      <c r="NRE57" s="76"/>
      <c r="NRF57" s="76"/>
      <c r="NRG57" s="76"/>
      <c r="NRH57" s="76"/>
      <c r="NRI57" s="76"/>
      <c r="NRJ57" s="76"/>
      <c r="NRK57" s="76"/>
      <c r="NRL57" s="76"/>
      <c r="NRM57" s="76"/>
      <c r="NRN57" s="76"/>
      <c r="NRO57" s="76"/>
      <c r="NRP57" s="76"/>
      <c r="NRQ57" s="76"/>
      <c r="NRR57" s="76"/>
      <c r="NRS57" s="76"/>
      <c r="NRT57" s="76"/>
      <c r="NRU57" s="76"/>
      <c r="NRV57" s="76"/>
      <c r="NRW57" s="76"/>
      <c r="NRX57" s="76"/>
      <c r="NRY57" s="76"/>
      <c r="NRZ57" s="76"/>
      <c r="NSA57" s="76"/>
      <c r="NSB57" s="76"/>
      <c r="NSC57" s="76"/>
      <c r="NSD57" s="76"/>
      <c r="NSE57" s="76"/>
      <c r="NSF57" s="76"/>
      <c r="NSG57" s="76"/>
      <c r="NSH57" s="76"/>
      <c r="NSI57" s="76"/>
      <c r="NSJ57" s="76"/>
      <c r="NSK57" s="76"/>
      <c r="NSL57" s="76"/>
      <c r="NSM57" s="76"/>
      <c r="NSN57" s="76"/>
      <c r="NSO57" s="76"/>
      <c r="NSP57" s="76"/>
      <c r="NSQ57" s="76"/>
      <c r="NSR57" s="76"/>
      <c r="NSS57" s="76"/>
      <c r="NST57" s="76"/>
      <c r="NSU57" s="76"/>
      <c r="NSV57" s="76"/>
      <c r="NSW57" s="76"/>
      <c r="NSX57" s="76"/>
      <c r="NSY57" s="76"/>
      <c r="NSZ57" s="76"/>
      <c r="NTA57" s="76"/>
      <c r="NTB57" s="76"/>
      <c r="NTC57" s="76"/>
      <c r="NTD57" s="76"/>
      <c r="NTE57" s="76"/>
      <c r="NTF57" s="76"/>
      <c r="NTG57" s="76"/>
      <c r="NTH57" s="76"/>
      <c r="NTI57" s="76"/>
      <c r="NTJ57" s="76"/>
      <c r="NTK57" s="76"/>
      <c r="NTL57" s="76"/>
      <c r="NTM57" s="76"/>
      <c r="NTN57" s="76"/>
      <c r="NTO57" s="76"/>
      <c r="NTP57" s="76"/>
      <c r="NTQ57" s="76"/>
      <c r="NTR57" s="76"/>
      <c r="NTS57" s="76"/>
      <c r="NTT57" s="76"/>
      <c r="NTU57" s="76"/>
      <c r="NTV57" s="76"/>
      <c r="NTW57" s="76"/>
      <c r="NTX57" s="76"/>
      <c r="NTY57" s="76"/>
      <c r="NTZ57" s="76"/>
      <c r="NUA57" s="76"/>
      <c r="NUB57" s="76"/>
      <c r="NUC57" s="76"/>
      <c r="NUD57" s="76"/>
      <c r="NUE57" s="76"/>
      <c r="NUF57" s="76"/>
      <c r="NUG57" s="76"/>
      <c r="NUH57" s="76"/>
      <c r="NUI57" s="76"/>
      <c r="NUJ57" s="76"/>
      <c r="NUK57" s="76"/>
      <c r="NUL57" s="76"/>
      <c r="NUM57" s="76"/>
      <c r="NUN57" s="76"/>
      <c r="NUO57" s="76"/>
      <c r="NUP57" s="76"/>
      <c r="NUQ57" s="76"/>
      <c r="NUR57" s="76"/>
      <c r="NUS57" s="76"/>
      <c r="NUT57" s="76"/>
      <c r="NUU57" s="76"/>
      <c r="NUV57" s="76"/>
      <c r="NUW57" s="76"/>
      <c r="NUX57" s="76"/>
      <c r="NUY57" s="76"/>
      <c r="NUZ57" s="76"/>
      <c r="NVA57" s="76"/>
      <c r="NVB57" s="76"/>
      <c r="NVC57" s="76"/>
      <c r="NVD57" s="76"/>
      <c r="NVE57" s="76"/>
      <c r="NVF57" s="76"/>
      <c r="NVG57" s="76"/>
      <c r="NVH57" s="76"/>
      <c r="NVI57" s="76"/>
      <c r="NVJ57" s="76"/>
      <c r="NVK57" s="76"/>
      <c r="NVL57" s="76"/>
      <c r="NVM57" s="76"/>
      <c r="NVN57" s="76"/>
      <c r="NVO57" s="76"/>
      <c r="NVP57" s="76"/>
      <c r="NVQ57" s="76"/>
      <c r="NVR57" s="76"/>
      <c r="NVS57" s="76"/>
      <c r="NVT57" s="76"/>
      <c r="NVU57" s="76"/>
      <c r="NVV57" s="76"/>
      <c r="NVW57" s="76"/>
      <c r="NVX57" s="76"/>
      <c r="NVY57" s="76"/>
      <c r="NVZ57" s="76"/>
      <c r="NWA57" s="76"/>
      <c r="NWB57" s="76"/>
      <c r="NWC57" s="76"/>
      <c r="NWD57" s="76"/>
      <c r="NWE57" s="76"/>
      <c r="NWF57" s="76"/>
      <c r="NWG57" s="76"/>
      <c r="NWH57" s="76"/>
      <c r="NWI57" s="76"/>
      <c r="NWJ57" s="76"/>
      <c r="NWK57" s="76"/>
      <c r="NWL57" s="76"/>
      <c r="NWM57" s="76"/>
      <c r="NWN57" s="76"/>
      <c r="NWO57" s="76"/>
      <c r="NWP57" s="76"/>
      <c r="NWQ57" s="76"/>
      <c r="NWR57" s="76"/>
      <c r="NWS57" s="76"/>
      <c r="NWT57" s="76"/>
      <c r="NWU57" s="76"/>
      <c r="NWV57" s="76"/>
      <c r="NWW57" s="76"/>
      <c r="NWX57" s="76"/>
      <c r="NWY57" s="76"/>
      <c r="NWZ57" s="76"/>
      <c r="NXA57" s="76"/>
      <c r="NXB57" s="76"/>
      <c r="NXC57" s="76"/>
      <c r="NXD57" s="76"/>
      <c r="NXE57" s="76"/>
      <c r="NXF57" s="76"/>
      <c r="NXG57" s="76"/>
      <c r="NXH57" s="76"/>
      <c r="NXI57" s="76"/>
      <c r="NXJ57" s="76"/>
      <c r="NXK57" s="76"/>
      <c r="NXL57" s="76"/>
      <c r="NXM57" s="76"/>
      <c r="NXN57" s="76"/>
      <c r="NXO57" s="76"/>
      <c r="NXP57" s="76"/>
      <c r="NXQ57" s="76"/>
      <c r="NXR57" s="76"/>
      <c r="NXS57" s="76"/>
      <c r="NXT57" s="76"/>
      <c r="NXU57" s="76"/>
      <c r="NXV57" s="76"/>
      <c r="NXW57" s="76"/>
      <c r="NXX57" s="76"/>
      <c r="NXY57" s="76"/>
      <c r="NXZ57" s="76"/>
      <c r="NYA57" s="76"/>
      <c r="NYB57" s="76"/>
      <c r="NYC57" s="76"/>
      <c r="NYD57" s="76"/>
      <c r="NYE57" s="76"/>
      <c r="NYF57" s="76"/>
      <c r="NYG57" s="76"/>
      <c r="NYH57" s="76"/>
      <c r="NYI57" s="76"/>
      <c r="NYJ57" s="76"/>
      <c r="NYK57" s="76"/>
      <c r="NYL57" s="76"/>
      <c r="NYM57" s="76"/>
      <c r="NYN57" s="76"/>
      <c r="NYO57" s="76"/>
      <c r="NYP57" s="76"/>
      <c r="NYQ57" s="76"/>
      <c r="NYR57" s="76"/>
      <c r="NYS57" s="76"/>
      <c r="NYT57" s="76"/>
      <c r="NYU57" s="76"/>
      <c r="NYV57" s="76"/>
      <c r="NYW57" s="76"/>
      <c r="NYX57" s="76"/>
      <c r="NYY57" s="76"/>
      <c r="NYZ57" s="76"/>
      <c r="NZA57" s="76"/>
      <c r="NZB57" s="76"/>
      <c r="NZC57" s="76"/>
      <c r="NZD57" s="76"/>
      <c r="NZE57" s="76"/>
      <c r="NZF57" s="76"/>
      <c r="NZG57" s="76"/>
      <c r="NZH57" s="76"/>
      <c r="NZI57" s="76"/>
      <c r="NZJ57" s="76"/>
      <c r="NZK57" s="76"/>
      <c r="NZL57" s="76"/>
      <c r="NZM57" s="76"/>
      <c r="NZN57" s="76"/>
      <c r="NZO57" s="76"/>
      <c r="NZP57" s="76"/>
      <c r="NZQ57" s="76"/>
      <c r="NZR57" s="76"/>
      <c r="NZS57" s="76"/>
      <c r="NZT57" s="76"/>
      <c r="NZU57" s="76"/>
      <c r="NZV57" s="76"/>
      <c r="NZW57" s="76"/>
      <c r="NZX57" s="76"/>
      <c r="NZY57" s="76"/>
      <c r="NZZ57" s="76"/>
      <c r="OAA57" s="76"/>
      <c r="OAB57" s="76"/>
      <c r="OAC57" s="76"/>
      <c r="OAD57" s="76"/>
      <c r="OAE57" s="76"/>
      <c r="OAF57" s="76"/>
      <c r="OAG57" s="76"/>
      <c r="OAH57" s="76"/>
      <c r="OAI57" s="76"/>
      <c r="OAJ57" s="76"/>
      <c r="OAK57" s="76"/>
      <c r="OAL57" s="76"/>
      <c r="OAM57" s="76"/>
      <c r="OAN57" s="76"/>
      <c r="OAO57" s="76"/>
      <c r="OAP57" s="76"/>
      <c r="OAQ57" s="76"/>
      <c r="OAR57" s="76"/>
      <c r="OAS57" s="76"/>
      <c r="OAT57" s="76"/>
      <c r="OAU57" s="76"/>
      <c r="OAV57" s="76"/>
      <c r="OAW57" s="76"/>
      <c r="OAX57" s="76"/>
      <c r="OAY57" s="76"/>
      <c r="OAZ57" s="76"/>
      <c r="OBA57" s="76"/>
      <c r="OBB57" s="76"/>
      <c r="OBC57" s="76"/>
      <c r="OBD57" s="76"/>
      <c r="OBE57" s="76"/>
      <c r="OBF57" s="76"/>
      <c r="OBG57" s="76"/>
      <c r="OBH57" s="76"/>
      <c r="OBI57" s="76"/>
      <c r="OBJ57" s="76"/>
      <c r="OBK57" s="76"/>
      <c r="OBL57" s="76"/>
      <c r="OBM57" s="76"/>
      <c r="OBN57" s="76"/>
      <c r="OBO57" s="76"/>
      <c r="OBP57" s="76"/>
      <c r="OBQ57" s="76"/>
      <c r="OBR57" s="76"/>
      <c r="OBS57" s="76"/>
      <c r="OBT57" s="76"/>
      <c r="OBU57" s="76"/>
      <c r="OBV57" s="76"/>
      <c r="OBW57" s="76"/>
      <c r="OBX57" s="76"/>
      <c r="OBY57" s="76"/>
      <c r="OBZ57" s="76"/>
      <c r="OCA57" s="76"/>
      <c r="OCB57" s="76"/>
      <c r="OCC57" s="76"/>
      <c r="OCD57" s="76"/>
      <c r="OCE57" s="76"/>
      <c r="OCF57" s="76"/>
      <c r="OCG57" s="76"/>
      <c r="OCH57" s="76"/>
      <c r="OCI57" s="76"/>
      <c r="OCJ57" s="76"/>
      <c r="OCK57" s="76"/>
      <c r="OCL57" s="76"/>
      <c r="OCM57" s="76"/>
      <c r="OCN57" s="76"/>
      <c r="OCO57" s="76"/>
      <c r="OCP57" s="76"/>
      <c r="OCQ57" s="76"/>
      <c r="OCR57" s="76"/>
      <c r="OCS57" s="76"/>
      <c r="OCT57" s="76"/>
      <c r="OCU57" s="76"/>
      <c r="OCV57" s="76"/>
      <c r="OCW57" s="76"/>
      <c r="OCX57" s="76"/>
      <c r="OCY57" s="76"/>
      <c r="OCZ57" s="76"/>
      <c r="ODA57" s="76"/>
      <c r="ODB57" s="76"/>
      <c r="ODC57" s="76"/>
      <c r="ODD57" s="76"/>
      <c r="ODE57" s="76"/>
      <c r="ODF57" s="76"/>
      <c r="ODG57" s="76"/>
      <c r="ODH57" s="76"/>
      <c r="ODI57" s="76"/>
      <c r="ODJ57" s="76"/>
      <c r="ODK57" s="76"/>
      <c r="ODL57" s="76"/>
      <c r="ODM57" s="76"/>
      <c r="ODN57" s="76"/>
      <c r="ODO57" s="76"/>
      <c r="ODP57" s="76"/>
      <c r="ODQ57" s="76"/>
      <c r="ODR57" s="76"/>
      <c r="ODS57" s="76"/>
      <c r="ODT57" s="76"/>
      <c r="ODU57" s="76"/>
      <c r="ODV57" s="76"/>
      <c r="ODW57" s="76"/>
      <c r="ODX57" s="76"/>
      <c r="ODY57" s="76"/>
      <c r="ODZ57" s="76"/>
      <c r="OEA57" s="76"/>
      <c r="OEB57" s="76"/>
      <c r="OEC57" s="76"/>
      <c r="OED57" s="76"/>
      <c r="OEE57" s="76"/>
      <c r="OEF57" s="76"/>
      <c r="OEG57" s="76"/>
      <c r="OEH57" s="76"/>
      <c r="OEI57" s="76"/>
      <c r="OEJ57" s="76"/>
      <c r="OEK57" s="76"/>
      <c r="OEL57" s="76"/>
      <c r="OEM57" s="76"/>
      <c r="OEN57" s="76"/>
      <c r="OEO57" s="76"/>
      <c r="OEP57" s="76"/>
      <c r="OEQ57" s="76"/>
      <c r="OER57" s="76"/>
      <c r="OES57" s="76"/>
      <c r="OET57" s="76"/>
      <c r="OEU57" s="76"/>
      <c r="OEV57" s="76"/>
      <c r="OEW57" s="76"/>
      <c r="OEX57" s="76"/>
      <c r="OEY57" s="76"/>
      <c r="OEZ57" s="76"/>
      <c r="OFA57" s="76"/>
      <c r="OFB57" s="76"/>
      <c r="OFC57" s="76"/>
      <c r="OFD57" s="76"/>
      <c r="OFE57" s="76"/>
      <c r="OFF57" s="76"/>
      <c r="OFG57" s="76"/>
      <c r="OFH57" s="76"/>
      <c r="OFI57" s="76"/>
      <c r="OFJ57" s="76"/>
      <c r="OFK57" s="76"/>
      <c r="OFL57" s="76"/>
      <c r="OFM57" s="76"/>
      <c r="OFN57" s="76"/>
      <c r="OFO57" s="76"/>
      <c r="OFP57" s="76"/>
      <c r="OFQ57" s="76"/>
      <c r="OFR57" s="76"/>
      <c r="OFS57" s="76"/>
      <c r="OFT57" s="76"/>
      <c r="OFU57" s="76"/>
      <c r="OFV57" s="76"/>
      <c r="OFW57" s="76"/>
      <c r="OFX57" s="76"/>
      <c r="OFY57" s="76"/>
      <c r="OFZ57" s="76"/>
      <c r="OGA57" s="76"/>
      <c r="OGB57" s="76"/>
      <c r="OGC57" s="76"/>
      <c r="OGD57" s="76"/>
      <c r="OGE57" s="76"/>
      <c r="OGF57" s="76"/>
      <c r="OGG57" s="76"/>
      <c r="OGH57" s="76"/>
      <c r="OGI57" s="76"/>
      <c r="OGJ57" s="76"/>
      <c r="OGK57" s="76"/>
      <c r="OGL57" s="76"/>
      <c r="OGM57" s="76"/>
      <c r="OGN57" s="76"/>
      <c r="OGO57" s="76"/>
      <c r="OGP57" s="76"/>
      <c r="OGQ57" s="76"/>
      <c r="OGR57" s="76"/>
      <c r="OGS57" s="76"/>
      <c r="OGT57" s="76"/>
      <c r="OGU57" s="76"/>
      <c r="OGV57" s="76"/>
      <c r="OGW57" s="76"/>
      <c r="OGX57" s="76"/>
      <c r="OGY57" s="76"/>
      <c r="OGZ57" s="76"/>
      <c r="OHA57" s="76"/>
      <c r="OHB57" s="76"/>
      <c r="OHC57" s="76"/>
      <c r="OHD57" s="76"/>
      <c r="OHE57" s="76"/>
      <c r="OHF57" s="76"/>
      <c r="OHG57" s="76"/>
      <c r="OHH57" s="76"/>
      <c r="OHI57" s="76"/>
      <c r="OHJ57" s="76"/>
      <c r="OHK57" s="76"/>
      <c r="OHL57" s="76"/>
      <c r="OHM57" s="76"/>
      <c r="OHN57" s="76"/>
      <c r="OHO57" s="76"/>
      <c r="OHP57" s="76"/>
      <c r="OHQ57" s="76"/>
      <c r="OHR57" s="76"/>
      <c r="OHS57" s="76"/>
      <c r="OHT57" s="76"/>
      <c r="OHU57" s="76"/>
      <c r="OHV57" s="76"/>
      <c r="OHW57" s="76"/>
      <c r="OHX57" s="76"/>
      <c r="OHY57" s="76"/>
      <c r="OHZ57" s="76"/>
      <c r="OIA57" s="76"/>
      <c r="OIB57" s="76"/>
      <c r="OIC57" s="76"/>
      <c r="OID57" s="76"/>
      <c r="OIE57" s="76"/>
      <c r="OIF57" s="76"/>
      <c r="OIG57" s="76"/>
      <c r="OIH57" s="76"/>
      <c r="OII57" s="76"/>
      <c r="OIJ57" s="76"/>
      <c r="OIK57" s="76"/>
      <c r="OIL57" s="76"/>
      <c r="OIM57" s="76"/>
      <c r="OIN57" s="76"/>
      <c r="OIO57" s="76"/>
      <c r="OIP57" s="76"/>
      <c r="OIQ57" s="76"/>
      <c r="OIR57" s="76"/>
      <c r="OIS57" s="76"/>
      <c r="OIT57" s="76"/>
      <c r="OIU57" s="76"/>
      <c r="OIV57" s="76"/>
      <c r="OIW57" s="76"/>
      <c r="OIX57" s="76"/>
      <c r="OIY57" s="76"/>
      <c r="OIZ57" s="76"/>
      <c r="OJA57" s="76"/>
      <c r="OJB57" s="76"/>
      <c r="OJC57" s="76"/>
      <c r="OJD57" s="76"/>
      <c r="OJE57" s="76"/>
      <c r="OJF57" s="76"/>
      <c r="OJG57" s="76"/>
      <c r="OJH57" s="76"/>
      <c r="OJI57" s="76"/>
      <c r="OJJ57" s="76"/>
      <c r="OJK57" s="76"/>
      <c r="OJL57" s="76"/>
      <c r="OJM57" s="76"/>
      <c r="OJN57" s="76"/>
      <c r="OJO57" s="76"/>
      <c r="OJP57" s="76"/>
      <c r="OJQ57" s="76"/>
      <c r="OJR57" s="76"/>
      <c r="OJS57" s="76"/>
      <c r="OJT57" s="76"/>
      <c r="OJU57" s="76"/>
      <c r="OJV57" s="76"/>
      <c r="OJW57" s="76"/>
      <c r="OJX57" s="76"/>
      <c r="OJY57" s="76"/>
      <c r="OJZ57" s="76"/>
      <c r="OKA57" s="76"/>
      <c r="OKB57" s="76"/>
      <c r="OKC57" s="76"/>
      <c r="OKD57" s="76"/>
      <c r="OKE57" s="76"/>
      <c r="OKF57" s="76"/>
      <c r="OKG57" s="76"/>
      <c r="OKH57" s="76"/>
      <c r="OKI57" s="76"/>
      <c r="OKJ57" s="76"/>
      <c r="OKK57" s="76"/>
      <c r="OKL57" s="76"/>
      <c r="OKM57" s="76"/>
      <c r="OKN57" s="76"/>
      <c r="OKO57" s="76"/>
      <c r="OKP57" s="76"/>
      <c r="OKQ57" s="76"/>
      <c r="OKR57" s="76"/>
      <c r="OKS57" s="76"/>
      <c r="OKT57" s="76"/>
      <c r="OKU57" s="76"/>
      <c r="OKV57" s="76"/>
      <c r="OKW57" s="76"/>
      <c r="OKX57" s="76"/>
      <c r="OKY57" s="76"/>
      <c r="OKZ57" s="76"/>
      <c r="OLA57" s="76"/>
      <c r="OLB57" s="76"/>
      <c r="OLC57" s="76"/>
      <c r="OLD57" s="76"/>
      <c r="OLE57" s="76"/>
      <c r="OLF57" s="76"/>
      <c r="OLG57" s="76"/>
      <c r="OLH57" s="76"/>
      <c r="OLI57" s="76"/>
      <c r="OLJ57" s="76"/>
      <c r="OLK57" s="76"/>
      <c r="OLL57" s="76"/>
      <c r="OLM57" s="76"/>
      <c r="OLN57" s="76"/>
      <c r="OLO57" s="76"/>
      <c r="OLP57" s="76"/>
      <c r="OLQ57" s="76"/>
      <c r="OLR57" s="76"/>
      <c r="OLS57" s="76"/>
      <c r="OLT57" s="76"/>
      <c r="OLU57" s="76"/>
      <c r="OLV57" s="76"/>
      <c r="OLW57" s="76"/>
      <c r="OLX57" s="76"/>
      <c r="OLY57" s="76"/>
      <c r="OLZ57" s="76"/>
      <c r="OMA57" s="76"/>
      <c r="OMB57" s="76"/>
      <c r="OMC57" s="76"/>
      <c r="OMD57" s="76"/>
      <c r="OME57" s="76"/>
      <c r="OMF57" s="76"/>
      <c r="OMG57" s="76"/>
      <c r="OMH57" s="76"/>
      <c r="OMI57" s="76"/>
      <c r="OMJ57" s="76"/>
      <c r="OMK57" s="76"/>
      <c r="OML57" s="76"/>
      <c r="OMM57" s="76"/>
      <c r="OMN57" s="76"/>
      <c r="OMO57" s="76"/>
      <c r="OMP57" s="76"/>
      <c r="OMQ57" s="76"/>
      <c r="OMR57" s="76"/>
      <c r="OMS57" s="76"/>
      <c r="OMT57" s="76"/>
      <c r="OMU57" s="76"/>
      <c r="OMV57" s="76"/>
      <c r="OMW57" s="76"/>
      <c r="OMX57" s="76"/>
      <c r="OMY57" s="76"/>
      <c r="OMZ57" s="76"/>
      <c r="ONA57" s="76"/>
      <c r="ONB57" s="76"/>
      <c r="ONC57" s="76"/>
      <c r="OND57" s="76"/>
      <c r="ONE57" s="76"/>
      <c r="ONF57" s="76"/>
      <c r="ONG57" s="76"/>
      <c r="ONH57" s="76"/>
      <c r="ONI57" s="76"/>
      <c r="ONJ57" s="76"/>
      <c r="ONK57" s="76"/>
      <c r="ONL57" s="76"/>
      <c r="ONM57" s="76"/>
      <c r="ONN57" s="76"/>
      <c r="ONO57" s="76"/>
      <c r="ONP57" s="76"/>
      <c r="ONQ57" s="76"/>
      <c r="ONR57" s="76"/>
      <c r="ONS57" s="76"/>
      <c r="ONT57" s="76"/>
      <c r="ONU57" s="76"/>
      <c r="ONV57" s="76"/>
      <c r="ONW57" s="76"/>
      <c r="ONX57" s="76"/>
      <c r="ONY57" s="76"/>
      <c r="ONZ57" s="76"/>
      <c r="OOA57" s="76"/>
      <c r="OOB57" s="76"/>
      <c r="OOC57" s="76"/>
      <c r="OOD57" s="76"/>
      <c r="OOE57" s="76"/>
      <c r="OOF57" s="76"/>
      <c r="OOG57" s="76"/>
      <c r="OOH57" s="76"/>
      <c r="OOI57" s="76"/>
      <c r="OOJ57" s="76"/>
      <c r="OOK57" s="76"/>
      <c r="OOL57" s="76"/>
      <c r="OOM57" s="76"/>
      <c r="OON57" s="76"/>
      <c r="OOO57" s="76"/>
      <c r="OOP57" s="76"/>
      <c r="OOQ57" s="76"/>
      <c r="OOR57" s="76"/>
      <c r="OOS57" s="76"/>
      <c r="OOT57" s="76"/>
      <c r="OOU57" s="76"/>
      <c r="OOV57" s="76"/>
      <c r="OOW57" s="76"/>
      <c r="OOX57" s="76"/>
      <c r="OOY57" s="76"/>
      <c r="OOZ57" s="76"/>
      <c r="OPA57" s="76"/>
      <c r="OPB57" s="76"/>
      <c r="OPC57" s="76"/>
      <c r="OPD57" s="76"/>
      <c r="OPE57" s="76"/>
      <c r="OPF57" s="76"/>
      <c r="OPG57" s="76"/>
      <c r="OPH57" s="76"/>
      <c r="OPI57" s="76"/>
      <c r="OPJ57" s="76"/>
      <c r="OPK57" s="76"/>
      <c r="OPL57" s="76"/>
      <c r="OPM57" s="76"/>
      <c r="OPN57" s="76"/>
      <c r="OPO57" s="76"/>
      <c r="OPP57" s="76"/>
      <c r="OPQ57" s="76"/>
      <c r="OPR57" s="76"/>
      <c r="OPS57" s="76"/>
      <c r="OPT57" s="76"/>
      <c r="OPU57" s="76"/>
      <c r="OPV57" s="76"/>
      <c r="OPW57" s="76"/>
      <c r="OPX57" s="76"/>
      <c r="OPY57" s="76"/>
      <c r="OPZ57" s="76"/>
      <c r="OQA57" s="76"/>
      <c r="OQB57" s="76"/>
      <c r="OQC57" s="76"/>
      <c r="OQD57" s="76"/>
      <c r="OQE57" s="76"/>
      <c r="OQF57" s="76"/>
      <c r="OQG57" s="76"/>
      <c r="OQH57" s="76"/>
      <c r="OQI57" s="76"/>
      <c r="OQJ57" s="76"/>
      <c r="OQK57" s="76"/>
      <c r="OQL57" s="76"/>
      <c r="OQM57" s="76"/>
      <c r="OQN57" s="76"/>
      <c r="OQO57" s="76"/>
      <c r="OQP57" s="76"/>
      <c r="OQQ57" s="76"/>
      <c r="OQR57" s="76"/>
      <c r="OQS57" s="76"/>
      <c r="OQT57" s="76"/>
      <c r="OQU57" s="76"/>
      <c r="OQV57" s="76"/>
      <c r="OQW57" s="76"/>
      <c r="OQX57" s="76"/>
      <c r="OQY57" s="76"/>
      <c r="OQZ57" s="76"/>
      <c r="ORA57" s="76"/>
      <c r="ORB57" s="76"/>
      <c r="ORC57" s="76"/>
      <c r="ORD57" s="76"/>
      <c r="ORE57" s="76"/>
      <c r="ORF57" s="76"/>
      <c r="ORG57" s="76"/>
      <c r="ORH57" s="76"/>
      <c r="ORI57" s="76"/>
      <c r="ORJ57" s="76"/>
      <c r="ORK57" s="76"/>
      <c r="ORL57" s="76"/>
      <c r="ORM57" s="76"/>
      <c r="ORN57" s="76"/>
      <c r="ORO57" s="76"/>
      <c r="ORP57" s="76"/>
      <c r="ORQ57" s="76"/>
      <c r="ORR57" s="76"/>
      <c r="ORS57" s="76"/>
      <c r="ORT57" s="76"/>
      <c r="ORU57" s="76"/>
      <c r="ORV57" s="76"/>
      <c r="ORW57" s="76"/>
      <c r="ORX57" s="76"/>
      <c r="ORY57" s="76"/>
      <c r="ORZ57" s="76"/>
      <c r="OSA57" s="76"/>
      <c r="OSB57" s="76"/>
      <c r="OSC57" s="76"/>
      <c r="OSD57" s="76"/>
      <c r="OSE57" s="76"/>
      <c r="OSF57" s="76"/>
      <c r="OSG57" s="76"/>
      <c r="OSH57" s="76"/>
      <c r="OSI57" s="76"/>
      <c r="OSJ57" s="76"/>
      <c r="OSK57" s="76"/>
      <c r="OSL57" s="76"/>
      <c r="OSM57" s="76"/>
      <c r="OSN57" s="76"/>
      <c r="OSO57" s="76"/>
      <c r="OSP57" s="76"/>
      <c r="OSQ57" s="76"/>
      <c r="OSR57" s="76"/>
      <c r="OSS57" s="76"/>
      <c r="OST57" s="76"/>
      <c r="OSU57" s="76"/>
      <c r="OSV57" s="76"/>
      <c r="OSW57" s="76"/>
      <c r="OSX57" s="76"/>
      <c r="OSY57" s="76"/>
      <c r="OSZ57" s="76"/>
      <c r="OTA57" s="76"/>
      <c r="OTB57" s="76"/>
      <c r="OTC57" s="76"/>
      <c r="OTD57" s="76"/>
      <c r="OTE57" s="76"/>
      <c r="OTF57" s="76"/>
      <c r="OTG57" s="76"/>
      <c r="OTH57" s="76"/>
      <c r="OTI57" s="76"/>
      <c r="OTJ57" s="76"/>
      <c r="OTK57" s="76"/>
      <c r="OTL57" s="76"/>
      <c r="OTM57" s="76"/>
      <c r="OTN57" s="76"/>
      <c r="OTO57" s="76"/>
      <c r="OTP57" s="76"/>
      <c r="OTQ57" s="76"/>
      <c r="OTR57" s="76"/>
      <c r="OTS57" s="76"/>
      <c r="OTT57" s="76"/>
      <c r="OTU57" s="76"/>
      <c r="OTV57" s="76"/>
      <c r="OTW57" s="76"/>
      <c r="OTX57" s="76"/>
      <c r="OTY57" s="76"/>
      <c r="OTZ57" s="76"/>
      <c r="OUA57" s="76"/>
      <c r="OUB57" s="76"/>
      <c r="OUC57" s="76"/>
      <c r="OUD57" s="76"/>
      <c r="OUE57" s="76"/>
      <c r="OUF57" s="76"/>
      <c r="OUG57" s="76"/>
      <c r="OUH57" s="76"/>
      <c r="OUI57" s="76"/>
      <c r="OUJ57" s="76"/>
      <c r="OUK57" s="76"/>
      <c r="OUL57" s="76"/>
      <c r="OUM57" s="76"/>
      <c r="OUN57" s="76"/>
      <c r="OUO57" s="76"/>
      <c r="OUP57" s="76"/>
      <c r="OUQ57" s="76"/>
      <c r="OUR57" s="76"/>
      <c r="OUS57" s="76"/>
      <c r="OUT57" s="76"/>
      <c r="OUU57" s="76"/>
      <c r="OUV57" s="76"/>
      <c r="OUW57" s="76"/>
      <c r="OUX57" s="76"/>
      <c r="OUY57" s="76"/>
      <c r="OUZ57" s="76"/>
      <c r="OVA57" s="76"/>
      <c r="OVB57" s="76"/>
      <c r="OVC57" s="76"/>
      <c r="OVD57" s="76"/>
      <c r="OVE57" s="76"/>
      <c r="OVF57" s="76"/>
      <c r="OVG57" s="76"/>
      <c r="OVH57" s="76"/>
      <c r="OVI57" s="76"/>
      <c r="OVJ57" s="76"/>
      <c r="OVK57" s="76"/>
      <c r="OVL57" s="76"/>
      <c r="OVM57" s="76"/>
      <c r="OVN57" s="76"/>
      <c r="OVO57" s="76"/>
      <c r="OVP57" s="76"/>
      <c r="OVQ57" s="76"/>
      <c r="OVR57" s="76"/>
      <c r="OVS57" s="76"/>
      <c r="OVT57" s="76"/>
      <c r="OVU57" s="76"/>
      <c r="OVV57" s="76"/>
      <c r="OVW57" s="76"/>
      <c r="OVX57" s="76"/>
      <c r="OVY57" s="76"/>
      <c r="OVZ57" s="76"/>
      <c r="OWA57" s="76"/>
      <c r="OWB57" s="76"/>
      <c r="OWC57" s="76"/>
      <c r="OWD57" s="76"/>
      <c r="OWE57" s="76"/>
      <c r="OWF57" s="76"/>
      <c r="OWG57" s="76"/>
      <c r="OWH57" s="76"/>
      <c r="OWI57" s="76"/>
      <c r="OWJ57" s="76"/>
      <c r="OWK57" s="76"/>
      <c r="OWL57" s="76"/>
      <c r="OWM57" s="76"/>
      <c r="OWN57" s="76"/>
      <c r="OWO57" s="76"/>
      <c r="OWP57" s="76"/>
      <c r="OWQ57" s="76"/>
      <c r="OWR57" s="76"/>
      <c r="OWS57" s="76"/>
      <c r="OWT57" s="76"/>
      <c r="OWU57" s="76"/>
      <c r="OWV57" s="76"/>
      <c r="OWW57" s="76"/>
      <c r="OWX57" s="76"/>
      <c r="OWY57" s="76"/>
      <c r="OWZ57" s="76"/>
      <c r="OXA57" s="76"/>
      <c r="OXB57" s="76"/>
      <c r="OXC57" s="76"/>
      <c r="OXD57" s="76"/>
      <c r="OXE57" s="76"/>
      <c r="OXF57" s="76"/>
      <c r="OXG57" s="76"/>
      <c r="OXH57" s="76"/>
      <c r="OXI57" s="76"/>
      <c r="OXJ57" s="76"/>
      <c r="OXK57" s="76"/>
      <c r="OXL57" s="76"/>
      <c r="OXM57" s="76"/>
      <c r="OXN57" s="76"/>
      <c r="OXO57" s="76"/>
      <c r="OXP57" s="76"/>
      <c r="OXQ57" s="76"/>
      <c r="OXR57" s="76"/>
      <c r="OXS57" s="76"/>
      <c r="OXT57" s="76"/>
      <c r="OXU57" s="76"/>
      <c r="OXV57" s="76"/>
      <c r="OXW57" s="76"/>
      <c r="OXX57" s="76"/>
      <c r="OXY57" s="76"/>
      <c r="OXZ57" s="76"/>
      <c r="OYA57" s="76"/>
      <c r="OYB57" s="76"/>
      <c r="OYC57" s="76"/>
      <c r="OYD57" s="76"/>
      <c r="OYE57" s="76"/>
      <c r="OYF57" s="76"/>
      <c r="OYG57" s="76"/>
      <c r="OYH57" s="76"/>
      <c r="OYI57" s="76"/>
      <c r="OYJ57" s="76"/>
      <c r="OYK57" s="76"/>
      <c r="OYL57" s="76"/>
      <c r="OYM57" s="76"/>
      <c r="OYN57" s="76"/>
      <c r="OYO57" s="76"/>
      <c r="OYP57" s="76"/>
      <c r="OYQ57" s="76"/>
      <c r="OYR57" s="76"/>
      <c r="OYS57" s="76"/>
      <c r="OYT57" s="76"/>
      <c r="OYU57" s="76"/>
      <c r="OYV57" s="76"/>
      <c r="OYW57" s="76"/>
      <c r="OYX57" s="76"/>
      <c r="OYY57" s="76"/>
      <c r="OYZ57" s="76"/>
      <c r="OZA57" s="76"/>
      <c r="OZB57" s="76"/>
      <c r="OZC57" s="76"/>
      <c r="OZD57" s="76"/>
      <c r="OZE57" s="76"/>
      <c r="OZF57" s="76"/>
      <c r="OZG57" s="76"/>
      <c r="OZH57" s="76"/>
      <c r="OZI57" s="76"/>
      <c r="OZJ57" s="76"/>
      <c r="OZK57" s="76"/>
      <c r="OZL57" s="76"/>
      <c r="OZM57" s="76"/>
      <c r="OZN57" s="76"/>
      <c r="OZO57" s="76"/>
      <c r="OZP57" s="76"/>
      <c r="OZQ57" s="76"/>
      <c r="OZR57" s="76"/>
      <c r="OZS57" s="76"/>
      <c r="OZT57" s="76"/>
      <c r="OZU57" s="76"/>
      <c r="OZV57" s="76"/>
      <c r="OZW57" s="76"/>
      <c r="OZX57" s="76"/>
      <c r="OZY57" s="76"/>
      <c r="OZZ57" s="76"/>
      <c r="PAA57" s="76"/>
      <c r="PAB57" s="76"/>
      <c r="PAC57" s="76"/>
      <c r="PAD57" s="76"/>
      <c r="PAE57" s="76"/>
      <c r="PAF57" s="76"/>
      <c r="PAG57" s="76"/>
      <c r="PAH57" s="76"/>
      <c r="PAI57" s="76"/>
      <c r="PAJ57" s="76"/>
      <c r="PAK57" s="76"/>
      <c r="PAL57" s="76"/>
      <c r="PAM57" s="76"/>
      <c r="PAN57" s="76"/>
      <c r="PAO57" s="76"/>
      <c r="PAP57" s="76"/>
      <c r="PAQ57" s="76"/>
      <c r="PAR57" s="76"/>
      <c r="PAS57" s="76"/>
      <c r="PAT57" s="76"/>
      <c r="PAU57" s="76"/>
      <c r="PAV57" s="76"/>
      <c r="PAW57" s="76"/>
      <c r="PAX57" s="76"/>
      <c r="PAY57" s="76"/>
      <c r="PAZ57" s="76"/>
      <c r="PBA57" s="76"/>
      <c r="PBB57" s="76"/>
      <c r="PBC57" s="76"/>
      <c r="PBD57" s="76"/>
      <c r="PBE57" s="76"/>
      <c r="PBF57" s="76"/>
      <c r="PBG57" s="76"/>
      <c r="PBH57" s="76"/>
      <c r="PBI57" s="76"/>
      <c r="PBJ57" s="76"/>
      <c r="PBK57" s="76"/>
      <c r="PBL57" s="76"/>
      <c r="PBM57" s="76"/>
      <c r="PBN57" s="76"/>
      <c r="PBO57" s="76"/>
      <c r="PBP57" s="76"/>
      <c r="PBQ57" s="76"/>
      <c r="PBR57" s="76"/>
      <c r="PBS57" s="76"/>
      <c r="PBT57" s="76"/>
      <c r="PBU57" s="76"/>
      <c r="PBV57" s="76"/>
      <c r="PBW57" s="76"/>
      <c r="PBX57" s="76"/>
      <c r="PBY57" s="76"/>
      <c r="PBZ57" s="76"/>
      <c r="PCA57" s="76"/>
      <c r="PCB57" s="76"/>
      <c r="PCC57" s="76"/>
      <c r="PCD57" s="76"/>
      <c r="PCE57" s="76"/>
      <c r="PCF57" s="76"/>
      <c r="PCG57" s="76"/>
      <c r="PCH57" s="76"/>
      <c r="PCI57" s="76"/>
      <c r="PCJ57" s="76"/>
      <c r="PCK57" s="76"/>
      <c r="PCL57" s="76"/>
      <c r="PCM57" s="76"/>
      <c r="PCN57" s="76"/>
      <c r="PCO57" s="76"/>
      <c r="PCP57" s="76"/>
      <c r="PCQ57" s="76"/>
      <c r="PCR57" s="76"/>
      <c r="PCS57" s="76"/>
      <c r="PCT57" s="76"/>
      <c r="PCU57" s="76"/>
      <c r="PCV57" s="76"/>
      <c r="PCW57" s="76"/>
      <c r="PCX57" s="76"/>
      <c r="PCY57" s="76"/>
      <c r="PCZ57" s="76"/>
      <c r="PDA57" s="76"/>
      <c r="PDB57" s="76"/>
      <c r="PDC57" s="76"/>
      <c r="PDD57" s="76"/>
      <c r="PDE57" s="76"/>
      <c r="PDF57" s="76"/>
      <c r="PDG57" s="76"/>
      <c r="PDH57" s="76"/>
      <c r="PDI57" s="76"/>
      <c r="PDJ57" s="76"/>
      <c r="PDK57" s="76"/>
      <c r="PDL57" s="76"/>
      <c r="PDM57" s="76"/>
      <c r="PDN57" s="76"/>
      <c r="PDO57" s="76"/>
      <c r="PDP57" s="76"/>
      <c r="PDQ57" s="76"/>
      <c r="PDR57" s="76"/>
      <c r="PDS57" s="76"/>
      <c r="PDT57" s="76"/>
      <c r="PDU57" s="76"/>
      <c r="PDV57" s="76"/>
      <c r="PDW57" s="76"/>
      <c r="PDX57" s="76"/>
      <c r="PDY57" s="76"/>
      <c r="PDZ57" s="76"/>
      <c r="PEA57" s="76"/>
      <c r="PEB57" s="76"/>
      <c r="PEC57" s="76"/>
      <c r="PED57" s="76"/>
      <c r="PEE57" s="76"/>
      <c r="PEF57" s="76"/>
      <c r="PEG57" s="76"/>
      <c r="PEH57" s="76"/>
      <c r="PEI57" s="76"/>
      <c r="PEJ57" s="76"/>
      <c r="PEK57" s="76"/>
      <c r="PEL57" s="76"/>
      <c r="PEM57" s="76"/>
      <c r="PEN57" s="76"/>
      <c r="PEO57" s="76"/>
      <c r="PEP57" s="76"/>
      <c r="PEQ57" s="76"/>
      <c r="PER57" s="76"/>
      <c r="PES57" s="76"/>
      <c r="PET57" s="76"/>
      <c r="PEU57" s="76"/>
      <c r="PEV57" s="76"/>
      <c r="PEW57" s="76"/>
      <c r="PEX57" s="76"/>
      <c r="PEY57" s="76"/>
      <c r="PEZ57" s="76"/>
      <c r="PFA57" s="76"/>
      <c r="PFB57" s="76"/>
      <c r="PFC57" s="76"/>
      <c r="PFD57" s="76"/>
      <c r="PFE57" s="76"/>
      <c r="PFF57" s="76"/>
      <c r="PFG57" s="76"/>
      <c r="PFH57" s="76"/>
      <c r="PFI57" s="76"/>
      <c r="PFJ57" s="76"/>
      <c r="PFK57" s="76"/>
      <c r="PFL57" s="76"/>
      <c r="PFM57" s="76"/>
      <c r="PFN57" s="76"/>
      <c r="PFO57" s="76"/>
      <c r="PFP57" s="76"/>
      <c r="PFQ57" s="76"/>
      <c r="PFR57" s="76"/>
      <c r="PFS57" s="76"/>
      <c r="PFT57" s="76"/>
      <c r="PFU57" s="76"/>
      <c r="PFV57" s="76"/>
      <c r="PFW57" s="76"/>
      <c r="PFX57" s="76"/>
      <c r="PFY57" s="76"/>
      <c r="PFZ57" s="76"/>
      <c r="PGA57" s="76"/>
      <c r="PGB57" s="76"/>
      <c r="PGC57" s="76"/>
      <c r="PGD57" s="76"/>
      <c r="PGE57" s="76"/>
      <c r="PGF57" s="76"/>
      <c r="PGG57" s="76"/>
      <c r="PGH57" s="76"/>
      <c r="PGI57" s="76"/>
      <c r="PGJ57" s="76"/>
      <c r="PGK57" s="76"/>
      <c r="PGL57" s="76"/>
      <c r="PGM57" s="76"/>
      <c r="PGN57" s="76"/>
      <c r="PGO57" s="76"/>
      <c r="PGP57" s="76"/>
      <c r="PGQ57" s="76"/>
      <c r="PGR57" s="76"/>
      <c r="PGS57" s="76"/>
      <c r="PGT57" s="76"/>
      <c r="PGU57" s="76"/>
      <c r="PGV57" s="76"/>
      <c r="PGW57" s="76"/>
      <c r="PGX57" s="76"/>
      <c r="PGY57" s="76"/>
      <c r="PGZ57" s="76"/>
      <c r="PHA57" s="76"/>
      <c r="PHB57" s="76"/>
      <c r="PHC57" s="76"/>
      <c r="PHD57" s="76"/>
      <c r="PHE57" s="76"/>
      <c r="PHF57" s="76"/>
      <c r="PHG57" s="76"/>
      <c r="PHH57" s="76"/>
      <c r="PHI57" s="76"/>
      <c r="PHJ57" s="76"/>
      <c r="PHK57" s="76"/>
      <c r="PHL57" s="76"/>
      <c r="PHM57" s="76"/>
      <c r="PHN57" s="76"/>
      <c r="PHO57" s="76"/>
      <c r="PHP57" s="76"/>
      <c r="PHQ57" s="76"/>
      <c r="PHR57" s="76"/>
      <c r="PHS57" s="76"/>
      <c r="PHT57" s="76"/>
      <c r="PHU57" s="76"/>
      <c r="PHV57" s="76"/>
      <c r="PHW57" s="76"/>
      <c r="PHX57" s="76"/>
      <c r="PHY57" s="76"/>
      <c r="PHZ57" s="76"/>
      <c r="PIA57" s="76"/>
      <c r="PIB57" s="76"/>
      <c r="PIC57" s="76"/>
      <c r="PID57" s="76"/>
      <c r="PIE57" s="76"/>
      <c r="PIF57" s="76"/>
      <c r="PIG57" s="76"/>
      <c r="PIH57" s="76"/>
      <c r="PII57" s="76"/>
      <c r="PIJ57" s="76"/>
      <c r="PIK57" s="76"/>
      <c r="PIL57" s="76"/>
      <c r="PIM57" s="76"/>
      <c r="PIN57" s="76"/>
      <c r="PIO57" s="76"/>
      <c r="PIP57" s="76"/>
      <c r="PIQ57" s="76"/>
      <c r="PIR57" s="76"/>
      <c r="PIS57" s="76"/>
      <c r="PIT57" s="76"/>
      <c r="PIU57" s="76"/>
      <c r="PIV57" s="76"/>
      <c r="PIW57" s="76"/>
      <c r="PIX57" s="76"/>
      <c r="PIY57" s="76"/>
      <c r="PIZ57" s="76"/>
      <c r="PJA57" s="76"/>
      <c r="PJB57" s="76"/>
      <c r="PJC57" s="76"/>
      <c r="PJD57" s="76"/>
      <c r="PJE57" s="76"/>
      <c r="PJF57" s="76"/>
      <c r="PJG57" s="76"/>
      <c r="PJH57" s="76"/>
      <c r="PJI57" s="76"/>
      <c r="PJJ57" s="76"/>
      <c r="PJK57" s="76"/>
      <c r="PJL57" s="76"/>
      <c r="PJM57" s="76"/>
      <c r="PJN57" s="76"/>
      <c r="PJO57" s="76"/>
      <c r="PJP57" s="76"/>
      <c r="PJQ57" s="76"/>
      <c r="PJR57" s="76"/>
      <c r="PJS57" s="76"/>
      <c r="PJT57" s="76"/>
      <c r="PJU57" s="76"/>
      <c r="PJV57" s="76"/>
      <c r="PJW57" s="76"/>
      <c r="PJX57" s="76"/>
      <c r="PJY57" s="76"/>
      <c r="PJZ57" s="76"/>
      <c r="PKA57" s="76"/>
      <c r="PKB57" s="76"/>
      <c r="PKC57" s="76"/>
      <c r="PKD57" s="76"/>
      <c r="PKE57" s="76"/>
      <c r="PKF57" s="76"/>
      <c r="PKG57" s="76"/>
      <c r="PKH57" s="76"/>
      <c r="PKI57" s="76"/>
      <c r="PKJ57" s="76"/>
      <c r="PKK57" s="76"/>
      <c r="PKL57" s="76"/>
      <c r="PKM57" s="76"/>
      <c r="PKN57" s="76"/>
      <c r="PKO57" s="76"/>
      <c r="PKP57" s="76"/>
      <c r="PKQ57" s="76"/>
      <c r="PKR57" s="76"/>
      <c r="PKS57" s="76"/>
      <c r="PKT57" s="76"/>
      <c r="PKU57" s="76"/>
      <c r="PKV57" s="76"/>
      <c r="PKW57" s="76"/>
      <c r="PKX57" s="76"/>
      <c r="PKY57" s="76"/>
      <c r="PKZ57" s="76"/>
      <c r="PLA57" s="76"/>
      <c r="PLB57" s="76"/>
      <c r="PLC57" s="76"/>
      <c r="PLD57" s="76"/>
      <c r="PLE57" s="76"/>
      <c r="PLF57" s="76"/>
      <c r="PLG57" s="76"/>
      <c r="PLH57" s="76"/>
      <c r="PLI57" s="76"/>
      <c r="PLJ57" s="76"/>
      <c r="PLK57" s="76"/>
      <c r="PLL57" s="76"/>
      <c r="PLM57" s="76"/>
      <c r="PLN57" s="76"/>
      <c r="PLO57" s="76"/>
      <c r="PLP57" s="76"/>
      <c r="PLQ57" s="76"/>
      <c r="PLR57" s="76"/>
      <c r="PLS57" s="76"/>
      <c r="PLT57" s="76"/>
      <c r="PLU57" s="76"/>
      <c r="PLV57" s="76"/>
      <c r="PLW57" s="76"/>
      <c r="PLX57" s="76"/>
      <c r="PLY57" s="76"/>
      <c r="PLZ57" s="76"/>
      <c r="PMA57" s="76"/>
      <c r="PMB57" s="76"/>
      <c r="PMC57" s="76"/>
      <c r="PMD57" s="76"/>
      <c r="PME57" s="76"/>
      <c r="PMF57" s="76"/>
      <c r="PMG57" s="76"/>
      <c r="PMH57" s="76"/>
      <c r="PMI57" s="76"/>
      <c r="PMJ57" s="76"/>
      <c r="PMK57" s="76"/>
      <c r="PML57" s="76"/>
      <c r="PMM57" s="76"/>
      <c r="PMN57" s="76"/>
      <c r="PMO57" s="76"/>
      <c r="PMP57" s="76"/>
      <c r="PMQ57" s="76"/>
      <c r="PMR57" s="76"/>
      <c r="PMS57" s="76"/>
      <c r="PMT57" s="76"/>
      <c r="PMU57" s="76"/>
      <c r="PMV57" s="76"/>
      <c r="PMW57" s="76"/>
      <c r="PMX57" s="76"/>
      <c r="PMY57" s="76"/>
      <c r="PMZ57" s="76"/>
      <c r="PNA57" s="76"/>
      <c r="PNB57" s="76"/>
      <c r="PNC57" s="76"/>
      <c r="PND57" s="76"/>
      <c r="PNE57" s="76"/>
      <c r="PNF57" s="76"/>
      <c r="PNG57" s="76"/>
      <c r="PNH57" s="76"/>
      <c r="PNI57" s="76"/>
      <c r="PNJ57" s="76"/>
      <c r="PNK57" s="76"/>
      <c r="PNL57" s="76"/>
      <c r="PNM57" s="76"/>
      <c r="PNN57" s="76"/>
      <c r="PNO57" s="76"/>
      <c r="PNP57" s="76"/>
      <c r="PNQ57" s="76"/>
      <c r="PNR57" s="76"/>
      <c r="PNS57" s="76"/>
      <c r="PNT57" s="76"/>
      <c r="PNU57" s="76"/>
      <c r="PNV57" s="76"/>
      <c r="PNW57" s="76"/>
      <c r="PNX57" s="76"/>
      <c r="PNY57" s="76"/>
      <c r="PNZ57" s="76"/>
      <c r="POA57" s="76"/>
      <c r="POB57" s="76"/>
      <c r="POC57" s="76"/>
      <c r="POD57" s="76"/>
      <c r="POE57" s="76"/>
      <c r="POF57" s="76"/>
      <c r="POG57" s="76"/>
      <c r="POH57" s="76"/>
      <c r="POI57" s="76"/>
      <c r="POJ57" s="76"/>
      <c r="POK57" s="76"/>
      <c r="POL57" s="76"/>
      <c r="POM57" s="76"/>
      <c r="PON57" s="76"/>
      <c r="POO57" s="76"/>
      <c r="POP57" s="76"/>
      <c r="POQ57" s="76"/>
      <c r="POR57" s="76"/>
      <c r="POS57" s="76"/>
      <c r="POT57" s="76"/>
      <c r="POU57" s="76"/>
      <c r="POV57" s="76"/>
      <c r="POW57" s="76"/>
      <c r="POX57" s="76"/>
      <c r="POY57" s="76"/>
      <c r="POZ57" s="76"/>
      <c r="PPA57" s="76"/>
      <c r="PPB57" s="76"/>
      <c r="PPC57" s="76"/>
      <c r="PPD57" s="76"/>
      <c r="PPE57" s="76"/>
      <c r="PPF57" s="76"/>
      <c r="PPG57" s="76"/>
      <c r="PPH57" s="76"/>
      <c r="PPI57" s="76"/>
      <c r="PPJ57" s="76"/>
      <c r="PPK57" s="76"/>
      <c r="PPL57" s="76"/>
      <c r="PPM57" s="76"/>
      <c r="PPN57" s="76"/>
      <c r="PPO57" s="76"/>
      <c r="PPP57" s="76"/>
      <c r="PPQ57" s="76"/>
      <c r="PPR57" s="76"/>
      <c r="PPS57" s="76"/>
      <c r="PPT57" s="76"/>
      <c r="PPU57" s="76"/>
      <c r="PPV57" s="76"/>
      <c r="PPW57" s="76"/>
      <c r="PPX57" s="76"/>
      <c r="PPY57" s="76"/>
      <c r="PPZ57" s="76"/>
      <c r="PQA57" s="76"/>
      <c r="PQB57" s="76"/>
      <c r="PQC57" s="76"/>
      <c r="PQD57" s="76"/>
      <c r="PQE57" s="76"/>
      <c r="PQF57" s="76"/>
      <c r="PQG57" s="76"/>
      <c r="PQH57" s="76"/>
      <c r="PQI57" s="76"/>
      <c r="PQJ57" s="76"/>
      <c r="PQK57" s="76"/>
      <c r="PQL57" s="76"/>
      <c r="PQM57" s="76"/>
      <c r="PQN57" s="76"/>
      <c r="PQO57" s="76"/>
      <c r="PQP57" s="76"/>
      <c r="PQQ57" s="76"/>
      <c r="PQR57" s="76"/>
      <c r="PQS57" s="76"/>
      <c r="PQT57" s="76"/>
      <c r="PQU57" s="76"/>
      <c r="PQV57" s="76"/>
      <c r="PQW57" s="76"/>
      <c r="PQX57" s="76"/>
      <c r="PQY57" s="76"/>
      <c r="PQZ57" s="76"/>
      <c r="PRA57" s="76"/>
      <c r="PRB57" s="76"/>
      <c r="PRC57" s="76"/>
      <c r="PRD57" s="76"/>
      <c r="PRE57" s="76"/>
      <c r="PRF57" s="76"/>
      <c r="PRG57" s="76"/>
      <c r="PRH57" s="76"/>
      <c r="PRI57" s="76"/>
      <c r="PRJ57" s="76"/>
      <c r="PRK57" s="76"/>
      <c r="PRL57" s="76"/>
      <c r="PRM57" s="76"/>
      <c r="PRN57" s="76"/>
      <c r="PRO57" s="76"/>
      <c r="PRP57" s="76"/>
      <c r="PRQ57" s="76"/>
      <c r="PRR57" s="76"/>
      <c r="PRS57" s="76"/>
      <c r="PRT57" s="76"/>
      <c r="PRU57" s="76"/>
      <c r="PRV57" s="76"/>
      <c r="PRW57" s="76"/>
      <c r="PRX57" s="76"/>
      <c r="PRY57" s="76"/>
      <c r="PRZ57" s="76"/>
      <c r="PSA57" s="76"/>
      <c r="PSB57" s="76"/>
      <c r="PSC57" s="76"/>
      <c r="PSD57" s="76"/>
      <c r="PSE57" s="76"/>
      <c r="PSF57" s="76"/>
      <c r="PSG57" s="76"/>
      <c r="PSH57" s="76"/>
      <c r="PSI57" s="76"/>
      <c r="PSJ57" s="76"/>
      <c r="PSK57" s="76"/>
      <c r="PSL57" s="76"/>
      <c r="PSM57" s="76"/>
      <c r="PSN57" s="76"/>
      <c r="PSO57" s="76"/>
      <c r="PSP57" s="76"/>
      <c r="PSQ57" s="76"/>
      <c r="PSR57" s="76"/>
      <c r="PSS57" s="76"/>
      <c r="PST57" s="76"/>
      <c r="PSU57" s="76"/>
      <c r="PSV57" s="76"/>
      <c r="PSW57" s="76"/>
      <c r="PSX57" s="76"/>
      <c r="PSY57" s="76"/>
      <c r="PSZ57" s="76"/>
      <c r="PTA57" s="76"/>
      <c r="PTB57" s="76"/>
      <c r="PTC57" s="76"/>
      <c r="PTD57" s="76"/>
      <c r="PTE57" s="76"/>
      <c r="PTF57" s="76"/>
      <c r="PTG57" s="76"/>
      <c r="PTH57" s="76"/>
      <c r="PTI57" s="76"/>
      <c r="PTJ57" s="76"/>
      <c r="PTK57" s="76"/>
      <c r="PTL57" s="76"/>
      <c r="PTM57" s="76"/>
      <c r="PTN57" s="76"/>
      <c r="PTO57" s="76"/>
      <c r="PTP57" s="76"/>
      <c r="PTQ57" s="76"/>
      <c r="PTR57" s="76"/>
      <c r="PTS57" s="76"/>
      <c r="PTT57" s="76"/>
      <c r="PTU57" s="76"/>
      <c r="PTV57" s="76"/>
      <c r="PTW57" s="76"/>
      <c r="PTX57" s="76"/>
      <c r="PTY57" s="76"/>
      <c r="PTZ57" s="76"/>
      <c r="PUA57" s="76"/>
      <c r="PUB57" s="76"/>
      <c r="PUC57" s="76"/>
      <c r="PUD57" s="76"/>
      <c r="PUE57" s="76"/>
      <c r="PUF57" s="76"/>
      <c r="PUG57" s="76"/>
      <c r="PUH57" s="76"/>
      <c r="PUI57" s="76"/>
      <c r="PUJ57" s="76"/>
      <c r="PUK57" s="76"/>
      <c r="PUL57" s="76"/>
      <c r="PUM57" s="76"/>
      <c r="PUN57" s="76"/>
      <c r="PUO57" s="76"/>
      <c r="PUP57" s="76"/>
      <c r="PUQ57" s="76"/>
      <c r="PUR57" s="76"/>
      <c r="PUS57" s="76"/>
      <c r="PUT57" s="76"/>
      <c r="PUU57" s="76"/>
      <c r="PUV57" s="76"/>
      <c r="PUW57" s="76"/>
      <c r="PUX57" s="76"/>
      <c r="PUY57" s="76"/>
      <c r="PUZ57" s="76"/>
      <c r="PVA57" s="76"/>
      <c r="PVB57" s="76"/>
      <c r="PVC57" s="76"/>
      <c r="PVD57" s="76"/>
      <c r="PVE57" s="76"/>
      <c r="PVF57" s="76"/>
      <c r="PVG57" s="76"/>
      <c r="PVH57" s="76"/>
      <c r="PVI57" s="76"/>
      <c r="PVJ57" s="76"/>
      <c r="PVK57" s="76"/>
      <c r="PVL57" s="76"/>
      <c r="PVM57" s="76"/>
      <c r="PVN57" s="76"/>
      <c r="PVO57" s="76"/>
      <c r="PVP57" s="76"/>
      <c r="PVQ57" s="76"/>
      <c r="PVR57" s="76"/>
      <c r="PVS57" s="76"/>
      <c r="PVT57" s="76"/>
      <c r="PVU57" s="76"/>
      <c r="PVV57" s="76"/>
      <c r="PVW57" s="76"/>
      <c r="PVX57" s="76"/>
      <c r="PVY57" s="76"/>
      <c r="PVZ57" s="76"/>
      <c r="PWA57" s="76"/>
      <c r="PWB57" s="76"/>
      <c r="PWC57" s="76"/>
      <c r="PWD57" s="76"/>
      <c r="PWE57" s="76"/>
      <c r="PWF57" s="76"/>
      <c r="PWG57" s="76"/>
      <c r="PWH57" s="76"/>
      <c r="PWI57" s="76"/>
      <c r="PWJ57" s="76"/>
      <c r="PWK57" s="76"/>
      <c r="PWL57" s="76"/>
      <c r="PWM57" s="76"/>
      <c r="PWN57" s="76"/>
      <c r="PWO57" s="76"/>
      <c r="PWP57" s="76"/>
      <c r="PWQ57" s="76"/>
      <c r="PWR57" s="76"/>
      <c r="PWS57" s="76"/>
      <c r="PWT57" s="76"/>
      <c r="PWU57" s="76"/>
      <c r="PWV57" s="76"/>
      <c r="PWW57" s="76"/>
      <c r="PWX57" s="76"/>
      <c r="PWY57" s="76"/>
      <c r="PWZ57" s="76"/>
      <c r="PXA57" s="76"/>
      <c r="PXB57" s="76"/>
      <c r="PXC57" s="76"/>
      <c r="PXD57" s="76"/>
      <c r="PXE57" s="76"/>
      <c r="PXF57" s="76"/>
      <c r="PXG57" s="76"/>
      <c r="PXH57" s="76"/>
      <c r="PXI57" s="76"/>
      <c r="PXJ57" s="76"/>
      <c r="PXK57" s="76"/>
      <c r="PXL57" s="76"/>
      <c r="PXM57" s="76"/>
      <c r="PXN57" s="76"/>
      <c r="PXO57" s="76"/>
      <c r="PXP57" s="76"/>
      <c r="PXQ57" s="76"/>
      <c r="PXR57" s="76"/>
      <c r="PXS57" s="76"/>
      <c r="PXT57" s="76"/>
      <c r="PXU57" s="76"/>
      <c r="PXV57" s="76"/>
      <c r="PXW57" s="76"/>
      <c r="PXX57" s="76"/>
      <c r="PXY57" s="76"/>
      <c r="PXZ57" s="76"/>
      <c r="PYA57" s="76"/>
      <c r="PYB57" s="76"/>
      <c r="PYC57" s="76"/>
      <c r="PYD57" s="76"/>
      <c r="PYE57" s="76"/>
      <c r="PYF57" s="76"/>
      <c r="PYG57" s="76"/>
      <c r="PYH57" s="76"/>
      <c r="PYI57" s="76"/>
      <c r="PYJ57" s="76"/>
      <c r="PYK57" s="76"/>
      <c r="PYL57" s="76"/>
      <c r="PYM57" s="76"/>
      <c r="PYN57" s="76"/>
      <c r="PYO57" s="76"/>
      <c r="PYP57" s="76"/>
      <c r="PYQ57" s="76"/>
      <c r="PYR57" s="76"/>
      <c r="PYS57" s="76"/>
      <c r="PYT57" s="76"/>
      <c r="PYU57" s="76"/>
      <c r="PYV57" s="76"/>
      <c r="PYW57" s="76"/>
      <c r="PYX57" s="76"/>
      <c r="PYY57" s="76"/>
      <c r="PYZ57" s="76"/>
      <c r="PZA57" s="76"/>
      <c r="PZB57" s="76"/>
      <c r="PZC57" s="76"/>
      <c r="PZD57" s="76"/>
      <c r="PZE57" s="76"/>
      <c r="PZF57" s="76"/>
      <c r="PZG57" s="76"/>
      <c r="PZH57" s="76"/>
      <c r="PZI57" s="76"/>
      <c r="PZJ57" s="76"/>
      <c r="PZK57" s="76"/>
      <c r="PZL57" s="76"/>
      <c r="PZM57" s="76"/>
      <c r="PZN57" s="76"/>
      <c r="PZO57" s="76"/>
      <c r="PZP57" s="76"/>
      <c r="PZQ57" s="76"/>
      <c r="PZR57" s="76"/>
      <c r="PZS57" s="76"/>
      <c r="PZT57" s="76"/>
      <c r="PZU57" s="76"/>
      <c r="PZV57" s="76"/>
      <c r="PZW57" s="76"/>
      <c r="PZX57" s="76"/>
      <c r="PZY57" s="76"/>
      <c r="PZZ57" s="76"/>
      <c r="QAA57" s="76"/>
      <c r="QAB57" s="76"/>
      <c r="QAC57" s="76"/>
      <c r="QAD57" s="76"/>
      <c r="QAE57" s="76"/>
      <c r="QAF57" s="76"/>
      <c r="QAG57" s="76"/>
      <c r="QAH57" s="76"/>
      <c r="QAI57" s="76"/>
      <c r="QAJ57" s="76"/>
      <c r="QAK57" s="76"/>
      <c r="QAL57" s="76"/>
      <c r="QAM57" s="76"/>
      <c r="QAN57" s="76"/>
      <c r="QAO57" s="76"/>
      <c r="QAP57" s="76"/>
      <c r="QAQ57" s="76"/>
      <c r="QAR57" s="76"/>
      <c r="QAS57" s="76"/>
      <c r="QAT57" s="76"/>
      <c r="QAU57" s="76"/>
      <c r="QAV57" s="76"/>
      <c r="QAW57" s="76"/>
      <c r="QAX57" s="76"/>
      <c r="QAY57" s="76"/>
      <c r="QAZ57" s="76"/>
      <c r="QBA57" s="76"/>
      <c r="QBB57" s="76"/>
      <c r="QBC57" s="76"/>
      <c r="QBD57" s="76"/>
      <c r="QBE57" s="76"/>
      <c r="QBF57" s="76"/>
      <c r="QBG57" s="76"/>
      <c r="QBH57" s="76"/>
      <c r="QBI57" s="76"/>
      <c r="QBJ57" s="76"/>
      <c r="QBK57" s="76"/>
      <c r="QBL57" s="76"/>
      <c r="QBM57" s="76"/>
      <c r="QBN57" s="76"/>
      <c r="QBO57" s="76"/>
      <c r="QBP57" s="76"/>
      <c r="QBQ57" s="76"/>
      <c r="QBR57" s="76"/>
      <c r="QBS57" s="76"/>
      <c r="QBT57" s="76"/>
      <c r="QBU57" s="76"/>
      <c r="QBV57" s="76"/>
      <c r="QBW57" s="76"/>
      <c r="QBX57" s="76"/>
      <c r="QBY57" s="76"/>
      <c r="QBZ57" s="76"/>
      <c r="QCA57" s="76"/>
      <c r="QCB57" s="76"/>
      <c r="QCC57" s="76"/>
      <c r="QCD57" s="76"/>
      <c r="QCE57" s="76"/>
      <c r="QCF57" s="76"/>
      <c r="QCG57" s="76"/>
      <c r="QCH57" s="76"/>
      <c r="QCI57" s="76"/>
      <c r="QCJ57" s="76"/>
      <c r="QCK57" s="76"/>
      <c r="QCL57" s="76"/>
      <c r="QCM57" s="76"/>
      <c r="QCN57" s="76"/>
      <c r="QCO57" s="76"/>
      <c r="QCP57" s="76"/>
      <c r="QCQ57" s="76"/>
      <c r="QCR57" s="76"/>
      <c r="QCS57" s="76"/>
      <c r="QCT57" s="76"/>
      <c r="QCU57" s="76"/>
      <c r="QCV57" s="76"/>
      <c r="QCW57" s="76"/>
      <c r="QCX57" s="76"/>
      <c r="QCY57" s="76"/>
      <c r="QCZ57" s="76"/>
      <c r="QDA57" s="76"/>
      <c r="QDB57" s="76"/>
      <c r="QDC57" s="76"/>
      <c r="QDD57" s="76"/>
      <c r="QDE57" s="76"/>
      <c r="QDF57" s="76"/>
      <c r="QDG57" s="76"/>
      <c r="QDH57" s="76"/>
      <c r="QDI57" s="76"/>
      <c r="QDJ57" s="76"/>
      <c r="QDK57" s="76"/>
      <c r="QDL57" s="76"/>
      <c r="QDM57" s="76"/>
      <c r="QDN57" s="76"/>
      <c r="QDO57" s="76"/>
      <c r="QDP57" s="76"/>
      <c r="QDQ57" s="76"/>
      <c r="QDR57" s="76"/>
      <c r="QDS57" s="76"/>
      <c r="QDT57" s="76"/>
      <c r="QDU57" s="76"/>
      <c r="QDV57" s="76"/>
      <c r="QDW57" s="76"/>
      <c r="QDX57" s="76"/>
      <c r="QDY57" s="76"/>
      <c r="QDZ57" s="76"/>
      <c r="QEA57" s="76"/>
      <c r="QEB57" s="76"/>
      <c r="QEC57" s="76"/>
      <c r="QED57" s="76"/>
      <c r="QEE57" s="76"/>
      <c r="QEF57" s="76"/>
      <c r="QEG57" s="76"/>
      <c r="QEH57" s="76"/>
      <c r="QEI57" s="76"/>
      <c r="QEJ57" s="76"/>
      <c r="QEK57" s="76"/>
      <c r="QEL57" s="76"/>
      <c r="QEM57" s="76"/>
      <c r="QEN57" s="76"/>
      <c r="QEO57" s="76"/>
      <c r="QEP57" s="76"/>
      <c r="QEQ57" s="76"/>
      <c r="QER57" s="76"/>
      <c r="QES57" s="76"/>
      <c r="QET57" s="76"/>
      <c r="QEU57" s="76"/>
      <c r="QEV57" s="76"/>
      <c r="QEW57" s="76"/>
      <c r="QEX57" s="76"/>
      <c r="QEY57" s="76"/>
      <c r="QEZ57" s="76"/>
      <c r="QFA57" s="76"/>
      <c r="QFB57" s="76"/>
      <c r="QFC57" s="76"/>
      <c r="QFD57" s="76"/>
      <c r="QFE57" s="76"/>
      <c r="QFF57" s="76"/>
      <c r="QFG57" s="76"/>
      <c r="QFH57" s="76"/>
      <c r="QFI57" s="76"/>
      <c r="QFJ57" s="76"/>
      <c r="QFK57" s="76"/>
      <c r="QFL57" s="76"/>
      <c r="QFM57" s="76"/>
      <c r="QFN57" s="76"/>
      <c r="QFO57" s="76"/>
      <c r="QFP57" s="76"/>
      <c r="QFQ57" s="76"/>
      <c r="QFR57" s="76"/>
      <c r="QFS57" s="76"/>
      <c r="QFT57" s="76"/>
      <c r="QFU57" s="76"/>
      <c r="QFV57" s="76"/>
      <c r="QFW57" s="76"/>
      <c r="QFX57" s="76"/>
      <c r="QFY57" s="76"/>
      <c r="QFZ57" s="76"/>
      <c r="QGA57" s="76"/>
      <c r="QGB57" s="76"/>
      <c r="QGC57" s="76"/>
      <c r="QGD57" s="76"/>
      <c r="QGE57" s="76"/>
      <c r="QGF57" s="76"/>
      <c r="QGG57" s="76"/>
      <c r="QGH57" s="76"/>
      <c r="QGI57" s="76"/>
      <c r="QGJ57" s="76"/>
      <c r="QGK57" s="76"/>
      <c r="QGL57" s="76"/>
      <c r="QGM57" s="76"/>
      <c r="QGN57" s="76"/>
      <c r="QGO57" s="76"/>
      <c r="QGP57" s="76"/>
      <c r="QGQ57" s="76"/>
      <c r="QGR57" s="76"/>
      <c r="QGS57" s="76"/>
      <c r="QGT57" s="76"/>
      <c r="QGU57" s="76"/>
      <c r="QGV57" s="76"/>
      <c r="QGW57" s="76"/>
      <c r="QGX57" s="76"/>
      <c r="QGY57" s="76"/>
      <c r="QGZ57" s="76"/>
      <c r="QHA57" s="76"/>
      <c r="QHB57" s="76"/>
      <c r="QHC57" s="76"/>
      <c r="QHD57" s="76"/>
      <c r="QHE57" s="76"/>
      <c r="QHF57" s="76"/>
      <c r="QHG57" s="76"/>
      <c r="QHH57" s="76"/>
      <c r="QHI57" s="76"/>
      <c r="QHJ57" s="76"/>
      <c r="QHK57" s="76"/>
      <c r="QHL57" s="76"/>
      <c r="QHM57" s="76"/>
      <c r="QHN57" s="76"/>
      <c r="QHO57" s="76"/>
      <c r="QHP57" s="76"/>
      <c r="QHQ57" s="76"/>
      <c r="QHR57" s="76"/>
      <c r="QHS57" s="76"/>
      <c r="QHT57" s="76"/>
      <c r="QHU57" s="76"/>
      <c r="QHV57" s="76"/>
      <c r="QHW57" s="76"/>
      <c r="QHX57" s="76"/>
      <c r="QHY57" s="76"/>
      <c r="QHZ57" s="76"/>
      <c r="QIA57" s="76"/>
      <c r="QIB57" s="76"/>
      <c r="QIC57" s="76"/>
      <c r="QID57" s="76"/>
      <c r="QIE57" s="76"/>
      <c r="QIF57" s="76"/>
      <c r="QIG57" s="76"/>
      <c r="QIH57" s="76"/>
      <c r="QII57" s="76"/>
      <c r="QIJ57" s="76"/>
      <c r="QIK57" s="76"/>
      <c r="QIL57" s="76"/>
      <c r="QIM57" s="76"/>
      <c r="QIN57" s="76"/>
      <c r="QIO57" s="76"/>
      <c r="QIP57" s="76"/>
      <c r="QIQ57" s="76"/>
      <c r="QIR57" s="76"/>
      <c r="QIS57" s="76"/>
      <c r="QIT57" s="76"/>
      <c r="QIU57" s="76"/>
      <c r="QIV57" s="76"/>
      <c r="QIW57" s="76"/>
      <c r="QIX57" s="76"/>
      <c r="QIY57" s="76"/>
      <c r="QIZ57" s="76"/>
      <c r="QJA57" s="76"/>
      <c r="QJB57" s="76"/>
      <c r="QJC57" s="76"/>
      <c r="QJD57" s="76"/>
      <c r="QJE57" s="76"/>
      <c r="QJF57" s="76"/>
      <c r="QJG57" s="76"/>
      <c r="QJH57" s="76"/>
      <c r="QJI57" s="76"/>
      <c r="QJJ57" s="76"/>
      <c r="QJK57" s="76"/>
      <c r="QJL57" s="76"/>
      <c r="QJM57" s="76"/>
      <c r="QJN57" s="76"/>
      <c r="QJO57" s="76"/>
      <c r="QJP57" s="76"/>
      <c r="QJQ57" s="76"/>
      <c r="QJR57" s="76"/>
      <c r="QJS57" s="76"/>
      <c r="QJT57" s="76"/>
      <c r="QJU57" s="76"/>
      <c r="QJV57" s="76"/>
      <c r="QJW57" s="76"/>
      <c r="QJX57" s="76"/>
      <c r="QJY57" s="76"/>
      <c r="QJZ57" s="76"/>
      <c r="QKA57" s="76"/>
      <c r="QKB57" s="76"/>
      <c r="QKC57" s="76"/>
      <c r="QKD57" s="76"/>
      <c r="QKE57" s="76"/>
      <c r="QKF57" s="76"/>
      <c r="QKG57" s="76"/>
      <c r="QKH57" s="76"/>
      <c r="QKI57" s="76"/>
      <c r="QKJ57" s="76"/>
      <c r="QKK57" s="76"/>
      <c r="QKL57" s="76"/>
      <c r="QKM57" s="76"/>
      <c r="QKN57" s="76"/>
      <c r="QKO57" s="76"/>
      <c r="QKP57" s="76"/>
      <c r="QKQ57" s="76"/>
      <c r="QKR57" s="76"/>
      <c r="QKS57" s="76"/>
      <c r="QKT57" s="76"/>
      <c r="QKU57" s="76"/>
      <c r="QKV57" s="76"/>
      <c r="QKW57" s="76"/>
      <c r="QKX57" s="76"/>
      <c r="QKY57" s="76"/>
      <c r="QKZ57" s="76"/>
      <c r="QLA57" s="76"/>
      <c r="QLB57" s="76"/>
      <c r="QLC57" s="76"/>
      <c r="QLD57" s="76"/>
      <c r="QLE57" s="76"/>
      <c r="QLF57" s="76"/>
      <c r="QLG57" s="76"/>
      <c r="QLH57" s="76"/>
      <c r="QLI57" s="76"/>
      <c r="QLJ57" s="76"/>
      <c r="QLK57" s="76"/>
      <c r="QLL57" s="76"/>
      <c r="QLM57" s="76"/>
      <c r="QLN57" s="76"/>
      <c r="QLO57" s="76"/>
      <c r="QLP57" s="76"/>
      <c r="QLQ57" s="76"/>
      <c r="QLR57" s="76"/>
      <c r="QLS57" s="76"/>
      <c r="QLT57" s="76"/>
      <c r="QLU57" s="76"/>
      <c r="QLV57" s="76"/>
      <c r="QLW57" s="76"/>
      <c r="QLX57" s="76"/>
      <c r="QLY57" s="76"/>
      <c r="QLZ57" s="76"/>
      <c r="QMA57" s="76"/>
      <c r="QMB57" s="76"/>
      <c r="QMC57" s="76"/>
      <c r="QMD57" s="76"/>
      <c r="QME57" s="76"/>
      <c r="QMF57" s="76"/>
      <c r="QMG57" s="76"/>
      <c r="QMH57" s="76"/>
      <c r="QMI57" s="76"/>
      <c r="QMJ57" s="76"/>
      <c r="QMK57" s="76"/>
      <c r="QML57" s="76"/>
      <c r="QMM57" s="76"/>
      <c r="QMN57" s="76"/>
      <c r="QMO57" s="76"/>
      <c r="QMP57" s="76"/>
      <c r="QMQ57" s="76"/>
      <c r="QMR57" s="76"/>
      <c r="QMS57" s="76"/>
      <c r="QMT57" s="76"/>
      <c r="QMU57" s="76"/>
      <c r="QMV57" s="76"/>
      <c r="QMW57" s="76"/>
      <c r="QMX57" s="76"/>
      <c r="QMY57" s="76"/>
      <c r="QMZ57" s="76"/>
      <c r="QNA57" s="76"/>
      <c r="QNB57" s="76"/>
      <c r="QNC57" s="76"/>
      <c r="QND57" s="76"/>
      <c r="QNE57" s="76"/>
      <c r="QNF57" s="76"/>
      <c r="QNG57" s="76"/>
      <c r="QNH57" s="76"/>
      <c r="QNI57" s="76"/>
      <c r="QNJ57" s="76"/>
      <c r="QNK57" s="76"/>
      <c r="QNL57" s="76"/>
      <c r="QNM57" s="76"/>
      <c r="QNN57" s="76"/>
      <c r="QNO57" s="76"/>
      <c r="QNP57" s="76"/>
      <c r="QNQ57" s="76"/>
      <c r="QNR57" s="76"/>
      <c r="QNS57" s="76"/>
      <c r="QNT57" s="76"/>
      <c r="QNU57" s="76"/>
      <c r="QNV57" s="76"/>
      <c r="QNW57" s="76"/>
      <c r="QNX57" s="76"/>
      <c r="QNY57" s="76"/>
      <c r="QNZ57" s="76"/>
      <c r="QOA57" s="76"/>
      <c r="QOB57" s="76"/>
      <c r="QOC57" s="76"/>
      <c r="QOD57" s="76"/>
      <c r="QOE57" s="76"/>
      <c r="QOF57" s="76"/>
      <c r="QOG57" s="76"/>
      <c r="QOH57" s="76"/>
      <c r="QOI57" s="76"/>
      <c r="QOJ57" s="76"/>
      <c r="QOK57" s="76"/>
      <c r="QOL57" s="76"/>
      <c r="QOM57" s="76"/>
      <c r="QON57" s="76"/>
      <c r="QOO57" s="76"/>
      <c r="QOP57" s="76"/>
      <c r="QOQ57" s="76"/>
      <c r="QOR57" s="76"/>
      <c r="QOS57" s="76"/>
      <c r="QOT57" s="76"/>
      <c r="QOU57" s="76"/>
      <c r="QOV57" s="76"/>
      <c r="QOW57" s="76"/>
      <c r="QOX57" s="76"/>
      <c r="QOY57" s="76"/>
      <c r="QOZ57" s="76"/>
      <c r="QPA57" s="76"/>
      <c r="QPB57" s="76"/>
      <c r="QPC57" s="76"/>
      <c r="QPD57" s="76"/>
      <c r="QPE57" s="76"/>
      <c r="QPF57" s="76"/>
      <c r="QPG57" s="76"/>
      <c r="QPH57" s="76"/>
      <c r="QPI57" s="76"/>
      <c r="QPJ57" s="76"/>
      <c r="QPK57" s="76"/>
      <c r="QPL57" s="76"/>
      <c r="QPM57" s="76"/>
      <c r="QPN57" s="76"/>
      <c r="QPO57" s="76"/>
      <c r="QPP57" s="76"/>
      <c r="QPQ57" s="76"/>
      <c r="QPR57" s="76"/>
      <c r="QPS57" s="76"/>
      <c r="QPT57" s="76"/>
      <c r="QPU57" s="76"/>
      <c r="QPV57" s="76"/>
      <c r="QPW57" s="76"/>
      <c r="QPX57" s="76"/>
      <c r="QPY57" s="76"/>
      <c r="QPZ57" s="76"/>
      <c r="QQA57" s="76"/>
      <c r="QQB57" s="76"/>
      <c r="QQC57" s="76"/>
      <c r="QQD57" s="76"/>
      <c r="QQE57" s="76"/>
      <c r="QQF57" s="76"/>
      <c r="QQG57" s="76"/>
      <c r="QQH57" s="76"/>
      <c r="QQI57" s="76"/>
      <c r="QQJ57" s="76"/>
      <c r="QQK57" s="76"/>
      <c r="QQL57" s="76"/>
      <c r="QQM57" s="76"/>
      <c r="QQN57" s="76"/>
      <c r="QQO57" s="76"/>
      <c r="QQP57" s="76"/>
      <c r="QQQ57" s="76"/>
      <c r="QQR57" s="76"/>
      <c r="QQS57" s="76"/>
      <c r="QQT57" s="76"/>
      <c r="QQU57" s="76"/>
      <c r="QQV57" s="76"/>
      <c r="QQW57" s="76"/>
      <c r="QQX57" s="76"/>
      <c r="QQY57" s="76"/>
      <c r="QQZ57" s="76"/>
      <c r="QRA57" s="76"/>
      <c r="QRB57" s="76"/>
      <c r="QRC57" s="76"/>
      <c r="QRD57" s="76"/>
      <c r="QRE57" s="76"/>
      <c r="QRF57" s="76"/>
      <c r="QRG57" s="76"/>
      <c r="QRH57" s="76"/>
      <c r="QRI57" s="76"/>
      <c r="QRJ57" s="76"/>
      <c r="QRK57" s="76"/>
      <c r="QRL57" s="76"/>
      <c r="QRM57" s="76"/>
      <c r="QRN57" s="76"/>
      <c r="QRO57" s="76"/>
      <c r="QRP57" s="76"/>
      <c r="QRQ57" s="76"/>
      <c r="QRR57" s="76"/>
      <c r="QRS57" s="76"/>
      <c r="QRT57" s="76"/>
      <c r="QRU57" s="76"/>
      <c r="QRV57" s="76"/>
      <c r="QRW57" s="76"/>
      <c r="QRX57" s="76"/>
      <c r="QRY57" s="76"/>
      <c r="QRZ57" s="76"/>
      <c r="QSA57" s="76"/>
      <c r="QSB57" s="76"/>
      <c r="QSC57" s="76"/>
      <c r="QSD57" s="76"/>
      <c r="QSE57" s="76"/>
      <c r="QSF57" s="76"/>
      <c r="QSG57" s="76"/>
      <c r="QSH57" s="76"/>
      <c r="QSI57" s="76"/>
      <c r="QSJ57" s="76"/>
      <c r="QSK57" s="76"/>
      <c r="QSL57" s="76"/>
      <c r="QSM57" s="76"/>
      <c r="QSN57" s="76"/>
      <c r="QSO57" s="76"/>
      <c r="QSP57" s="76"/>
      <c r="QSQ57" s="76"/>
      <c r="QSR57" s="76"/>
      <c r="QSS57" s="76"/>
      <c r="QST57" s="76"/>
      <c r="QSU57" s="76"/>
      <c r="QSV57" s="76"/>
      <c r="QSW57" s="76"/>
      <c r="QSX57" s="76"/>
      <c r="QSY57" s="76"/>
      <c r="QSZ57" s="76"/>
      <c r="QTA57" s="76"/>
      <c r="QTB57" s="76"/>
      <c r="QTC57" s="76"/>
      <c r="QTD57" s="76"/>
      <c r="QTE57" s="76"/>
      <c r="QTF57" s="76"/>
      <c r="QTG57" s="76"/>
      <c r="QTH57" s="76"/>
      <c r="QTI57" s="76"/>
      <c r="QTJ57" s="76"/>
      <c r="QTK57" s="76"/>
      <c r="QTL57" s="76"/>
      <c r="QTM57" s="76"/>
      <c r="QTN57" s="76"/>
      <c r="QTO57" s="76"/>
      <c r="QTP57" s="76"/>
      <c r="QTQ57" s="76"/>
      <c r="QTR57" s="76"/>
      <c r="QTS57" s="76"/>
      <c r="QTT57" s="76"/>
      <c r="QTU57" s="76"/>
      <c r="QTV57" s="76"/>
      <c r="QTW57" s="76"/>
      <c r="QTX57" s="76"/>
      <c r="QTY57" s="76"/>
      <c r="QTZ57" s="76"/>
      <c r="QUA57" s="76"/>
      <c r="QUB57" s="76"/>
      <c r="QUC57" s="76"/>
      <c r="QUD57" s="76"/>
      <c r="QUE57" s="76"/>
      <c r="QUF57" s="76"/>
      <c r="QUG57" s="76"/>
      <c r="QUH57" s="76"/>
      <c r="QUI57" s="76"/>
      <c r="QUJ57" s="76"/>
      <c r="QUK57" s="76"/>
      <c r="QUL57" s="76"/>
      <c r="QUM57" s="76"/>
      <c r="QUN57" s="76"/>
      <c r="QUO57" s="76"/>
      <c r="QUP57" s="76"/>
      <c r="QUQ57" s="76"/>
      <c r="QUR57" s="76"/>
      <c r="QUS57" s="76"/>
      <c r="QUT57" s="76"/>
      <c r="QUU57" s="76"/>
      <c r="QUV57" s="76"/>
      <c r="QUW57" s="76"/>
      <c r="QUX57" s="76"/>
      <c r="QUY57" s="76"/>
      <c r="QUZ57" s="76"/>
      <c r="QVA57" s="76"/>
      <c r="QVB57" s="76"/>
      <c r="QVC57" s="76"/>
      <c r="QVD57" s="76"/>
      <c r="QVE57" s="76"/>
      <c r="QVF57" s="76"/>
      <c r="QVG57" s="76"/>
      <c r="QVH57" s="76"/>
      <c r="QVI57" s="76"/>
      <c r="QVJ57" s="76"/>
      <c r="QVK57" s="76"/>
      <c r="QVL57" s="76"/>
      <c r="QVM57" s="76"/>
      <c r="QVN57" s="76"/>
      <c r="QVO57" s="76"/>
      <c r="QVP57" s="76"/>
      <c r="QVQ57" s="76"/>
      <c r="QVR57" s="76"/>
      <c r="QVS57" s="76"/>
      <c r="QVT57" s="76"/>
      <c r="QVU57" s="76"/>
      <c r="QVV57" s="76"/>
      <c r="QVW57" s="76"/>
      <c r="QVX57" s="76"/>
      <c r="QVY57" s="76"/>
      <c r="QVZ57" s="76"/>
      <c r="QWA57" s="76"/>
      <c r="QWB57" s="76"/>
      <c r="QWC57" s="76"/>
      <c r="QWD57" s="76"/>
      <c r="QWE57" s="76"/>
      <c r="QWF57" s="76"/>
      <c r="QWG57" s="76"/>
      <c r="QWH57" s="76"/>
      <c r="QWI57" s="76"/>
      <c r="QWJ57" s="76"/>
      <c r="QWK57" s="76"/>
      <c r="QWL57" s="76"/>
      <c r="QWM57" s="76"/>
      <c r="QWN57" s="76"/>
      <c r="QWO57" s="76"/>
      <c r="QWP57" s="76"/>
      <c r="QWQ57" s="76"/>
      <c r="QWR57" s="76"/>
      <c r="QWS57" s="76"/>
      <c r="QWT57" s="76"/>
      <c r="QWU57" s="76"/>
      <c r="QWV57" s="76"/>
      <c r="QWW57" s="76"/>
      <c r="QWX57" s="76"/>
      <c r="QWY57" s="76"/>
      <c r="QWZ57" s="76"/>
      <c r="QXA57" s="76"/>
      <c r="QXB57" s="76"/>
      <c r="QXC57" s="76"/>
      <c r="QXD57" s="76"/>
      <c r="QXE57" s="76"/>
      <c r="QXF57" s="76"/>
      <c r="QXG57" s="76"/>
      <c r="QXH57" s="76"/>
      <c r="QXI57" s="76"/>
      <c r="QXJ57" s="76"/>
      <c r="QXK57" s="76"/>
      <c r="QXL57" s="76"/>
      <c r="QXM57" s="76"/>
      <c r="QXN57" s="76"/>
      <c r="QXO57" s="76"/>
      <c r="QXP57" s="76"/>
      <c r="QXQ57" s="76"/>
      <c r="QXR57" s="76"/>
      <c r="QXS57" s="76"/>
      <c r="QXT57" s="76"/>
      <c r="QXU57" s="76"/>
      <c r="QXV57" s="76"/>
      <c r="QXW57" s="76"/>
      <c r="QXX57" s="76"/>
      <c r="QXY57" s="76"/>
      <c r="QXZ57" s="76"/>
      <c r="QYA57" s="76"/>
      <c r="QYB57" s="76"/>
      <c r="QYC57" s="76"/>
      <c r="QYD57" s="76"/>
      <c r="QYE57" s="76"/>
      <c r="QYF57" s="76"/>
      <c r="QYG57" s="76"/>
      <c r="QYH57" s="76"/>
      <c r="QYI57" s="76"/>
      <c r="QYJ57" s="76"/>
      <c r="QYK57" s="76"/>
      <c r="QYL57" s="76"/>
      <c r="QYM57" s="76"/>
      <c r="QYN57" s="76"/>
      <c r="QYO57" s="76"/>
      <c r="QYP57" s="76"/>
      <c r="QYQ57" s="76"/>
      <c r="QYR57" s="76"/>
      <c r="QYS57" s="76"/>
      <c r="QYT57" s="76"/>
      <c r="QYU57" s="76"/>
      <c r="QYV57" s="76"/>
      <c r="QYW57" s="76"/>
      <c r="QYX57" s="76"/>
      <c r="QYY57" s="76"/>
      <c r="QYZ57" s="76"/>
      <c r="QZA57" s="76"/>
      <c r="QZB57" s="76"/>
      <c r="QZC57" s="76"/>
      <c r="QZD57" s="76"/>
      <c r="QZE57" s="76"/>
      <c r="QZF57" s="76"/>
      <c r="QZG57" s="76"/>
      <c r="QZH57" s="76"/>
      <c r="QZI57" s="76"/>
      <c r="QZJ57" s="76"/>
      <c r="QZK57" s="76"/>
      <c r="QZL57" s="76"/>
      <c r="QZM57" s="76"/>
      <c r="QZN57" s="76"/>
      <c r="QZO57" s="76"/>
      <c r="QZP57" s="76"/>
      <c r="QZQ57" s="76"/>
      <c r="QZR57" s="76"/>
      <c r="QZS57" s="76"/>
      <c r="QZT57" s="76"/>
      <c r="QZU57" s="76"/>
      <c r="QZV57" s="76"/>
      <c r="QZW57" s="76"/>
      <c r="QZX57" s="76"/>
      <c r="QZY57" s="76"/>
      <c r="QZZ57" s="76"/>
      <c r="RAA57" s="76"/>
      <c r="RAB57" s="76"/>
      <c r="RAC57" s="76"/>
      <c r="RAD57" s="76"/>
      <c r="RAE57" s="76"/>
      <c r="RAF57" s="76"/>
      <c r="RAG57" s="76"/>
      <c r="RAH57" s="76"/>
      <c r="RAI57" s="76"/>
      <c r="RAJ57" s="76"/>
      <c r="RAK57" s="76"/>
      <c r="RAL57" s="76"/>
      <c r="RAM57" s="76"/>
      <c r="RAN57" s="76"/>
      <c r="RAO57" s="76"/>
      <c r="RAP57" s="76"/>
      <c r="RAQ57" s="76"/>
      <c r="RAR57" s="76"/>
      <c r="RAS57" s="76"/>
      <c r="RAT57" s="76"/>
      <c r="RAU57" s="76"/>
      <c r="RAV57" s="76"/>
      <c r="RAW57" s="76"/>
      <c r="RAX57" s="76"/>
      <c r="RAY57" s="76"/>
      <c r="RAZ57" s="76"/>
      <c r="RBA57" s="76"/>
      <c r="RBB57" s="76"/>
      <c r="RBC57" s="76"/>
      <c r="RBD57" s="76"/>
      <c r="RBE57" s="76"/>
      <c r="RBF57" s="76"/>
      <c r="RBG57" s="76"/>
      <c r="RBH57" s="76"/>
      <c r="RBI57" s="76"/>
      <c r="RBJ57" s="76"/>
      <c r="RBK57" s="76"/>
      <c r="RBL57" s="76"/>
      <c r="RBM57" s="76"/>
      <c r="RBN57" s="76"/>
      <c r="RBO57" s="76"/>
      <c r="RBP57" s="76"/>
      <c r="RBQ57" s="76"/>
      <c r="RBR57" s="76"/>
      <c r="RBS57" s="76"/>
      <c r="RBT57" s="76"/>
      <c r="RBU57" s="76"/>
      <c r="RBV57" s="76"/>
      <c r="RBW57" s="76"/>
      <c r="RBX57" s="76"/>
      <c r="RBY57" s="76"/>
      <c r="RBZ57" s="76"/>
      <c r="RCA57" s="76"/>
      <c r="RCB57" s="76"/>
      <c r="RCC57" s="76"/>
      <c r="RCD57" s="76"/>
      <c r="RCE57" s="76"/>
      <c r="RCF57" s="76"/>
      <c r="RCG57" s="76"/>
      <c r="RCH57" s="76"/>
      <c r="RCI57" s="76"/>
      <c r="RCJ57" s="76"/>
      <c r="RCK57" s="76"/>
      <c r="RCL57" s="76"/>
      <c r="RCM57" s="76"/>
      <c r="RCN57" s="76"/>
      <c r="RCO57" s="76"/>
      <c r="RCP57" s="76"/>
      <c r="RCQ57" s="76"/>
      <c r="RCR57" s="76"/>
      <c r="RCS57" s="76"/>
      <c r="RCT57" s="76"/>
      <c r="RCU57" s="76"/>
      <c r="RCV57" s="76"/>
      <c r="RCW57" s="76"/>
      <c r="RCX57" s="76"/>
      <c r="RCY57" s="76"/>
      <c r="RCZ57" s="76"/>
      <c r="RDA57" s="76"/>
      <c r="RDB57" s="76"/>
      <c r="RDC57" s="76"/>
      <c r="RDD57" s="76"/>
      <c r="RDE57" s="76"/>
      <c r="RDF57" s="76"/>
      <c r="RDG57" s="76"/>
      <c r="RDH57" s="76"/>
      <c r="RDI57" s="76"/>
      <c r="RDJ57" s="76"/>
      <c r="RDK57" s="76"/>
      <c r="RDL57" s="76"/>
      <c r="RDM57" s="76"/>
      <c r="RDN57" s="76"/>
      <c r="RDO57" s="76"/>
      <c r="RDP57" s="76"/>
      <c r="RDQ57" s="76"/>
      <c r="RDR57" s="76"/>
      <c r="RDS57" s="76"/>
      <c r="RDT57" s="76"/>
      <c r="RDU57" s="76"/>
      <c r="RDV57" s="76"/>
      <c r="RDW57" s="76"/>
      <c r="RDX57" s="76"/>
      <c r="RDY57" s="76"/>
      <c r="RDZ57" s="76"/>
      <c r="REA57" s="76"/>
      <c r="REB57" s="76"/>
      <c r="REC57" s="76"/>
      <c r="RED57" s="76"/>
      <c r="REE57" s="76"/>
      <c r="REF57" s="76"/>
      <c r="REG57" s="76"/>
      <c r="REH57" s="76"/>
      <c r="REI57" s="76"/>
      <c r="REJ57" s="76"/>
      <c r="REK57" s="76"/>
      <c r="REL57" s="76"/>
      <c r="REM57" s="76"/>
      <c r="REN57" s="76"/>
      <c r="REO57" s="76"/>
      <c r="REP57" s="76"/>
      <c r="REQ57" s="76"/>
      <c r="RER57" s="76"/>
      <c r="RES57" s="76"/>
      <c r="RET57" s="76"/>
      <c r="REU57" s="76"/>
      <c r="REV57" s="76"/>
      <c r="REW57" s="76"/>
      <c r="REX57" s="76"/>
      <c r="REY57" s="76"/>
      <c r="REZ57" s="76"/>
      <c r="RFA57" s="76"/>
      <c r="RFB57" s="76"/>
      <c r="RFC57" s="76"/>
      <c r="RFD57" s="76"/>
      <c r="RFE57" s="76"/>
      <c r="RFF57" s="76"/>
      <c r="RFG57" s="76"/>
      <c r="RFH57" s="76"/>
      <c r="RFI57" s="76"/>
      <c r="RFJ57" s="76"/>
      <c r="RFK57" s="76"/>
      <c r="RFL57" s="76"/>
      <c r="RFM57" s="76"/>
      <c r="RFN57" s="76"/>
      <c r="RFO57" s="76"/>
      <c r="RFP57" s="76"/>
      <c r="RFQ57" s="76"/>
      <c r="RFR57" s="76"/>
      <c r="RFS57" s="76"/>
      <c r="RFT57" s="76"/>
      <c r="RFU57" s="76"/>
      <c r="RFV57" s="76"/>
      <c r="RFW57" s="76"/>
      <c r="RFX57" s="76"/>
      <c r="RFY57" s="76"/>
      <c r="RFZ57" s="76"/>
      <c r="RGA57" s="76"/>
      <c r="RGB57" s="76"/>
      <c r="RGC57" s="76"/>
      <c r="RGD57" s="76"/>
      <c r="RGE57" s="76"/>
      <c r="RGF57" s="76"/>
      <c r="RGG57" s="76"/>
      <c r="RGH57" s="76"/>
      <c r="RGI57" s="76"/>
      <c r="RGJ57" s="76"/>
      <c r="RGK57" s="76"/>
      <c r="RGL57" s="76"/>
      <c r="RGM57" s="76"/>
      <c r="RGN57" s="76"/>
      <c r="RGO57" s="76"/>
      <c r="RGP57" s="76"/>
      <c r="RGQ57" s="76"/>
      <c r="RGR57" s="76"/>
      <c r="RGS57" s="76"/>
      <c r="RGT57" s="76"/>
      <c r="RGU57" s="76"/>
      <c r="RGV57" s="76"/>
      <c r="RGW57" s="76"/>
      <c r="RGX57" s="76"/>
      <c r="RGY57" s="76"/>
      <c r="RGZ57" s="76"/>
      <c r="RHA57" s="76"/>
      <c r="RHB57" s="76"/>
      <c r="RHC57" s="76"/>
      <c r="RHD57" s="76"/>
      <c r="RHE57" s="76"/>
      <c r="RHF57" s="76"/>
      <c r="RHG57" s="76"/>
      <c r="RHH57" s="76"/>
      <c r="RHI57" s="76"/>
      <c r="RHJ57" s="76"/>
      <c r="RHK57" s="76"/>
      <c r="RHL57" s="76"/>
      <c r="RHM57" s="76"/>
      <c r="RHN57" s="76"/>
      <c r="RHO57" s="76"/>
      <c r="RHP57" s="76"/>
      <c r="RHQ57" s="76"/>
      <c r="RHR57" s="76"/>
      <c r="RHS57" s="76"/>
      <c r="RHT57" s="76"/>
      <c r="RHU57" s="76"/>
      <c r="RHV57" s="76"/>
      <c r="RHW57" s="76"/>
      <c r="RHX57" s="76"/>
      <c r="RHY57" s="76"/>
      <c r="RHZ57" s="76"/>
      <c r="RIA57" s="76"/>
      <c r="RIB57" s="76"/>
      <c r="RIC57" s="76"/>
      <c r="RID57" s="76"/>
      <c r="RIE57" s="76"/>
      <c r="RIF57" s="76"/>
      <c r="RIG57" s="76"/>
      <c r="RIH57" s="76"/>
      <c r="RII57" s="76"/>
      <c r="RIJ57" s="76"/>
      <c r="RIK57" s="76"/>
      <c r="RIL57" s="76"/>
      <c r="RIM57" s="76"/>
      <c r="RIN57" s="76"/>
      <c r="RIO57" s="76"/>
      <c r="RIP57" s="76"/>
      <c r="RIQ57" s="76"/>
      <c r="RIR57" s="76"/>
      <c r="RIS57" s="76"/>
      <c r="RIT57" s="76"/>
      <c r="RIU57" s="76"/>
      <c r="RIV57" s="76"/>
      <c r="RIW57" s="76"/>
      <c r="RIX57" s="76"/>
      <c r="RIY57" s="76"/>
      <c r="RIZ57" s="76"/>
      <c r="RJA57" s="76"/>
      <c r="RJB57" s="76"/>
      <c r="RJC57" s="76"/>
      <c r="RJD57" s="76"/>
      <c r="RJE57" s="76"/>
      <c r="RJF57" s="76"/>
      <c r="RJG57" s="76"/>
      <c r="RJH57" s="76"/>
      <c r="RJI57" s="76"/>
      <c r="RJJ57" s="76"/>
      <c r="RJK57" s="76"/>
      <c r="RJL57" s="76"/>
      <c r="RJM57" s="76"/>
      <c r="RJN57" s="76"/>
      <c r="RJO57" s="76"/>
      <c r="RJP57" s="76"/>
      <c r="RJQ57" s="76"/>
      <c r="RJR57" s="76"/>
      <c r="RJS57" s="76"/>
      <c r="RJT57" s="76"/>
      <c r="RJU57" s="76"/>
      <c r="RJV57" s="76"/>
      <c r="RJW57" s="76"/>
      <c r="RJX57" s="76"/>
      <c r="RJY57" s="76"/>
      <c r="RJZ57" s="76"/>
      <c r="RKA57" s="76"/>
      <c r="RKB57" s="76"/>
      <c r="RKC57" s="76"/>
      <c r="RKD57" s="76"/>
      <c r="RKE57" s="76"/>
      <c r="RKF57" s="76"/>
      <c r="RKG57" s="76"/>
      <c r="RKH57" s="76"/>
      <c r="RKI57" s="76"/>
      <c r="RKJ57" s="76"/>
      <c r="RKK57" s="76"/>
      <c r="RKL57" s="76"/>
      <c r="RKM57" s="76"/>
      <c r="RKN57" s="76"/>
      <c r="RKO57" s="76"/>
      <c r="RKP57" s="76"/>
      <c r="RKQ57" s="76"/>
      <c r="RKR57" s="76"/>
      <c r="RKS57" s="76"/>
      <c r="RKT57" s="76"/>
      <c r="RKU57" s="76"/>
      <c r="RKV57" s="76"/>
      <c r="RKW57" s="76"/>
      <c r="RKX57" s="76"/>
      <c r="RKY57" s="76"/>
      <c r="RKZ57" s="76"/>
      <c r="RLA57" s="76"/>
      <c r="RLB57" s="76"/>
      <c r="RLC57" s="76"/>
      <c r="RLD57" s="76"/>
      <c r="RLE57" s="76"/>
      <c r="RLF57" s="76"/>
      <c r="RLG57" s="76"/>
      <c r="RLH57" s="76"/>
      <c r="RLI57" s="76"/>
      <c r="RLJ57" s="76"/>
      <c r="RLK57" s="76"/>
      <c r="RLL57" s="76"/>
      <c r="RLM57" s="76"/>
      <c r="RLN57" s="76"/>
      <c r="RLO57" s="76"/>
      <c r="RLP57" s="76"/>
      <c r="RLQ57" s="76"/>
      <c r="RLR57" s="76"/>
      <c r="RLS57" s="76"/>
      <c r="RLT57" s="76"/>
      <c r="RLU57" s="76"/>
      <c r="RLV57" s="76"/>
      <c r="RLW57" s="76"/>
      <c r="RLX57" s="76"/>
      <c r="RLY57" s="76"/>
      <c r="RLZ57" s="76"/>
      <c r="RMA57" s="76"/>
      <c r="RMB57" s="76"/>
      <c r="RMC57" s="76"/>
      <c r="RMD57" s="76"/>
      <c r="RME57" s="76"/>
      <c r="RMF57" s="76"/>
      <c r="RMG57" s="76"/>
      <c r="RMH57" s="76"/>
      <c r="RMI57" s="76"/>
      <c r="RMJ57" s="76"/>
      <c r="RMK57" s="76"/>
      <c r="RML57" s="76"/>
      <c r="RMM57" s="76"/>
      <c r="RMN57" s="76"/>
      <c r="RMO57" s="76"/>
      <c r="RMP57" s="76"/>
      <c r="RMQ57" s="76"/>
      <c r="RMR57" s="76"/>
      <c r="RMS57" s="76"/>
      <c r="RMT57" s="76"/>
      <c r="RMU57" s="76"/>
      <c r="RMV57" s="76"/>
      <c r="RMW57" s="76"/>
      <c r="RMX57" s="76"/>
      <c r="RMY57" s="76"/>
      <c r="RMZ57" s="76"/>
      <c r="RNA57" s="76"/>
      <c r="RNB57" s="76"/>
      <c r="RNC57" s="76"/>
      <c r="RND57" s="76"/>
      <c r="RNE57" s="76"/>
      <c r="RNF57" s="76"/>
      <c r="RNG57" s="76"/>
      <c r="RNH57" s="76"/>
      <c r="RNI57" s="76"/>
      <c r="RNJ57" s="76"/>
      <c r="RNK57" s="76"/>
      <c r="RNL57" s="76"/>
      <c r="RNM57" s="76"/>
      <c r="RNN57" s="76"/>
      <c r="RNO57" s="76"/>
      <c r="RNP57" s="76"/>
      <c r="RNQ57" s="76"/>
      <c r="RNR57" s="76"/>
      <c r="RNS57" s="76"/>
      <c r="RNT57" s="76"/>
      <c r="RNU57" s="76"/>
      <c r="RNV57" s="76"/>
      <c r="RNW57" s="76"/>
      <c r="RNX57" s="76"/>
      <c r="RNY57" s="76"/>
      <c r="RNZ57" s="76"/>
      <c r="ROA57" s="76"/>
      <c r="ROB57" s="76"/>
      <c r="ROC57" s="76"/>
      <c r="ROD57" s="76"/>
      <c r="ROE57" s="76"/>
      <c r="ROF57" s="76"/>
      <c r="ROG57" s="76"/>
      <c r="ROH57" s="76"/>
      <c r="ROI57" s="76"/>
      <c r="ROJ57" s="76"/>
      <c r="ROK57" s="76"/>
      <c r="ROL57" s="76"/>
      <c r="ROM57" s="76"/>
      <c r="RON57" s="76"/>
      <c r="ROO57" s="76"/>
      <c r="ROP57" s="76"/>
      <c r="ROQ57" s="76"/>
      <c r="ROR57" s="76"/>
      <c r="ROS57" s="76"/>
      <c r="ROT57" s="76"/>
      <c r="ROU57" s="76"/>
      <c r="ROV57" s="76"/>
      <c r="ROW57" s="76"/>
      <c r="ROX57" s="76"/>
      <c r="ROY57" s="76"/>
      <c r="ROZ57" s="76"/>
      <c r="RPA57" s="76"/>
      <c r="RPB57" s="76"/>
      <c r="RPC57" s="76"/>
      <c r="RPD57" s="76"/>
      <c r="RPE57" s="76"/>
      <c r="RPF57" s="76"/>
      <c r="RPG57" s="76"/>
      <c r="RPH57" s="76"/>
      <c r="RPI57" s="76"/>
      <c r="RPJ57" s="76"/>
      <c r="RPK57" s="76"/>
      <c r="RPL57" s="76"/>
      <c r="RPM57" s="76"/>
      <c r="RPN57" s="76"/>
      <c r="RPO57" s="76"/>
      <c r="RPP57" s="76"/>
      <c r="RPQ57" s="76"/>
      <c r="RPR57" s="76"/>
      <c r="RPS57" s="76"/>
      <c r="RPT57" s="76"/>
      <c r="RPU57" s="76"/>
      <c r="RPV57" s="76"/>
      <c r="RPW57" s="76"/>
      <c r="RPX57" s="76"/>
      <c r="RPY57" s="76"/>
      <c r="RPZ57" s="76"/>
      <c r="RQA57" s="76"/>
      <c r="RQB57" s="76"/>
      <c r="RQC57" s="76"/>
      <c r="RQD57" s="76"/>
      <c r="RQE57" s="76"/>
      <c r="RQF57" s="76"/>
      <c r="RQG57" s="76"/>
      <c r="RQH57" s="76"/>
      <c r="RQI57" s="76"/>
      <c r="RQJ57" s="76"/>
      <c r="RQK57" s="76"/>
      <c r="RQL57" s="76"/>
      <c r="RQM57" s="76"/>
      <c r="RQN57" s="76"/>
      <c r="RQO57" s="76"/>
      <c r="RQP57" s="76"/>
      <c r="RQQ57" s="76"/>
      <c r="RQR57" s="76"/>
      <c r="RQS57" s="76"/>
      <c r="RQT57" s="76"/>
      <c r="RQU57" s="76"/>
      <c r="RQV57" s="76"/>
      <c r="RQW57" s="76"/>
      <c r="RQX57" s="76"/>
      <c r="RQY57" s="76"/>
      <c r="RQZ57" s="76"/>
      <c r="RRA57" s="76"/>
      <c r="RRB57" s="76"/>
      <c r="RRC57" s="76"/>
      <c r="RRD57" s="76"/>
      <c r="RRE57" s="76"/>
      <c r="RRF57" s="76"/>
      <c r="RRG57" s="76"/>
      <c r="RRH57" s="76"/>
      <c r="RRI57" s="76"/>
      <c r="RRJ57" s="76"/>
      <c r="RRK57" s="76"/>
      <c r="RRL57" s="76"/>
      <c r="RRM57" s="76"/>
      <c r="RRN57" s="76"/>
      <c r="RRO57" s="76"/>
      <c r="RRP57" s="76"/>
      <c r="RRQ57" s="76"/>
      <c r="RRR57" s="76"/>
      <c r="RRS57" s="76"/>
      <c r="RRT57" s="76"/>
      <c r="RRU57" s="76"/>
      <c r="RRV57" s="76"/>
      <c r="RRW57" s="76"/>
      <c r="RRX57" s="76"/>
      <c r="RRY57" s="76"/>
      <c r="RRZ57" s="76"/>
      <c r="RSA57" s="76"/>
      <c r="RSB57" s="76"/>
      <c r="RSC57" s="76"/>
      <c r="RSD57" s="76"/>
      <c r="RSE57" s="76"/>
      <c r="RSF57" s="76"/>
      <c r="RSG57" s="76"/>
      <c r="RSH57" s="76"/>
      <c r="RSI57" s="76"/>
      <c r="RSJ57" s="76"/>
      <c r="RSK57" s="76"/>
      <c r="RSL57" s="76"/>
      <c r="RSM57" s="76"/>
      <c r="RSN57" s="76"/>
      <c r="RSO57" s="76"/>
      <c r="RSP57" s="76"/>
      <c r="RSQ57" s="76"/>
      <c r="RSR57" s="76"/>
      <c r="RSS57" s="76"/>
      <c r="RST57" s="76"/>
      <c r="RSU57" s="76"/>
      <c r="RSV57" s="76"/>
      <c r="RSW57" s="76"/>
      <c r="RSX57" s="76"/>
      <c r="RSY57" s="76"/>
      <c r="RSZ57" s="76"/>
      <c r="RTA57" s="76"/>
      <c r="RTB57" s="76"/>
      <c r="RTC57" s="76"/>
      <c r="RTD57" s="76"/>
      <c r="RTE57" s="76"/>
      <c r="RTF57" s="76"/>
      <c r="RTG57" s="76"/>
      <c r="RTH57" s="76"/>
      <c r="RTI57" s="76"/>
      <c r="RTJ57" s="76"/>
      <c r="RTK57" s="76"/>
      <c r="RTL57" s="76"/>
      <c r="RTM57" s="76"/>
      <c r="RTN57" s="76"/>
      <c r="RTO57" s="76"/>
      <c r="RTP57" s="76"/>
      <c r="RTQ57" s="76"/>
      <c r="RTR57" s="76"/>
      <c r="RTS57" s="76"/>
      <c r="RTT57" s="76"/>
      <c r="RTU57" s="76"/>
      <c r="RTV57" s="76"/>
      <c r="RTW57" s="76"/>
      <c r="RTX57" s="76"/>
      <c r="RTY57" s="76"/>
      <c r="RTZ57" s="76"/>
      <c r="RUA57" s="76"/>
      <c r="RUB57" s="76"/>
      <c r="RUC57" s="76"/>
      <c r="RUD57" s="76"/>
      <c r="RUE57" s="76"/>
      <c r="RUF57" s="76"/>
      <c r="RUG57" s="76"/>
      <c r="RUH57" s="76"/>
      <c r="RUI57" s="76"/>
      <c r="RUJ57" s="76"/>
      <c r="RUK57" s="76"/>
      <c r="RUL57" s="76"/>
      <c r="RUM57" s="76"/>
      <c r="RUN57" s="76"/>
      <c r="RUO57" s="76"/>
      <c r="RUP57" s="76"/>
      <c r="RUQ57" s="76"/>
      <c r="RUR57" s="76"/>
      <c r="RUS57" s="76"/>
      <c r="RUT57" s="76"/>
      <c r="RUU57" s="76"/>
      <c r="RUV57" s="76"/>
      <c r="RUW57" s="76"/>
      <c r="RUX57" s="76"/>
      <c r="RUY57" s="76"/>
      <c r="RUZ57" s="76"/>
      <c r="RVA57" s="76"/>
      <c r="RVB57" s="76"/>
      <c r="RVC57" s="76"/>
      <c r="RVD57" s="76"/>
      <c r="RVE57" s="76"/>
      <c r="RVF57" s="76"/>
      <c r="RVG57" s="76"/>
      <c r="RVH57" s="76"/>
      <c r="RVI57" s="76"/>
      <c r="RVJ57" s="76"/>
      <c r="RVK57" s="76"/>
      <c r="RVL57" s="76"/>
      <c r="RVM57" s="76"/>
      <c r="RVN57" s="76"/>
      <c r="RVO57" s="76"/>
      <c r="RVP57" s="76"/>
      <c r="RVQ57" s="76"/>
      <c r="RVR57" s="76"/>
      <c r="RVS57" s="76"/>
      <c r="RVT57" s="76"/>
      <c r="RVU57" s="76"/>
      <c r="RVV57" s="76"/>
      <c r="RVW57" s="76"/>
      <c r="RVX57" s="76"/>
      <c r="RVY57" s="76"/>
      <c r="RVZ57" s="76"/>
      <c r="RWA57" s="76"/>
      <c r="RWB57" s="76"/>
      <c r="RWC57" s="76"/>
      <c r="RWD57" s="76"/>
      <c r="RWE57" s="76"/>
      <c r="RWF57" s="76"/>
      <c r="RWG57" s="76"/>
      <c r="RWH57" s="76"/>
      <c r="RWI57" s="76"/>
      <c r="RWJ57" s="76"/>
      <c r="RWK57" s="76"/>
      <c r="RWL57" s="76"/>
      <c r="RWM57" s="76"/>
      <c r="RWN57" s="76"/>
      <c r="RWO57" s="76"/>
      <c r="RWP57" s="76"/>
      <c r="RWQ57" s="76"/>
      <c r="RWR57" s="76"/>
      <c r="RWS57" s="76"/>
      <c r="RWT57" s="76"/>
      <c r="RWU57" s="76"/>
      <c r="RWV57" s="76"/>
      <c r="RWW57" s="76"/>
      <c r="RWX57" s="76"/>
      <c r="RWY57" s="76"/>
      <c r="RWZ57" s="76"/>
      <c r="RXA57" s="76"/>
      <c r="RXB57" s="76"/>
      <c r="RXC57" s="76"/>
      <c r="RXD57" s="76"/>
      <c r="RXE57" s="76"/>
      <c r="RXF57" s="76"/>
      <c r="RXG57" s="76"/>
      <c r="RXH57" s="76"/>
      <c r="RXI57" s="76"/>
      <c r="RXJ57" s="76"/>
      <c r="RXK57" s="76"/>
      <c r="RXL57" s="76"/>
      <c r="RXM57" s="76"/>
      <c r="RXN57" s="76"/>
      <c r="RXO57" s="76"/>
      <c r="RXP57" s="76"/>
      <c r="RXQ57" s="76"/>
      <c r="RXR57" s="76"/>
      <c r="RXS57" s="76"/>
      <c r="RXT57" s="76"/>
      <c r="RXU57" s="76"/>
      <c r="RXV57" s="76"/>
      <c r="RXW57" s="76"/>
      <c r="RXX57" s="76"/>
      <c r="RXY57" s="76"/>
      <c r="RXZ57" s="76"/>
      <c r="RYA57" s="76"/>
      <c r="RYB57" s="76"/>
      <c r="RYC57" s="76"/>
      <c r="RYD57" s="76"/>
      <c r="RYE57" s="76"/>
      <c r="RYF57" s="76"/>
      <c r="RYG57" s="76"/>
      <c r="RYH57" s="76"/>
      <c r="RYI57" s="76"/>
      <c r="RYJ57" s="76"/>
      <c r="RYK57" s="76"/>
      <c r="RYL57" s="76"/>
      <c r="RYM57" s="76"/>
      <c r="RYN57" s="76"/>
      <c r="RYO57" s="76"/>
      <c r="RYP57" s="76"/>
      <c r="RYQ57" s="76"/>
      <c r="RYR57" s="76"/>
      <c r="RYS57" s="76"/>
      <c r="RYT57" s="76"/>
      <c r="RYU57" s="76"/>
      <c r="RYV57" s="76"/>
      <c r="RYW57" s="76"/>
      <c r="RYX57" s="76"/>
      <c r="RYY57" s="76"/>
      <c r="RYZ57" s="76"/>
      <c r="RZA57" s="76"/>
      <c r="RZB57" s="76"/>
      <c r="RZC57" s="76"/>
      <c r="RZD57" s="76"/>
      <c r="RZE57" s="76"/>
      <c r="RZF57" s="76"/>
      <c r="RZG57" s="76"/>
      <c r="RZH57" s="76"/>
      <c r="RZI57" s="76"/>
      <c r="RZJ57" s="76"/>
      <c r="RZK57" s="76"/>
      <c r="RZL57" s="76"/>
      <c r="RZM57" s="76"/>
      <c r="RZN57" s="76"/>
      <c r="RZO57" s="76"/>
      <c r="RZP57" s="76"/>
      <c r="RZQ57" s="76"/>
      <c r="RZR57" s="76"/>
      <c r="RZS57" s="76"/>
      <c r="RZT57" s="76"/>
      <c r="RZU57" s="76"/>
      <c r="RZV57" s="76"/>
      <c r="RZW57" s="76"/>
      <c r="RZX57" s="76"/>
      <c r="RZY57" s="76"/>
      <c r="RZZ57" s="76"/>
      <c r="SAA57" s="76"/>
      <c r="SAB57" s="76"/>
      <c r="SAC57" s="76"/>
      <c r="SAD57" s="76"/>
      <c r="SAE57" s="76"/>
      <c r="SAF57" s="76"/>
      <c r="SAG57" s="76"/>
      <c r="SAH57" s="76"/>
      <c r="SAI57" s="76"/>
      <c r="SAJ57" s="76"/>
      <c r="SAK57" s="76"/>
      <c r="SAL57" s="76"/>
      <c r="SAM57" s="76"/>
      <c r="SAN57" s="76"/>
      <c r="SAO57" s="76"/>
      <c r="SAP57" s="76"/>
      <c r="SAQ57" s="76"/>
      <c r="SAR57" s="76"/>
      <c r="SAS57" s="76"/>
      <c r="SAT57" s="76"/>
      <c r="SAU57" s="76"/>
      <c r="SAV57" s="76"/>
      <c r="SAW57" s="76"/>
      <c r="SAX57" s="76"/>
      <c r="SAY57" s="76"/>
      <c r="SAZ57" s="76"/>
      <c r="SBA57" s="76"/>
      <c r="SBB57" s="76"/>
      <c r="SBC57" s="76"/>
      <c r="SBD57" s="76"/>
      <c r="SBE57" s="76"/>
      <c r="SBF57" s="76"/>
      <c r="SBG57" s="76"/>
      <c r="SBH57" s="76"/>
      <c r="SBI57" s="76"/>
      <c r="SBJ57" s="76"/>
      <c r="SBK57" s="76"/>
      <c r="SBL57" s="76"/>
      <c r="SBM57" s="76"/>
      <c r="SBN57" s="76"/>
      <c r="SBO57" s="76"/>
      <c r="SBP57" s="76"/>
      <c r="SBQ57" s="76"/>
      <c r="SBR57" s="76"/>
      <c r="SBS57" s="76"/>
      <c r="SBT57" s="76"/>
      <c r="SBU57" s="76"/>
      <c r="SBV57" s="76"/>
      <c r="SBW57" s="76"/>
      <c r="SBX57" s="76"/>
      <c r="SBY57" s="76"/>
      <c r="SBZ57" s="76"/>
      <c r="SCA57" s="76"/>
      <c r="SCB57" s="76"/>
      <c r="SCC57" s="76"/>
      <c r="SCD57" s="76"/>
      <c r="SCE57" s="76"/>
      <c r="SCF57" s="76"/>
      <c r="SCG57" s="76"/>
      <c r="SCH57" s="76"/>
      <c r="SCI57" s="76"/>
      <c r="SCJ57" s="76"/>
      <c r="SCK57" s="76"/>
      <c r="SCL57" s="76"/>
      <c r="SCM57" s="76"/>
      <c r="SCN57" s="76"/>
      <c r="SCO57" s="76"/>
      <c r="SCP57" s="76"/>
      <c r="SCQ57" s="76"/>
      <c r="SCR57" s="76"/>
      <c r="SCS57" s="76"/>
      <c r="SCT57" s="76"/>
      <c r="SCU57" s="76"/>
      <c r="SCV57" s="76"/>
      <c r="SCW57" s="76"/>
      <c r="SCX57" s="76"/>
      <c r="SCY57" s="76"/>
      <c r="SCZ57" s="76"/>
      <c r="SDA57" s="76"/>
      <c r="SDB57" s="76"/>
      <c r="SDC57" s="76"/>
      <c r="SDD57" s="76"/>
      <c r="SDE57" s="76"/>
      <c r="SDF57" s="76"/>
      <c r="SDG57" s="76"/>
      <c r="SDH57" s="76"/>
      <c r="SDI57" s="76"/>
      <c r="SDJ57" s="76"/>
      <c r="SDK57" s="76"/>
      <c r="SDL57" s="76"/>
      <c r="SDM57" s="76"/>
      <c r="SDN57" s="76"/>
      <c r="SDO57" s="76"/>
      <c r="SDP57" s="76"/>
      <c r="SDQ57" s="76"/>
      <c r="SDR57" s="76"/>
      <c r="SDS57" s="76"/>
      <c r="SDT57" s="76"/>
      <c r="SDU57" s="76"/>
      <c r="SDV57" s="76"/>
      <c r="SDW57" s="76"/>
      <c r="SDX57" s="76"/>
      <c r="SDY57" s="76"/>
      <c r="SDZ57" s="76"/>
      <c r="SEA57" s="76"/>
      <c r="SEB57" s="76"/>
      <c r="SEC57" s="76"/>
      <c r="SED57" s="76"/>
      <c r="SEE57" s="76"/>
      <c r="SEF57" s="76"/>
      <c r="SEG57" s="76"/>
      <c r="SEH57" s="76"/>
      <c r="SEI57" s="76"/>
      <c r="SEJ57" s="76"/>
      <c r="SEK57" s="76"/>
      <c r="SEL57" s="76"/>
      <c r="SEM57" s="76"/>
      <c r="SEN57" s="76"/>
      <c r="SEO57" s="76"/>
      <c r="SEP57" s="76"/>
      <c r="SEQ57" s="76"/>
      <c r="SER57" s="76"/>
      <c r="SES57" s="76"/>
      <c r="SET57" s="76"/>
      <c r="SEU57" s="76"/>
      <c r="SEV57" s="76"/>
      <c r="SEW57" s="76"/>
      <c r="SEX57" s="76"/>
      <c r="SEY57" s="76"/>
      <c r="SEZ57" s="76"/>
      <c r="SFA57" s="76"/>
      <c r="SFB57" s="76"/>
      <c r="SFC57" s="76"/>
      <c r="SFD57" s="76"/>
      <c r="SFE57" s="76"/>
      <c r="SFF57" s="76"/>
      <c r="SFG57" s="76"/>
      <c r="SFH57" s="76"/>
      <c r="SFI57" s="76"/>
      <c r="SFJ57" s="76"/>
      <c r="SFK57" s="76"/>
      <c r="SFL57" s="76"/>
      <c r="SFM57" s="76"/>
      <c r="SFN57" s="76"/>
      <c r="SFO57" s="76"/>
      <c r="SFP57" s="76"/>
      <c r="SFQ57" s="76"/>
      <c r="SFR57" s="76"/>
      <c r="SFS57" s="76"/>
      <c r="SFT57" s="76"/>
      <c r="SFU57" s="76"/>
      <c r="SFV57" s="76"/>
      <c r="SFW57" s="76"/>
      <c r="SFX57" s="76"/>
      <c r="SFY57" s="76"/>
      <c r="SFZ57" s="76"/>
      <c r="SGA57" s="76"/>
      <c r="SGB57" s="76"/>
      <c r="SGC57" s="76"/>
      <c r="SGD57" s="76"/>
      <c r="SGE57" s="76"/>
      <c r="SGF57" s="76"/>
      <c r="SGG57" s="76"/>
      <c r="SGH57" s="76"/>
      <c r="SGI57" s="76"/>
      <c r="SGJ57" s="76"/>
      <c r="SGK57" s="76"/>
      <c r="SGL57" s="76"/>
      <c r="SGM57" s="76"/>
      <c r="SGN57" s="76"/>
      <c r="SGO57" s="76"/>
      <c r="SGP57" s="76"/>
      <c r="SGQ57" s="76"/>
      <c r="SGR57" s="76"/>
      <c r="SGS57" s="76"/>
      <c r="SGT57" s="76"/>
      <c r="SGU57" s="76"/>
      <c r="SGV57" s="76"/>
      <c r="SGW57" s="76"/>
      <c r="SGX57" s="76"/>
      <c r="SGY57" s="76"/>
      <c r="SGZ57" s="76"/>
      <c r="SHA57" s="76"/>
      <c r="SHB57" s="76"/>
      <c r="SHC57" s="76"/>
      <c r="SHD57" s="76"/>
      <c r="SHE57" s="76"/>
      <c r="SHF57" s="76"/>
      <c r="SHG57" s="76"/>
      <c r="SHH57" s="76"/>
      <c r="SHI57" s="76"/>
      <c r="SHJ57" s="76"/>
      <c r="SHK57" s="76"/>
      <c r="SHL57" s="76"/>
      <c r="SHM57" s="76"/>
      <c r="SHN57" s="76"/>
      <c r="SHO57" s="76"/>
      <c r="SHP57" s="76"/>
      <c r="SHQ57" s="76"/>
      <c r="SHR57" s="76"/>
      <c r="SHS57" s="76"/>
      <c r="SHT57" s="76"/>
      <c r="SHU57" s="76"/>
      <c r="SHV57" s="76"/>
      <c r="SHW57" s="76"/>
      <c r="SHX57" s="76"/>
      <c r="SHY57" s="76"/>
      <c r="SHZ57" s="76"/>
      <c r="SIA57" s="76"/>
      <c r="SIB57" s="76"/>
      <c r="SIC57" s="76"/>
      <c r="SID57" s="76"/>
      <c r="SIE57" s="76"/>
      <c r="SIF57" s="76"/>
      <c r="SIG57" s="76"/>
      <c r="SIH57" s="76"/>
      <c r="SII57" s="76"/>
      <c r="SIJ57" s="76"/>
      <c r="SIK57" s="76"/>
      <c r="SIL57" s="76"/>
      <c r="SIM57" s="76"/>
      <c r="SIN57" s="76"/>
      <c r="SIO57" s="76"/>
      <c r="SIP57" s="76"/>
      <c r="SIQ57" s="76"/>
      <c r="SIR57" s="76"/>
      <c r="SIS57" s="76"/>
      <c r="SIT57" s="76"/>
      <c r="SIU57" s="76"/>
      <c r="SIV57" s="76"/>
      <c r="SIW57" s="76"/>
      <c r="SIX57" s="76"/>
      <c r="SIY57" s="76"/>
      <c r="SIZ57" s="76"/>
      <c r="SJA57" s="76"/>
      <c r="SJB57" s="76"/>
      <c r="SJC57" s="76"/>
      <c r="SJD57" s="76"/>
      <c r="SJE57" s="76"/>
      <c r="SJF57" s="76"/>
      <c r="SJG57" s="76"/>
      <c r="SJH57" s="76"/>
      <c r="SJI57" s="76"/>
      <c r="SJJ57" s="76"/>
      <c r="SJK57" s="76"/>
      <c r="SJL57" s="76"/>
      <c r="SJM57" s="76"/>
      <c r="SJN57" s="76"/>
      <c r="SJO57" s="76"/>
      <c r="SJP57" s="76"/>
      <c r="SJQ57" s="76"/>
      <c r="SJR57" s="76"/>
      <c r="SJS57" s="76"/>
      <c r="SJT57" s="76"/>
      <c r="SJU57" s="76"/>
      <c r="SJV57" s="76"/>
      <c r="SJW57" s="76"/>
      <c r="SJX57" s="76"/>
      <c r="SJY57" s="76"/>
      <c r="SJZ57" s="76"/>
      <c r="SKA57" s="76"/>
      <c r="SKB57" s="76"/>
      <c r="SKC57" s="76"/>
      <c r="SKD57" s="76"/>
      <c r="SKE57" s="76"/>
      <c r="SKF57" s="76"/>
      <c r="SKG57" s="76"/>
      <c r="SKH57" s="76"/>
      <c r="SKI57" s="76"/>
      <c r="SKJ57" s="76"/>
      <c r="SKK57" s="76"/>
      <c r="SKL57" s="76"/>
      <c r="SKM57" s="76"/>
      <c r="SKN57" s="76"/>
      <c r="SKO57" s="76"/>
      <c r="SKP57" s="76"/>
      <c r="SKQ57" s="76"/>
      <c r="SKR57" s="76"/>
      <c r="SKS57" s="76"/>
      <c r="SKT57" s="76"/>
      <c r="SKU57" s="76"/>
      <c r="SKV57" s="76"/>
      <c r="SKW57" s="76"/>
      <c r="SKX57" s="76"/>
      <c r="SKY57" s="76"/>
      <c r="SKZ57" s="76"/>
      <c r="SLA57" s="76"/>
      <c r="SLB57" s="76"/>
      <c r="SLC57" s="76"/>
      <c r="SLD57" s="76"/>
      <c r="SLE57" s="76"/>
      <c r="SLF57" s="76"/>
      <c r="SLG57" s="76"/>
      <c r="SLH57" s="76"/>
      <c r="SLI57" s="76"/>
      <c r="SLJ57" s="76"/>
      <c r="SLK57" s="76"/>
      <c r="SLL57" s="76"/>
      <c r="SLM57" s="76"/>
      <c r="SLN57" s="76"/>
      <c r="SLO57" s="76"/>
      <c r="SLP57" s="76"/>
      <c r="SLQ57" s="76"/>
      <c r="SLR57" s="76"/>
      <c r="SLS57" s="76"/>
      <c r="SLT57" s="76"/>
      <c r="SLU57" s="76"/>
      <c r="SLV57" s="76"/>
      <c r="SLW57" s="76"/>
      <c r="SLX57" s="76"/>
      <c r="SLY57" s="76"/>
      <c r="SLZ57" s="76"/>
      <c r="SMA57" s="76"/>
      <c r="SMB57" s="76"/>
      <c r="SMC57" s="76"/>
      <c r="SMD57" s="76"/>
      <c r="SME57" s="76"/>
      <c r="SMF57" s="76"/>
      <c r="SMG57" s="76"/>
      <c r="SMH57" s="76"/>
      <c r="SMI57" s="76"/>
      <c r="SMJ57" s="76"/>
      <c r="SMK57" s="76"/>
      <c r="SML57" s="76"/>
      <c r="SMM57" s="76"/>
      <c r="SMN57" s="76"/>
      <c r="SMO57" s="76"/>
      <c r="SMP57" s="76"/>
      <c r="SMQ57" s="76"/>
      <c r="SMR57" s="76"/>
      <c r="SMS57" s="76"/>
      <c r="SMT57" s="76"/>
      <c r="SMU57" s="76"/>
      <c r="SMV57" s="76"/>
      <c r="SMW57" s="76"/>
      <c r="SMX57" s="76"/>
      <c r="SMY57" s="76"/>
      <c r="SMZ57" s="76"/>
      <c r="SNA57" s="76"/>
      <c r="SNB57" s="76"/>
      <c r="SNC57" s="76"/>
      <c r="SND57" s="76"/>
      <c r="SNE57" s="76"/>
      <c r="SNF57" s="76"/>
      <c r="SNG57" s="76"/>
      <c r="SNH57" s="76"/>
      <c r="SNI57" s="76"/>
      <c r="SNJ57" s="76"/>
      <c r="SNK57" s="76"/>
      <c r="SNL57" s="76"/>
      <c r="SNM57" s="76"/>
      <c r="SNN57" s="76"/>
      <c r="SNO57" s="76"/>
      <c r="SNP57" s="76"/>
      <c r="SNQ57" s="76"/>
      <c r="SNR57" s="76"/>
      <c r="SNS57" s="76"/>
      <c r="SNT57" s="76"/>
      <c r="SNU57" s="76"/>
      <c r="SNV57" s="76"/>
      <c r="SNW57" s="76"/>
      <c r="SNX57" s="76"/>
      <c r="SNY57" s="76"/>
      <c r="SNZ57" s="76"/>
      <c r="SOA57" s="76"/>
      <c r="SOB57" s="76"/>
      <c r="SOC57" s="76"/>
      <c r="SOD57" s="76"/>
      <c r="SOE57" s="76"/>
      <c r="SOF57" s="76"/>
      <c r="SOG57" s="76"/>
      <c r="SOH57" s="76"/>
      <c r="SOI57" s="76"/>
      <c r="SOJ57" s="76"/>
      <c r="SOK57" s="76"/>
      <c r="SOL57" s="76"/>
      <c r="SOM57" s="76"/>
      <c r="SON57" s="76"/>
      <c r="SOO57" s="76"/>
      <c r="SOP57" s="76"/>
      <c r="SOQ57" s="76"/>
      <c r="SOR57" s="76"/>
      <c r="SOS57" s="76"/>
      <c r="SOT57" s="76"/>
      <c r="SOU57" s="76"/>
      <c r="SOV57" s="76"/>
      <c r="SOW57" s="76"/>
      <c r="SOX57" s="76"/>
      <c r="SOY57" s="76"/>
      <c r="SOZ57" s="76"/>
      <c r="SPA57" s="76"/>
      <c r="SPB57" s="76"/>
      <c r="SPC57" s="76"/>
      <c r="SPD57" s="76"/>
      <c r="SPE57" s="76"/>
      <c r="SPF57" s="76"/>
      <c r="SPG57" s="76"/>
      <c r="SPH57" s="76"/>
      <c r="SPI57" s="76"/>
      <c r="SPJ57" s="76"/>
      <c r="SPK57" s="76"/>
      <c r="SPL57" s="76"/>
      <c r="SPM57" s="76"/>
      <c r="SPN57" s="76"/>
      <c r="SPO57" s="76"/>
      <c r="SPP57" s="76"/>
      <c r="SPQ57" s="76"/>
      <c r="SPR57" s="76"/>
      <c r="SPS57" s="76"/>
      <c r="SPT57" s="76"/>
      <c r="SPU57" s="76"/>
      <c r="SPV57" s="76"/>
      <c r="SPW57" s="76"/>
      <c r="SPX57" s="76"/>
      <c r="SPY57" s="76"/>
      <c r="SPZ57" s="76"/>
      <c r="SQA57" s="76"/>
      <c r="SQB57" s="76"/>
      <c r="SQC57" s="76"/>
      <c r="SQD57" s="76"/>
      <c r="SQE57" s="76"/>
      <c r="SQF57" s="76"/>
      <c r="SQG57" s="76"/>
      <c r="SQH57" s="76"/>
      <c r="SQI57" s="76"/>
      <c r="SQJ57" s="76"/>
      <c r="SQK57" s="76"/>
      <c r="SQL57" s="76"/>
      <c r="SQM57" s="76"/>
      <c r="SQN57" s="76"/>
      <c r="SQO57" s="76"/>
      <c r="SQP57" s="76"/>
      <c r="SQQ57" s="76"/>
      <c r="SQR57" s="76"/>
      <c r="SQS57" s="76"/>
      <c r="SQT57" s="76"/>
      <c r="SQU57" s="76"/>
      <c r="SQV57" s="76"/>
      <c r="SQW57" s="76"/>
      <c r="SQX57" s="76"/>
      <c r="SQY57" s="76"/>
      <c r="SQZ57" s="76"/>
      <c r="SRA57" s="76"/>
      <c r="SRB57" s="76"/>
      <c r="SRC57" s="76"/>
      <c r="SRD57" s="76"/>
      <c r="SRE57" s="76"/>
      <c r="SRF57" s="76"/>
      <c r="SRG57" s="76"/>
      <c r="SRH57" s="76"/>
      <c r="SRI57" s="76"/>
      <c r="SRJ57" s="76"/>
      <c r="SRK57" s="76"/>
      <c r="SRL57" s="76"/>
      <c r="SRM57" s="76"/>
      <c r="SRN57" s="76"/>
      <c r="SRO57" s="76"/>
      <c r="SRP57" s="76"/>
      <c r="SRQ57" s="76"/>
      <c r="SRR57" s="76"/>
      <c r="SRS57" s="76"/>
      <c r="SRT57" s="76"/>
      <c r="SRU57" s="76"/>
      <c r="SRV57" s="76"/>
      <c r="SRW57" s="76"/>
      <c r="SRX57" s="76"/>
      <c r="SRY57" s="76"/>
      <c r="SRZ57" s="76"/>
      <c r="SSA57" s="76"/>
      <c r="SSB57" s="76"/>
      <c r="SSC57" s="76"/>
      <c r="SSD57" s="76"/>
      <c r="SSE57" s="76"/>
      <c r="SSF57" s="76"/>
      <c r="SSG57" s="76"/>
      <c r="SSH57" s="76"/>
      <c r="SSI57" s="76"/>
      <c r="SSJ57" s="76"/>
      <c r="SSK57" s="76"/>
      <c r="SSL57" s="76"/>
      <c r="SSM57" s="76"/>
      <c r="SSN57" s="76"/>
      <c r="SSO57" s="76"/>
      <c r="SSP57" s="76"/>
      <c r="SSQ57" s="76"/>
      <c r="SSR57" s="76"/>
      <c r="SSS57" s="76"/>
      <c r="SST57" s="76"/>
      <c r="SSU57" s="76"/>
      <c r="SSV57" s="76"/>
      <c r="SSW57" s="76"/>
      <c r="SSX57" s="76"/>
      <c r="SSY57" s="76"/>
      <c r="SSZ57" s="76"/>
      <c r="STA57" s="76"/>
      <c r="STB57" s="76"/>
      <c r="STC57" s="76"/>
      <c r="STD57" s="76"/>
      <c r="STE57" s="76"/>
      <c r="STF57" s="76"/>
      <c r="STG57" s="76"/>
      <c r="STH57" s="76"/>
      <c r="STI57" s="76"/>
      <c r="STJ57" s="76"/>
      <c r="STK57" s="76"/>
      <c r="STL57" s="76"/>
      <c r="STM57" s="76"/>
      <c r="STN57" s="76"/>
      <c r="STO57" s="76"/>
      <c r="STP57" s="76"/>
      <c r="STQ57" s="76"/>
      <c r="STR57" s="76"/>
      <c r="STS57" s="76"/>
      <c r="STT57" s="76"/>
      <c r="STU57" s="76"/>
      <c r="STV57" s="76"/>
      <c r="STW57" s="76"/>
      <c r="STX57" s="76"/>
      <c r="STY57" s="76"/>
      <c r="STZ57" s="76"/>
      <c r="SUA57" s="76"/>
      <c r="SUB57" s="76"/>
      <c r="SUC57" s="76"/>
      <c r="SUD57" s="76"/>
      <c r="SUE57" s="76"/>
      <c r="SUF57" s="76"/>
      <c r="SUG57" s="76"/>
      <c r="SUH57" s="76"/>
      <c r="SUI57" s="76"/>
      <c r="SUJ57" s="76"/>
      <c r="SUK57" s="76"/>
      <c r="SUL57" s="76"/>
      <c r="SUM57" s="76"/>
      <c r="SUN57" s="76"/>
      <c r="SUO57" s="76"/>
      <c r="SUP57" s="76"/>
      <c r="SUQ57" s="76"/>
      <c r="SUR57" s="76"/>
      <c r="SUS57" s="76"/>
      <c r="SUT57" s="76"/>
      <c r="SUU57" s="76"/>
      <c r="SUV57" s="76"/>
      <c r="SUW57" s="76"/>
      <c r="SUX57" s="76"/>
      <c r="SUY57" s="76"/>
      <c r="SUZ57" s="76"/>
      <c r="SVA57" s="76"/>
      <c r="SVB57" s="76"/>
      <c r="SVC57" s="76"/>
      <c r="SVD57" s="76"/>
      <c r="SVE57" s="76"/>
      <c r="SVF57" s="76"/>
      <c r="SVG57" s="76"/>
      <c r="SVH57" s="76"/>
      <c r="SVI57" s="76"/>
      <c r="SVJ57" s="76"/>
      <c r="SVK57" s="76"/>
      <c r="SVL57" s="76"/>
      <c r="SVM57" s="76"/>
      <c r="SVN57" s="76"/>
      <c r="SVO57" s="76"/>
      <c r="SVP57" s="76"/>
      <c r="SVQ57" s="76"/>
      <c r="SVR57" s="76"/>
      <c r="SVS57" s="76"/>
      <c r="SVT57" s="76"/>
      <c r="SVU57" s="76"/>
      <c r="SVV57" s="76"/>
      <c r="SVW57" s="76"/>
      <c r="SVX57" s="76"/>
      <c r="SVY57" s="76"/>
      <c r="SVZ57" s="76"/>
      <c r="SWA57" s="76"/>
      <c r="SWB57" s="76"/>
      <c r="SWC57" s="76"/>
      <c r="SWD57" s="76"/>
      <c r="SWE57" s="76"/>
      <c r="SWF57" s="76"/>
      <c r="SWG57" s="76"/>
      <c r="SWH57" s="76"/>
      <c r="SWI57" s="76"/>
      <c r="SWJ57" s="76"/>
      <c r="SWK57" s="76"/>
      <c r="SWL57" s="76"/>
      <c r="SWM57" s="76"/>
      <c r="SWN57" s="76"/>
      <c r="SWO57" s="76"/>
      <c r="SWP57" s="76"/>
      <c r="SWQ57" s="76"/>
      <c r="SWR57" s="76"/>
      <c r="SWS57" s="76"/>
      <c r="SWT57" s="76"/>
      <c r="SWU57" s="76"/>
      <c r="SWV57" s="76"/>
      <c r="SWW57" s="76"/>
      <c r="SWX57" s="76"/>
      <c r="SWY57" s="76"/>
      <c r="SWZ57" s="76"/>
      <c r="SXA57" s="76"/>
      <c r="SXB57" s="76"/>
      <c r="SXC57" s="76"/>
      <c r="SXD57" s="76"/>
      <c r="SXE57" s="76"/>
      <c r="SXF57" s="76"/>
      <c r="SXG57" s="76"/>
      <c r="SXH57" s="76"/>
      <c r="SXI57" s="76"/>
      <c r="SXJ57" s="76"/>
      <c r="SXK57" s="76"/>
      <c r="SXL57" s="76"/>
      <c r="SXM57" s="76"/>
      <c r="SXN57" s="76"/>
      <c r="SXO57" s="76"/>
      <c r="SXP57" s="76"/>
      <c r="SXQ57" s="76"/>
      <c r="SXR57" s="76"/>
      <c r="SXS57" s="76"/>
      <c r="SXT57" s="76"/>
      <c r="SXU57" s="76"/>
      <c r="SXV57" s="76"/>
      <c r="SXW57" s="76"/>
      <c r="SXX57" s="76"/>
      <c r="SXY57" s="76"/>
      <c r="SXZ57" s="76"/>
      <c r="SYA57" s="76"/>
      <c r="SYB57" s="76"/>
      <c r="SYC57" s="76"/>
      <c r="SYD57" s="76"/>
      <c r="SYE57" s="76"/>
      <c r="SYF57" s="76"/>
      <c r="SYG57" s="76"/>
      <c r="SYH57" s="76"/>
      <c r="SYI57" s="76"/>
      <c r="SYJ57" s="76"/>
      <c r="SYK57" s="76"/>
      <c r="SYL57" s="76"/>
      <c r="SYM57" s="76"/>
      <c r="SYN57" s="76"/>
      <c r="SYO57" s="76"/>
      <c r="SYP57" s="76"/>
      <c r="SYQ57" s="76"/>
      <c r="SYR57" s="76"/>
      <c r="SYS57" s="76"/>
      <c r="SYT57" s="76"/>
      <c r="SYU57" s="76"/>
      <c r="SYV57" s="76"/>
      <c r="SYW57" s="76"/>
      <c r="SYX57" s="76"/>
      <c r="SYY57" s="76"/>
      <c r="SYZ57" s="76"/>
      <c r="SZA57" s="76"/>
      <c r="SZB57" s="76"/>
      <c r="SZC57" s="76"/>
      <c r="SZD57" s="76"/>
      <c r="SZE57" s="76"/>
      <c r="SZF57" s="76"/>
      <c r="SZG57" s="76"/>
      <c r="SZH57" s="76"/>
      <c r="SZI57" s="76"/>
      <c r="SZJ57" s="76"/>
      <c r="SZK57" s="76"/>
      <c r="SZL57" s="76"/>
      <c r="SZM57" s="76"/>
      <c r="SZN57" s="76"/>
      <c r="SZO57" s="76"/>
      <c r="SZP57" s="76"/>
      <c r="SZQ57" s="76"/>
      <c r="SZR57" s="76"/>
      <c r="SZS57" s="76"/>
      <c r="SZT57" s="76"/>
      <c r="SZU57" s="76"/>
      <c r="SZV57" s="76"/>
      <c r="SZW57" s="76"/>
      <c r="SZX57" s="76"/>
      <c r="SZY57" s="76"/>
      <c r="SZZ57" s="76"/>
      <c r="TAA57" s="76"/>
      <c r="TAB57" s="76"/>
      <c r="TAC57" s="76"/>
      <c r="TAD57" s="76"/>
      <c r="TAE57" s="76"/>
      <c r="TAF57" s="76"/>
      <c r="TAG57" s="76"/>
      <c r="TAH57" s="76"/>
      <c r="TAI57" s="76"/>
      <c r="TAJ57" s="76"/>
      <c r="TAK57" s="76"/>
      <c r="TAL57" s="76"/>
      <c r="TAM57" s="76"/>
      <c r="TAN57" s="76"/>
      <c r="TAO57" s="76"/>
      <c r="TAP57" s="76"/>
      <c r="TAQ57" s="76"/>
      <c r="TAR57" s="76"/>
      <c r="TAS57" s="76"/>
      <c r="TAT57" s="76"/>
      <c r="TAU57" s="76"/>
      <c r="TAV57" s="76"/>
      <c r="TAW57" s="76"/>
      <c r="TAX57" s="76"/>
      <c r="TAY57" s="76"/>
      <c r="TAZ57" s="76"/>
      <c r="TBA57" s="76"/>
      <c r="TBB57" s="76"/>
      <c r="TBC57" s="76"/>
      <c r="TBD57" s="76"/>
      <c r="TBE57" s="76"/>
      <c r="TBF57" s="76"/>
      <c r="TBG57" s="76"/>
      <c r="TBH57" s="76"/>
      <c r="TBI57" s="76"/>
      <c r="TBJ57" s="76"/>
      <c r="TBK57" s="76"/>
      <c r="TBL57" s="76"/>
      <c r="TBM57" s="76"/>
      <c r="TBN57" s="76"/>
      <c r="TBO57" s="76"/>
      <c r="TBP57" s="76"/>
      <c r="TBQ57" s="76"/>
      <c r="TBR57" s="76"/>
      <c r="TBS57" s="76"/>
      <c r="TBT57" s="76"/>
      <c r="TBU57" s="76"/>
      <c r="TBV57" s="76"/>
      <c r="TBW57" s="76"/>
      <c r="TBX57" s="76"/>
      <c r="TBY57" s="76"/>
      <c r="TBZ57" s="76"/>
      <c r="TCA57" s="76"/>
      <c r="TCB57" s="76"/>
      <c r="TCC57" s="76"/>
      <c r="TCD57" s="76"/>
      <c r="TCE57" s="76"/>
      <c r="TCF57" s="76"/>
      <c r="TCG57" s="76"/>
      <c r="TCH57" s="76"/>
      <c r="TCI57" s="76"/>
      <c r="TCJ57" s="76"/>
      <c r="TCK57" s="76"/>
      <c r="TCL57" s="76"/>
      <c r="TCM57" s="76"/>
      <c r="TCN57" s="76"/>
      <c r="TCO57" s="76"/>
      <c r="TCP57" s="76"/>
      <c r="TCQ57" s="76"/>
      <c r="TCR57" s="76"/>
      <c r="TCS57" s="76"/>
      <c r="TCT57" s="76"/>
      <c r="TCU57" s="76"/>
      <c r="TCV57" s="76"/>
      <c r="TCW57" s="76"/>
      <c r="TCX57" s="76"/>
      <c r="TCY57" s="76"/>
      <c r="TCZ57" s="76"/>
      <c r="TDA57" s="76"/>
      <c r="TDB57" s="76"/>
      <c r="TDC57" s="76"/>
      <c r="TDD57" s="76"/>
      <c r="TDE57" s="76"/>
      <c r="TDF57" s="76"/>
      <c r="TDG57" s="76"/>
      <c r="TDH57" s="76"/>
      <c r="TDI57" s="76"/>
      <c r="TDJ57" s="76"/>
      <c r="TDK57" s="76"/>
      <c r="TDL57" s="76"/>
      <c r="TDM57" s="76"/>
      <c r="TDN57" s="76"/>
      <c r="TDO57" s="76"/>
      <c r="TDP57" s="76"/>
      <c r="TDQ57" s="76"/>
      <c r="TDR57" s="76"/>
      <c r="TDS57" s="76"/>
      <c r="TDT57" s="76"/>
      <c r="TDU57" s="76"/>
      <c r="TDV57" s="76"/>
      <c r="TDW57" s="76"/>
      <c r="TDX57" s="76"/>
      <c r="TDY57" s="76"/>
      <c r="TDZ57" s="76"/>
      <c r="TEA57" s="76"/>
      <c r="TEB57" s="76"/>
      <c r="TEC57" s="76"/>
      <c r="TED57" s="76"/>
      <c r="TEE57" s="76"/>
      <c r="TEF57" s="76"/>
      <c r="TEG57" s="76"/>
      <c r="TEH57" s="76"/>
      <c r="TEI57" s="76"/>
      <c r="TEJ57" s="76"/>
      <c r="TEK57" s="76"/>
      <c r="TEL57" s="76"/>
      <c r="TEM57" s="76"/>
      <c r="TEN57" s="76"/>
      <c r="TEO57" s="76"/>
      <c r="TEP57" s="76"/>
      <c r="TEQ57" s="76"/>
      <c r="TER57" s="76"/>
      <c r="TES57" s="76"/>
      <c r="TET57" s="76"/>
      <c r="TEU57" s="76"/>
      <c r="TEV57" s="76"/>
      <c r="TEW57" s="76"/>
      <c r="TEX57" s="76"/>
      <c r="TEY57" s="76"/>
      <c r="TEZ57" s="76"/>
      <c r="TFA57" s="76"/>
      <c r="TFB57" s="76"/>
      <c r="TFC57" s="76"/>
      <c r="TFD57" s="76"/>
      <c r="TFE57" s="76"/>
      <c r="TFF57" s="76"/>
      <c r="TFG57" s="76"/>
      <c r="TFH57" s="76"/>
      <c r="TFI57" s="76"/>
      <c r="TFJ57" s="76"/>
      <c r="TFK57" s="76"/>
      <c r="TFL57" s="76"/>
      <c r="TFM57" s="76"/>
      <c r="TFN57" s="76"/>
      <c r="TFO57" s="76"/>
      <c r="TFP57" s="76"/>
      <c r="TFQ57" s="76"/>
      <c r="TFR57" s="76"/>
      <c r="TFS57" s="76"/>
      <c r="TFT57" s="76"/>
      <c r="TFU57" s="76"/>
      <c r="TFV57" s="76"/>
      <c r="TFW57" s="76"/>
      <c r="TFX57" s="76"/>
      <c r="TFY57" s="76"/>
      <c r="TFZ57" s="76"/>
      <c r="TGA57" s="76"/>
      <c r="TGB57" s="76"/>
      <c r="TGC57" s="76"/>
      <c r="TGD57" s="76"/>
      <c r="TGE57" s="76"/>
      <c r="TGF57" s="76"/>
      <c r="TGG57" s="76"/>
      <c r="TGH57" s="76"/>
      <c r="TGI57" s="76"/>
      <c r="TGJ57" s="76"/>
      <c r="TGK57" s="76"/>
      <c r="TGL57" s="76"/>
      <c r="TGM57" s="76"/>
      <c r="TGN57" s="76"/>
      <c r="TGO57" s="76"/>
      <c r="TGP57" s="76"/>
      <c r="TGQ57" s="76"/>
      <c r="TGR57" s="76"/>
      <c r="TGS57" s="76"/>
      <c r="TGT57" s="76"/>
      <c r="TGU57" s="76"/>
      <c r="TGV57" s="76"/>
      <c r="TGW57" s="76"/>
      <c r="TGX57" s="76"/>
      <c r="TGY57" s="76"/>
      <c r="TGZ57" s="76"/>
      <c r="THA57" s="76"/>
      <c r="THB57" s="76"/>
      <c r="THC57" s="76"/>
      <c r="THD57" s="76"/>
      <c r="THE57" s="76"/>
      <c r="THF57" s="76"/>
      <c r="THG57" s="76"/>
      <c r="THH57" s="76"/>
      <c r="THI57" s="76"/>
      <c r="THJ57" s="76"/>
      <c r="THK57" s="76"/>
      <c r="THL57" s="76"/>
      <c r="THM57" s="76"/>
      <c r="THN57" s="76"/>
      <c r="THO57" s="76"/>
      <c r="THP57" s="76"/>
      <c r="THQ57" s="76"/>
      <c r="THR57" s="76"/>
      <c r="THS57" s="76"/>
      <c r="THT57" s="76"/>
      <c r="THU57" s="76"/>
      <c r="THV57" s="76"/>
      <c r="THW57" s="76"/>
      <c r="THX57" s="76"/>
      <c r="THY57" s="76"/>
      <c r="THZ57" s="76"/>
      <c r="TIA57" s="76"/>
      <c r="TIB57" s="76"/>
      <c r="TIC57" s="76"/>
      <c r="TID57" s="76"/>
      <c r="TIE57" s="76"/>
      <c r="TIF57" s="76"/>
      <c r="TIG57" s="76"/>
      <c r="TIH57" s="76"/>
      <c r="TII57" s="76"/>
      <c r="TIJ57" s="76"/>
      <c r="TIK57" s="76"/>
      <c r="TIL57" s="76"/>
      <c r="TIM57" s="76"/>
      <c r="TIN57" s="76"/>
      <c r="TIO57" s="76"/>
      <c r="TIP57" s="76"/>
      <c r="TIQ57" s="76"/>
      <c r="TIR57" s="76"/>
      <c r="TIS57" s="76"/>
      <c r="TIT57" s="76"/>
      <c r="TIU57" s="76"/>
      <c r="TIV57" s="76"/>
      <c r="TIW57" s="76"/>
      <c r="TIX57" s="76"/>
      <c r="TIY57" s="76"/>
      <c r="TIZ57" s="76"/>
      <c r="TJA57" s="76"/>
      <c r="TJB57" s="76"/>
      <c r="TJC57" s="76"/>
      <c r="TJD57" s="76"/>
      <c r="TJE57" s="76"/>
      <c r="TJF57" s="76"/>
      <c r="TJG57" s="76"/>
      <c r="TJH57" s="76"/>
      <c r="TJI57" s="76"/>
      <c r="TJJ57" s="76"/>
      <c r="TJK57" s="76"/>
      <c r="TJL57" s="76"/>
      <c r="TJM57" s="76"/>
      <c r="TJN57" s="76"/>
      <c r="TJO57" s="76"/>
      <c r="TJP57" s="76"/>
      <c r="TJQ57" s="76"/>
      <c r="TJR57" s="76"/>
      <c r="TJS57" s="76"/>
      <c r="TJT57" s="76"/>
      <c r="TJU57" s="76"/>
      <c r="TJV57" s="76"/>
      <c r="TJW57" s="76"/>
      <c r="TJX57" s="76"/>
      <c r="TJY57" s="76"/>
      <c r="TJZ57" s="76"/>
      <c r="TKA57" s="76"/>
      <c r="TKB57" s="76"/>
      <c r="TKC57" s="76"/>
      <c r="TKD57" s="76"/>
      <c r="TKE57" s="76"/>
      <c r="TKF57" s="76"/>
      <c r="TKG57" s="76"/>
      <c r="TKH57" s="76"/>
      <c r="TKI57" s="76"/>
      <c r="TKJ57" s="76"/>
      <c r="TKK57" s="76"/>
      <c r="TKL57" s="76"/>
      <c r="TKM57" s="76"/>
      <c r="TKN57" s="76"/>
      <c r="TKO57" s="76"/>
      <c r="TKP57" s="76"/>
      <c r="TKQ57" s="76"/>
      <c r="TKR57" s="76"/>
      <c r="TKS57" s="76"/>
      <c r="TKT57" s="76"/>
      <c r="TKU57" s="76"/>
      <c r="TKV57" s="76"/>
      <c r="TKW57" s="76"/>
      <c r="TKX57" s="76"/>
      <c r="TKY57" s="76"/>
      <c r="TKZ57" s="76"/>
      <c r="TLA57" s="76"/>
      <c r="TLB57" s="76"/>
      <c r="TLC57" s="76"/>
      <c r="TLD57" s="76"/>
      <c r="TLE57" s="76"/>
      <c r="TLF57" s="76"/>
      <c r="TLG57" s="76"/>
      <c r="TLH57" s="76"/>
      <c r="TLI57" s="76"/>
      <c r="TLJ57" s="76"/>
      <c r="TLK57" s="76"/>
      <c r="TLL57" s="76"/>
      <c r="TLM57" s="76"/>
      <c r="TLN57" s="76"/>
      <c r="TLO57" s="76"/>
      <c r="TLP57" s="76"/>
      <c r="TLQ57" s="76"/>
      <c r="TLR57" s="76"/>
      <c r="TLS57" s="76"/>
      <c r="TLT57" s="76"/>
      <c r="TLU57" s="76"/>
      <c r="TLV57" s="76"/>
      <c r="TLW57" s="76"/>
      <c r="TLX57" s="76"/>
      <c r="TLY57" s="76"/>
      <c r="TLZ57" s="76"/>
      <c r="TMA57" s="76"/>
      <c r="TMB57" s="76"/>
      <c r="TMC57" s="76"/>
      <c r="TMD57" s="76"/>
      <c r="TME57" s="76"/>
      <c r="TMF57" s="76"/>
      <c r="TMG57" s="76"/>
      <c r="TMH57" s="76"/>
      <c r="TMI57" s="76"/>
      <c r="TMJ57" s="76"/>
      <c r="TMK57" s="76"/>
      <c r="TML57" s="76"/>
      <c r="TMM57" s="76"/>
      <c r="TMN57" s="76"/>
      <c r="TMO57" s="76"/>
      <c r="TMP57" s="76"/>
      <c r="TMQ57" s="76"/>
      <c r="TMR57" s="76"/>
      <c r="TMS57" s="76"/>
      <c r="TMT57" s="76"/>
      <c r="TMU57" s="76"/>
      <c r="TMV57" s="76"/>
      <c r="TMW57" s="76"/>
      <c r="TMX57" s="76"/>
      <c r="TMY57" s="76"/>
      <c r="TMZ57" s="76"/>
      <c r="TNA57" s="76"/>
      <c r="TNB57" s="76"/>
      <c r="TNC57" s="76"/>
      <c r="TND57" s="76"/>
      <c r="TNE57" s="76"/>
      <c r="TNF57" s="76"/>
      <c r="TNG57" s="76"/>
      <c r="TNH57" s="76"/>
      <c r="TNI57" s="76"/>
      <c r="TNJ57" s="76"/>
      <c r="TNK57" s="76"/>
      <c r="TNL57" s="76"/>
      <c r="TNM57" s="76"/>
      <c r="TNN57" s="76"/>
      <c r="TNO57" s="76"/>
      <c r="TNP57" s="76"/>
      <c r="TNQ57" s="76"/>
      <c r="TNR57" s="76"/>
      <c r="TNS57" s="76"/>
      <c r="TNT57" s="76"/>
      <c r="TNU57" s="76"/>
      <c r="TNV57" s="76"/>
      <c r="TNW57" s="76"/>
      <c r="TNX57" s="76"/>
      <c r="TNY57" s="76"/>
      <c r="TNZ57" s="76"/>
      <c r="TOA57" s="76"/>
      <c r="TOB57" s="76"/>
      <c r="TOC57" s="76"/>
      <c r="TOD57" s="76"/>
      <c r="TOE57" s="76"/>
      <c r="TOF57" s="76"/>
      <c r="TOG57" s="76"/>
      <c r="TOH57" s="76"/>
      <c r="TOI57" s="76"/>
      <c r="TOJ57" s="76"/>
      <c r="TOK57" s="76"/>
      <c r="TOL57" s="76"/>
      <c r="TOM57" s="76"/>
      <c r="TON57" s="76"/>
      <c r="TOO57" s="76"/>
      <c r="TOP57" s="76"/>
      <c r="TOQ57" s="76"/>
      <c r="TOR57" s="76"/>
      <c r="TOS57" s="76"/>
      <c r="TOT57" s="76"/>
      <c r="TOU57" s="76"/>
      <c r="TOV57" s="76"/>
      <c r="TOW57" s="76"/>
      <c r="TOX57" s="76"/>
      <c r="TOY57" s="76"/>
      <c r="TOZ57" s="76"/>
      <c r="TPA57" s="76"/>
      <c r="TPB57" s="76"/>
      <c r="TPC57" s="76"/>
      <c r="TPD57" s="76"/>
      <c r="TPE57" s="76"/>
      <c r="TPF57" s="76"/>
      <c r="TPG57" s="76"/>
      <c r="TPH57" s="76"/>
      <c r="TPI57" s="76"/>
      <c r="TPJ57" s="76"/>
      <c r="TPK57" s="76"/>
      <c r="TPL57" s="76"/>
      <c r="TPM57" s="76"/>
      <c r="TPN57" s="76"/>
      <c r="TPO57" s="76"/>
      <c r="TPP57" s="76"/>
      <c r="TPQ57" s="76"/>
      <c r="TPR57" s="76"/>
      <c r="TPS57" s="76"/>
      <c r="TPT57" s="76"/>
      <c r="TPU57" s="76"/>
      <c r="TPV57" s="76"/>
      <c r="TPW57" s="76"/>
      <c r="TPX57" s="76"/>
      <c r="TPY57" s="76"/>
      <c r="TPZ57" s="76"/>
      <c r="TQA57" s="76"/>
      <c r="TQB57" s="76"/>
      <c r="TQC57" s="76"/>
      <c r="TQD57" s="76"/>
      <c r="TQE57" s="76"/>
      <c r="TQF57" s="76"/>
      <c r="TQG57" s="76"/>
      <c r="TQH57" s="76"/>
      <c r="TQI57" s="76"/>
      <c r="TQJ57" s="76"/>
      <c r="TQK57" s="76"/>
      <c r="TQL57" s="76"/>
      <c r="TQM57" s="76"/>
      <c r="TQN57" s="76"/>
      <c r="TQO57" s="76"/>
      <c r="TQP57" s="76"/>
      <c r="TQQ57" s="76"/>
      <c r="TQR57" s="76"/>
      <c r="TQS57" s="76"/>
      <c r="TQT57" s="76"/>
      <c r="TQU57" s="76"/>
      <c r="TQV57" s="76"/>
      <c r="TQW57" s="76"/>
      <c r="TQX57" s="76"/>
      <c r="TQY57" s="76"/>
      <c r="TQZ57" s="76"/>
      <c r="TRA57" s="76"/>
      <c r="TRB57" s="76"/>
      <c r="TRC57" s="76"/>
      <c r="TRD57" s="76"/>
      <c r="TRE57" s="76"/>
      <c r="TRF57" s="76"/>
      <c r="TRG57" s="76"/>
      <c r="TRH57" s="76"/>
      <c r="TRI57" s="76"/>
      <c r="TRJ57" s="76"/>
      <c r="TRK57" s="76"/>
      <c r="TRL57" s="76"/>
      <c r="TRM57" s="76"/>
      <c r="TRN57" s="76"/>
      <c r="TRO57" s="76"/>
      <c r="TRP57" s="76"/>
      <c r="TRQ57" s="76"/>
      <c r="TRR57" s="76"/>
      <c r="TRS57" s="76"/>
      <c r="TRT57" s="76"/>
      <c r="TRU57" s="76"/>
      <c r="TRV57" s="76"/>
      <c r="TRW57" s="76"/>
      <c r="TRX57" s="76"/>
      <c r="TRY57" s="76"/>
      <c r="TRZ57" s="76"/>
      <c r="TSA57" s="76"/>
      <c r="TSB57" s="76"/>
      <c r="TSC57" s="76"/>
      <c r="TSD57" s="76"/>
      <c r="TSE57" s="76"/>
      <c r="TSF57" s="76"/>
      <c r="TSG57" s="76"/>
      <c r="TSH57" s="76"/>
      <c r="TSI57" s="76"/>
      <c r="TSJ57" s="76"/>
      <c r="TSK57" s="76"/>
      <c r="TSL57" s="76"/>
      <c r="TSM57" s="76"/>
      <c r="TSN57" s="76"/>
      <c r="TSO57" s="76"/>
      <c r="TSP57" s="76"/>
      <c r="TSQ57" s="76"/>
      <c r="TSR57" s="76"/>
      <c r="TSS57" s="76"/>
      <c r="TST57" s="76"/>
      <c r="TSU57" s="76"/>
      <c r="TSV57" s="76"/>
      <c r="TSW57" s="76"/>
      <c r="TSX57" s="76"/>
      <c r="TSY57" s="76"/>
      <c r="TSZ57" s="76"/>
      <c r="TTA57" s="76"/>
      <c r="TTB57" s="76"/>
      <c r="TTC57" s="76"/>
      <c r="TTD57" s="76"/>
      <c r="TTE57" s="76"/>
      <c r="TTF57" s="76"/>
      <c r="TTG57" s="76"/>
      <c r="TTH57" s="76"/>
      <c r="TTI57" s="76"/>
      <c r="TTJ57" s="76"/>
      <c r="TTK57" s="76"/>
      <c r="TTL57" s="76"/>
      <c r="TTM57" s="76"/>
      <c r="TTN57" s="76"/>
      <c r="TTO57" s="76"/>
      <c r="TTP57" s="76"/>
      <c r="TTQ57" s="76"/>
      <c r="TTR57" s="76"/>
      <c r="TTS57" s="76"/>
      <c r="TTT57" s="76"/>
      <c r="TTU57" s="76"/>
      <c r="TTV57" s="76"/>
      <c r="TTW57" s="76"/>
      <c r="TTX57" s="76"/>
      <c r="TTY57" s="76"/>
      <c r="TTZ57" s="76"/>
      <c r="TUA57" s="76"/>
      <c r="TUB57" s="76"/>
      <c r="TUC57" s="76"/>
      <c r="TUD57" s="76"/>
      <c r="TUE57" s="76"/>
      <c r="TUF57" s="76"/>
      <c r="TUG57" s="76"/>
      <c r="TUH57" s="76"/>
      <c r="TUI57" s="76"/>
      <c r="TUJ57" s="76"/>
      <c r="TUK57" s="76"/>
      <c r="TUL57" s="76"/>
      <c r="TUM57" s="76"/>
      <c r="TUN57" s="76"/>
      <c r="TUO57" s="76"/>
      <c r="TUP57" s="76"/>
      <c r="TUQ57" s="76"/>
      <c r="TUR57" s="76"/>
      <c r="TUS57" s="76"/>
      <c r="TUT57" s="76"/>
      <c r="TUU57" s="76"/>
      <c r="TUV57" s="76"/>
      <c r="TUW57" s="76"/>
      <c r="TUX57" s="76"/>
      <c r="TUY57" s="76"/>
      <c r="TUZ57" s="76"/>
      <c r="TVA57" s="76"/>
      <c r="TVB57" s="76"/>
      <c r="TVC57" s="76"/>
      <c r="TVD57" s="76"/>
      <c r="TVE57" s="76"/>
      <c r="TVF57" s="76"/>
      <c r="TVG57" s="76"/>
      <c r="TVH57" s="76"/>
      <c r="TVI57" s="76"/>
      <c r="TVJ57" s="76"/>
      <c r="TVK57" s="76"/>
      <c r="TVL57" s="76"/>
      <c r="TVM57" s="76"/>
      <c r="TVN57" s="76"/>
      <c r="TVO57" s="76"/>
      <c r="TVP57" s="76"/>
      <c r="TVQ57" s="76"/>
      <c r="TVR57" s="76"/>
      <c r="TVS57" s="76"/>
      <c r="TVT57" s="76"/>
      <c r="TVU57" s="76"/>
      <c r="TVV57" s="76"/>
      <c r="TVW57" s="76"/>
      <c r="TVX57" s="76"/>
      <c r="TVY57" s="76"/>
      <c r="TVZ57" s="76"/>
      <c r="TWA57" s="76"/>
      <c r="TWB57" s="76"/>
      <c r="TWC57" s="76"/>
      <c r="TWD57" s="76"/>
      <c r="TWE57" s="76"/>
      <c r="TWF57" s="76"/>
      <c r="TWG57" s="76"/>
      <c r="TWH57" s="76"/>
      <c r="TWI57" s="76"/>
      <c r="TWJ57" s="76"/>
      <c r="TWK57" s="76"/>
      <c r="TWL57" s="76"/>
      <c r="TWM57" s="76"/>
      <c r="TWN57" s="76"/>
      <c r="TWO57" s="76"/>
      <c r="TWP57" s="76"/>
      <c r="TWQ57" s="76"/>
      <c r="TWR57" s="76"/>
      <c r="TWS57" s="76"/>
      <c r="TWT57" s="76"/>
      <c r="TWU57" s="76"/>
      <c r="TWV57" s="76"/>
      <c r="TWW57" s="76"/>
      <c r="TWX57" s="76"/>
      <c r="TWY57" s="76"/>
      <c r="TWZ57" s="76"/>
      <c r="TXA57" s="76"/>
      <c r="TXB57" s="76"/>
      <c r="TXC57" s="76"/>
      <c r="TXD57" s="76"/>
      <c r="TXE57" s="76"/>
      <c r="TXF57" s="76"/>
      <c r="TXG57" s="76"/>
      <c r="TXH57" s="76"/>
      <c r="TXI57" s="76"/>
      <c r="TXJ57" s="76"/>
      <c r="TXK57" s="76"/>
      <c r="TXL57" s="76"/>
      <c r="TXM57" s="76"/>
      <c r="TXN57" s="76"/>
      <c r="TXO57" s="76"/>
      <c r="TXP57" s="76"/>
      <c r="TXQ57" s="76"/>
      <c r="TXR57" s="76"/>
      <c r="TXS57" s="76"/>
      <c r="TXT57" s="76"/>
      <c r="TXU57" s="76"/>
      <c r="TXV57" s="76"/>
      <c r="TXW57" s="76"/>
      <c r="TXX57" s="76"/>
      <c r="TXY57" s="76"/>
      <c r="TXZ57" s="76"/>
      <c r="TYA57" s="76"/>
      <c r="TYB57" s="76"/>
      <c r="TYC57" s="76"/>
      <c r="TYD57" s="76"/>
      <c r="TYE57" s="76"/>
      <c r="TYF57" s="76"/>
      <c r="TYG57" s="76"/>
      <c r="TYH57" s="76"/>
      <c r="TYI57" s="76"/>
      <c r="TYJ57" s="76"/>
      <c r="TYK57" s="76"/>
      <c r="TYL57" s="76"/>
      <c r="TYM57" s="76"/>
      <c r="TYN57" s="76"/>
      <c r="TYO57" s="76"/>
      <c r="TYP57" s="76"/>
      <c r="TYQ57" s="76"/>
      <c r="TYR57" s="76"/>
      <c r="TYS57" s="76"/>
      <c r="TYT57" s="76"/>
      <c r="TYU57" s="76"/>
      <c r="TYV57" s="76"/>
      <c r="TYW57" s="76"/>
      <c r="TYX57" s="76"/>
      <c r="TYY57" s="76"/>
      <c r="TYZ57" s="76"/>
      <c r="TZA57" s="76"/>
      <c r="TZB57" s="76"/>
      <c r="TZC57" s="76"/>
      <c r="TZD57" s="76"/>
      <c r="TZE57" s="76"/>
      <c r="TZF57" s="76"/>
      <c r="TZG57" s="76"/>
      <c r="TZH57" s="76"/>
      <c r="TZI57" s="76"/>
      <c r="TZJ57" s="76"/>
      <c r="TZK57" s="76"/>
      <c r="TZL57" s="76"/>
      <c r="TZM57" s="76"/>
      <c r="TZN57" s="76"/>
      <c r="TZO57" s="76"/>
      <c r="TZP57" s="76"/>
      <c r="TZQ57" s="76"/>
      <c r="TZR57" s="76"/>
      <c r="TZS57" s="76"/>
      <c r="TZT57" s="76"/>
      <c r="TZU57" s="76"/>
      <c r="TZV57" s="76"/>
      <c r="TZW57" s="76"/>
      <c r="TZX57" s="76"/>
      <c r="TZY57" s="76"/>
      <c r="TZZ57" s="76"/>
      <c r="UAA57" s="76"/>
      <c r="UAB57" s="76"/>
      <c r="UAC57" s="76"/>
      <c r="UAD57" s="76"/>
      <c r="UAE57" s="76"/>
      <c r="UAF57" s="76"/>
      <c r="UAG57" s="76"/>
      <c r="UAH57" s="76"/>
      <c r="UAI57" s="76"/>
      <c r="UAJ57" s="76"/>
      <c r="UAK57" s="76"/>
      <c r="UAL57" s="76"/>
      <c r="UAM57" s="76"/>
      <c r="UAN57" s="76"/>
      <c r="UAO57" s="76"/>
      <c r="UAP57" s="76"/>
      <c r="UAQ57" s="76"/>
      <c r="UAR57" s="76"/>
      <c r="UAS57" s="76"/>
      <c r="UAT57" s="76"/>
      <c r="UAU57" s="76"/>
      <c r="UAV57" s="76"/>
      <c r="UAW57" s="76"/>
      <c r="UAX57" s="76"/>
      <c r="UAY57" s="76"/>
      <c r="UAZ57" s="76"/>
      <c r="UBA57" s="76"/>
      <c r="UBB57" s="76"/>
      <c r="UBC57" s="76"/>
      <c r="UBD57" s="76"/>
      <c r="UBE57" s="76"/>
      <c r="UBF57" s="76"/>
      <c r="UBG57" s="76"/>
      <c r="UBH57" s="76"/>
      <c r="UBI57" s="76"/>
      <c r="UBJ57" s="76"/>
      <c r="UBK57" s="76"/>
      <c r="UBL57" s="76"/>
      <c r="UBM57" s="76"/>
      <c r="UBN57" s="76"/>
      <c r="UBO57" s="76"/>
      <c r="UBP57" s="76"/>
      <c r="UBQ57" s="76"/>
      <c r="UBR57" s="76"/>
      <c r="UBS57" s="76"/>
      <c r="UBT57" s="76"/>
      <c r="UBU57" s="76"/>
      <c r="UBV57" s="76"/>
      <c r="UBW57" s="76"/>
      <c r="UBX57" s="76"/>
      <c r="UBY57" s="76"/>
      <c r="UBZ57" s="76"/>
      <c r="UCA57" s="76"/>
      <c r="UCB57" s="76"/>
      <c r="UCC57" s="76"/>
      <c r="UCD57" s="76"/>
      <c r="UCE57" s="76"/>
      <c r="UCF57" s="76"/>
      <c r="UCG57" s="76"/>
      <c r="UCH57" s="76"/>
      <c r="UCI57" s="76"/>
      <c r="UCJ57" s="76"/>
      <c r="UCK57" s="76"/>
      <c r="UCL57" s="76"/>
      <c r="UCM57" s="76"/>
      <c r="UCN57" s="76"/>
      <c r="UCO57" s="76"/>
      <c r="UCP57" s="76"/>
      <c r="UCQ57" s="76"/>
      <c r="UCR57" s="76"/>
      <c r="UCS57" s="76"/>
      <c r="UCT57" s="76"/>
      <c r="UCU57" s="76"/>
      <c r="UCV57" s="76"/>
      <c r="UCW57" s="76"/>
      <c r="UCX57" s="76"/>
      <c r="UCY57" s="76"/>
      <c r="UCZ57" s="76"/>
      <c r="UDA57" s="76"/>
      <c r="UDB57" s="76"/>
      <c r="UDC57" s="76"/>
      <c r="UDD57" s="76"/>
      <c r="UDE57" s="76"/>
      <c r="UDF57" s="76"/>
      <c r="UDG57" s="76"/>
      <c r="UDH57" s="76"/>
      <c r="UDI57" s="76"/>
      <c r="UDJ57" s="76"/>
      <c r="UDK57" s="76"/>
      <c r="UDL57" s="76"/>
      <c r="UDM57" s="76"/>
      <c r="UDN57" s="76"/>
      <c r="UDO57" s="76"/>
      <c r="UDP57" s="76"/>
      <c r="UDQ57" s="76"/>
      <c r="UDR57" s="76"/>
      <c r="UDS57" s="76"/>
      <c r="UDT57" s="76"/>
      <c r="UDU57" s="76"/>
      <c r="UDV57" s="76"/>
      <c r="UDW57" s="76"/>
      <c r="UDX57" s="76"/>
      <c r="UDY57" s="76"/>
      <c r="UDZ57" s="76"/>
      <c r="UEA57" s="76"/>
      <c r="UEB57" s="76"/>
      <c r="UEC57" s="76"/>
      <c r="UED57" s="76"/>
      <c r="UEE57" s="76"/>
      <c r="UEF57" s="76"/>
      <c r="UEG57" s="76"/>
      <c r="UEH57" s="76"/>
      <c r="UEI57" s="76"/>
      <c r="UEJ57" s="76"/>
      <c r="UEK57" s="76"/>
      <c r="UEL57" s="76"/>
      <c r="UEM57" s="76"/>
      <c r="UEN57" s="76"/>
      <c r="UEO57" s="76"/>
      <c r="UEP57" s="76"/>
      <c r="UEQ57" s="76"/>
      <c r="UER57" s="76"/>
      <c r="UES57" s="76"/>
      <c r="UET57" s="76"/>
      <c r="UEU57" s="76"/>
      <c r="UEV57" s="76"/>
      <c r="UEW57" s="76"/>
      <c r="UEX57" s="76"/>
      <c r="UEY57" s="76"/>
      <c r="UEZ57" s="76"/>
      <c r="UFA57" s="76"/>
      <c r="UFB57" s="76"/>
      <c r="UFC57" s="76"/>
      <c r="UFD57" s="76"/>
      <c r="UFE57" s="76"/>
      <c r="UFF57" s="76"/>
      <c r="UFG57" s="76"/>
      <c r="UFH57" s="76"/>
      <c r="UFI57" s="76"/>
      <c r="UFJ57" s="76"/>
      <c r="UFK57" s="76"/>
      <c r="UFL57" s="76"/>
      <c r="UFM57" s="76"/>
      <c r="UFN57" s="76"/>
      <c r="UFO57" s="76"/>
      <c r="UFP57" s="76"/>
      <c r="UFQ57" s="76"/>
      <c r="UFR57" s="76"/>
      <c r="UFS57" s="76"/>
      <c r="UFT57" s="76"/>
      <c r="UFU57" s="76"/>
      <c r="UFV57" s="76"/>
      <c r="UFW57" s="76"/>
      <c r="UFX57" s="76"/>
      <c r="UFY57" s="76"/>
      <c r="UFZ57" s="76"/>
      <c r="UGA57" s="76"/>
      <c r="UGB57" s="76"/>
      <c r="UGC57" s="76"/>
      <c r="UGD57" s="76"/>
      <c r="UGE57" s="76"/>
      <c r="UGF57" s="76"/>
      <c r="UGG57" s="76"/>
      <c r="UGH57" s="76"/>
      <c r="UGI57" s="76"/>
      <c r="UGJ57" s="76"/>
      <c r="UGK57" s="76"/>
      <c r="UGL57" s="76"/>
      <c r="UGM57" s="76"/>
      <c r="UGN57" s="76"/>
      <c r="UGO57" s="76"/>
      <c r="UGP57" s="76"/>
      <c r="UGQ57" s="76"/>
      <c r="UGR57" s="76"/>
      <c r="UGS57" s="76"/>
      <c r="UGT57" s="76"/>
      <c r="UGU57" s="76"/>
      <c r="UGV57" s="76"/>
      <c r="UGW57" s="76"/>
      <c r="UGX57" s="76"/>
      <c r="UGY57" s="76"/>
      <c r="UGZ57" s="76"/>
      <c r="UHA57" s="76"/>
      <c r="UHB57" s="76"/>
      <c r="UHC57" s="76"/>
      <c r="UHD57" s="76"/>
      <c r="UHE57" s="76"/>
      <c r="UHF57" s="76"/>
      <c r="UHG57" s="76"/>
      <c r="UHH57" s="76"/>
      <c r="UHI57" s="76"/>
      <c r="UHJ57" s="76"/>
      <c r="UHK57" s="76"/>
      <c r="UHL57" s="76"/>
      <c r="UHM57" s="76"/>
      <c r="UHN57" s="76"/>
      <c r="UHO57" s="76"/>
      <c r="UHP57" s="76"/>
      <c r="UHQ57" s="76"/>
      <c r="UHR57" s="76"/>
      <c r="UHS57" s="76"/>
      <c r="UHT57" s="76"/>
      <c r="UHU57" s="76"/>
      <c r="UHV57" s="76"/>
      <c r="UHW57" s="76"/>
      <c r="UHX57" s="76"/>
      <c r="UHY57" s="76"/>
      <c r="UHZ57" s="76"/>
      <c r="UIA57" s="76"/>
      <c r="UIB57" s="76"/>
      <c r="UIC57" s="76"/>
      <c r="UID57" s="76"/>
      <c r="UIE57" s="76"/>
      <c r="UIF57" s="76"/>
      <c r="UIG57" s="76"/>
      <c r="UIH57" s="76"/>
      <c r="UII57" s="76"/>
      <c r="UIJ57" s="76"/>
      <c r="UIK57" s="76"/>
      <c r="UIL57" s="76"/>
      <c r="UIM57" s="76"/>
      <c r="UIN57" s="76"/>
      <c r="UIO57" s="76"/>
      <c r="UIP57" s="76"/>
      <c r="UIQ57" s="76"/>
      <c r="UIR57" s="76"/>
      <c r="UIS57" s="76"/>
      <c r="UIT57" s="76"/>
      <c r="UIU57" s="76"/>
      <c r="UIV57" s="76"/>
      <c r="UIW57" s="76"/>
      <c r="UIX57" s="76"/>
      <c r="UIY57" s="76"/>
      <c r="UIZ57" s="76"/>
      <c r="UJA57" s="76"/>
      <c r="UJB57" s="76"/>
      <c r="UJC57" s="76"/>
      <c r="UJD57" s="76"/>
      <c r="UJE57" s="76"/>
      <c r="UJF57" s="76"/>
      <c r="UJG57" s="76"/>
      <c r="UJH57" s="76"/>
      <c r="UJI57" s="76"/>
      <c r="UJJ57" s="76"/>
      <c r="UJK57" s="76"/>
      <c r="UJL57" s="76"/>
      <c r="UJM57" s="76"/>
      <c r="UJN57" s="76"/>
      <c r="UJO57" s="76"/>
      <c r="UJP57" s="76"/>
      <c r="UJQ57" s="76"/>
      <c r="UJR57" s="76"/>
      <c r="UJS57" s="76"/>
      <c r="UJT57" s="76"/>
      <c r="UJU57" s="76"/>
      <c r="UJV57" s="76"/>
      <c r="UJW57" s="76"/>
      <c r="UJX57" s="76"/>
      <c r="UJY57" s="76"/>
      <c r="UJZ57" s="76"/>
      <c r="UKA57" s="76"/>
      <c r="UKB57" s="76"/>
      <c r="UKC57" s="76"/>
      <c r="UKD57" s="76"/>
      <c r="UKE57" s="76"/>
      <c r="UKF57" s="76"/>
      <c r="UKG57" s="76"/>
      <c r="UKH57" s="76"/>
      <c r="UKI57" s="76"/>
      <c r="UKJ57" s="76"/>
      <c r="UKK57" s="76"/>
      <c r="UKL57" s="76"/>
      <c r="UKM57" s="76"/>
      <c r="UKN57" s="76"/>
      <c r="UKO57" s="76"/>
      <c r="UKP57" s="76"/>
      <c r="UKQ57" s="76"/>
      <c r="UKR57" s="76"/>
      <c r="UKS57" s="76"/>
      <c r="UKT57" s="76"/>
      <c r="UKU57" s="76"/>
      <c r="UKV57" s="76"/>
      <c r="UKW57" s="76"/>
      <c r="UKX57" s="76"/>
      <c r="UKY57" s="76"/>
      <c r="UKZ57" s="76"/>
      <c r="ULA57" s="76"/>
      <c r="ULB57" s="76"/>
      <c r="ULC57" s="76"/>
      <c r="ULD57" s="76"/>
      <c r="ULE57" s="76"/>
      <c r="ULF57" s="76"/>
      <c r="ULG57" s="76"/>
      <c r="ULH57" s="76"/>
      <c r="ULI57" s="76"/>
      <c r="ULJ57" s="76"/>
      <c r="ULK57" s="76"/>
      <c r="ULL57" s="76"/>
      <c r="ULM57" s="76"/>
      <c r="ULN57" s="76"/>
      <c r="ULO57" s="76"/>
      <c r="ULP57" s="76"/>
      <c r="ULQ57" s="76"/>
      <c r="ULR57" s="76"/>
      <c r="ULS57" s="76"/>
      <c r="ULT57" s="76"/>
      <c r="ULU57" s="76"/>
      <c r="ULV57" s="76"/>
      <c r="ULW57" s="76"/>
      <c r="ULX57" s="76"/>
      <c r="ULY57" s="76"/>
      <c r="ULZ57" s="76"/>
      <c r="UMA57" s="76"/>
      <c r="UMB57" s="76"/>
      <c r="UMC57" s="76"/>
      <c r="UMD57" s="76"/>
      <c r="UME57" s="76"/>
      <c r="UMF57" s="76"/>
      <c r="UMG57" s="76"/>
      <c r="UMH57" s="76"/>
      <c r="UMI57" s="76"/>
      <c r="UMJ57" s="76"/>
      <c r="UMK57" s="76"/>
      <c r="UML57" s="76"/>
      <c r="UMM57" s="76"/>
      <c r="UMN57" s="76"/>
      <c r="UMO57" s="76"/>
      <c r="UMP57" s="76"/>
      <c r="UMQ57" s="76"/>
      <c r="UMR57" s="76"/>
      <c r="UMS57" s="76"/>
      <c r="UMT57" s="76"/>
      <c r="UMU57" s="76"/>
      <c r="UMV57" s="76"/>
      <c r="UMW57" s="76"/>
      <c r="UMX57" s="76"/>
      <c r="UMY57" s="76"/>
      <c r="UMZ57" s="76"/>
      <c r="UNA57" s="76"/>
      <c r="UNB57" s="76"/>
      <c r="UNC57" s="76"/>
      <c r="UND57" s="76"/>
      <c r="UNE57" s="76"/>
      <c r="UNF57" s="76"/>
      <c r="UNG57" s="76"/>
      <c r="UNH57" s="76"/>
      <c r="UNI57" s="76"/>
      <c r="UNJ57" s="76"/>
      <c r="UNK57" s="76"/>
      <c r="UNL57" s="76"/>
      <c r="UNM57" s="76"/>
      <c r="UNN57" s="76"/>
      <c r="UNO57" s="76"/>
      <c r="UNP57" s="76"/>
      <c r="UNQ57" s="76"/>
      <c r="UNR57" s="76"/>
      <c r="UNS57" s="76"/>
      <c r="UNT57" s="76"/>
      <c r="UNU57" s="76"/>
      <c r="UNV57" s="76"/>
      <c r="UNW57" s="76"/>
      <c r="UNX57" s="76"/>
      <c r="UNY57" s="76"/>
      <c r="UNZ57" s="76"/>
      <c r="UOA57" s="76"/>
      <c r="UOB57" s="76"/>
      <c r="UOC57" s="76"/>
      <c r="UOD57" s="76"/>
      <c r="UOE57" s="76"/>
      <c r="UOF57" s="76"/>
      <c r="UOG57" s="76"/>
      <c r="UOH57" s="76"/>
      <c r="UOI57" s="76"/>
      <c r="UOJ57" s="76"/>
      <c r="UOK57" s="76"/>
      <c r="UOL57" s="76"/>
      <c r="UOM57" s="76"/>
      <c r="UON57" s="76"/>
      <c r="UOO57" s="76"/>
      <c r="UOP57" s="76"/>
      <c r="UOQ57" s="76"/>
      <c r="UOR57" s="76"/>
      <c r="UOS57" s="76"/>
      <c r="UOT57" s="76"/>
      <c r="UOU57" s="76"/>
      <c r="UOV57" s="76"/>
      <c r="UOW57" s="76"/>
      <c r="UOX57" s="76"/>
      <c r="UOY57" s="76"/>
      <c r="UOZ57" s="76"/>
      <c r="UPA57" s="76"/>
      <c r="UPB57" s="76"/>
      <c r="UPC57" s="76"/>
      <c r="UPD57" s="76"/>
      <c r="UPE57" s="76"/>
      <c r="UPF57" s="76"/>
      <c r="UPG57" s="76"/>
      <c r="UPH57" s="76"/>
      <c r="UPI57" s="76"/>
      <c r="UPJ57" s="76"/>
      <c r="UPK57" s="76"/>
      <c r="UPL57" s="76"/>
      <c r="UPM57" s="76"/>
      <c r="UPN57" s="76"/>
      <c r="UPO57" s="76"/>
      <c r="UPP57" s="76"/>
      <c r="UPQ57" s="76"/>
      <c r="UPR57" s="76"/>
      <c r="UPS57" s="76"/>
      <c r="UPT57" s="76"/>
      <c r="UPU57" s="76"/>
      <c r="UPV57" s="76"/>
      <c r="UPW57" s="76"/>
      <c r="UPX57" s="76"/>
      <c r="UPY57" s="76"/>
      <c r="UPZ57" s="76"/>
      <c r="UQA57" s="76"/>
      <c r="UQB57" s="76"/>
      <c r="UQC57" s="76"/>
      <c r="UQD57" s="76"/>
      <c r="UQE57" s="76"/>
      <c r="UQF57" s="76"/>
      <c r="UQG57" s="76"/>
      <c r="UQH57" s="76"/>
      <c r="UQI57" s="76"/>
      <c r="UQJ57" s="76"/>
      <c r="UQK57" s="76"/>
      <c r="UQL57" s="76"/>
      <c r="UQM57" s="76"/>
      <c r="UQN57" s="76"/>
      <c r="UQO57" s="76"/>
      <c r="UQP57" s="76"/>
      <c r="UQQ57" s="76"/>
      <c r="UQR57" s="76"/>
      <c r="UQS57" s="76"/>
      <c r="UQT57" s="76"/>
      <c r="UQU57" s="76"/>
      <c r="UQV57" s="76"/>
      <c r="UQW57" s="76"/>
      <c r="UQX57" s="76"/>
      <c r="UQY57" s="76"/>
      <c r="UQZ57" s="76"/>
      <c r="URA57" s="76"/>
      <c r="URB57" s="76"/>
      <c r="URC57" s="76"/>
      <c r="URD57" s="76"/>
      <c r="URE57" s="76"/>
      <c r="URF57" s="76"/>
      <c r="URG57" s="76"/>
      <c r="URH57" s="76"/>
      <c r="URI57" s="76"/>
      <c r="URJ57" s="76"/>
      <c r="URK57" s="76"/>
      <c r="URL57" s="76"/>
      <c r="URM57" s="76"/>
      <c r="URN57" s="76"/>
      <c r="URO57" s="76"/>
      <c r="URP57" s="76"/>
      <c r="URQ57" s="76"/>
      <c r="URR57" s="76"/>
      <c r="URS57" s="76"/>
      <c r="URT57" s="76"/>
      <c r="URU57" s="76"/>
      <c r="URV57" s="76"/>
      <c r="URW57" s="76"/>
      <c r="URX57" s="76"/>
      <c r="URY57" s="76"/>
      <c r="URZ57" s="76"/>
      <c r="USA57" s="76"/>
      <c r="USB57" s="76"/>
      <c r="USC57" s="76"/>
      <c r="USD57" s="76"/>
      <c r="USE57" s="76"/>
      <c r="USF57" s="76"/>
      <c r="USG57" s="76"/>
      <c r="USH57" s="76"/>
      <c r="USI57" s="76"/>
      <c r="USJ57" s="76"/>
      <c r="USK57" s="76"/>
      <c r="USL57" s="76"/>
      <c r="USM57" s="76"/>
      <c r="USN57" s="76"/>
      <c r="USO57" s="76"/>
      <c r="USP57" s="76"/>
      <c r="USQ57" s="76"/>
      <c r="USR57" s="76"/>
      <c r="USS57" s="76"/>
      <c r="UST57" s="76"/>
      <c r="USU57" s="76"/>
      <c r="USV57" s="76"/>
      <c r="USW57" s="76"/>
      <c r="USX57" s="76"/>
      <c r="USY57" s="76"/>
      <c r="USZ57" s="76"/>
      <c r="UTA57" s="76"/>
      <c r="UTB57" s="76"/>
      <c r="UTC57" s="76"/>
      <c r="UTD57" s="76"/>
      <c r="UTE57" s="76"/>
      <c r="UTF57" s="76"/>
      <c r="UTG57" s="76"/>
      <c r="UTH57" s="76"/>
      <c r="UTI57" s="76"/>
      <c r="UTJ57" s="76"/>
      <c r="UTK57" s="76"/>
      <c r="UTL57" s="76"/>
      <c r="UTM57" s="76"/>
      <c r="UTN57" s="76"/>
      <c r="UTO57" s="76"/>
      <c r="UTP57" s="76"/>
      <c r="UTQ57" s="76"/>
      <c r="UTR57" s="76"/>
      <c r="UTS57" s="76"/>
      <c r="UTT57" s="76"/>
      <c r="UTU57" s="76"/>
      <c r="UTV57" s="76"/>
      <c r="UTW57" s="76"/>
      <c r="UTX57" s="76"/>
      <c r="UTY57" s="76"/>
      <c r="UTZ57" s="76"/>
      <c r="UUA57" s="76"/>
      <c r="UUB57" s="76"/>
      <c r="UUC57" s="76"/>
      <c r="UUD57" s="76"/>
      <c r="UUE57" s="76"/>
      <c r="UUF57" s="76"/>
      <c r="UUG57" s="76"/>
      <c r="UUH57" s="76"/>
      <c r="UUI57" s="76"/>
      <c r="UUJ57" s="76"/>
      <c r="UUK57" s="76"/>
      <c r="UUL57" s="76"/>
      <c r="UUM57" s="76"/>
      <c r="UUN57" s="76"/>
      <c r="UUO57" s="76"/>
      <c r="UUP57" s="76"/>
      <c r="UUQ57" s="76"/>
      <c r="UUR57" s="76"/>
      <c r="UUS57" s="76"/>
      <c r="UUT57" s="76"/>
      <c r="UUU57" s="76"/>
      <c r="UUV57" s="76"/>
      <c r="UUW57" s="76"/>
      <c r="UUX57" s="76"/>
      <c r="UUY57" s="76"/>
      <c r="UUZ57" s="76"/>
      <c r="UVA57" s="76"/>
      <c r="UVB57" s="76"/>
      <c r="UVC57" s="76"/>
      <c r="UVD57" s="76"/>
      <c r="UVE57" s="76"/>
      <c r="UVF57" s="76"/>
      <c r="UVG57" s="76"/>
      <c r="UVH57" s="76"/>
      <c r="UVI57" s="76"/>
      <c r="UVJ57" s="76"/>
      <c r="UVK57" s="76"/>
      <c r="UVL57" s="76"/>
      <c r="UVM57" s="76"/>
      <c r="UVN57" s="76"/>
      <c r="UVO57" s="76"/>
      <c r="UVP57" s="76"/>
      <c r="UVQ57" s="76"/>
      <c r="UVR57" s="76"/>
      <c r="UVS57" s="76"/>
      <c r="UVT57" s="76"/>
      <c r="UVU57" s="76"/>
      <c r="UVV57" s="76"/>
      <c r="UVW57" s="76"/>
      <c r="UVX57" s="76"/>
      <c r="UVY57" s="76"/>
      <c r="UVZ57" s="76"/>
      <c r="UWA57" s="76"/>
      <c r="UWB57" s="76"/>
      <c r="UWC57" s="76"/>
      <c r="UWD57" s="76"/>
      <c r="UWE57" s="76"/>
      <c r="UWF57" s="76"/>
      <c r="UWG57" s="76"/>
      <c r="UWH57" s="76"/>
      <c r="UWI57" s="76"/>
      <c r="UWJ57" s="76"/>
      <c r="UWK57" s="76"/>
      <c r="UWL57" s="76"/>
      <c r="UWM57" s="76"/>
      <c r="UWN57" s="76"/>
      <c r="UWO57" s="76"/>
      <c r="UWP57" s="76"/>
      <c r="UWQ57" s="76"/>
      <c r="UWR57" s="76"/>
      <c r="UWS57" s="76"/>
      <c r="UWT57" s="76"/>
      <c r="UWU57" s="76"/>
      <c r="UWV57" s="76"/>
      <c r="UWW57" s="76"/>
      <c r="UWX57" s="76"/>
      <c r="UWY57" s="76"/>
      <c r="UWZ57" s="76"/>
      <c r="UXA57" s="76"/>
      <c r="UXB57" s="76"/>
      <c r="UXC57" s="76"/>
      <c r="UXD57" s="76"/>
      <c r="UXE57" s="76"/>
      <c r="UXF57" s="76"/>
      <c r="UXG57" s="76"/>
      <c r="UXH57" s="76"/>
      <c r="UXI57" s="76"/>
      <c r="UXJ57" s="76"/>
      <c r="UXK57" s="76"/>
      <c r="UXL57" s="76"/>
      <c r="UXM57" s="76"/>
      <c r="UXN57" s="76"/>
      <c r="UXO57" s="76"/>
      <c r="UXP57" s="76"/>
      <c r="UXQ57" s="76"/>
      <c r="UXR57" s="76"/>
      <c r="UXS57" s="76"/>
      <c r="UXT57" s="76"/>
      <c r="UXU57" s="76"/>
      <c r="UXV57" s="76"/>
      <c r="UXW57" s="76"/>
      <c r="UXX57" s="76"/>
      <c r="UXY57" s="76"/>
      <c r="UXZ57" s="76"/>
      <c r="UYA57" s="76"/>
      <c r="UYB57" s="76"/>
      <c r="UYC57" s="76"/>
      <c r="UYD57" s="76"/>
      <c r="UYE57" s="76"/>
      <c r="UYF57" s="76"/>
      <c r="UYG57" s="76"/>
      <c r="UYH57" s="76"/>
      <c r="UYI57" s="76"/>
      <c r="UYJ57" s="76"/>
      <c r="UYK57" s="76"/>
      <c r="UYL57" s="76"/>
      <c r="UYM57" s="76"/>
      <c r="UYN57" s="76"/>
      <c r="UYO57" s="76"/>
      <c r="UYP57" s="76"/>
      <c r="UYQ57" s="76"/>
      <c r="UYR57" s="76"/>
      <c r="UYS57" s="76"/>
      <c r="UYT57" s="76"/>
      <c r="UYU57" s="76"/>
      <c r="UYV57" s="76"/>
      <c r="UYW57" s="76"/>
      <c r="UYX57" s="76"/>
      <c r="UYY57" s="76"/>
      <c r="UYZ57" s="76"/>
      <c r="UZA57" s="76"/>
      <c r="UZB57" s="76"/>
      <c r="UZC57" s="76"/>
      <c r="UZD57" s="76"/>
      <c r="UZE57" s="76"/>
      <c r="UZF57" s="76"/>
      <c r="UZG57" s="76"/>
      <c r="UZH57" s="76"/>
      <c r="UZI57" s="76"/>
      <c r="UZJ57" s="76"/>
      <c r="UZK57" s="76"/>
      <c r="UZL57" s="76"/>
      <c r="UZM57" s="76"/>
      <c r="UZN57" s="76"/>
      <c r="UZO57" s="76"/>
      <c r="UZP57" s="76"/>
      <c r="UZQ57" s="76"/>
      <c r="UZR57" s="76"/>
      <c r="UZS57" s="76"/>
      <c r="UZT57" s="76"/>
      <c r="UZU57" s="76"/>
      <c r="UZV57" s="76"/>
      <c r="UZW57" s="76"/>
      <c r="UZX57" s="76"/>
      <c r="UZY57" s="76"/>
      <c r="UZZ57" s="76"/>
      <c r="VAA57" s="76"/>
      <c r="VAB57" s="76"/>
      <c r="VAC57" s="76"/>
      <c r="VAD57" s="76"/>
      <c r="VAE57" s="76"/>
      <c r="VAF57" s="76"/>
      <c r="VAG57" s="76"/>
      <c r="VAH57" s="76"/>
      <c r="VAI57" s="76"/>
      <c r="VAJ57" s="76"/>
      <c r="VAK57" s="76"/>
      <c r="VAL57" s="76"/>
      <c r="VAM57" s="76"/>
      <c r="VAN57" s="76"/>
      <c r="VAO57" s="76"/>
      <c r="VAP57" s="76"/>
      <c r="VAQ57" s="76"/>
      <c r="VAR57" s="76"/>
      <c r="VAS57" s="76"/>
      <c r="VAT57" s="76"/>
      <c r="VAU57" s="76"/>
      <c r="VAV57" s="76"/>
      <c r="VAW57" s="76"/>
      <c r="VAX57" s="76"/>
      <c r="VAY57" s="76"/>
      <c r="VAZ57" s="76"/>
      <c r="VBA57" s="76"/>
      <c r="VBB57" s="76"/>
      <c r="VBC57" s="76"/>
      <c r="VBD57" s="76"/>
      <c r="VBE57" s="76"/>
      <c r="VBF57" s="76"/>
      <c r="VBG57" s="76"/>
      <c r="VBH57" s="76"/>
      <c r="VBI57" s="76"/>
      <c r="VBJ57" s="76"/>
      <c r="VBK57" s="76"/>
      <c r="VBL57" s="76"/>
      <c r="VBM57" s="76"/>
      <c r="VBN57" s="76"/>
      <c r="VBO57" s="76"/>
      <c r="VBP57" s="76"/>
      <c r="VBQ57" s="76"/>
      <c r="VBR57" s="76"/>
      <c r="VBS57" s="76"/>
      <c r="VBT57" s="76"/>
      <c r="VBU57" s="76"/>
      <c r="VBV57" s="76"/>
      <c r="VBW57" s="76"/>
      <c r="VBX57" s="76"/>
      <c r="VBY57" s="76"/>
      <c r="VBZ57" s="76"/>
      <c r="VCA57" s="76"/>
      <c r="VCB57" s="76"/>
      <c r="VCC57" s="76"/>
      <c r="VCD57" s="76"/>
      <c r="VCE57" s="76"/>
      <c r="VCF57" s="76"/>
      <c r="VCG57" s="76"/>
      <c r="VCH57" s="76"/>
      <c r="VCI57" s="76"/>
      <c r="VCJ57" s="76"/>
      <c r="VCK57" s="76"/>
      <c r="VCL57" s="76"/>
      <c r="VCM57" s="76"/>
      <c r="VCN57" s="76"/>
      <c r="VCO57" s="76"/>
      <c r="VCP57" s="76"/>
      <c r="VCQ57" s="76"/>
      <c r="VCR57" s="76"/>
      <c r="VCS57" s="76"/>
      <c r="VCT57" s="76"/>
      <c r="VCU57" s="76"/>
      <c r="VCV57" s="76"/>
      <c r="VCW57" s="76"/>
      <c r="VCX57" s="76"/>
      <c r="VCY57" s="76"/>
      <c r="VCZ57" s="76"/>
      <c r="VDA57" s="76"/>
      <c r="VDB57" s="76"/>
      <c r="VDC57" s="76"/>
      <c r="VDD57" s="76"/>
      <c r="VDE57" s="76"/>
      <c r="VDF57" s="76"/>
      <c r="VDG57" s="76"/>
      <c r="VDH57" s="76"/>
      <c r="VDI57" s="76"/>
      <c r="VDJ57" s="76"/>
      <c r="VDK57" s="76"/>
      <c r="VDL57" s="76"/>
      <c r="VDM57" s="76"/>
      <c r="VDN57" s="76"/>
      <c r="VDO57" s="76"/>
      <c r="VDP57" s="76"/>
      <c r="VDQ57" s="76"/>
      <c r="VDR57" s="76"/>
      <c r="VDS57" s="76"/>
      <c r="VDT57" s="76"/>
      <c r="VDU57" s="76"/>
      <c r="VDV57" s="76"/>
      <c r="VDW57" s="76"/>
      <c r="VDX57" s="76"/>
      <c r="VDY57" s="76"/>
      <c r="VDZ57" s="76"/>
      <c r="VEA57" s="76"/>
      <c r="VEB57" s="76"/>
      <c r="VEC57" s="76"/>
      <c r="VED57" s="76"/>
      <c r="VEE57" s="76"/>
      <c r="VEF57" s="76"/>
      <c r="VEG57" s="76"/>
      <c r="VEH57" s="76"/>
      <c r="VEI57" s="76"/>
      <c r="VEJ57" s="76"/>
      <c r="VEK57" s="76"/>
      <c r="VEL57" s="76"/>
      <c r="VEM57" s="76"/>
      <c r="VEN57" s="76"/>
      <c r="VEO57" s="76"/>
      <c r="VEP57" s="76"/>
      <c r="VEQ57" s="76"/>
      <c r="VER57" s="76"/>
      <c r="VES57" s="76"/>
      <c r="VET57" s="76"/>
      <c r="VEU57" s="76"/>
      <c r="VEV57" s="76"/>
      <c r="VEW57" s="76"/>
      <c r="VEX57" s="76"/>
      <c r="VEY57" s="76"/>
      <c r="VEZ57" s="76"/>
      <c r="VFA57" s="76"/>
      <c r="VFB57" s="76"/>
      <c r="VFC57" s="76"/>
      <c r="VFD57" s="76"/>
      <c r="VFE57" s="76"/>
      <c r="VFF57" s="76"/>
      <c r="VFG57" s="76"/>
      <c r="VFH57" s="76"/>
      <c r="VFI57" s="76"/>
      <c r="VFJ57" s="76"/>
      <c r="VFK57" s="76"/>
      <c r="VFL57" s="76"/>
      <c r="VFM57" s="76"/>
      <c r="VFN57" s="76"/>
      <c r="VFO57" s="76"/>
      <c r="VFP57" s="76"/>
      <c r="VFQ57" s="76"/>
      <c r="VFR57" s="76"/>
      <c r="VFS57" s="76"/>
      <c r="VFT57" s="76"/>
      <c r="VFU57" s="76"/>
      <c r="VFV57" s="76"/>
      <c r="VFW57" s="76"/>
      <c r="VFX57" s="76"/>
      <c r="VFY57" s="76"/>
      <c r="VFZ57" s="76"/>
      <c r="VGA57" s="76"/>
      <c r="VGB57" s="76"/>
      <c r="VGC57" s="76"/>
      <c r="VGD57" s="76"/>
      <c r="VGE57" s="76"/>
      <c r="VGF57" s="76"/>
      <c r="VGG57" s="76"/>
      <c r="VGH57" s="76"/>
      <c r="VGI57" s="76"/>
      <c r="VGJ57" s="76"/>
      <c r="VGK57" s="76"/>
      <c r="VGL57" s="76"/>
      <c r="VGM57" s="76"/>
      <c r="VGN57" s="76"/>
      <c r="VGO57" s="76"/>
      <c r="VGP57" s="76"/>
      <c r="VGQ57" s="76"/>
      <c r="VGR57" s="76"/>
      <c r="VGS57" s="76"/>
      <c r="VGT57" s="76"/>
      <c r="VGU57" s="76"/>
      <c r="VGV57" s="76"/>
      <c r="VGW57" s="76"/>
      <c r="VGX57" s="76"/>
      <c r="VGY57" s="76"/>
      <c r="VGZ57" s="76"/>
      <c r="VHA57" s="76"/>
      <c r="VHB57" s="76"/>
      <c r="VHC57" s="76"/>
      <c r="VHD57" s="76"/>
      <c r="VHE57" s="76"/>
      <c r="VHF57" s="76"/>
      <c r="VHG57" s="76"/>
      <c r="VHH57" s="76"/>
      <c r="VHI57" s="76"/>
      <c r="VHJ57" s="76"/>
      <c r="VHK57" s="76"/>
      <c r="VHL57" s="76"/>
      <c r="VHM57" s="76"/>
      <c r="VHN57" s="76"/>
      <c r="VHO57" s="76"/>
      <c r="VHP57" s="76"/>
      <c r="VHQ57" s="76"/>
      <c r="VHR57" s="76"/>
      <c r="VHS57" s="76"/>
      <c r="VHT57" s="76"/>
      <c r="VHU57" s="76"/>
      <c r="VHV57" s="76"/>
      <c r="VHW57" s="76"/>
      <c r="VHX57" s="76"/>
      <c r="VHY57" s="76"/>
      <c r="VHZ57" s="76"/>
      <c r="VIA57" s="76"/>
      <c r="VIB57" s="76"/>
      <c r="VIC57" s="76"/>
      <c r="VID57" s="76"/>
      <c r="VIE57" s="76"/>
      <c r="VIF57" s="76"/>
      <c r="VIG57" s="76"/>
      <c r="VIH57" s="76"/>
      <c r="VII57" s="76"/>
      <c r="VIJ57" s="76"/>
      <c r="VIK57" s="76"/>
      <c r="VIL57" s="76"/>
      <c r="VIM57" s="76"/>
      <c r="VIN57" s="76"/>
      <c r="VIO57" s="76"/>
      <c r="VIP57" s="76"/>
      <c r="VIQ57" s="76"/>
      <c r="VIR57" s="76"/>
      <c r="VIS57" s="76"/>
      <c r="VIT57" s="76"/>
      <c r="VIU57" s="76"/>
      <c r="VIV57" s="76"/>
      <c r="VIW57" s="76"/>
      <c r="VIX57" s="76"/>
      <c r="VIY57" s="76"/>
      <c r="VIZ57" s="76"/>
      <c r="VJA57" s="76"/>
      <c r="VJB57" s="76"/>
      <c r="VJC57" s="76"/>
      <c r="VJD57" s="76"/>
      <c r="VJE57" s="76"/>
      <c r="VJF57" s="76"/>
      <c r="VJG57" s="76"/>
      <c r="VJH57" s="76"/>
      <c r="VJI57" s="76"/>
      <c r="VJJ57" s="76"/>
      <c r="VJK57" s="76"/>
      <c r="VJL57" s="76"/>
      <c r="VJM57" s="76"/>
      <c r="VJN57" s="76"/>
      <c r="VJO57" s="76"/>
      <c r="VJP57" s="76"/>
      <c r="VJQ57" s="76"/>
      <c r="VJR57" s="76"/>
      <c r="VJS57" s="76"/>
      <c r="VJT57" s="76"/>
      <c r="VJU57" s="76"/>
      <c r="VJV57" s="76"/>
      <c r="VJW57" s="76"/>
      <c r="VJX57" s="76"/>
      <c r="VJY57" s="76"/>
      <c r="VJZ57" s="76"/>
      <c r="VKA57" s="76"/>
      <c r="VKB57" s="76"/>
      <c r="VKC57" s="76"/>
      <c r="VKD57" s="76"/>
      <c r="VKE57" s="76"/>
      <c r="VKF57" s="76"/>
      <c r="VKG57" s="76"/>
      <c r="VKH57" s="76"/>
      <c r="VKI57" s="76"/>
      <c r="VKJ57" s="76"/>
      <c r="VKK57" s="76"/>
      <c r="VKL57" s="76"/>
      <c r="VKM57" s="76"/>
      <c r="VKN57" s="76"/>
      <c r="VKO57" s="76"/>
      <c r="VKP57" s="76"/>
      <c r="VKQ57" s="76"/>
      <c r="VKR57" s="76"/>
      <c r="VKS57" s="76"/>
      <c r="VKT57" s="76"/>
      <c r="VKU57" s="76"/>
      <c r="VKV57" s="76"/>
      <c r="VKW57" s="76"/>
      <c r="VKX57" s="76"/>
      <c r="VKY57" s="76"/>
      <c r="VKZ57" s="76"/>
      <c r="VLA57" s="76"/>
      <c r="VLB57" s="76"/>
      <c r="VLC57" s="76"/>
      <c r="VLD57" s="76"/>
      <c r="VLE57" s="76"/>
      <c r="VLF57" s="76"/>
      <c r="VLG57" s="76"/>
      <c r="VLH57" s="76"/>
      <c r="VLI57" s="76"/>
      <c r="VLJ57" s="76"/>
      <c r="VLK57" s="76"/>
      <c r="VLL57" s="76"/>
      <c r="VLM57" s="76"/>
      <c r="VLN57" s="76"/>
      <c r="VLO57" s="76"/>
      <c r="VLP57" s="76"/>
      <c r="VLQ57" s="76"/>
      <c r="VLR57" s="76"/>
      <c r="VLS57" s="76"/>
      <c r="VLT57" s="76"/>
      <c r="VLU57" s="76"/>
      <c r="VLV57" s="76"/>
      <c r="VLW57" s="76"/>
      <c r="VLX57" s="76"/>
      <c r="VLY57" s="76"/>
      <c r="VLZ57" s="76"/>
      <c r="VMA57" s="76"/>
      <c r="VMB57" s="76"/>
      <c r="VMC57" s="76"/>
      <c r="VMD57" s="76"/>
      <c r="VME57" s="76"/>
      <c r="VMF57" s="76"/>
      <c r="VMG57" s="76"/>
      <c r="VMH57" s="76"/>
      <c r="VMI57" s="76"/>
      <c r="VMJ57" s="76"/>
      <c r="VMK57" s="76"/>
      <c r="VML57" s="76"/>
      <c r="VMM57" s="76"/>
      <c r="VMN57" s="76"/>
      <c r="VMO57" s="76"/>
      <c r="VMP57" s="76"/>
      <c r="VMQ57" s="76"/>
      <c r="VMR57" s="76"/>
      <c r="VMS57" s="76"/>
      <c r="VMT57" s="76"/>
      <c r="VMU57" s="76"/>
      <c r="VMV57" s="76"/>
      <c r="VMW57" s="76"/>
      <c r="VMX57" s="76"/>
      <c r="VMY57" s="76"/>
      <c r="VMZ57" s="76"/>
      <c r="VNA57" s="76"/>
      <c r="VNB57" s="76"/>
      <c r="VNC57" s="76"/>
      <c r="VND57" s="76"/>
      <c r="VNE57" s="76"/>
      <c r="VNF57" s="76"/>
      <c r="VNG57" s="76"/>
      <c r="VNH57" s="76"/>
      <c r="VNI57" s="76"/>
      <c r="VNJ57" s="76"/>
      <c r="VNK57" s="76"/>
      <c r="VNL57" s="76"/>
      <c r="VNM57" s="76"/>
      <c r="VNN57" s="76"/>
      <c r="VNO57" s="76"/>
      <c r="VNP57" s="76"/>
      <c r="VNQ57" s="76"/>
      <c r="VNR57" s="76"/>
      <c r="VNS57" s="76"/>
      <c r="VNT57" s="76"/>
      <c r="VNU57" s="76"/>
      <c r="VNV57" s="76"/>
      <c r="VNW57" s="76"/>
      <c r="VNX57" s="76"/>
      <c r="VNY57" s="76"/>
      <c r="VNZ57" s="76"/>
      <c r="VOA57" s="76"/>
      <c r="VOB57" s="76"/>
      <c r="VOC57" s="76"/>
      <c r="VOD57" s="76"/>
      <c r="VOE57" s="76"/>
      <c r="VOF57" s="76"/>
      <c r="VOG57" s="76"/>
      <c r="VOH57" s="76"/>
      <c r="VOI57" s="76"/>
      <c r="VOJ57" s="76"/>
      <c r="VOK57" s="76"/>
      <c r="VOL57" s="76"/>
      <c r="VOM57" s="76"/>
      <c r="VON57" s="76"/>
      <c r="VOO57" s="76"/>
      <c r="VOP57" s="76"/>
      <c r="VOQ57" s="76"/>
      <c r="VOR57" s="76"/>
      <c r="VOS57" s="76"/>
      <c r="VOT57" s="76"/>
      <c r="VOU57" s="76"/>
      <c r="VOV57" s="76"/>
      <c r="VOW57" s="76"/>
      <c r="VOX57" s="76"/>
      <c r="VOY57" s="76"/>
      <c r="VOZ57" s="76"/>
      <c r="VPA57" s="76"/>
      <c r="VPB57" s="76"/>
      <c r="VPC57" s="76"/>
      <c r="VPD57" s="76"/>
      <c r="VPE57" s="76"/>
      <c r="VPF57" s="76"/>
      <c r="VPG57" s="76"/>
      <c r="VPH57" s="76"/>
      <c r="VPI57" s="76"/>
      <c r="VPJ57" s="76"/>
      <c r="VPK57" s="76"/>
      <c r="VPL57" s="76"/>
      <c r="VPM57" s="76"/>
      <c r="VPN57" s="76"/>
      <c r="VPO57" s="76"/>
      <c r="VPP57" s="76"/>
      <c r="VPQ57" s="76"/>
      <c r="VPR57" s="76"/>
      <c r="VPS57" s="76"/>
      <c r="VPT57" s="76"/>
      <c r="VPU57" s="76"/>
      <c r="VPV57" s="76"/>
      <c r="VPW57" s="76"/>
      <c r="VPX57" s="76"/>
      <c r="VPY57" s="76"/>
      <c r="VPZ57" s="76"/>
      <c r="VQA57" s="76"/>
      <c r="VQB57" s="76"/>
      <c r="VQC57" s="76"/>
      <c r="VQD57" s="76"/>
      <c r="VQE57" s="76"/>
      <c r="VQF57" s="76"/>
      <c r="VQG57" s="76"/>
      <c r="VQH57" s="76"/>
      <c r="VQI57" s="76"/>
      <c r="VQJ57" s="76"/>
      <c r="VQK57" s="76"/>
      <c r="VQL57" s="76"/>
      <c r="VQM57" s="76"/>
      <c r="VQN57" s="76"/>
      <c r="VQO57" s="76"/>
      <c r="VQP57" s="76"/>
      <c r="VQQ57" s="76"/>
      <c r="VQR57" s="76"/>
      <c r="VQS57" s="76"/>
      <c r="VQT57" s="76"/>
      <c r="VQU57" s="76"/>
      <c r="VQV57" s="76"/>
      <c r="VQW57" s="76"/>
      <c r="VQX57" s="76"/>
      <c r="VQY57" s="76"/>
      <c r="VQZ57" s="76"/>
      <c r="VRA57" s="76"/>
      <c r="VRB57" s="76"/>
      <c r="VRC57" s="76"/>
      <c r="VRD57" s="76"/>
      <c r="VRE57" s="76"/>
      <c r="VRF57" s="76"/>
      <c r="VRG57" s="76"/>
      <c r="VRH57" s="76"/>
      <c r="VRI57" s="76"/>
      <c r="VRJ57" s="76"/>
      <c r="VRK57" s="76"/>
      <c r="VRL57" s="76"/>
      <c r="VRM57" s="76"/>
      <c r="VRN57" s="76"/>
      <c r="VRO57" s="76"/>
      <c r="VRP57" s="76"/>
      <c r="VRQ57" s="76"/>
      <c r="VRR57" s="76"/>
      <c r="VRS57" s="76"/>
      <c r="VRT57" s="76"/>
      <c r="VRU57" s="76"/>
      <c r="VRV57" s="76"/>
      <c r="VRW57" s="76"/>
      <c r="VRX57" s="76"/>
      <c r="VRY57" s="76"/>
      <c r="VRZ57" s="76"/>
      <c r="VSA57" s="76"/>
      <c r="VSB57" s="76"/>
      <c r="VSC57" s="76"/>
      <c r="VSD57" s="76"/>
      <c r="VSE57" s="76"/>
      <c r="VSF57" s="76"/>
      <c r="VSG57" s="76"/>
      <c r="VSH57" s="76"/>
      <c r="VSI57" s="76"/>
      <c r="VSJ57" s="76"/>
      <c r="VSK57" s="76"/>
      <c r="VSL57" s="76"/>
      <c r="VSM57" s="76"/>
      <c r="VSN57" s="76"/>
      <c r="VSO57" s="76"/>
      <c r="VSP57" s="76"/>
      <c r="VSQ57" s="76"/>
      <c r="VSR57" s="76"/>
      <c r="VSS57" s="76"/>
      <c r="VST57" s="76"/>
      <c r="VSU57" s="76"/>
      <c r="VSV57" s="76"/>
      <c r="VSW57" s="76"/>
      <c r="VSX57" s="76"/>
      <c r="VSY57" s="76"/>
      <c r="VSZ57" s="76"/>
      <c r="VTA57" s="76"/>
      <c r="VTB57" s="76"/>
      <c r="VTC57" s="76"/>
      <c r="VTD57" s="76"/>
      <c r="VTE57" s="76"/>
      <c r="VTF57" s="76"/>
      <c r="VTG57" s="76"/>
      <c r="VTH57" s="76"/>
      <c r="VTI57" s="76"/>
      <c r="VTJ57" s="76"/>
      <c r="VTK57" s="76"/>
      <c r="VTL57" s="76"/>
      <c r="VTM57" s="76"/>
      <c r="VTN57" s="76"/>
      <c r="VTO57" s="76"/>
      <c r="VTP57" s="76"/>
      <c r="VTQ57" s="76"/>
      <c r="VTR57" s="76"/>
      <c r="VTS57" s="76"/>
      <c r="VTT57" s="76"/>
      <c r="VTU57" s="76"/>
      <c r="VTV57" s="76"/>
      <c r="VTW57" s="76"/>
      <c r="VTX57" s="76"/>
      <c r="VTY57" s="76"/>
      <c r="VTZ57" s="76"/>
      <c r="VUA57" s="76"/>
      <c r="VUB57" s="76"/>
      <c r="VUC57" s="76"/>
      <c r="VUD57" s="76"/>
      <c r="VUE57" s="76"/>
      <c r="VUF57" s="76"/>
      <c r="VUG57" s="76"/>
      <c r="VUH57" s="76"/>
      <c r="VUI57" s="76"/>
      <c r="VUJ57" s="76"/>
      <c r="VUK57" s="76"/>
      <c r="VUL57" s="76"/>
      <c r="VUM57" s="76"/>
      <c r="VUN57" s="76"/>
      <c r="VUO57" s="76"/>
      <c r="VUP57" s="76"/>
      <c r="VUQ57" s="76"/>
      <c r="VUR57" s="76"/>
      <c r="VUS57" s="76"/>
      <c r="VUT57" s="76"/>
      <c r="VUU57" s="76"/>
      <c r="VUV57" s="76"/>
      <c r="VUW57" s="76"/>
      <c r="VUX57" s="76"/>
      <c r="VUY57" s="76"/>
      <c r="VUZ57" s="76"/>
      <c r="VVA57" s="76"/>
      <c r="VVB57" s="76"/>
      <c r="VVC57" s="76"/>
      <c r="VVD57" s="76"/>
      <c r="VVE57" s="76"/>
      <c r="VVF57" s="76"/>
      <c r="VVG57" s="76"/>
      <c r="VVH57" s="76"/>
      <c r="VVI57" s="76"/>
      <c r="VVJ57" s="76"/>
      <c r="VVK57" s="76"/>
      <c r="VVL57" s="76"/>
      <c r="VVM57" s="76"/>
      <c r="VVN57" s="76"/>
      <c r="VVO57" s="76"/>
      <c r="VVP57" s="76"/>
      <c r="VVQ57" s="76"/>
      <c r="VVR57" s="76"/>
      <c r="VVS57" s="76"/>
      <c r="VVT57" s="76"/>
      <c r="VVU57" s="76"/>
      <c r="VVV57" s="76"/>
      <c r="VVW57" s="76"/>
      <c r="VVX57" s="76"/>
      <c r="VVY57" s="76"/>
      <c r="VVZ57" s="76"/>
      <c r="VWA57" s="76"/>
      <c r="VWB57" s="76"/>
      <c r="VWC57" s="76"/>
      <c r="VWD57" s="76"/>
      <c r="VWE57" s="76"/>
      <c r="VWF57" s="76"/>
      <c r="VWG57" s="76"/>
      <c r="VWH57" s="76"/>
      <c r="VWI57" s="76"/>
      <c r="VWJ57" s="76"/>
      <c r="VWK57" s="76"/>
      <c r="VWL57" s="76"/>
      <c r="VWM57" s="76"/>
      <c r="VWN57" s="76"/>
      <c r="VWO57" s="76"/>
      <c r="VWP57" s="76"/>
      <c r="VWQ57" s="76"/>
      <c r="VWR57" s="76"/>
      <c r="VWS57" s="76"/>
      <c r="VWT57" s="76"/>
      <c r="VWU57" s="76"/>
      <c r="VWV57" s="76"/>
      <c r="VWW57" s="76"/>
      <c r="VWX57" s="76"/>
      <c r="VWY57" s="76"/>
      <c r="VWZ57" s="76"/>
      <c r="VXA57" s="76"/>
      <c r="VXB57" s="76"/>
      <c r="VXC57" s="76"/>
      <c r="VXD57" s="76"/>
      <c r="VXE57" s="76"/>
      <c r="VXF57" s="76"/>
      <c r="VXG57" s="76"/>
      <c r="VXH57" s="76"/>
      <c r="VXI57" s="76"/>
      <c r="VXJ57" s="76"/>
      <c r="VXK57" s="76"/>
      <c r="VXL57" s="76"/>
      <c r="VXM57" s="76"/>
      <c r="VXN57" s="76"/>
      <c r="VXO57" s="76"/>
      <c r="VXP57" s="76"/>
      <c r="VXQ57" s="76"/>
      <c r="VXR57" s="76"/>
      <c r="VXS57" s="76"/>
      <c r="VXT57" s="76"/>
      <c r="VXU57" s="76"/>
      <c r="VXV57" s="76"/>
      <c r="VXW57" s="76"/>
      <c r="VXX57" s="76"/>
      <c r="VXY57" s="76"/>
      <c r="VXZ57" s="76"/>
      <c r="VYA57" s="76"/>
      <c r="VYB57" s="76"/>
      <c r="VYC57" s="76"/>
      <c r="VYD57" s="76"/>
      <c r="VYE57" s="76"/>
      <c r="VYF57" s="76"/>
      <c r="VYG57" s="76"/>
      <c r="VYH57" s="76"/>
      <c r="VYI57" s="76"/>
      <c r="VYJ57" s="76"/>
      <c r="VYK57" s="76"/>
      <c r="VYL57" s="76"/>
      <c r="VYM57" s="76"/>
      <c r="VYN57" s="76"/>
      <c r="VYO57" s="76"/>
      <c r="VYP57" s="76"/>
      <c r="VYQ57" s="76"/>
      <c r="VYR57" s="76"/>
      <c r="VYS57" s="76"/>
      <c r="VYT57" s="76"/>
      <c r="VYU57" s="76"/>
      <c r="VYV57" s="76"/>
      <c r="VYW57" s="76"/>
      <c r="VYX57" s="76"/>
      <c r="VYY57" s="76"/>
      <c r="VYZ57" s="76"/>
      <c r="VZA57" s="76"/>
      <c r="VZB57" s="76"/>
      <c r="VZC57" s="76"/>
      <c r="VZD57" s="76"/>
      <c r="VZE57" s="76"/>
      <c r="VZF57" s="76"/>
      <c r="VZG57" s="76"/>
      <c r="VZH57" s="76"/>
      <c r="VZI57" s="76"/>
      <c r="VZJ57" s="76"/>
      <c r="VZK57" s="76"/>
      <c r="VZL57" s="76"/>
      <c r="VZM57" s="76"/>
      <c r="VZN57" s="76"/>
      <c r="VZO57" s="76"/>
      <c r="VZP57" s="76"/>
      <c r="VZQ57" s="76"/>
      <c r="VZR57" s="76"/>
      <c r="VZS57" s="76"/>
      <c r="VZT57" s="76"/>
      <c r="VZU57" s="76"/>
      <c r="VZV57" s="76"/>
      <c r="VZW57" s="76"/>
      <c r="VZX57" s="76"/>
      <c r="VZY57" s="76"/>
      <c r="VZZ57" s="76"/>
      <c r="WAA57" s="76"/>
      <c r="WAB57" s="76"/>
      <c r="WAC57" s="76"/>
      <c r="WAD57" s="76"/>
      <c r="WAE57" s="76"/>
      <c r="WAF57" s="76"/>
      <c r="WAG57" s="76"/>
      <c r="WAH57" s="76"/>
      <c r="WAI57" s="76"/>
      <c r="WAJ57" s="76"/>
      <c r="WAK57" s="76"/>
      <c r="WAL57" s="76"/>
      <c r="WAM57" s="76"/>
      <c r="WAN57" s="76"/>
      <c r="WAO57" s="76"/>
      <c r="WAP57" s="76"/>
      <c r="WAQ57" s="76"/>
      <c r="WAR57" s="76"/>
      <c r="WAS57" s="76"/>
      <c r="WAT57" s="76"/>
      <c r="WAU57" s="76"/>
      <c r="WAV57" s="76"/>
      <c r="WAW57" s="76"/>
      <c r="WAX57" s="76"/>
      <c r="WAY57" s="76"/>
      <c r="WAZ57" s="76"/>
      <c r="WBA57" s="76"/>
      <c r="WBB57" s="76"/>
      <c r="WBC57" s="76"/>
      <c r="WBD57" s="76"/>
      <c r="WBE57" s="76"/>
      <c r="WBF57" s="76"/>
      <c r="WBG57" s="76"/>
      <c r="WBH57" s="76"/>
      <c r="WBI57" s="76"/>
      <c r="WBJ57" s="76"/>
      <c r="WBK57" s="76"/>
      <c r="WBL57" s="76"/>
      <c r="WBM57" s="76"/>
      <c r="WBN57" s="76"/>
      <c r="WBO57" s="76"/>
      <c r="WBP57" s="76"/>
      <c r="WBQ57" s="76"/>
      <c r="WBR57" s="76"/>
      <c r="WBS57" s="76"/>
      <c r="WBT57" s="76"/>
      <c r="WBU57" s="76"/>
      <c r="WBV57" s="76"/>
      <c r="WBW57" s="76"/>
      <c r="WBX57" s="76"/>
      <c r="WBY57" s="76"/>
      <c r="WBZ57" s="76"/>
      <c r="WCA57" s="76"/>
      <c r="WCB57" s="76"/>
      <c r="WCC57" s="76"/>
      <c r="WCD57" s="76"/>
      <c r="WCE57" s="76"/>
      <c r="WCF57" s="76"/>
      <c r="WCG57" s="76"/>
      <c r="WCH57" s="76"/>
      <c r="WCI57" s="76"/>
      <c r="WCJ57" s="76"/>
      <c r="WCK57" s="76"/>
      <c r="WCL57" s="76"/>
      <c r="WCM57" s="76"/>
      <c r="WCN57" s="76"/>
      <c r="WCO57" s="76"/>
      <c r="WCP57" s="76"/>
      <c r="WCQ57" s="76"/>
      <c r="WCR57" s="76"/>
      <c r="WCS57" s="76"/>
      <c r="WCT57" s="76"/>
      <c r="WCU57" s="76"/>
      <c r="WCV57" s="76"/>
      <c r="WCW57" s="76"/>
      <c r="WCX57" s="76"/>
      <c r="WCY57" s="76"/>
      <c r="WCZ57" s="76"/>
      <c r="WDA57" s="76"/>
      <c r="WDB57" s="76"/>
      <c r="WDC57" s="76"/>
      <c r="WDD57" s="76"/>
      <c r="WDE57" s="76"/>
      <c r="WDF57" s="76"/>
      <c r="WDG57" s="76"/>
      <c r="WDH57" s="76"/>
      <c r="WDI57" s="76"/>
      <c r="WDJ57" s="76"/>
      <c r="WDK57" s="76"/>
      <c r="WDL57" s="76"/>
      <c r="WDM57" s="76"/>
      <c r="WDN57" s="76"/>
      <c r="WDO57" s="76"/>
      <c r="WDP57" s="76"/>
      <c r="WDQ57" s="76"/>
      <c r="WDR57" s="76"/>
      <c r="WDS57" s="76"/>
      <c r="WDT57" s="76"/>
      <c r="WDU57" s="76"/>
      <c r="WDV57" s="76"/>
      <c r="WDW57" s="76"/>
      <c r="WDX57" s="76"/>
      <c r="WDY57" s="76"/>
      <c r="WDZ57" s="76"/>
      <c r="WEA57" s="76"/>
      <c r="WEB57" s="76"/>
      <c r="WEC57" s="76"/>
      <c r="WED57" s="76"/>
      <c r="WEE57" s="76"/>
      <c r="WEF57" s="76"/>
      <c r="WEG57" s="76"/>
      <c r="WEH57" s="76"/>
      <c r="WEI57" s="76"/>
      <c r="WEJ57" s="76"/>
      <c r="WEK57" s="76"/>
      <c r="WEL57" s="76"/>
      <c r="WEM57" s="76"/>
      <c r="WEN57" s="76"/>
      <c r="WEO57" s="76"/>
      <c r="WEP57" s="76"/>
      <c r="WEQ57" s="76"/>
      <c r="WER57" s="76"/>
      <c r="WES57" s="76"/>
      <c r="WET57" s="76"/>
      <c r="WEU57" s="76"/>
      <c r="WEV57" s="76"/>
      <c r="WEW57" s="76"/>
      <c r="WEX57" s="76"/>
      <c r="WEY57" s="76"/>
      <c r="WEZ57" s="76"/>
      <c r="WFA57" s="76"/>
      <c r="WFB57" s="76"/>
      <c r="WFC57" s="76"/>
      <c r="WFD57" s="76"/>
      <c r="WFE57" s="76"/>
      <c r="WFF57" s="76"/>
      <c r="WFG57" s="76"/>
      <c r="WFH57" s="76"/>
      <c r="WFI57" s="76"/>
      <c r="WFJ57" s="76"/>
      <c r="WFK57" s="76"/>
      <c r="WFL57" s="76"/>
      <c r="WFM57" s="76"/>
      <c r="WFN57" s="76"/>
      <c r="WFO57" s="76"/>
      <c r="WFP57" s="76"/>
      <c r="WFQ57" s="76"/>
      <c r="WFR57" s="76"/>
      <c r="WFS57" s="76"/>
      <c r="WFT57" s="76"/>
      <c r="WFU57" s="76"/>
      <c r="WFV57" s="76"/>
      <c r="WFW57" s="76"/>
      <c r="WFX57" s="76"/>
      <c r="WFY57" s="76"/>
      <c r="WFZ57" s="76"/>
      <c r="WGA57" s="76"/>
      <c r="WGB57" s="76"/>
      <c r="WGC57" s="76"/>
      <c r="WGD57" s="76"/>
      <c r="WGE57" s="76"/>
      <c r="WGF57" s="76"/>
      <c r="WGG57" s="76"/>
      <c r="WGH57" s="76"/>
      <c r="WGI57" s="76"/>
      <c r="WGJ57" s="76"/>
      <c r="WGK57" s="76"/>
      <c r="WGL57" s="76"/>
      <c r="WGM57" s="76"/>
      <c r="WGN57" s="76"/>
      <c r="WGO57" s="76"/>
      <c r="WGP57" s="76"/>
      <c r="WGQ57" s="76"/>
      <c r="WGR57" s="76"/>
      <c r="WGS57" s="76"/>
      <c r="WGT57" s="76"/>
      <c r="WGU57" s="76"/>
      <c r="WGV57" s="76"/>
      <c r="WGW57" s="76"/>
      <c r="WGX57" s="76"/>
      <c r="WGY57" s="76"/>
      <c r="WGZ57" s="76"/>
      <c r="WHA57" s="76"/>
      <c r="WHB57" s="76"/>
      <c r="WHC57" s="76"/>
      <c r="WHD57" s="76"/>
      <c r="WHE57" s="76"/>
      <c r="WHF57" s="76"/>
      <c r="WHG57" s="76"/>
      <c r="WHH57" s="76"/>
      <c r="WHI57" s="76"/>
      <c r="WHJ57" s="76"/>
      <c r="WHK57" s="76"/>
      <c r="WHL57" s="76"/>
      <c r="WHM57" s="76"/>
      <c r="WHN57" s="76"/>
      <c r="WHO57" s="76"/>
      <c r="WHP57" s="76"/>
      <c r="WHQ57" s="76"/>
      <c r="WHR57" s="76"/>
      <c r="WHS57" s="76"/>
      <c r="WHT57" s="76"/>
      <c r="WHU57" s="76"/>
      <c r="WHV57" s="76"/>
      <c r="WHW57" s="76"/>
      <c r="WHX57" s="76"/>
      <c r="WHY57" s="76"/>
      <c r="WHZ57" s="76"/>
      <c r="WIA57" s="76"/>
      <c r="WIB57" s="76"/>
      <c r="WIC57" s="76"/>
      <c r="WID57" s="76"/>
      <c r="WIE57" s="76"/>
      <c r="WIF57" s="76"/>
      <c r="WIG57" s="76"/>
      <c r="WIH57" s="76"/>
      <c r="WII57" s="76"/>
      <c r="WIJ57" s="76"/>
      <c r="WIK57" s="76"/>
      <c r="WIL57" s="76"/>
      <c r="WIM57" s="76"/>
      <c r="WIN57" s="76"/>
      <c r="WIO57" s="76"/>
      <c r="WIP57" s="76"/>
      <c r="WIQ57" s="76"/>
      <c r="WIR57" s="76"/>
      <c r="WIS57" s="76"/>
      <c r="WIT57" s="76"/>
      <c r="WIU57" s="76"/>
      <c r="WIV57" s="76"/>
      <c r="WIW57" s="76"/>
      <c r="WIX57" s="76"/>
      <c r="WIY57" s="76"/>
      <c r="WIZ57" s="76"/>
      <c r="WJA57" s="76"/>
      <c r="WJB57" s="76"/>
      <c r="WJC57" s="76"/>
      <c r="WJD57" s="76"/>
      <c r="WJE57" s="76"/>
      <c r="WJF57" s="76"/>
      <c r="WJG57" s="76"/>
      <c r="WJH57" s="76"/>
      <c r="WJI57" s="76"/>
      <c r="WJJ57" s="76"/>
      <c r="WJK57" s="76"/>
      <c r="WJL57" s="76"/>
      <c r="WJM57" s="76"/>
      <c r="WJN57" s="76"/>
      <c r="WJO57" s="76"/>
      <c r="WJP57" s="76"/>
      <c r="WJQ57" s="76"/>
      <c r="WJR57" s="76"/>
      <c r="WJS57" s="76"/>
      <c r="WJT57" s="76"/>
      <c r="WJU57" s="76"/>
      <c r="WJV57" s="76"/>
      <c r="WJW57" s="76"/>
      <c r="WJX57" s="76"/>
      <c r="WJY57" s="76"/>
      <c r="WJZ57" s="76"/>
      <c r="WKA57" s="76"/>
      <c r="WKB57" s="76"/>
      <c r="WKC57" s="76"/>
      <c r="WKD57" s="76"/>
      <c r="WKE57" s="76"/>
      <c r="WKF57" s="76"/>
      <c r="WKG57" s="76"/>
      <c r="WKH57" s="76"/>
      <c r="WKI57" s="76"/>
      <c r="WKJ57" s="76"/>
      <c r="WKK57" s="76"/>
      <c r="WKL57" s="76"/>
      <c r="WKM57" s="76"/>
      <c r="WKN57" s="76"/>
      <c r="WKO57" s="76"/>
      <c r="WKP57" s="76"/>
      <c r="WKQ57" s="76"/>
      <c r="WKR57" s="76"/>
      <c r="WKS57" s="76"/>
      <c r="WKT57" s="76"/>
      <c r="WKU57" s="76"/>
      <c r="WKV57" s="76"/>
      <c r="WKW57" s="76"/>
      <c r="WKX57" s="76"/>
      <c r="WKY57" s="76"/>
      <c r="WKZ57" s="76"/>
      <c r="WLA57" s="76"/>
      <c r="WLB57" s="76"/>
      <c r="WLC57" s="76"/>
      <c r="WLD57" s="76"/>
      <c r="WLE57" s="76"/>
      <c r="WLF57" s="76"/>
      <c r="WLG57" s="76"/>
      <c r="WLH57" s="76"/>
      <c r="WLI57" s="76"/>
      <c r="WLJ57" s="76"/>
      <c r="WLK57" s="76"/>
      <c r="WLL57" s="76"/>
      <c r="WLM57" s="76"/>
      <c r="WLN57" s="76"/>
      <c r="WLO57" s="76"/>
      <c r="WLP57" s="76"/>
      <c r="WLQ57" s="76"/>
      <c r="WLR57" s="76"/>
      <c r="WLS57" s="76"/>
      <c r="WLT57" s="76"/>
      <c r="WLU57" s="76"/>
      <c r="WLV57" s="76"/>
      <c r="WLW57" s="76"/>
      <c r="WLX57" s="76"/>
      <c r="WLY57" s="76"/>
      <c r="WLZ57" s="76"/>
      <c r="WMA57" s="76"/>
      <c r="WMB57" s="76"/>
      <c r="WMC57" s="76"/>
      <c r="WMD57" s="76"/>
      <c r="WME57" s="76"/>
      <c r="WMF57" s="76"/>
      <c r="WMG57" s="76"/>
      <c r="WMH57" s="76"/>
      <c r="WMI57" s="76"/>
      <c r="WMJ57" s="76"/>
      <c r="WMK57" s="76"/>
      <c r="WML57" s="76"/>
      <c r="WMM57" s="76"/>
      <c r="WMN57" s="76"/>
      <c r="WMO57" s="76"/>
      <c r="WMP57" s="76"/>
      <c r="WMQ57" s="76"/>
      <c r="WMR57" s="76"/>
      <c r="WMS57" s="76"/>
      <c r="WMT57" s="76"/>
      <c r="WMU57" s="76"/>
      <c r="WMV57" s="76"/>
      <c r="WMW57" s="76"/>
      <c r="WMX57" s="76"/>
      <c r="WMY57" s="76"/>
      <c r="WMZ57" s="76"/>
      <c r="WNA57" s="76"/>
      <c r="WNB57" s="76"/>
      <c r="WNC57" s="76"/>
      <c r="WND57" s="76"/>
      <c r="WNE57" s="76"/>
      <c r="WNF57" s="76"/>
      <c r="WNG57" s="76"/>
      <c r="WNH57" s="76"/>
      <c r="WNI57" s="76"/>
      <c r="WNJ57" s="76"/>
      <c r="WNK57" s="76"/>
      <c r="WNL57" s="76"/>
      <c r="WNM57" s="76"/>
      <c r="WNN57" s="76"/>
      <c r="WNO57" s="76"/>
      <c r="WNP57" s="76"/>
      <c r="WNQ57" s="76"/>
      <c r="WNR57" s="76"/>
      <c r="WNS57" s="76"/>
      <c r="WNT57" s="76"/>
      <c r="WNU57" s="76"/>
      <c r="WNV57" s="76"/>
      <c r="WNW57" s="76"/>
      <c r="WNX57" s="76"/>
      <c r="WNY57" s="76"/>
      <c r="WNZ57" s="76"/>
      <c r="WOA57" s="76"/>
      <c r="WOB57" s="76"/>
      <c r="WOC57" s="76"/>
      <c r="WOD57" s="76"/>
      <c r="WOE57" s="76"/>
      <c r="WOF57" s="76"/>
      <c r="WOG57" s="76"/>
      <c r="WOH57" s="76"/>
      <c r="WOI57" s="76"/>
      <c r="WOJ57" s="76"/>
      <c r="WOK57" s="76"/>
      <c r="WOL57" s="76"/>
      <c r="WOM57" s="76"/>
      <c r="WON57" s="76"/>
      <c r="WOO57" s="76"/>
      <c r="WOP57" s="76"/>
      <c r="WOQ57" s="76"/>
      <c r="WOR57" s="76"/>
      <c r="WOS57" s="76"/>
      <c r="WOT57" s="76"/>
      <c r="WOU57" s="76"/>
      <c r="WOV57" s="76"/>
      <c r="WOW57" s="76"/>
      <c r="WOX57" s="76"/>
      <c r="WOY57" s="76"/>
      <c r="WOZ57" s="76"/>
      <c r="WPA57" s="76"/>
      <c r="WPB57" s="76"/>
      <c r="WPC57" s="76"/>
      <c r="WPD57" s="76"/>
      <c r="WPE57" s="76"/>
      <c r="WPF57" s="76"/>
      <c r="WPG57" s="76"/>
      <c r="WPH57" s="76"/>
      <c r="WPI57" s="76"/>
      <c r="WPJ57" s="76"/>
      <c r="WPK57" s="76"/>
      <c r="WPL57" s="76"/>
      <c r="WPM57" s="76"/>
      <c r="WPN57" s="76"/>
      <c r="WPO57" s="76"/>
      <c r="WPP57" s="76"/>
      <c r="WPQ57" s="76"/>
      <c r="WPR57" s="76"/>
      <c r="WPS57" s="76"/>
      <c r="WPT57" s="76"/>
      <c r="WPU57" s="76"/>
      <c r="WPV57" s="76"/>
      <c r="WPW57" s="76"/>
      <c r="WPX57" s="76"/>
      <c r="WPY57" s="76"/>
      <c r="WPZ57" s="76"/>
      <c r="WQA57" s="76"/>
      <c r="WQB57" s="76"/>
      <c r="WQC57" s="76"/>
      <c r="WQD57" s="76"/>
      <c r="WQE57" s="76"/>
      <c r="WQF57" s="76"/>
      <c r="WQG57" s="76"/>
      <c r="WQH57" s="76"/>
      <c r="WQI57" s="76"/>
      <c r="WQJ57" s="76"/>
      <c r="WQK57" s="76"/>
      <c r="WQL57" s="76"/>
      <c r="WQM57" s="76"/>
      <c r="WQN57" s="76"/>
      <c r="WQO57" s="76"/>
      <c r="WQP57" s="76"/>
      <c r="WQQ57" s="76"/>
      <c r="WQR57" s="76"/>
      <c r="WQS57" s="76"/>
      <c r="WQT57" s="76"/>
      <c r="WQU57" s="76"/>
      <c r="WQV57" s="76"/>
      <c r="WQW57" s="76"/>
      <c r="WQX57" s="76"/>
      <c r="WQY57" s="76"/>
      <c r="WQZ57" s="76"/>
      <c r="WRA57" s="76"/>
      <c r="WRB57" s="76"/>
      <c r="WRC57" s="76"/>
      <c r="WRD57" s="76"/>
      <c r="WRE57" s="76"/>
      <c r="WRF57" s="76"/>
      <c r="WRG57" s="76"/>
      <c r="WRH57" s="76"/>
      <c r="WRI57" s="76"/>
      <c r="WRJ57" s="76"/>
      <c r="WRK57" s="76"/>
      <c r="WRL57" s="76"/>
      <c r="WRM57" s="76"/>
      <c r="WRN57" s="76"/>
      <c r="WRO57" s="76"/>
      <c r="WRP57" s="76"/>
      <c r="WRQ57" s="76"/>
      <c r="WRR57" s="76"/>
      <c r="WRS57" s="76"/>
      <c r="WRT57" s="76"/>
      <c r="WRU57" s="76"/>
      <c r="WRV57" s="76"/>
      <c r="WRW57" s="76"/>
      <c r="WRX57" s="76"/>
      <c r="WRY57" s="76"/>
      <c r="WRZ57" s="76"/>
      <c r="WSA57" s="76"/>
      <c r="WSB57" s="76"/>
      <c r="WSC57" s="76"/>
      <c r="WSD57" s="76"/>
      <c r="WSE57" s="76"/>
      <c r="WSF57" s="76"/>
      <c r="WSG57" s="76"/>
      <c r="WSH57" s="76"/>
      <c r="WSI57" s="76"/>
      <c r="WSJ57" s="76"/>
      <c r="WSK57" s="76"/>
      <c r="WSL57" s="76"/>
      <c r="WSM57" s="76"/>
      <c r="WSN57" s="76"/>
      <c r="WSO57" s="76"/>
      <c r="WSP57" s="76"/>
      <c r="WSQ57" s="76"/>
      <c r="WSR57" s="76"/>
      <c r="WSS57" s="76"/>
      <c r="WST57" s="76"/>
      <c r="WSU57" s="76"/>
      <c r="WSV57" s="76"/>
      <c r="WSW57" s="76"/>
      <c r="WSX57" s="76"/>
      <c r="WSY57" s="76"/>
      <c r="WSZ57" s="76"/>
      <c r="WTA57" s="76"/>
      <c r="WTB57" s="76"/>
      <c r="WTC57" s="76"/>
      <c r="WTD57" s="76"/>
      <c r="WTE57" s="76"/>
      <c r="WTF57" s="76"/>
      <c r="WTG57" s="76"/>
      <c r="WTH57" s="76"/>
      <c r="WTI57" s="76"/>
      <c r="WTJ57" s="76"/>
      <c r="WTK57" s="76"/>
      <c r="WTL57" s="76"/>
      <c r="WTM57" s="76"/>
      <c r="WTN57" s="76"/>
      <c r="WTO57" s="76"/>
      <c r="WTP57" s="76"/>
      <c r="WTQ57" s="76"/>
      <c r="WTR57" s="76"/>
      <c r="WTS57" s="76"/>
      <c r="WTT57" s="76"/>
      <c r="WTU57" s="76"/>
      <c r="WTV57" s="76"/>
      <c r="WTW57" s="76"/>
      <c r="WTX57" s="76"/>
      <c r="WTY57" s="76"/>
      <c r="WTZ57" s="76"/>
      <c r="WUA57" s="76"/>
      <c r="WUB57" s="76"/>
      <c r="WUC57" s="76"/>
      <c r="WUD57" s="76"/>
      <c r="WUE57" s="76"/>
      <c r="WUF57" s="76"/>
      <c r="WUG57" s="76"/>
      <c r="WUH57" s="76"/>
      <c r="WUI57" s="76"/>
      <c r="WUJ57" s="76"/>
      <c r="WUK57" s="76"/>
      <c r="WUL57" s="76"/>
      <c r="WUM57" s="76"/>
      <c r="WUN57" s="76"/>
      <c r="WUO57" s="76"/>
      <c r="WUP57" s="76"/>
      <c r="WUQ57" s="76"/>
      <c r="WUR57" s="76"/>
      <c r="WUS57" s="76"/>
      <c r="WUT57" s="76"/>
      <c r="WUU57" s="76"/>
      <c r="WUV57" s="76"/>
      <c r="WUW57" s="76"/>
      <c r="WUX57" s="76"/>
      <c r="WUY57" s="76"/>
      <c r="WUZ57" s="76"/>
      <c r="WVA57" s="76"/>
      <c r="WVB57" s="76"/>
      <c r="WVC57" s="76"/>
      <c r="WVD57" s="76"/>
      <c r="WVE57" s="76"/>
      <c r="WVF57" s="76"/>
      <c r="WVG57" s="76"/>
      <c r="WVH57" s="76"/>
      <c r="WVI57" s="76"/>
      <c r="WVJ57" s="76"/>
      <c r="WVK57" s="76"/>
      <c r="WVL57" s="76"/>
      <c r="WVM57" s="76"/>
      <c r="WVN57" s="76"/>
      <c r="WVO57" s="76"/>
      <c r="WVP57" s="76"/>
      <c r="WVQ57" s="76"/>
      <c r="WVR57" s="76"/>
      <c r="WVS57" s="76"/>
      <c r="WVT57" s="76"/>
      <c r="WVU57" s="76"/>
      <c r="WVV57" s="76"/>
      <c r="WVW57" s="76"/>
      <c r="WVX57" s="76"/>
      <c r="WVY57" s="76"/>
      <c r="WVZ57" s="76"/>
      <c r="WWA57" s="76"/>
      <c r="WWB57" s="76"/>
      <c r="WWC57" s="76"/>
      <c r="WWD57" s="76"/>
      <c r="WWE57" s="76"/>
      <c r="WWF57" s="76"/>
      <c r="WWG57" s="76"/>
      <c r="WWH57" s="76"/>
      <c r="WWI57" s="76"/>
      <c r="WWJ57" s="76"/>
      <c r="WWK57" s="76"/>
      <c r="WWL57" s="76"/>
      <c r="WWM57" s="76"/>
      <c r="WWN57" s="76"/>
      <c r="WWO57" s="76"/>
      <c r="WWP57" s="76"/>
      <c r="WWQ57" s="76"/>
      <c r="WWR57" s="76"/>
      <c r="WWS57" s="76"/>
      <c r="WWT57" s="76"/>
      <c r="WWU57" s="76"/>
      <c r="WWV57" s="76"/>
      <c r="WWW57" s="76"/>
      <c r="WWX57" s="76"/>
      <c r="WWY57" s="76"/>
      <c r="WWZ57" s="76"/>
      <c r="WXA57" s="76"/>
    </row>
    <row r="58" spans="1:16173" s="77" customFormat="1" ht="34" customHeight="1" x14ac:dyDescent="0.55000000000000004">
      <c r="A58" s="76"/>
      <c r="B58" s="76"/>
      <c r="C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  <c r="BV58" s="76"/>
      <c r="BW58" s="76"/>
      <c r="BX58" s="76"/>
      <c r="BY58" s="76"/>
      <c r="BZ58" s="76"/>
      <c r="CA58" s="76"/>
      <c r="CB58" s="76"/>
      <c r="CC58" s="76"/>
      <c r="CD58" s="76"/>
      <c r="CE58" s="76"/>
      <c r="CF58" s="76"/>
      <c r="CG58" s="76"/>
      <c r="CH58" s="76"/>
      <c r="CI58" s="76"/>
      <c r="CJ58" s="76"/>
      <c r="CK58" s="76"/>
      <c r="CL58" s="76"/>
      <c r="CM58" s="76"/>
      <c r="CN58" s="76"/>
      <c r="CO58" s="76"/>
      <c r="CP58" s="76"/>
      <c r="CQ58" s="76"/>
      <c r="CR58" s="76"/>
      <c r="CS58" s="76"/>
      <c r="CT58" s="76"/>
      <c r="CU58" s="76"/>
      <c r="CV58" s="76"/>
      <c r="CW58" s="76"/>
      <c r="CX58" s="76"/>
      <c r="CY58" s="76"/>
      <c r="CZ58" s="76"/>
      <c r="DA58" s="76"/>
      <c r="DB58" s="76"/>
      <c r="DC58" s="76"/>
      <c r="DD58" s="76"/>
      <c r="DE58" s="76"/>
      <c r="DF58" s="76"/>
      <c r="DG58" s="76"/>
      <c r="DH58" s="76"/>
      <c r="DI58" s="76"/>
      <c r="DJ58" s="76"/>
      <c r="DK58" s="76"/>
      <c r="DL58" s="76"/>
      <c r="DM58" s="76"/>
      <c r="DN58" s="76"/>
      <c r="DO58" s="76"/>
      <c r="DP58" s="76"/>
      <c r="DQ58" s="76"/>
      <c r="DR58" s="76"/>
      <c r="DS58" s="76"/>
      <c r="DT58" s="76"/>
      <c r="DU58" s="76"/>
      <c r="DV58" s="76"/>
      <c r="DW58" s="76"/>
      <c r="DX58" s="76"/>
      <c r="DY58" s="76"/>
      <c r="DZ58" s="76"/>
      <c r="EA58" s="76"/>
      <c r="EB58" s="76"/>
      <c r="EC58" s="76"/>
      <c r="ED58" s="76"/>
      <c r="EE58" s="76"/>
      <c r="EF58" s="76"/>
      <c r="EG58" s="76"/>
      <c r="EH58" s="76"/>
      <c r="EI58" s="76"/>
      <c r="EJ58" s="76"/>
      <c r="EK58" s="76"/>
      <c r="EL58" s="76"/>
      <c r="EM58" s="76"/>
      <c r="EN58" s="76"/>
      <c r="EO58" s="76"/>
      <c r="EP58" s="76"/>
      <c r="EQ58" s="76"/>
      <c r="ER58" s="76"/>
      <c r="ES58" s="76"/>
      <c r="ET58" s="76"/>
      <c r="EU58" s="76"/>
      <c r="EV58" s="76"/>
      <c r="EW58" s="76"/>
      <c r="EX58" s="76"/>
      <c r="EY58" s="76"/>
      <c r="EZ58" s="76"/>
      <c r="FA58" s="76"/>
      <c r="FB58" s="76"/>
      <c r="FC58" s="76"/>
      <c r="FD58" s="76"/>
      <c r="FE58" s="76"/>
      <c r="FF58" s="76"/>
      <c r="FG58" s="76"/>
      <c r="FH58" s="76"/>
      <c r="FI58" s="76"/>
      <c r="FJ58" s="76"/>
      <c r="FK58" s="76"/>
      <c r="FL58" s="76"/>
      <c r="FM58" s="76"/>
      <c r="FN58" s="76"/>
      <c r="FO58" s="76"/>
      <c r="FP58" s="76"/>
      <c r="FQ58" s="76"/>
      <c r="FR58" s="76"/>
      <c r="FS58" s="76"/>
      <c r="FT58" s="76"/>
      <c r="FU58" s="76"/>
      <c r="FV58" s="76"/>
      <c r="FW58" s="76"/>
      <c r="FX58" s="76"/>
      <c r="FY58" s="76"/>
      <c r="FZ58" s="76"/>
      <c r="GA58" s="76"/>
      <c r="GB58" s="76"/>
      <c r="GC58" s="76"/>
      <c r="GD58" s="76"/>
      <c r="GE58" s="76"/>
      <c r="GF58" s="76"/>
      <c r="GG58" s="76"/>
      <c r="GH58" s="76"/>
      <c r="GI58" s="76"/>
      <c r="GJ58" s="76"/>
      <c r="GK58" s="76"/>
      <c r="GL58" s="76"/>
      <c r="GM58" s="76"/>
      <c r="GN58" s="76"/>
      <c r="GO58" s="76"/>
      <c r="GP58" s="76"/>
      <c r="GQ58" s="76"/>
      <c r="GR58" s="76"/>
      <c r="GS58" s="76"/>
      <c r="GT58" s="76"/>
      <c r="GU58" s="76"/>
      <c r="GV58" s="76"/>
      <c r="GW58" s="76"/>
      <c r="GX58" s="76"/>
      <c r="GY58" s="76"/>
      <c r="GZ58" s="76"/>
      <c r="HA58" s="76"/>
      <c r="HB58" s="76"/>
      <c r="HC58" s="76"/>
      <c r="HD58" s="76"/>
      <c r="HE58" s="76"/>
      <c r="HF58" s="76"/>
      <c r="HG58" s="76"/>
      <c r="HH58" s="76"/>
      <c r="HI58" s="76"/>
      <c r="HJ58" s="76"/>
      <c r="HK58" s="76"/>
      <c r="HL58" s="76"/>
      <c r="HM58" s="76"/>
      <c r="HN58" s="76"/>
      <c r="HO58" s="76"/>
      <c r="HP58" s="76"/>
      <c r="HQ58" s="76"/>
      <c r="HR58" s="76"/>
      <c r="HS58" s="76"/>
      <c r="HT58" s="76"/>
      <c r="HU58" s="76"/>
      <c r="HV58" s="76"/>
      <c r="HW58" s="76"/>
      <c r="HX58" s="76"/>
      <c r="HY58" s="76"/>
      <c r="HZ58" s="76"/>
      <c r="IA58" s="76"/>
      <c r="IB58" s="76"/>
      <c r="IC58" s="76"/>
      <c r="ID58" s="76"/>
      <c r="IE58" s="76"/>
      <c r="IF58" s="76"/>
      <c r="IG58" s="76"/>
      <c r="IH58" s="76"/>
      <c r="II58" s="76"/>
      <c r="IJ58" s="76"/>
      <c r="IK58" s="76"/>
      <c r="IL58" s="76"/>
      <c r="IM58" s="76"/>
      <c r="IN58" s="76"/>
      <c r="IO58" s="76"/>
      <c r="IP58" s="76"/>
      <c r="IQ58" s="76"/>
      <c r="IR58" s="76"/>
      <c r="IS58" s="76"/>
      <c r="IT58" s="76"/>
      <c r="IU58" s="76"/>
      <c r="IV58" s="76"/>
      <c r="IW58" s="76"/>
      <c r="IX58" s="76"/>
      <c r="IY58" s="76"/>
      <c r="IZ58" s="76"/>
      <c r="JA58" s="76"/>
      <c r="JB58" s="76"/>
      <c r="JC58" s="76"/>
      <c r="JD58" s="76"/>
      <c r="JE58" s="76"/>
      <c r="JF58" s="76"/>
      <c r="JG58" s="76"/>
      <c r="JH58" s="76"/>
      <c r="JI58" s="76"/>
      <c r="JJ58" s="76"/>
      <c r="JK58" s="76"/>
      <c r="JL58" s="76"/>
      <c r="JM58" s="76"/>
      <c r="JN58" s="76"/>
      <c r="JO58" s="76"/>
      <c r="JP58" s="76"/>
      <c r="JQ58" s="76"/>
      <c r="JR58" s="76"/>
      <c r="JS58" s="76"/>
      <c r="JT58" s="76"/>
      <c r="JU58" s="76"/>
      <c r="JV58" s="76"/>
      <c r="JW58" s="76"/>
      <c r="JX58" s="76"/>
      <c r="JY58" s="76"/>
      <c r="JZ58" s="76"/>
      <c r="KA58" s="76"/>
      <c r="KB58" s="76"/>
      <c r="KC58" s="76"/>
      <c r="KD58" s="76"/>
      <c r="KE58" s="76"/>
      <c r="KF58" s="76"/>
      <c r="KG58" s="76"/>
      <c r="KH58" s="76"/>
      <c r="KI58" s="76"/>
      <c r="KJ58" s="76"/>
      <c r="KK58" s="76"/>
      <c r="KL58" s="76"/>
      <c r="KM58" s="76"/>
      <c r="KN58" s="76"/>
      <c r="KO58" s="76"/>
      <c r="KP58" s="76"/>
      <c r="KQ58" s="76"/>
      <c r="KR58" s="76"/>
      <c r="KS58" s="76"/>
      <c r="KT58" s="76"/>
      <c r="KU58" s="76"/>
      <c r="KV58" s="76"/>
      <c r="KW58" s="76"/>
      <c r="KX58" s="76"/>
      <c r="KY58" s="76"/>
      <c r="KZ58" s="76"/>
      <c r="LA58" s="76"/>
      <c r="LB58" s="76"/>
      <c r="LC58" s="76"/>
      <c r="LD58" s="76"/>
      <c r="LE58" s="76"/>
      <c r="LF58" s="76"/>
      <c r="LG58" s="76"/>
      <c r="LH58" s="76"/>
      <c r="LI58" s="76"/>
      <c r="LJ58" s="76"/>
      <c r="LK58" s="76"/>
      <c r="LL58" s="76"/>
      <c r="LM58" s="76"/>
      <c r="LN58" s="76"/>
      <c r="LO58" s="76"/>
      <c r="LP58" s="76"/>
      <c r="LQ58" s="76"/>
      <c r="LR58" s="76"/>
      <c r="LS58" s="76"/>
      <c r="LT58" s="76"/>
      <c r="LU58" s="76"/>
      <c r="LV58" s="76"/>
      <c r="LW58" s="76"/>
      <c r="LX58" s="76"/>
      <c r="LY58" s="76"/>
      <c r="LZ58" s="76"/>
      <c r="MA58" s="76"/>
      <c r="MB58" s="76"/>
      <c r="MC58" s="76"/>
      <c r="MD58" s="76"/>
      <c r="ME58" s="76"/>
      <c r="MF58" s="76"/>
      <c r="MG58" s="76"/>
      <c r="MH58" s="76"/>
      <c r="MI58" s="76"/>
      <c r="MJ58" s="76"/>
      <c r="MK58" s="76"/>
      <c r="ML58" s="76"/>
      <c r="MM58" s="76"/>
      <c r="MN58" s="76"/>
      <c r="MO58" s="76"/>
      <c r="MP58" s="76"/>
      <c r="MQ58" s="76"/>
      <c r="MR58" s="76"/>
      <c r="MS58" s="76"/>
      <c r="MT58" s="76"/>
      <c r="MU58" s="76"/>
      <c r="MV58" s="76"/>
      <c r="MW58" s="76"/>
      <c r="MX58" s="76"/>
      <c r="MY58" s="76"/>
      <c r="MZ58" s="76"/>
      <c r="NA58" s="76"/>
      <c r="NB58" s="76"/>
      <c r="NC58" s="76"/>
      <c r="ND58" s="76"/>
      <c r="NE58" s="76"/>
      <c r="NF58" s="76"/>
      <c r="NG58" s="76"/>
      <c r="NH58" s="76"/>
      <c r="NI58" s="76"/>
      <c r="NJ58" s="76"/>
      <c r="NK58" s="76"/>
      <c r="NL58" s="76"/>
      <c r="NM58" s="76"/>
      <c r="NN58" s="76"/>
      <c r="NO58" s="76"/>
      <c r="NP58" s="76"/>
      <c r="NQ58" s="76"/>
      <c r="NR58" s="76"/>
      <c r="NS58" s="76"/>
      <c r="NT58" s="76"/>
      <c r="NU58" s="76"/>
      <c r="NV58" s="76"/>
      <c r="NW58" s="76"/>
      <c r="NX58" s="76"/>
      <c r="NY58" s="76"/>
      <c r="NZ58" s="76"/>
      <c r="OA58" s="76"/>
      <c r="OB58" s="76"/>
      <c r="OC58" s="76"/>
      <c r="OD58" s="76"/>
      <c r="OE58" s="76"/>
      <c r="OF58" s="76"/>
      <c r="OG58" s="76"/>
      <c r="OH58" s="76"/>
      <c r="OI58" s="76"/>
      <c r="OJ58" s="76"/>
      <c r="OK58" s="76"/>
      <c r="OL58" s="76"/>
      <c r="OM58" s="76"/>
      <c r="ON58" s="76"/>
      <c r="OO58" s="76"/>
      <c r="OP58" s="76"/>
      <c r="OQ58" s="76"/>
      <c r="OR58" s="76"/>
      <c r="OS58" s="76"/>
      <c r="OT58" s="76"/>
      <c r="OU58" s="76"/>
      <c r="OV58" s="76"/>
      <c r="OW58" s="76"/>
      <c r="OX58" s="76"/>
      <c r="OY58" s="76"/>
      <c r="OZ58" s="76"/>
      <c r="PA58" s="76"/>
      <c r="PB58" s="76"/>
      <c r="PC58" s="76"/>
      <c r="PD58" s="76"/>
      <c r="PE58" s="76"/>
      <c r="PF58" s="76"/>
      <c r="PG58" s="76"/>
      <c r="PH58" s="76"/>
      <c r="PI58" s="76"/>
      <c r="PJ58" s="76"/>
      <c r="PK58" s="76"/>
      <c r="PL58" s="76"/>
      <c r="PM58" s="76"/>
      <c r="PN58" s="76"/>
      <c r="PO58" s="76"/>
      <c r="PP58" s="76"/>
      <c r="PQ58" s="76"/>
      <c r="PR58" s="76"/>
      <c r="PS58" s="76"/>
      <c r="PT58" s="76"/>
      <c r="PU58" s="76"/>
      <c r="PV58" s="76"/>
      <c r="PW58" s="76"/>
      <c r="PX58" s="76"/>
      <c r="PY58" s="76"/>
      <c r="PZ58" s="76"/>
      <c r="QA58" s="76"/>
      <c r="QB58" s="76"/>
      <c r="QC58" s="76"/>
      <c r="QD58" s="76"/>
      <c r="QE58" s="76"/>
      <c r="QF58" s="76"/>
      <c r="QG58" s="76"/>
      <c r="QH58" s="76"/>
      <c r="QI58" s="76"/>
      <c r="QJ58" s="76"/>
      <c r="QK58" s="76"/>
      <c r="QL58" s="76"/>
      <c r="QM58" s="76"/>
      <c r="QN58" s="76"/>
      <c r="QO58" s="76"/>
      <c r="QP58" s="76"/>
      <c r="QQ58" s="76"/>
      <c r="QR58" s="76"/>
      <c r="QS58" s="76"/>
      <c r="QT58" s="76"/>
      <c r="QU58" s="76"/>
      <c r="QV58" s="76"/>
      <c r="QW58" s="76"/>
      <c r="QX58" s="76"/>
      <c r="QY58" s="76"/>
      <c r="QZ58" s="76"/>
      <c r="RA58" s="76"/>
      <c r="RB58" s="76"/>
      <c r="RC58" s="76"/>
      <c r="RD58" s="76"/>
      <c r="RE58" s="76"/>
      <c r="RF58" s="76"/>
      <c r="RG58" s="76"/>
      <c r="RH58" s="76"/>
      <c r="RI58" s="76"/>
      <c r="RJ58" s="76"/>
      <c r="RK58" s="76"/>
      <c r="RL58" s="76"/>
      <c r="RM58" s="76"/>
      <c r="RN58" s="76"/>
      <c r="RO58" s="76"/>
      <c r="RP58" s="76"/>
      <c r="RQ58" s="76"/>
      <c r="RR58" s="76"/>
      <c r="RS58" s="76"/>
      <c r="RT58" s="76"/>
      <c r="RU58" s="76"/>
      <c r="RV58" s="76"/>
      <c r="RW58" s="76"/>
      <c r="RX58" s="76"/>
      <c r="RY58" s="76"/>
      <c r="RZ58" s="76"/>
      <c r="SA58" s="76"/>
      <c r="SB58" s="76"/>
      <c r="SC58" s="76"/>
      <c r="SD58" s="76"/>
      <c r="SE58" s="76"/>
      <c r="SF58" s="76"/>
      <c r="SG58" s="76"/>
      <c r="SH58" s="76"/>
      <c r="SI58" s="76"/>
      <c r="SJ58" s="76"/>
      <c r="SK58" s="76"/>
      <c r="SL58" s="76"/>
      <c r="SM58" s="76"/>
      <c r="SN58" s="76"/>
      <c r="SO58" s="76"/>
      <c r="SP58" s="76"/>
      <c r="SQ58" s="76"/>
      <c r="SR58" s="76"/>
      <c r="SS58" s="76"/>
      <c r="ST58" s="76"/>
      <c r="SU58" s="76"/>
      <c r="SV58" s="76"/>
      <c r="SW58" s="76"/>
      <c r="SX58" s="76"/>
      <c r="SY58" s="76"/>
      <c r="SZ58" s="76"/>
      <c r="TA58" s="76"/>
      <c r="TB58" s="76"/>
      <c r="TC58" s="76"/>
      <c r="TD58" s="76"/>
      <c r="TE58" s="76"/>
      <c r="TF58" s="76"/>
      <c r="TG58" s="76"/>
      <c r="TH58" s="76"/>
      <c r="TI58" s="76"/>
      <c r="TJ58" s="76"/>
      <c r="TK58" s="76"/>
      <c r="TL58" s="76"/>
      <c r="TM58" s="76"/>
      <c r="TN58" s="76"/>
      <c r="TO58" s="76"/>
      <c r="TP58" s="76"/>
      <c r="TQ58" s="76"/>
      <c r="TR58" s="76"/>
      <c r="TS58" s="76"/>
      <c r="TT58" s="76"/>
      <c r="TU58" s="76"/>
      <c r="TV58" s="76"/>
      <c r="TW58" s="76"/>
      <c r="TX58" s="76"/>
      <c r="TY58" s="76"/>
      <c r="TZ58" s="76"/>
      <c r="UA58" s="76"/>
      <c r="UB58" s="76"/>
      <c r="UC58" s="76"/>
      <c r="UD58" s="76"/>
      <c r="UE58" s="76"/>
      <c r="UF58" s="76"/>
      <c r="UG58" s="76"/>
      <c r="UH58" s="76"/>
      <c r="UI58" s="76"/>
      <c r="UJ58" s="76"/>
      <c r="UK58" s="76"/>
      <c r="UL58" s="76"/>
      <c r="UM58" s="76"/>
      <c r="UN58" s="76"/>
      <c r="UO58" s="76"/>
      <c r="UP58" s="76"/>
      <c r="UQ58" s="76"/>
      <c r="UR58" s="76"/>
      <c r="US58" s="76"/>
      <c r="UT58" s="76"/>
      <c r="UU58" s="76"/>
      <c r="UV58" s="76"/>
      <c r="UW58" s="76"/>
      <c r="UX58" s="76"/>
      <c r="UY58" s="76"/>
      <c r="UZ58" s="76"/>
      <c r="VA58" s="76"/>
      <c r="VB58" s="76"/>
      <c r="VC58" s="76"/>
      <c r="VD58" s="76"/>
      <c r="VE58" s="76"/>
      <c r="VF58" s="76"/>
      <c r="VG58" s="76"/>
      <c r="VH58" s="76"/>
      <c r="VI58" s="76"/>
      <c r="VJ58" s="76"/>
      <c r="VK58" s="76"/>
      <c r="VL58" s="76"/>
      <c r="VM58" s="76"/>
      <c r="VN58" s="76"/>
      <c r="VO58" s="76"/>
      <c r="VP58" s="76"/>
      <c r="VQ58" s="76"/>
      <c r="VR58" s="76"/>
      <c r="VS58" s="76"/>
      <c r="VT58" s="76"/>
      <c r="VU58" s="76"/>
      <c r="VV58" s="76"/>
      <c r="VW58" s="76"/>
      <c r="VX58" s="76"/>
      <c r="VY58" s="76"/>
      <c r="VZ58" s="76"/>
      <c r="WA58" s="76"/>
      <c r="WB58" s="76"/>
      <c r="WC58" s="76"/>
      <c r="WD58" s="76"/>
      <c r="WE58" s="76"/>
      <c r="WF58" s="76"/>
      <c r="WG58" s="76"/>
      <c r="WH58" s="76"/>
      <c r="WI58" s="76"/>
      <c r="WJ58" s="76"/>
      <c r="WK58" s="76"/>
      <c r="WL58" s="76"/>
      <c r="WM58" s="76"/>
      <c r="WN58" s="76"/>
      <c r="WO58" s="76"/>
      <c r="WP58" s="76"/>
      <c r="WQ58" s="76"/>
      <c r="WR58" s="76"/>
      <c r="WS58" s="76"/>
      <c r="WT58" s="76"/>
      <c r="WU58" s="76"/>
      <c r="WV58" s="76"/>
      <c r="WW58" s="76"/>
      <c r="WX58" s="76"/>
      <c r="WY58" s="76"/>
      <c r="WZ58" s="76"/>
      <c r="XA58" s="76"/>
      <c r="XB58" s="76"/>
      <c r="XC58" s="76"/>
      <c r="XD58" s="76"/>
      <c r="XE58" s="76"/>
      <c r="XF58" s="76"/>
      <c r="XG58" s="76"/>
      <c r="XH58" s="76"/>
      <c r="XI58" s="76"/>
      <c r="XJ58" s="76"/>
      <c r="XK58" s="76"/>
      <c r="XL58" s="76"/>
      <c r="XM58" s="76"/>
      <c r="XN58" s="76"/>
      <c r="XO58" s="76"/>
      <c r="XP58" s="76"/>
      <c r="XQ58" s="76"/>
      <c r="XR58" s="76"/>
      <c r="XS58" s="76"/>
      <c r="XT58" s="76"/>
      <c r="XU58" s="76"/>
      <c r="XV58" s="76"/>
      <c r="XW58" s="76"/>
      <c r="XX58" s="76"/>
      <c r="XY58" s="76"/>
      <c r="XZ58" s="76"/>
      <c r="YA58" s="76"/>
      <c r="YB58" s="76"/>
      <c r="YC58" s="76"/>
      <c r="YD58" s="76"/>
      <c r="YE58" s="76"/>
      <c r="YF58" s="76"/>
      <c r="YG58" s="76"/>
      <c r="YH58" s="76"/>
      <c r="YI58" s="76"/>
      <c r="YJ58" s="76"/>
      <c r="YK58" s="76"/>
      <c r="YL58" s="76"/>
      <c r="YM58" s="76"/>
      <c r="YN58" s="76"/>
      <c r="YO58" s="76"/>
      <c r="YP58" s="76"/>
      <c r="YQ58" s="76"/>
      <c r="YR58" s="76"/>
      <c r="YS58" s="76"/>
      <c r="YT58" s="76"/>
      <c r="YU58" s="76"/>
      <c r="YV58" s="76"/>
      <c r="YW58" s="76"/>
      <c r="YX58" s="76"/>
      <c r="YY58" s="76"/>
      <c r="YZ58" s="76"/>
      <c r="ZA58" s="76"/>
      <c r="ZB58" s="76"/>
      <c r="ZC58" s="76"/>
      <c r="ZD58" s="76"/>
      <c r="ZE58" s="76"/>
      <c r="ZF58" s="76"/>
      <c r="ZG58" s="76"/>
      <c r="ZH58" s="76"/>
      <c r="ZI58" s="76"/>
      <c r="ZJ58" s="76"/>
      <c r="ZK58" s="76"/>
      <c r="ZL58" s="76"/>
      <c r="ZM58" s="76"/>
      <c r="ZN58" s="76"/>
      <c r="ZO58" s="76"/>
      <c r="ZP58" s="76"/>
      <c r="ZQ58" s="76"/>
      <c r="ZR58" s="76"/>
      <c r="ZS58" s="76"/>
      <c r="ZT58" s="76"/>
      <c r="ZU58" s="76"/>
      <c r="ZV58" s="76"/>
      <c r="ZW58" s="76"/>
      <c r="ZX58" s="76"/>
      <c r="ZY58" s="76"/>
      <c r="ZZ58" s="76"/>
      <c r="AAA58" s="76"/>
      <c r="AAB58" s="76"/>
      <c r="AAC58" s="76"/>
      <c r="AAD58" s="76"/>
      <c r="AAE58" s="76"/>
      <c r="AAF58" s="76"/>
      <c r="AAG58" s="76"/>
      <c r="AAH58" s="76"/>
      <c r="AAI58" s="76"/>
      <c r="AAJ58" s="76"/>
      <c r="AAK58" s="76"/>
      <c r="AAL58" s="76"/>
      <c r="AAM58" s="76"/>
      <c r="AAN58" s="76"/>
      <c r="AAO58" s="76"/>
      <c r="AAP58" s="76"/>
      <c r="AAQ58" s="76"/>
      <c r="AAR58" s="76"/>
      <c r="AAS58" s="76"/>
      <c r="AAT58" s="76"/>
      <c r="AAU58" s="76"/>
      <c r="AAV58" s="76"/>
      <c r="AAW58" s="76"/>
      <c r="AAX58" s="76"/>
      <c r="AAY58" s="76"/>
      <c r="AAZ58" s="76"/>
      <c r="ABA58" s="76"/>
      <c r="ABB58" s="76"/>
      <c r="ABC58" s="76"/>
      <c r="ABD58" s="76"/>
      <c r="ABE58" s="76"/>
      <c r="ABF58" s="76"/>
      <c r="ABG58" s="76"/>
      <c r="ABH58" s="76"/>
      <c r="ABI58" s="76"/>
      <c r="ABJ58" s="76"/>
      <c r="ABK58" s="76"/>
      <c r="ABL58" s="76"/>
      <c r="ABM58" s="76"/>
      <c r="ABN58" s="76"/>
      <c r="ABO58" s="76"/>
      <c r="ABP58" s="76"/>
      <c r="ABQ58" s="76"/>
      <c r="ABR58" s="76"/>
      <c r="ABS58" s="76"/>
      <c r="ABT58" s="76"/>
      <c r="ABU58" s="76"/>
      <c r="ABV58" s="76"/>
      <c r="ABW58" s="76"/>
      <c r="ABX58" s="76"/>
      <c r="ABY58" s="76"/>
      <c r="ABZ58" s="76"/>
      <c r="ACA58" s="76"/>
      <c r="ACB58" s="76"/>
      <c r="ACC58" s="76"/>
      <c r="ACD58" s="76"/>
      <c r="ACE58" s="76"/>
      <c r="ACF58" s="76"/>
      <c r="ACG58" s="76"/>
      <c r="ACH58" s="76"/>
      <c r="ACI58" s="76"/>
      <c r="ACJ58" s="76"/>
      <c r="ACK58" s="76"/>
      <c r="ACL58" s="76"/>
      <c r="ACM58" s="76"/>
      <c r="ACN58" s="76"/>
      <c r="ACO58" s="76"/>
      <c r="ACP58" s="76"/>
      <c r="ACQ58" s="76"/>
      <c r="ACR58" s="76"/>
      <c r="ACS58" s="76"/>
      <c r="ACT58" s="76"/>
      <c r="ACU58" s="76"/>
      <c r="ACV58" s="76"/>
      <c r="ACW58" s="76"/>
      <c r="ACX58" s="76"/>
      <c r="ACY58" s="76"/>
      <c r="ACZ58" s="76"/>
      <c r="ADA58" s="76"/>
      <c r="ADB58" s="76"/>
      <c r="ADC58" s="76"/>
      <c r="ADD58" s="76"/>
      <c r="ADE58" s="76"/>
      <c r="ADF58" s="76"/>
      <c r="ADG58" s="76"/>
      <c r="ADH58" s="76"/>
      <c r="ADI58" s="76"/>
      <c r="ADJ58" s="76"/>
      <c r="ADK58" s="76"/>
      <c r="ADL58" s="76"/>
      <c r="ADM58" s="76"/>
      <c r="ADN58" s="76"/>
      <c r="ADO58" s="76"/>
      <c r="ADP58" s="76"/>
      <c r="ADQ58" s="76"/>
      <c r="ADR58" s="76"/>
      <c r="ADS58" s="76"/>
      <c r="ADT58" s="76"/>
      <c r="ADU58" s="76"/>
      <c r="ADV58" s="76"/>
      <c r="ADW58" s="76"/>
      <c r="ADX58" s="76"/>
      <c r="ADY58" s="76"/>
      <c r="ADZ58" s="76"/>
      <c r="AEA58" s="76"/>
      <c r="AEB58" s="76"/>
      <c r="AEC58" s="76"/>
      <c r="AED58" s="76"/>
      <c r="AEE58" s="76"/>
      <c r="AEF58" s="76"/>
      <c r="AEG58" s="76"/>
      <c r="AEH58" s="76"/>
      <c r="AEI58" s="76"/>
      <c r="AEJ58" s="76"/>
      <c r="AEK58" s="76"/>
      <c r="AEL58" s="76"/>
      <c r="AEM58" s="76"/>
      <c r="AEN58" s="76"/>
      <c r="AEO58" s="76"/>
      <c r="AEP58" s="76"/>
      <c r="AEQ58" s="76"/>
      <c r="AER58" s="76"/>
      <c r="AES58" s="76"/>
      <c r="AET58" s="76"/>
      <c r="AEU58" s="76"/>
      <c r="AEV58" s="76"/>
      <c r="AEW58" s="76"/>
      <c r="AEX58" s="76"/>
      <c r="AEY58" s="76"/>
      <c r="AEZ58" s="76"/>
      <c r="AFA58" s="76"/>
      <c r="AFB58" s="76"/>
      <c r="AFC58" s="76"/>
      <c r="AFD58" s="76"/>
      <c r="AFE58" s="76"/>
      <c r="AFF58" s="76"/>
      <c r="AFG58" s="76"/>
      <c r="AFH58" s="76"/>
      <c r="AFI58" s="76"/>
      <c r="AFJ58" s="76"/>
      <c r="AFK58" s="76"/>
      <c r="AFL58" s="76"/>
      <c r="AFM58" s="76"/>
      <c r="AFN58" s="76"/>
      <c r="AFO58" s="76"/>
      <c r="AFP58" s="76"/>
      <c r="AFQ58" s="76"/>
      <c r="AFR58" s="76"/>
      <c r="AFS58" s="76"/>
      <c r="AFT58" s="76"/>
      <c r="AFU58" s="76"/>
      <c r="AFV58" s="76"/>
      <c r="AFW58" s="76"/>
      <c r="AFX58" s="76"/>
      <c r="AFY58" s="76"/>
      <c r="AFZ58" s="76"/>
      <c r="AGA58" s="76"/>
      <c r="AGB58" s="76"/>
      <c r="AGC58" s="76"/>
      <c r="AGD58" s="76"/>
      <c r="AGE58" s="76"/>
      <c r="AGF58" s="76"/>
      <c r="AGG58" s="76"/>
      <c r="AGH58" s="76"/>
      <c r="AGI58" s="76"/>
      <c r="AGJ58" s="76"/>
      <c r="AGK58" s="76"/>
      <c r="AGL58" s="76"/>
      <c r="AGM58" s="76"/>
      <c r="AGN58" s="76"/>
      <c r="AGO58" s="76"/>
      <c r="AGP58" s="76"/>
      <c r="AGQ58" s="76"/>
      <c r="AGR58" s="76"/>
      <c r="AGS58" s="76"/>
      <c r="AGT58" s="76"/>
      <c r="AGU58" s="76"/>
      <c r="AGV58" s="76"/>
      <c r="AGW58" s="76"/>
      <c r="AGX58" s="76"/>
      <c r="AGY58" s="76"/>
      <c r="AGZ58" s="76"/>
      <c r="AHA58" s="76"/>
      <c r="AHB58" s="76"/>
      <c r="AHC58" s="76"/>
      <c r="AHD58" s="76"/>
      <c r="AHE58" s="76"/>
      <c r="AHF58" s="76"/>
      <c r="AHG58" s="76"/>
      <c r="AHH58" s="76"/>
      <c r="AHI58" s="76"/>
      <c r="AHJ58" s="76"/>
      <c r="AHK58" s="76"/>
      <c r="AHL58" s="76"/>
      <c r="AHM58" s="76"/>
      <c r="AHN58" s="76"/>
      <c r="AHO58" s="76"/>
      <c r="AHP58" s="76"/>
      <c r="AHQ58" s="76"/>
      <c r="AHR58" s="76"/>
      <c r="AHS58" s="76"/>
      <c r="AHT58" s="76"/>
      <c r="AHU58" s="76"/>
      <c r="AHV58" s="76"/>
      <c r="AHW58" s="76"/>
      <c r="AHX58" s="76"/>
      <c r="AHY58" s="76"/>
      <c r="AHZ58" s="76"/>
      <c r="AIA58" s="76"/>
      <c r="AIB58" s="76"/>
      <c r="AIC58" s="76"/>
      <c r="AID58" s="76"/>
      <c r="AIE58" s="76"/>
      <c r="AIF58" s="76"/>
      <c r="AIG58" s="76"/>
      <c r="AIH58" s="76"/>
      <c r="AII58" s="76"/>
      <c r="AIJ58" s="76"/>
      <c r="AIK58" s="76"/>
      <c r="AIL58" s="76"/>
      <c r="AIM58" s="76"/>
      <c r="AIN58" s="76"/>
      <c r="AIO58" s="76"/>
      <c r="AIP58" s="76"/>
      <c r="AIQ58" s="76"/>
      <c r="AIR58" s="76"/>
      <c r="AIS58" s="76"/>
      <c r="AIT58" s="76"/>
      <c r="AIU58" s="76"/>
      <c r="AIV58" s="76"/>
      <c r="AIW58" s="76"/>
      <c r="AIX58" s="76"/>
      <c r="AIY58" s="76"/>
      <c r="AIZ58" s="76"/>
      <c r="AJA58" s="76"/>
      <c r="AJB58" s="76"/>
      <c r="AJC58" s="76"/>
      <c r="AJD58" s="76"/>
      <c r="AJE58" s="76"/>
      <c r="AJF58" s="76"/>
      <c r="AJG58" s="76"/>
      <c r="AJH58" s="76"/>
      <c r="AJI58" s="76"/>
      <c r="AJJ58" s="76"/>
      <c r="AJK58" s="76"/>
      <c r="AJL58" s="76"/>
      <c r="AJM58" s="76"/>
      <c r="AJN58" s="76"/>
      <c r="AJO58" s="76"/>
      <c r="AJP58" s="76"/>
      <c r="AJQ58" s="76"/>
      <c r="AJR58" s="76"/>
      <c r="AJS58" s="76"/>
      <c r="AJT58" s="76"/>
      <c r="AJU58" s="76"/>
      <c r="AJV58" s="76"/>
      <c r="AJW58" s="76"/>
      <c r="AJX58" s="76"/>
      <c r="AJY58" s="76"/>
      <c r="AJZ58" s="76"/>
      <c r="AKA58" s="76"/>
      <c r="AKB58" s="76"/>
      <c r="AKC58" s="76"/>
      <c r="AKD58" s="76"/>
      <c r="AKE58" s="76"/>
      <c r="AKF58" s="76"/>
      <c r="AKG58" s="76"/>
      <c r="AKH58" s="76"/>
      <c r="AKI58" s="76"/>
      <c r="AKJ58" s="76"/>
      <c r="AKK58" s="76"/>
      <c r="AKL58" s="76"/>
      <c r="AKM58" s="76"/>
      <c r="AKN58" s="76"/>
      <c r="AKO58" s="76"/>
      <c r="AKP58" s="76"/>
      <c r="AKQ58" s="76"/>
      <c r="AKR58" s="76"/>
      <c r="AKS58" s="76"/>
      <c r="AKT58" s="76"/>
      <c r="AKU58" s="76"/>
      <c r="AKV58" s="76"/>
      <c r="AKW58" s="76"/>
      <c r="AKX58" s="76"/>
      <c r="AKY58" s="76"/>
      <c r="AKZ58" s="76"/>
      <c r="ALA58" s="76"/>
      <c r="ALB58" s="76"/>
      <c r="ALC58" s="76"/>
      <c r="ALD58" s="76"/>
      <c r="ALE58" s="76"/>
      <c r="ALF58" s="76"/>
      <c r="ALG58" s="76"/>
      <c r="ALH58" s="76"/>
      <c r="ALI58" s="76"/>
      <c r="ALJ58" s="76"/>
      <c r="ALK58" s="76"/>
      <c r="ALL58" s="76"/>
      <c r="ALM58" s="76"/>
      <c r="ALN58" s="76"/>
      <c r="ALO58" s="76"/>
      <c r="ALP58" s="76"/>
      <c r="ALQ58" s="76"/>
      <c r="ALR58" s="76"/>
      <c r="ALS58" s="76"/>
      <c r="ALT58" s="76"/>
      <c r="ALU58" s="76"/>
      <c r="ALV58" s="76"/>
      <c r="ALW58" s="76"/>
      <c r="ALX58" s="76"/>
      <c r="ALY58" s="76"/>
      <c r="ALZ58" s="76"/>
      <c r="AMA58" s="76"/>
      <c r="AMB58" s="76"/>
      <c r="AMC58" s="76"/>
      <c r="AMD58" s="76"/>
      <c r="AME58" s="76"/>
      <c r="AMF58" s="76"/>
      <c r="AMG58" s="76"/>
      <c r="AMH58" s="76"/>
      <c r="AMI58" s="76"/>
      <c r="AMJ58" s="76"/>
      <c r="AMK58" s="76"/>
      <c r="AML58" s="76"/>
      <c r="AMM58" s="76"/>
      <c r="AMN58" s="76"/>
      <c r="AMO58" s="76"/>
      <c r="AMP58" s="76"/>
      <c r="AMQ58" s="76"/>
      <c r="AMR58" s="76"/>
      <c r="AMS58" s="76"/>
      <c r="AMT58" s="76"/>
      <c r="AMU58" s="76"/>
      <c r="AMV58" s="76"/>
      <c r="AMW58" s="76"/>
      <c r="AMX58" s="76"/>
      <c r="AMY58" s="76"/>
      <c r="AMZ58" s="76"/>
      <c r="ANA58" s="76"/>
      <c r="ANB58" s="76"/>
      <c r="ANC58" s="76"/>
      <c r="AND58" s="76"/>
      <c r="ANE58" s="76"/>
      <c r="ANF58" s="76"/>
      <c r="ANG58" s="76"/>
      <c r="ANH58" s="76"/>
      <c r="ANI58" s="76"/>
      <c r="ANJ58" s="76"/>
      <c r="ANK58" s="76"/>
      <c r="ANL58" s="76"/>
      <c r="ANM58" s="76"/>
      <c r="ANN58" s="76"/>
      <c r="ANO58" s="76"/>
      <c r="ANP58" s="76"/>
      <c r="ANQ58" s="76"/>
      <c r="ANR58" s="76"/>
      <c r="ANS58" s="76"/>
      <c r="ANT58" s="76"/>
      <c r="ANU58" s="76"/>
      <c r="ANV58" s="76"/>
      <c r="ANW58" s="76"/>
      <c r="ANX58" s="76"/>
      <c r="ANY58" s="76"/>
      <c r="ANZ58" s="76"/>
      <c r="AOA58" s="76"/>
      <c r="AOB58" s="76"/>
      <c r="AOC58" s="76"/>
      <c r="AOD58" s="76"/>
      <c r="AOE58" s="76"/>
      <c r="AOF58" s="76"/>
      <c r="AOG58" s="76"/>
      <c r="AOH58" s="76"/>
      <c r="AOI58" s="76"/>
      <c r="AOJ58" s="76"/>
      <c r="AOK58" s="76"/>
      <c r="AOL58" s="76"/>
      <c r="AOM58" s="76"/>
      <c r="AON58" s="76"/>
      <c r="AOO58" s="76"/>
      <c r="AOP58" s="76"/>
      <c r="AOQ58" s="76"/>
      <c r="AOR58" s="76"/>
      <c r="AOS58" s="76"/>
      <c r="AOT58" s="76"/>
      <c r="AOU58" s="76"/>
      <c r="AOV58" s="76"/>
      <c r="AOW58" s="76"/>
      <c r="AOX58" s="76"/>
      <c r="AOY58" s="76"/>
      <c r="AOZ58" s="76"/>
      <c r="APA58" s="76"/>
      <c r="APB58" s="76"/>
      <c r="APC58" s="76"/>
      <c r="APD58" s="76"/>
      <c r="APE58" s="76"/>
      <c r="APF58" s="76"/>
      <c r="APG58" s="76"/>
      <c r="APH58" s="76"/>
      <c r="API58" s="76"/>
      <c r="APJ58" s="76"/>
      <c r="APK58" s="76"/>
      <c r="APL58" s="76"/>
      <c r="APM58" s="76"/>
      <c r="APN58" s="76"/>
      <c r="APO58" s="76"/>
      <c r="APP58" s="76"/>
      <c r="APQ58" s="76"/>
      <c r="APR58" s="76"/>
      <c r="APS58" s="76"/>
      <c r="APT58" s="76"/>
      <c r="APU58" s="76"/>
      <c r="APV58" s="76"/>
      <c r="APW58" s="76"/>
      <c r="APX58" s="76"/>
      <c r="APY58" s="76"/>
      <c r="APZ58" s="76"/>
      <c r="AQA58" s="76"/>
      <c r="AQB58" s="76"/>
      <c r="AQC58" s="76"/>
      <c r="AQD58" s="76"/>
      <c r="AQE58" s="76"/>
      <c r="AQF58" s="76"/>
      <c r="AQG58" s="76"/>
      <c r="AQH58" s="76"/>
      <c r="AQI58" s="76"/>
      <c r="AQJ58" s="76"/>
      <c r="AQK58" s="76"/>
      <c r="AQL58" s="76"/>
      <c r="AQM58" s="76"/>
      <c r="AQN58" s="76"/>
      <c r="AQO58" s="76"/>
      <c r="AQP58" s="76"/>
      <c r="AQQ58" s="76"/>
      <c r="AQR58" s="76"/>
      <c r="AQS58" s="76"/>
      <c r="AQT58" s="76"/>
      <c r="AQU58" s="76"/>
      <c r="AQV58" s="76"/>
      <c r="AQW58" s="76"/>
      <c r="AQX58" s="76"/>
      <c r="AQY58" s="76"/>
      <c r="AQZ58" s="76"/>
      <c r="ARA58" s="76"/>
      <c r="ARB58" s="76"/>
      <c r="ARC58" s="76"/>
      <c r="ARD58" s="76"/>
      <c r="ARE58" s="76"/>
      <c r="ARF58" s="76"/>
      <c r="ARG58" s="76"/>
      <c r="ARH58" s="76"/>
      <c r="ARI58" s="76"/>
      <c r="ARJ58" s="76"/>
      <c r="ARK58" s="76"/>
      <c r="ARL58" s="76"/>
      <c r="ARM58" s="76"/>
      <c r="ARN58" s="76"/>
      <c r="ARO58" s="76"/>
      <c r="ARP58" s="76"/>
      <c r="ARQ58" s="76"/>
      <c r="ARR58" s="76"/>
      <c r="ARS58" s="76"/>
      <c r="ART58" s="76"/>
      <c r="ARU58" s="76"/>
      <c r="ARV58" s="76"/>
      <c r="ARW58" s="76"/>
      <c r="ARX58" s="76"/>
      <c r="ARY58" s="76"/>
      <c r="ARZ58" s="76"/>
      <c r="ASA58" s="76"/>
      <c r="ASB58" s="76"/>
      <c r="ASC58" s="76"/>
      <c r="ASD58" s="76"/>
      <c r="ASE58" s="76"/>
      <c r="ASF58" s="76"/>
      <c r="ASG58" s="76"/>
      <c r="ASH58" s="76"/>
      <c r="ASI58" s="76"/>
      <c r="ASJ58" s="76"/>
      <c r="ASK58" s="76"/>
      <c r="ASL58" s="76"/>
      <c r="ASM58" s="76"/>
      <c r="ASN58" s="76"/>
      <c r="ASO58" s="76"/>
      <c r="ASP58" s="76"/>
      <c r="ASQ58" s="76"/>
      <c r="ASR58" s="76"/>
      <c r="ASS58" s="76"/>
      <c r="AST58" s="76"/>
      <c r="ASU58" s="76"/>
      <c r="ASV58" s="76"/>
      <c r="ASW58" s="76"/>
      <c r="ASX58" s="76"/>
      <c r="ASY58" s="76"/>
      <c r="ASZ58" s="76"/>
      <c r="ATA58" s="76"/>
      <c r="ATB58" s="76"/>
      <c r="ATC58" s="76"/>
      <c r="ATD58" s="76"/>
      <c r="ATE58" s="76"/>
      <c r="ATF58" s="76"/>
      <c r="ATG58" s="76"/>
      <c r="ATH58" s="76"/>
      <c r="ATI58" s="76"/>
      <c r="ATJ58" s="76"/>
      <c r="ATK58" s="76"/>
      <c r="ATL58" s="76"/>
      <c r="ATM58" s="76"/>
      <c r="ATN58" s="76"/>
      <c r="ATO58" s="76"/>
      <c r="ATP58" s="76"/>
      <c r="ATQ58" s="76"/>
      <c r="ATR58" s="76"/>
      <c r="ATS58" s="76"/>
      <c r="ATT58" s="76"/>
      <c r="ATU58" s="76"/>
      <c r="ATV58" s="76"/>
      <c r="ATW58" s="76"/>
      <c r="ATX58" s="76"/>
      <c r="ATY58" s="76"/>
      <c r="ATZ58" s="76"/>
      <c r="AUA58" s="76"/>
      <c r="AUB58" s="76"/>
      <c r="AUC58" s="76"/>
      <c r="AUD58" s="76"/>
      <c r="AUE58" s="76"/>
      <c r="AUF58" s="76"/>
      <c r="AUG58" s="76"/>
      <c r="AUH58" s="76"/>
      <c r="AUI58" s="76"/>
      <c r="AUJ58" s="76"/>
      <c r="AUK58" s="76"/>
      <c r="AUL58" s="76"/>
      <c r="AUM58" s="76"/>
      <c r="AUN58" s="76"/>
      <c r="AUO58" s="76"/>
      <c r="AUP58" s="76"/>
      <c r="AUQ58" s="76"/>
      <c r="AUR58" s="76"/>
      <c r="AUS58" s="76"/>
      <c r="AUT58" s="76"/>
      <c r="AUU58" s="76"/>
      <c r="AUV58" s="76"/>
      <c r="AUW58" s="76"/>
      <c r="AUX58" s="76"/>
      <c r="AUY58" s="76"/>
      <c r="AUZ58" s="76"/>
      <c r="AVA58" s="76"/>
      <c r="AVB58" s="76"/>
      <c r="AVC58" s="76"/>
      <c r="AVD58" s="76"/>
      <c r="AVE58" s="76"/>
      <c r="AVF58" s="76"/>
      <c r="AVG58" s="76"/>
      <c r="AVH58" s="76"/>
      <c r="AVI58" s="76"/>
      <c r="AVJ58" s="76"/>
      <c r="AVK58" s="76"/>
      <c r="AVL58" s="76"/>
      <c r="AVM58" s="76"/>
      <c r="AVN58" s="76"/>
      <c r="AVO58" s="76"/>
      <c r="AVP58" s="76"/>
      <c r="AVQ58" s="76"/>
      <c r="AVR58" s="76"/>
      <c r="AVS58" s="76"/>
      <c r="AVT58" s="76"/>
      <c r="AVU58" s="76"/>
      <c r="AVV58" s="76"/>
      <c r="AVW58" s="76"/>
      <c r="AVX58" s="76"/>
      <c r="AVY58" s="76"/>
      <c r="AVZ58" s="76"/>
      <c r="AWA58" s="76"/>
      <c r="AWB58" s="76"/>
      <c r="AWC58" s="76"/>
      <c r="AWD58" s="76"/>
      <c r="AWE58" s="76"/>
      <c r="AWF58" s="76"/>
      <c r="AWG58" s="76"/>
      <c r="AWH58" s="76"/>
      <c r="AWI58" s="76"/>
      <c r="AWJ58" s="76"/>
      <c r="AWK58" s="76"/>
      <c r="AWL58" s="76"/>
      <c r="AWM58" s="76"/>
      <c r="AWN58" s="76"/>
      <c r="AWO58" s="76"/>
      <c r="AWP58" s="76"/>
      <c r="AWQ58" s="76"/>
      <c r="AWR58" s="76"/>
      <c r="AWS58" s="76"/>
      <c r="AWT58" s="76"/>
      <c r="AWU58" s="76"/>
      <c r="AWV58" s="76"/>
      <c r="AWW58" s="76"/>
      <c r="AWX58" s="76"/>
      <c r="AWY58" s="76"/>
      <c r="AWZ58" s="76"/>
      <c r="AXA58" s="76"/>
      <c r="AXB58" s="76"/>
      <c r="AXC58" s="76"/>
      <c r="AXD58" s="76"/>
      <c r="AXE58" s="76"/>
      <c r="AXF58" s="76"/>
      <c r="AXG58" s="76"/>
      <c r="AXH58" s="76"/>
      <c r="AXI58" s="76"/>
      <c r="AXJ58" s="76"/>
      <c r="AXK58" s="76"/>
      <c r="AXL58" s="76"/>
      <c r="AXM58" s="76"/>
      <c r="AXN58" s="76"/>
      <c r="AXO58" s="76"/>
      <c r="AXP58" s="76"/>
      <c r="AXQ58" s="76"/>
      <c r="AXR58" s="76"/>
      <c r="AXS58" s="76"/>
      <c r="AXT58" s="76"/>
      <c r="AXU58" s="76"/>
      <c r="AXV58" s="76"/>
      <c r="AXW58" s="76"/>
      <c r="AXX58" s="76"/>
      <c r="AXY58" s="76"/>
      <c r="AXZ58" s="76"/>
      <c r="AYA58" s="76"/>
      <c r="AYB58" s="76"/>
      <c r="AYC58" s="76"/>
      <c r="AYD58" s="76"/>
      <c r="AYE58" s="76"/>
      <c r="AYF58" s="76"/>
      <c r="AYG58" s="76"/>
      <c r="AYH58" s="76"/>
      <c r="AYI58" s="76"/>
      <c r="AYJ58" s="76"/>
      <c r="AYK58" s="76"/>
      <c r="AYL58" s="76"/>
      <c r="AYM58" s="76"/>
      <c r="AYN58" s="76"/>
      <c r="AYO58" s="76"/>
      <c r="AYP58" s="76"/>
      <c r="AYQ58" s="76"/>
      <c r="AYR58" s="76"/>
      <c r="AYS58" s="76"/>
      <c r="AYT58" s="76"/>
      <c r="AYU58" s="76"/>
      <c r="AYV58" s="76"/>
      <c r="AYW58" s="76"/>
      <c r="AYX58" s="76"/>
      <c r="AYY58" s="76"/>
      <c r="AYZ58" s="76"/>
      <c r="AZA58" s="76"/>
      <c r="AZB58" s="76"/>
      <c r="AZC58" s="76"/>
      <c r="AZD58" s="76"/>
      <c r="AZE58" s="76"/>
      <c r="AZF58" s="76"/>
      <c r="AZG58" s="76"/>
      <c r="AZH58" s="76"/>
      <c r="AZI58" s="76"/>
      <c r="AZJ58" s="76"/>
      <c r="AZK58" s="76"/>
      <c r="AZL58" s="76"/>
      <c r="AZM58" s="76"/>
      <c r="AZN58" s="76"/>
      <c r="AZO58" s="76"/>
      <c r="AZP58" s="76"/>
      <c r="AZQ58" s="76"/>
      <c r="AZR58" s="76"/>
      <c r="AZS58" s="76"/>
      <c r="AZT58" s="76"/>
      <c r="AZU58" s="76"/>
      <c r="AZV58" s="76"/>
      <c r="AZW58" s="76"/>
      <c r="AZX58" s="76"/>
      <c r="AZY58" s="76"/>
      <c r="AZZ58" s="76"/>
      <c r="BAA58" s="76"/>
      <c r="BAB58" s="76"/>
      <c r="BAC58" s="76"/>
      <c r="BAD58" s="76"/>
      <c r="BAE58" s="76"/>
      <c r="BAF58" s="76"/>
      <c r="BAG58" s="76"/>
      <c r="BAH58" s="76"/>
      <c r="BAI58" s="76"/>
      <c r="BAJ58" s="76"/>
      <c r="BAK58" s="76"/>
      <c r="BAL58" s="76"/>
      <c r="BAM58" s="76"/>
      <c r="BAN58" s="76"/>
      <c r="BAO58" s="76"/>
      <c r="BAP58" s="76"/>
      <c r="BAQ58" s="76"/>
      <c r="BAR58" s="76"/>
      <c r="BAS58" s="76"/>
      <c r="BAT58" s="76"/>
      <c r="BAU58" s="76"/>
      <c r="BAV58" s="76"/>
      <c r="BAW58" s="76"/>
      <c r="BAX58" s="76"/>
      <c r="BAY58" s="76"/>
      <c r="BAZ58" s="76"/>
      <c r="BBA58" s="76"/>
      <c r="BBB58" s="76"/>
      <c r="BBC58" s="76"/>
      <c r="BBD58" s="76"/>
      <c r="BBE58" s="76"/>
      <c r="BBF58" s="76"/>
      <c r="BBG58" s="76"/>
      <c r="BBH58" s="76"/>
      <c r="BBI58" s="76"/>
      <c r="BBJ58" s="76"/>
      <c r="BBK58" s="76"/>
      <c r="BBL58" s="76"/>
      <c r="BBM58" s="76"/>
      <c r="BBN58" s="76"/>
      <c r="BBO58" s="76"/>
      <c r="BBP58" s="76"/>
      <c r="BBQ58" s="76"/>
      <c r="BBR58" s="76"/>
      <c r="BBS58" s="76"/>
      <c r="BBT58" s="76"/>
      <c r="BBU58" s="76"/>
      <c r="BBV58" s="76"/>
      <c r="BBW58" s="76"/>
      <c r="BBX58" s="76"/>
      <c r="BBY58" s="76"/>
      <c r="BBZ58" s="76"/>
      <c r="BCA58" s="76"/>
      <c r="BCB58" s="76"/>
      <c r="BCC58" s="76"/>
      <c r="BCD58" s="76"/>
      <c r="BCE58" s="76"/>
      <c r="BCF58" s="76"/>
      <c r="BCG58" s="76"/>
      <c r="BCH58" s="76"/>
      <c r="BCI58" s="76"/>
      <c r="BCJ58" s="76"/>
      <c r="BCK58" s="76"/>
      <c r="BCL58" s="76"/>
      <c r="BCM58" s="76"/>
      <c r="BCN58" s="76"/>
      <c r="BCO58" s="76"/>
      <c r="BCP58" s="76"/>
      <c r="BCQ58" s="76"/>
      <c r="BCR58" s="76"/>
      <c r="BCS58" s="76"/>
      <c r="BCT58" s="76"/>
      <c r="BCU58" s="76"/>
      <c r="BCV58" s="76"/>
      <c r="BCW58" s="76"/>
      <c r="BCX58" s="76"/>
      <c r="BCY58" s="76"/>
      <c r="BCZ58" s="76"/>
      <c r="BDA58" s="76"/>
      <c r="BDB58" s="76"/>
      <c r="BDC58" s="76"/>
      <c r="BDD58" s="76"/>
      <c r="BDE58" s="76"/>
      <c r="BDF58" s="76"/>
      <c r="BDG58" s="76"/>
      <c r="BDH58" s="76"/>
      <c r="BDI58" s="76"/>
      <c r="BDJ58" s="76"/>
      <c r="BDK58" s="76"/>
      <c r="BDL58" s="76"/>
      <c r="BDM58" s="76"/>
      <c r="BDN58" s="76"/>
      <c r="BDO58" s="76"/>
      <c r="BDP58" s="76"/>
      <c r="BDQ58" s="76"/>
      <c r="BDR58" s="76"/>
      <c r="BDS58" s="76"/>
      <c r="BDT58" s="76"/>
      <c r="BDU58" s="76"/>
      <c r="BDV58" s="76"/>
      <c r="BDW58" s="76"/>
      <c r="BDX58" s="76"/>
      <c r="BDY58" s="76"/>
      <c r="BDZ58" s="76"/>
      <c r="BEA58" s="76"/>
      <c r="BEB58" s="76"/>
      <c r="BEC58" s="76"/>
      <c r="BED58" s="76"/>
      <c r="BEE58" s="76"/>
      <c r="BEF58" s="76"/>
      <c r="BEG58" s="76"/>
      <c r="BEH58" s="76"/>
      <c r="BEI58" s="76"/>
      <c r="BEJ58" s="76"/>
      <c r="BEK58" s="76"/>
      <c r="BEL58" s="76"/>
      <c r="BEM58" s="76"/>
      <c r="BEN58" s="76"/>
      <c r="BEO58" s="76"/>
      <c r="BEP58" s="76"/>
      <c r="BEQ58" s="76"/>
      <c r="BER58" s="76"/>
      <c r="BES58" s="76"/>
      <c r="BET58" s="76"/>
      <c r="BEU58" s="76"/>
      <c r="BEV58" s="76"/>
      <c r="BEW58" s="76"/>
      <c r="BEX58" s="76"/>
      <c r="BEY58" s="76"/>
      <c r="BEZ58" s="76"/>
      <c r="BFA58" s="76"/>
      <c r="BFB58" s="76"/>
      <c r="BFC58" s="76"/>
      <c r="BFD58" s="76"/>
      <c r="BFE58" s="76"/>
      <c r="BFF58" s="76"/>
      <c r="BFG58" s="76"/>
      <c r="BFH58" s="76"/>
      <c r="BFI58" s="76"/>
      <c r="BFJ58" s="76"/>
      <c r="BFK58" s="76"/>
      <c r="BFL58" s="76"/>
      <c r="BFM58" s="76"/>
      <c r="BFN58" s="76"/>
      <c r="BFO58" s="76"/>
      <c r="BFP58" s="76"/>
      <c r="BFQ58" s="76"/>
      <c r="BFR58" s="76"/>
      <c r="BFS58" s="76"/>
      <c r="BFT58" s="76"/>
      <c r="BFU58" s="76"/>
      <c r="BFV58" s="76"/>
      <c r="BFW58" s="76"/>
      <c r="BFX58" s="76"/>
      <c r="BFY58" s="76"/>
      <c r="BFZ58" s="76"/>
      <c r="BGA58" s="76"/>
      <c r="BGB58" s="76"/>
      <c r="BGC58" s="76"/>
      <c r="BGD58" s="76"/>
      <c r="BGE58" s="76"/>
      <c r="BGF58" s="76"/>
      <c r="BGG58" s="76"/>
      <c r="BGH58" s="76"/>
      <c r="BGI58" s="76"/>
      <c r="BGJ58" s="76"/>
      <c r="BGK58" s="76"/>
      <c r="BGL58" s="76"/>
      <c r="BGM58" s="76"/>
      <c r="BGN58" s="76"/>
      <c r="BGO58" s="76"/>
      <c r="BGP58" s="76"/>
      <c r="BGQ58" s="76"/>
      <c r="BGR58" s="76"/>
      <c r="BGS58" s="76"/>
      <c r="BGT58" s="76"/>
      <c r="BGU58" s="76"/>
      <c r="BGV58" s="76"/>
      <c r="BGW58" s="76"/>
      <c r="BGX58" s="76"/>
      <c r="BGY58" s="76"/>
      <c r="BGZ58" s="76"/>
      <c r="BHA58" s="76"/>
      <c r="BHB58" s="76"/>
      <c r="BHC58" s="76"/>
      <c r="BHD58" s="76"/>
      <c r="BHE58" s="76"/>
      <c r="BHF58" s="76"/>
      <c r="BHG58" s="76"/>
      <c r="BHH58" s="76"/>
      <c r="BHI58" s="76"/>
      <c r="BHJ58" s="76"/>
      <c r="BHK58" s="76"/>
      <c r="BHL58" s="76"/>
      <c r="BHM58" s="76"/>
      <c r="BHN58" s="76"/>
      <c r="BHO58" s="76"/>
      <c r="BHP58" s="76"/>
      <c r="BHQ58" s="76"/>
      <c r="BHR58" s="76"/>
      <c r="BHS58" s="76"/>
      <c r="BHT58" s="76"/>
      <c r="BHU58" s="76"/>
      <c r="BHV58" s="76"/>
      <c r="BHW58" s="76"/>
      <c r="BHX58" s="76"/>
      <c r="BHY58" s="76"/>
      <c r="BHZ58" s="76"/>
      <c r="BIA58" s="76"/>
      <c r="BIB58" s="76"/>
      <c r="BIC58" s="76"/>
      <c r="BID58" s="76"/>
      <c r="BIE58" s="76"/>
      <c r="BIF58" s="76"/>
      <c r="BIG58" s="76"/>
      <c r="BIH58" s="76"/>
      <c r="BII58" s="76"/>
      <c r="BIJ58" s="76"/>
      <c r="BIK58" s="76"/>
      <c r="BIL58" s="76"/>
      <c r="BIM58" s="76"/>
      <c r="BIN58" s="76"/>
      <c r="BIO58" s="76"/>
      <c r="BIP58" s="76"/>
      <c r="BIQ58" s="76"/>
      <c r="BIR58" s="76"/>
      <c r="BIS58" s="76"/>
      <c r="BIT58" s="76"/>
      <c r="BIU58" s="76"/>
      <c r="BIV58" s="76"/>
      <c r="BIW58" s="76"/>
      <c r="BIX58" s="76"/>
      <c r="BIY58" s="76"/>
      <c r="BIZ58" s="76"/>
      <c r="BJA58" s="76"/>
      <c r="BJB58" s="76"/>
      <c r="BJC58" s="76"/>
      <c r="BJD58" s="76"/>
      <c r="BJE58" s="76"/>
      <c r="BJF58" s="76"/>
      <c r="BJG58" s="76"/>
      <c r="BJH58" s="76"/>
      <c r="BJI58" s="76"/>
      <c r="BJJ58" s="76"/>
      <c r="BJK58" s="76"/>
      <c r="BJL58" s="76"/>
      <c r="BJM58" s="76"/>
      <c r="BJN58" s="76"/>
      <c r="BJO58" s="76"/>
      <c r="BJP58" s="76"/>
      <c r="BJQ58" s="76"/>
      <c r="BJR58" s="76"/>
      <c r="BJS58" s="76"/>
      <c r="BJT58" s="76"/>
      <c r="BJU58" s="76"/>
      <c r="BJV58" s="76"/>
      <c r="BJW58" s="76"/>
      <c r="BJX58" s="76"/>
      <c r="BJY58" s="76"/>
      <c r="BJZ58" s="76"/>
      <c r="BKA58" s="76"/>
      <c r="BKB58" s="76"/>
      <c r="BKC58" s="76"/>
      <c r="BKD58" s="76"/>
      <c r="BKE58" s="76"/>
      <c r="BKF58" s="76"/>
      <c r="BKG58" s="76"/>
      <c r="BKH58" s="76"/>
      <c r="BKI58" s="76"/>
      <c r="BKJ58" s="76"/>
      <c r="BKK58" s="76"/>
      <c r="BKL58" s="76"/>
      <c r="BKM58" s="76"/>
      <c r="BKN58" s="76"/>
      <c r="BKO58" s="76"/>
      <c r="BKP58" s="76"/>
      <c r="BKQ58" s="76"/>
      <c r="BKR58" s="76"/>
      <c r="BKS58" s="76"/>
      <c r="BKT58" s="76"/>
      <c r="BKU58" s="76"/>
      <c r="BKV58" s="76"/>
      <c r="BKW58" s="76"/>
      <c r="BKX58" s="76"/>
      <c r="BKY58" s="76"/>
      <c r="BKZ58" s="76"/>
      <c r="BLA58" s="76"/>
      <c r="BLB58" s="76"/>
      <c r="BLC58" s="76"/>
      <c r="BLD58" s="76"/>
      <c r="BLE58" s="76"/>
      <c r="BLF58" s="76"/>
      <c r="BLG58" s="76"/>
      <c r="BLH58" s="76"/>
      <c r="BLI58" s="76"/>
      <c r="BLJ58" s="76"/>
      <c r="BLK58" s="76"/>
      <c r="BLL58" s="76"/>
      <c r="BLM58" s="76"/>
      <c r="BLN58" s="76"/>
      <c r="BLO58" s="76"/>
      <c r="BLP58" s="76"/>
      <c r="BLQ58" s="76"/>
      <c r="BLR58" s="76"/>
      <c r="BLS58" s="76"/>
      <c r="BLT58" s="76"/>
      <c r="BLU58" s="76"/>
      <c r="BLV58" s="76"/>
      <c r="BLW58" s="76"/>
      <c r="BLX58" s="76"/>
      <c r="BLY58" s="76"/>
      <c r="BLZ58" s="76"/>
      <c r="BMA58" s="76"/>
      <c r="BMB58" s="76"/>
      <c r="BMC58" s="76"/>
      <c r="BMD58" s="76"/>
      <c r="BME58" s="76"/>
      <c r="BMF58" s="76"/>
      <c r="BMG58" s="76"/>
      <c r="BMH58" s="76"/>
      <c r="BMI58" s="76"/>
      <c r="BMJ58" s="76"/>
      <c r="BMK58" s="76"/>
      <c r="BML58" s="76"/>
      <c r="BMM58" s="76"/>
      <c r="BMN58" s="76"/>
      <c r="BMO58" s="76"/>
      <c r="BMP58" s="76"/>
      <c r="BMQ58" s="76"/>
      <c r="BMR58" s="76"/>
      <c r="BMS58" s="76"/>
      <c r="BMT58" s="76"/>
      <c r="BMU58" s="76"/>
      <c r="BMV58" s="76"/>
      <c r="BMW58" s="76"/>
      <c r="BMX58" s="76"/>
      <c r="BMY58" s="76"/>
      <c r="BMZ58" s="76"/>
      <c r="BNA58" s="76"/>
      <c r="BNB58" s="76"/>
      <c r="BNC58" s="76"/>
      <c r="BND58" s="76"/>
      <c r="BNE58" s="76"/>
      <c r="BNF58" s="76"/>
      <c r="BNG58" s="76"/>
      <c r="BNH58" s="76"/>
      <c r="BNI58" s="76"/>
      <c r="BNJ58" s="76"/>
      <c r="BNK58" s="76"/>
      <c r="BNL58" s="76"/>
      <c r="BNM58" s="76"/>
      <c r="BNN58" s="76"/>
      <c r="BNO58" s="76"/>
      <c r="BNP58" s="76"/>
      <c r="BNQ58" s="76"/>
      <c r="BNR58" s="76"/>
      <c r="BNS58" s="76"/>
      <c r="BNT58" s="76"/>
      <c r="BNU58" s="76"/>
      <c r="BNV58" s="76"/>
      <c r="BNW58" s="76"/>
      <c r="BNX58" s="76"/>
      <c r="BNY58" s="76"/>
      <c r="BNZ58" s="76"/>
      <c r="BOA58" s="76"/>
      <c r="BOB58" s="76"/>
      <c r="BOC58" s="76"/>
      <c r="BOD58" s="76"/>
      <c r="BOE58" s="76"/>
      <c r="BOF58" s="76"/>
      <c r="BOG58" s="76"/>
      <c r="BOH58" s="76"/>
      <c r="BOI58" s="76"/>
      <c r="BOJ58" s="76"/>
      <c r="BOK58" s="76"/>
      <c r="BOL58" s="76"/>
      <c r="BOM58" s="76"/>
      <c r="BON58" s="76"/>
      <c r="BOO58" s="76"/>
      <c r="BOP58" s="76"/>
      <c r="BOQ58" s="76"/>
      <c r="BOR58" s="76"/>
      <c r="BOS58" s="76"/>
      <c r="BOT58" s="76"/>
      <c r="BOU58" s="76"/>
      <c r="BOV58" s="76"/>
      <c r="BOW58" s="76"/>
      <c r="BOX58" s="76"/>
      <c r="BOY58" s="76"/>
      <c r="BOZ58" s="76"/>
      <c r="BPA58" s="76"/>
      <c r="BPB58" s="76"/>
      <c r="BPC58" s="76"/>
      <c r="BPD58" s="76"/>
      <c r="BPE58" s="76"/>
      <c r="BPF58" s="76"/>
      <c r="BPG58" s="76"/>
      <c r="BPH58" s="76"/>
      <c r="BPI58" s="76"/>
      <c r="BPJ58" s="76"/>
      <c r="BPK58" s="76"/>
      <c r="BPL58" s="76"/>
      <c r="BPM58" s="76"/>
      <c r="BPN58" s="76"/>
      <c r="BPO58" s="76"/>
      <c r="BPP58" s="76"/>
      <c r="BPQ58" s="76"/>
      <c r="BPR58" s="76"/>
      <c r="BPS58" s="76"/>
      <c r="BPT58" s="76"/>
      <c r="BPU58" s="76"/>
      <c r="BPV58" s="76"/>
      <c r="BPW58" s="76"/>
      <c r="BPX58" s="76"/>
      <c r="BPY58" s="76"/>
      <c r="BPZ58" s="76"/>
      <c r="BQA58" s="76"/>
      <c r="BQB58" s="76"/>
      <c r="BQC58" s="76"/>
      <c r="BQD58" s="76"/>
      <c r="BQE58" s="76"/>
      <c r="BQF58" s="76"/>
      <c r="BQG58" s="76"/>
      <c r="BQH58" s="76"/>
      <c r="BQI58" s="76"/>
      <c r="BQJ58" s="76"/>
      <c r="BQK58" s="76"/>
      <c r="BQL58" s="76"/>
      <c r="BQM58" s="76"/>
      <c r="BQN58" s="76"/>
      <c r="BQO58" s="76"/>
      <c r="BQP58" s="76"/>
      <c r="BQQ58" s="76"/>
      <c r="BQR58" s="76"/>
      <c r="BQS58" s="76"/>
      <c r="BQT58" s="76"/>
      <c r="BQU58" s="76"/>
      <c r="BQV58" s="76"/>
      <c r="BQW58" s="76"/>
      <c r="BQX58" s="76"/>
      <c r="BQY58" s="76"/>
      <c r="BQZ58" s="76"/>
      <c r="BRA58" s="76"/>
      <c r="BRB58" s="76"/>
      <c r="BRC58" s="76"/>
      <c r="BRD58" s="76"/>
      <c r="BRE58" s="76"/>
      <c r="BRF58" s="76"/>
      <c r="BRG58" s="76"/>
      <c r="BRH58" s="76"/>
      <c r="BRI58" s="76"/>
      <c r="BRJ58" s="76"/>
      <c r="BRK58" s="76"/>
      <c r="BRL58" s="76"/>
      <c r="BRM58" s="76"/>
      <c r="BRN58" s="76"/>
      <c r="BRO58" s="76"/>
      <c r="BRP58" s="76"/>
      <c r="BRQ58" s="76"/>
      <c r="BRR58" s="76"/>
      <c r="BRS58" s="76"/>
      <c r="BRT58" s="76"/>
      <c r="BRU58" s="76"/>
      <c r="BRV58" s="76"/>
      <c r="BRW58" s="76"/>
      <c r="BRX58" s="76"/>
      <c r="BRY58" s="76"/>
      <c r="BRZ58" s="76"/>
      <c r="BSA58" s="76"/>
      <c r="BSB58" s="76"/>
      <c r="BSC58" s="76"/>
      <c r="BSD58" s="76"/>
      <c r="BSE58" s="76"/>
      <c r="BSF58" s="76"/>
      <c r="BSG58" s="76"/>
      <c r="BSH58" s="76"/>
      <c r="BSI58" s="76"/>
      <c r="BSJ58" s="76"/>
      <c r="BSK58" s="76"/>
      <c r="BSL58" s="76"/>
      <c r="BSM58" s="76"/>
      <c r="BSN58" s="76"/>
      <c r="BSO58" s="76"/>
      <c r="BSP58" s="76"/>
      <c r="BSQ58" s="76"/>
      <c r="BSR58" s="76"/>
      <c r="BSS58" s="76"/>
      <c r="BST58" s="76"/>
      <c r="BSU58" s="76"/>
      <c r="BSV58" s="76"/>
      <c r="BSW58" s="76"/>
      <c r="BSX58" s="76"/>
      <c r="BSY58" s="76"/>
      <c r="BSZ58" s="76"/>
      <c r="BTA58" s="76"/>
      <c r="BTB58" s="76"/>
      <c r="BTC58" s="76"/>
      <c r="BTD58" s="76"/>
      <c r="BTE58" s="76"/>
      <c r="BTF58" s="76"/>
      <c r="BTG58" s="76"/>
      <c r="BTH58" s="76"/>
      <c r="BTI58" s="76"/>
      <c r="BTJ58" s="76"/>
      <c r="BTK58" s="76"/>
      <c r="BTL58" s="76"/>
      <c r="BTM58" s="76"/>
      <c r="BTN58" s="76"/>
      <c r="BTO58" s="76"/>
      <c r="BTP58" s="76"/>
      <c r="BTQ58" s="76"/>
      <c r="BTR58" s="76"/>
      <c r="BTS58" s="76"/>
      <c r="BTT58" s="76"/>
      <c r="BTU58" s="76"/>
      <c r="BTV58" s="76"/>
      <c r="BTW58" s="76"/>
      <c r="BTX58" s="76"/>
      <c r="BTY58" s="76"/>
      <c r="BTZ58" s="76"/>
      <c r="BUA58" s="76"/>
      <c r="BUB58" s="76"/>
      <c r="BUC58" s="76"/>
      <c r="BUD58" s="76"/>
      <c r="BUE58" s="76"/>
      <c r="BUF58" s="76"/>
      <c r="BUG58" s="76"/>
      <c r="BUH58" s="76"/>
      <c r="BUI58" s="76"/>
      <c r="BUJ58" s="76"/>
      <c r="BUK58" s="76"/>
      <c r="BUL58" s="76"/>
      <c r="BUM58" s="76"/>
      <c r="BUN58" s="76"/>
      <c r="BUO58" s="76"/>
      <c r="BUP58" s="76"/>
      <c r="BUQ58" s="76"/>
      <c r="BUR58" s="76"/>
      <c r="BUS58" s="76"/>
      <c r="BUT58" s="76"/>
      <c r="BUU58" s="76"/>
      <c r="BUV58" s="76"/>
      <c r="BUW58" s="76"/>
      <c r="BUX58" s="76"/>
      <c r="BUY58" s="76"/>
      <c r="BUZ58" s="76"/>
      <c r="BVA58" s="76"/>
      <c r="BVB58" s="76"/>
      <c r="BVC58" s="76"/>
      <c r="BVD58" s="76"/>
      <c r="BVE58" s="76"/>
      <c r="BVF58" s="76"/>
      <c r="BVG58" s="76"/>
      <c r="BVH58" s="76"/>
      <c r="BVI58" s="76"/>
      <c r="BVJ58" s="76"/>
      <c r="BVK58" s="76"/>
      <c r="BVL58" s="76"/>
      <c r="BVM58" s="76"/>
      <c r="BVN58" s="76"/>
      <c r="BVO58" s="76"/>
      <c r="BVP58" s="76"/>
      <c r="BVQ58" s="76"/>
      <c r="BVR58" s="76"/>
      <c r="BVS58" s="76"/>
      <c r="BVT58" s="76"/>
      <c r="BVU58" s="76"/>
      <c r="BVV58" s="76"/>
      <c r="BVW58" s="76"/>
      <c r="BVX58" s="76"/>
      <c r="BVY58" s="76"/>
      <c r="BVZ58" s="76"/>
      <c r="BWA58" s="76"/>
      <c r="BWB58" s="76"/>
      <c r="BWC58" s="76"/>
      <c r="BWD58" s="76"/>
      <c r="BWE58" s="76"/>
      <c r="BWF58" s="76"/>
      <c r="BWG58" s="76"/>
      <c r="BWH58" s="76"/>
      <c r="BWI58" s="76"/>
      <c r="BWJ58" s="76"/>
      <c r="BWK58" s="76"/>
      <c r="BWL58" s="76"/>
      <c r="BWM58" s="76"/>
      <c r="BWN58" s="76"/>
      <c r="BWO58" s="76"/>
      <c r="BWP58" s="76"/>
      <c r="BWQ58" s="76"/>
      <c r="BWR58" s="76"/>
      <c r="BWS58" s="76"/>
      <c r="BWT58" s="76"/>
      <c r="BWU58" s="76"/>
      <c r="BWV58" s="76"/>
      <c r="BWW58" s="76"/>
      <c r="BWX58" s="76"/>
      <c r="BWY58" s="76"/>
      <c r="BWZ58" s="76"/>
      <c r="BXA58" s="76"/>
      <c r="BXB58" s="76"/>
      <c r="BXC58" s="76"/>
      <c r="BXD58" s="76"/>
      <c r="BXE58" s="76"/>
      <c r="BXF58" s="76"/>
      <c r="BXG58" s="76"/>
      <c r="BXH58" s="76"/>
      <c r="BXI58" s="76"/>
      <c r="BXJ58" s="76"/>
      <c r="BXK58" s="76"/>
      <c r="BXL58" s="76"/>
      <c r="BXM58" s="76"/>
      <c r="BXN58" s="76"/>
      <c r="BXO58" s="76"/>
      <c r="BXP58" s="76"/>
      <c r="BXQ58" s="76"/>
      <c r="BXR58" s="76"/>
      <c r="BXS58" s="76"/>
      <c r="BXT58" s="76"/>
      <c r="BXU58" s="76"/>
      <c r="BXV58" s="76"/>
      <c r="BXW58" s="76"/>
      <c r="BXX58" s="76"/>
      <c r="BXY58" s="76"/>
      <c r="BXZ58" s="76"/>
      <c r="BYA58" s="76"/>
      <c r="BYB58" s="76"/>
      <c r="BYC58" s="76"/>
      <c r="BYD58" s="76"/>
      <c r="BYE58" s="76"/>
      <c r="BYF58" s="76"/>
      <c r="BYG58" s="76"/>
      <c r="BYH58" s="76"/>
      <c r="BYI58" s="76"/>
      <c r="BYJ58" s="76"/>
      <c r="BYK58" s="76"/>
      <c r="BYL58" s="76"/>
      <c r="BYM58" s="76"/>
      <c r="BYN58" s="76"/>
      <c r="BYO58" s="76"/>
      <c r="BYP58" s="76"/>
      <c r="BYQ58" s="76"/>
      <c r="BYR58" s="76"/>
      <c r="BYS58" s="76"/>
      <c r="BYT58" s="76"/>
      <c r="BYU58" s="76"/>
      <c r="BYV58" s="76"/>
      <c r="BYW58" s="76"/>
      <c r="BYX58" s="76"/>
      <c r="BYY58" s="76"/>
      <c r="BYZ58" s="76"/>
      <c r="BZA58" s="76"/>
      <c r="BZB58" s="76"/>
      <c r="BZC58" s="76"/>
      <c r="BZD58" s="76"/>
      <c r="BZE58" s="76"/>
      <c r="BZF58" s="76"/>
      <c r="BZG58" s="76"/>
      <c r="BZH58" s="76"/>
      <c r="BZI58" s="76"/>
      <c r="BZJ58" s="76"/>
      <c r="BZK58" s="76"/>
      <c r="BZL58" s="76"/>
      <c r="BZM58" s="76"/>
      <c r="BZN58" s="76"/>
      <c r="BZO58" s="76"/>
      <c r="BZP58" s="76"/>
      <c r="BZQ58" s="76"/>
      <c r="BZR58" s="76"/>
      <c r="BZS58" s="76"/>
      <c r="BZT58" s="76"/>
      <c r="BZU58" s="76"/>
      <c r="BZV58" s="76"/>
      <c r="BZW58" s="76"/>
      <c r="BZX58" s="76"/>
      <c r="BZY58" s="76"/>
      <c r="BZZ58" s="76"/>
      <c r="CAA58" s="76"/>
      <c r="CAB58" s="76"/>
      <c r="CAC58" s="76"/>
      <c r="CAD58" s="76"/>
      <c r="CAE58" s="76"/>
      <c r="CAF58" s="76"/>
      <c r="CAG58" s="76"/>
      <c r="CAH58" s="76"/>
      <c r="CAI58" s="76"/>
      <c r="CAJ58" s="76"/>
      <c r="CAK58" s="76"/>
      <c r="CAL58" s="76"/>
      <c r="CAM58" s="76"/>
      <c r="CAN58" s="76"/>
      <c r="CAO58" s="76"/>
      <c r="CAP58" s="76"/>
      <c r="CAQ58" s="76"/>
      <c r="CAR58" s="76"/>
      <c r="CAS58" s="76"/>
      <c r="CAT58" s="76"/>
      <c r="CAU58" s="76"/>
      <c r="CAV58" s="76"/>
      <c r="CAW58" s="76"/>
      <c r="CAX58" s="76"/>
      <c r="CAY58" s="76"/>
      <c r="CAZ58" s="76"/>
      <c r="CBA58" s="76"/>
      <c r="CBB58" s="76"/>
      <c r="CBC58" s="76"/>
      <c r="CBD58" s="76"/>
      <c r="CBE58" s="76"/>
      <c r="CBF58" s="76"/>
      <c r="CBG58" s="76"/>
      <c r="CBH58" s="76"/>
      <c r="CBI58" s="76"/>
      <c r="CBJ58" s="76"/>
      <c r="CBK58" s="76"/>
      <c r="CBL58" s="76"/>
      <c r="CBM58" s="76"/>
      <c r="CBN58" s="76"/>
      <c r="CBO58" s="76"/>
      <c r="CBP58" s="76"/>
      <c r="CBQ58" s="76"/>
      <c r="CBR58" s="76"/>
      <c r="CBS58" s="76"/>
      <c r="CBT58" s="76"/>
      <c r="CBU58" s="76"/>
      <c r="CBV58" s="76"/>
      <c r="CBW58" s="76"/>
      <c r="CBX58" s="76"/>
      <c r="CBY58" s="76"/>
      <c r="CBZ58" s="76"/>
      <c r="CCA58" s="76"/>
      <c r="CCB58" s="76"/>
      <c r="CCC58" s="76"/>
      <c r="CCD58" s="76"/>
      <c r="CCE58" s="76"/>
      <c r="CCF58" s="76"/>
      <c r="CCG58" s="76"/>
      <c r="CCH58" s="76"/>
      <c r="CCI58" s="76"/>
      <c r="CCJ58" s="76"/>
      <c r="CCK58" s="76"/>
      <c r="CCL58" s="76"/>
      <c r="CCM58" s="76"/>
      <c r="CCN58" s="76"/>
      <c r="CCO58" s="76"/>
      <c r="CCP58" s="76"/>
      <c r="CCQ58" s="76"/>
      <c r="CCR58" s="76"/>
      <c r="CCS58" s="76"/>
      <c r="CCT58" s="76"/>
      <c r="CCU58" s="76"/>
      <c r="CCV58" s="76"/>
      <c r="CCW58" s="76"/>
      <c r="CCX58" s="76"/>
      <c r="CCY58" s="76"/>
      <c r="CCZ58" s="76"/>
      <c r="CDA58" s="76"/>
      <c r="CDB58" s="76"/>
      <c r="CDC58" s="76"/>
      <c r="CDD58" s="76"/>
      <c r="CDE58" s="76"/>
      <c r="CDF58" s="76"/>
      <c r="CDG58" s="76"/>
      <c r="CDH58" s="76"/>
      <c r="CDI58" s="76"/>
      <c r="CDJ58" s="76"/>
      <c r="CDK58" s="76"/>
      <c r="CDL58" s="76"/>
      <c r="CDM58" s="76"/>
      <c r="CDN58" s="76"/>
      <c r="CDO58" s="76"/>
      <c r="CDP58" s="76"/>
      <c r="CDQ58" s="76"/>
      <c r="CDR58" s="76"/>
      <c r="CDS58" s="76"/>
      <c r="CDT58" s="76"/>
      <c r="CDU58" s="76"/>
      <c r="CDV58" s="76"/>
      <c r="CDW58" s="76"/>
      <c r="CDX58" s="76"/>
      <c r="CDY58" s="76"/>
      <c r="CDZ58" s="76"/>
      <c r="CEA58" s="76"/>
      <c r="CEB58" s="76"/>
      <c r="CEC58" s="76"/>
      <c r="CED58" s="76"/>
      <c r="CEE58" s="76"/>
      <c r="CEF58" s="76"/>
      <c r="CEG58" s="76"/>
      <c r="CEH58" s="76"/>
      <c r="CEI58" s="76"/>
      <c r="CEJ58" s="76"/>
      <c r="CEK58" s="76"/>
      <c r="CEL58" s="76"/>
      <c r="CEM58" s="76"/>
      <c r="CEN58" s="76"/>
      <c r="CEO58" s="76"/>
      <c r="CEP58" s="76"/>
      <c r="CEQ58" s="76"/>
      <c r="CER58" s="76"/>
      <c r="CES58" s="76"/>
      <c r="CET58" s="76"/>
      <c r="CEU58" s="76"/>
      <c r="CEV58" s="76"/>
      <c r="CEW58" s="76"/>
      <c r="CEX58" s="76"/>
      <c r="CEY58" s="76"/>
      <c r="CEZ58" s="76"/>
      <c r="CFA58" s="76"/>
      <c r="CFB58" s="76"/>
      <c r="CFC58" s="76"/>
      <c r="CFD58" s="76"/>
      <c r="CFE58" s="76"/>
      <c r="CFF58" s="76"/>
      <c r="CFG58" s="76"/>
      <c r="CFH58" s="76"/>
      <c r="CFI58" s="76"/>
      <c r="CFJ58" s="76"/>
      <c r="CFK58" s="76"/>
      <c r="CFL58" s="76"/>
      <c r="CFM58" s="76"/>
      <c r="CFN58" s="76"/>
      <c r="CFO58" s="76"/>
      <c r="CFP58" s="76"/>
      <c r="CFQ58" s="76"/>
      <c r="CFR58" s="76"/>
      <c r="CFS58" s="76"/>
      <c r="CFT58" s="76"/>
      <c r="CFU58" s="76"/>
      <c r="CFV58" s="76"/>
      <c r="CFW58" s="76"/>
      <c r="CFX58" s="76"/>
      <c r="CFY58" s="76"/>
      <c r="CFZ58" s="76"/>
      <c r="CGA58" s="76"/>
      <c r="CGB58" s="76"/>
      <c r="CGC58" s="76"/>
      <c r="CGD58" s="76"/>
      <c r="CGE58" s="76"/>
      <c r="CGF58" s="76"/>
      <c r="CGG58" s="76"/>
      <c r="CGH58" s="76"/>
      <c r="CGI58" s="76"/>
      <c r="CGJ58" s="76"/>
      <c r="CGK58" s="76"/>
      <c r="CGL58" s="76"/>
      <c r="CGM58" s="76"/>
      <c r="CGN58" s="76"/>
      <c r="CGO58" s="76"/>
      <c r="CGP58" s="76"/>
      <c r="CGQ58" s="76"/>
      <c r="CGR58" s="76"/>
      <c r="CGS58" s="76"/>
      <c r="CGT58" s="76"/>
      <c r="CGU58" s="76"/>
      <c r="CGV58" s="76"/>
      <c r="CGW58" s="76"/>
      <c r="CGX58" s="76"/>
      <c r="CGY58" s="76"/>
      <c r="CGZ58" s="76"/>
      <c r="CHA58" s="76"/>
      <c r="CHB58" s="76"/>
      <c r="CHC58" s="76"/>
      <c r="CHD58" s="76"/>
      <c r="CHE58" s="76"/>
      <c r="CHF58" s="76"/>
      <c r="CHG58" s="76"/>
      <c r="CHH58" s="76"/>
      <c r="CHI58" s="76"/>
      <c r="CHJ58" s="76"/>
      <c r="CHK58" s="76"/>
      <c r="CHL58" s="76"/>
      <c r="CHM58" s="76"/>
      <c r="CHN58" s="76"/>
      <c r="CHO58" s="76"/>
      <c r="CHP58" s="76"/>
      <c r="CHQ58" s="76"/>
      <c r="CHR58" s="76"/>
      <c r="CHS58" s="76"/>
      <c r="CHT58" s="76"/>
      <c r="CHU58" s="76"/>
      <c r="CHV58" s="76"/>
      <c r="CHW58" s="76"/>
      <c r="CHX58" s="76"/>
      <c r="CHY58" s="76"/>
      <c r="CHZ58" s="76"/>
      <c r="CIA58" s="76"/>
      <c r="CIB58" s="76"/>
      <c r="CIC58" s="76"/>
      <c r="CID58" s="76"/>
      <c r="CIE58" s="76"/>
      <c r="CIF58" s="76"/>
      <c r="CIG58" s="76"/>
      <c r="CIH58" s="76"/>
      <c r="CII58" s="76"/>
      <c r="CIJ58" s="76"/>
      <c r="CIK58" s="76"/>
      <c r="CIL58" s="76"/>
      <c r="CIM58" s="76"/>
      <c r="CIN58" s="76"/>
      <c r="CIO58" s="76"/>
      <c r="CIP58" s="76"/>
      <c r="CIQ58" s="76"/>
      <c r="CIR58" s="76"/>
      <c r="CIS58" s="76"/>
      <c r="CIT58" s="76"/>
      <c r="CIU58" s="76"/>
      <c r="CIV58" s="76"/>
      <c r="CIW58" s="76"/>
      <c r="CIX58" s="76"/>
      <c r="CIY58" s="76"/>
      <c r="CIZ58" s="76"/>
      <c r="CJA58" s="76"/>
      <c r="CJB58" s="76"/>
      <c r="CJC58" s="76"/>
      <c r="CJD58" s="76"/>
      <c r="CJE58" s="76"/>
      <c r="CJF58" s="76"/>
      <c r="CJG58" s="76"/>
      <c r="CJH58" s="76"/>
      <c r="CJI58" s="76"/>
      <c r="CJJ58" s="76"/>
      <c r="CJK58" s="76"/>
      <c r="CJL58" s="76"/>
      <c r="CJM58" s="76"/>
      <c r="CJN58" s="76"/>
      <c r="CJO58" s="76"/>
      <c r="CJP58" s="76"/>
      <c r="CJQ58" s="76"/>
      <c r="CJR58" s="76"/>
      <c r="CJS58" s="76"/>
      <c r="CJT58" s="76"/>
      <c r="CJU58" s="76"/>
      <c r="CJV58" s="76"/>
      <c r="CJW58" s="76"/>
      <c r="CJX58" s="76"/>
      <c r="CJY58" s="76"/>
      <c r="CJZ58" s="76"/>
      <c r="CKA58" s="76"/>
      <c r="CKB58" s="76"/>
      <c r="CKC58" s="76"/>
      <c r="CKD58" s="76"/>
      <c r="CKE58" s="76"/>
      <c r="CKF58" s="76"/>
      <c r="CKG58" s="76"/>
      <c r="CKH58" s="76"/>
      <c r="CKI58" s="76"/>
      <c r="CKJ58" s="76"/>
      <c r="CKK58" s="76"/>
      <c r="CKL58" s="76"/>
      <c r="CKM58" s="76"/>
      <c r="CKN58" s="76"/>
      <c r="CKO58" s="76"/>
      <c r="CKP58" s="76"/>
      <c r="CKQ58" s="76"/>
      <c r="CKR58" s="76"/>
      <c r="CKS58" s="76"/>
      <c r="CKT58" s="76"/>
      <c r="CKU58" s="76"/>
      <c r="CKV58" s="76"/>
      <c r="CKW58" s="76"/>
      <c r="CKX58" s="76"/>
      <c r="CKY58" s="76"/>
      <c r="CKZ58" s="76"/>
      <c r="CLA58" s="76"/>
      <c r="CLB58" s="76"/>
      <c r="CLC58" s="76"/>
      <c r="CLD58" s="76"/>
      <c r="CLE58" s="76"/>
      <c r="CLF58" s="76"/>
      <c r="CLG58" s="76"/>
      <c r="CLH58" s="76"/>
      <c r="CLI58" s="76"/>
      <c r="CLJ58" s="76"/>
      <c r="CLK58" s="76"/>
      <c r="CLL58" s="76"/>
      <c r="CLM58" s="76"/>
      <c r="CLN58" s="76"/>
      <c r="CLO58" s="76"/>
      <c r="CLP58" s="76"/>
      <c r="CLQ58" s="76"/>
      <c r="CLR58" s="76"/>
      <c r="CLS58" s="76"/>
      <c r="CLT58" s="76"/>
      <c r="CLU58" s="76"/>
      <c r="CLV58" s="76"/>
      <c r="CLW58" s="76"/>
      <c r="CLX58" s="76"/>
      <c r="CLY58" s="76"/>
      <c r="CLZ58" s="76"/>
      <c r="CMA58" s="76"/>
      <c r="CMB58" s="76"/>
      <c r="CMC58" s="76"/>
      <c r="CMD58" s="76"/>
      <c r="CME58" s="76"/>
      <c r="CMF58" s="76"/>
      <c r="CMG58" s="76"/>
      <c r="CMH58" s="76"/>
      <c r="CMI58" s="76"/>
      <c r="CMJ58" s="76"/>
      <c r="CMK58" s="76"/>
      <c r="CML58" s="76"/>
      <c r="CMM58" s="76"/>
      <c r="CMN58" s="76"/>
      <c r="CMO58" s="76"/>
      <c r="CMP58" s="76"/>
      <c r="CMQ58" s="76"/>
      <c r="CMR58" s="76"/>
      <c r="CMS58" s="76"/>
      <c r="CMT58" s="76"/>
      <c r="CMU58" s="76"/>
      <c r="CMV58" s="76"/>
      <c r="CMW58" s="76"/>
      <c r="CMX58" s="76"/>
      <c r="CMY58" s="76"/>
      <c r="CMZ58" s="76"/>
      <c r="CNA58" s="76"/>
      <c r="CNB58" s="76"/>
      <c r="CNC58" s="76"/>
      <c r="CND58" s="76"/>
      <c r="CNE58" s="76"/>
      <c r="CNF58" s="76"/>
      <c r="CNG58" s="76"/>
      <c r="CNH58" s="76"/>
      <c r="CNI58" s="76"/>
      <c r="CNJ58" s="76"/>
      <c r="CNK58" s="76"/>
      <c r="CNL58" s="76"/>
      <c r="CNM58" s="76"/>
      <c r="CNN58" s="76"/>
      <c r="CNO58" s="76"/>
      <c r="CNP58" s="76"/>
      <c r="CNQ58" s="76"/>
      <c r="CNR58" s="76"/>
      <c r="CNS58" s="76"/>
      <c r="CNT58" s="76"/>
      <c r="CNU58" s="76"/>
      <c r="CNV58" s="76"/>
      <c r="CNW58" s="76"/>
      <c r="CNX58" s="76"/>
      <c r="CNY58" s="76"/>
      <c r="CNZ58" s="76"/>
      <c r="COA58" s="76"/>
      <c r="COB58" s="76"/>
      <c r="COC58" s="76"/>
      <c r="COD58" s="76"/>
      <c r="COE58" s="76"/>
      <c r="COF58" s="76"/>
      <c r="COG58" s="76"/>
      <c r="COH58" s="76"/>
      <c r="COI58" s="76"/>
      <c r="COJ58" s="76"/>
      <c r="COK58" s="76"/>
      <c r="COL58" s="76"/>
      <c r="COM58" s="76"/>
      <c r="CON58" s="76"/>
      <c r="COO58" s="76"/>
      <c r="COP58" s="76"/>
      <c r="COQ58" s="76"/>
      <c r="COR58" s="76"/>
      <c r="COS58" s="76"/>
      <c r="COT58" s="76"/>
      <c r="COU58" s="76"/>
      <c r="COV58" s="76"/>
      <c r="COW58" s="76"/>
      <c r="COX58" s="76"/>
      <c r="COY58" s="76"/>
      <c r="COZ58" s="76"/>
      <c r="CPA58" s="76"/>
      <c r="CPB58" s="76"/>
      <c r="CPC58" s="76"/>
      <c r="CPD58" s="76"/>
      <c r="CPE58" s="76"/>
      <c r="CPF58" s="76"/>
      <c r="CPG58" s="76"/>
      <c r="CPH58" s="76"/>
      <c r="CPI58" s="76"/>
      <c r="CPJ58" s="76"/>
      <c r="CPK58" s="76"/>
      <c r="CPL58" s="76"/>
      <c r="CPM58" s="76"/>
      <c r="CPN58" s="76"/>
      <c r="CPO58" s="76"/>
      <c r="CPP58" s="76"/>
      <c r="CPQ58" s="76"/>
      <c r="CPR58" s="76"/>
      <c r="CPS58" s="76"/>
      <c r="CPT58" s="76"/>
      <c r="CPU58" s="76"/>
      <c r="CPV58" s="76"/>
      <c r="CPW58" s="76"/>
      <c r="CPX58" s="76"/>
      <c r="CPY58" s="76"/>
      <c r="CPZ58" s="76"/>
      <c r="CQA58" s="76"/>
      <c r="CQB58" s="76"/>
      <c r="CQC58" s="76"/>
      <c r="CQD58" s="76"/>
      <c r="CQE58" s="76"/>
      <c r="CQF58" s="76"/>
      <c r="CQG58" s="76"/>
      <c r="CQH58" s="76"/>
      <c r="CQI58" s="76"/>
      <c r="CQJ58" s="76"/>
      <c r="CQK58" s="76"/>
      <c r="CQL58" s="76"/>
      <c r="CQM58" s="76"/>
      <c r="CQN58" s="76"/>
      <c r="CQO58" s="76"/>
      <c r="CQP58" s="76"/>
      <c r="CQQ58" s="76"/>
      <c r="CQR58" s="76"/>
      <c r="CQS58" s="76"/>
      <c r="CQT58" s="76"/>
      <c r="CQU58" s="76"/>
      <c r="CQV58" s="76"/>
      <c r="CQW58" s="76"/>
      <c r="CQX58" s="76"/>
      <c r="CQY58" s="76"/>
      <c r="CQZ58" s="76"/>
      <c r="CRA58" s="76"/>
      <c r="CRB58" s="76"/>
      <c r="CRC58" s="76"/>
      <c r="CRD58" s="76"/>
      <c r="CRE58" s="76"/>
      <c r="CRF58" s="76"/>
      <c r="CRG58" s="76"/>
      <c r="CRH58" s="76"/>
      <c r="CRI58" s="76"/>
      <c r="CRJ58" s="76"/>
      <c r="CRK58" s="76"/>
      <c r="CRL58" s="76"/>
      <c r="CRM58" s="76"/>
      <c r="CRN58" s="76"/>
      <c r="CRO58" s="76"/>
      <c r="CRP58" s="76"/>
      <c r="CRQ58" s="76"/>
      <c r="CRR58" s="76"/>
      <c r="CRS58" s="76"/>
      <c r="CRT58" s="76"/>
      <c r="CRU58" s="76"/>
      <c r="CRV58" s="76"/>
      <c r="CRW58" s="76"/>
      <c r="CRX58" s="76"/>
      <c r="CRY58" s="76"/>
      <c r="CRZ58" s="76"/>
      <c r="CSA58" s="76"/>
      <c r="CSB58" s="76"/>
      <c r="CSC58" s="76"/>
      <c r="CSD58" s="76"/>
      <c r="CSE58" s="76"/>
      <c r="CSF58" s="76"/>
      <c r="CSG58" s="76"/>
      <c r="CSH58" s="76"/>
      <c r="CSI58" s="76"/>
      <c r="CSJ58" s="76"/>
      <c r="CSK58" s="76"/>
      <c r="CSL58" s="76"/>
      <c r="CSM58" s="76"/>
      <c r="CSN58" s="76"/>
      <c r="CSO58" s="76"/>
      <c r="CSP58" s="76"/>
      <c r="CSQ58" s="76"/>
      <c r="CSR58" s="76"/>
      <c r="CSS58" s="76"/>
      <c r="CST58" s="76"/>
      <c r="CSU58" s="76"/>
      <c r="CSV58" s="76"/>
      <c r="CSW58" s="76"/>
      <c r="CSX58" s="76"/>
      <c r="CSY58" s="76"/>
      <c r="CSZ58" s="76"/>
      <c r="CTA58" s="76"/>
      <c r="CTB58" s="76"/>
      <c r="CTC58" s="76"/>
      <c r="CTD58" s="76"/>
      <c r="CTE58" s="76"/>
      <c r="CTF58" s="76"/>
      <c r="CTG58" s="76"/>
      <c r="CTH58" s="76"/>
      <c r="CTI58" s="76"/>
      <c r="CTJ58" s="76"/>
      <c r="CTK58" s="76"/>
      <c r="CTL58" s="76"/>
      <c r="CTM58" s="76"/>
      <c r="CTN58" s="76"/>
      <c r="CTO58" s="76"/>
      <c r="CTP58" s="76"/>
      <c r="CTQ58" s="76"/>
      <c r="CTR58" s="76"/>
      <c r="CTS58" s="76"/>
      <c r="CTT58" s="76"/>
      <c r="CTU58" s="76"/>
      <c r="CTV58" s="76"/>
      <c r="CTW58" s="76"/>
      <c r="CTX58" s="76"/>
      <c r="CTY58" s="76"/>
      <c r="CTZ58" s="76"/>
      <c r="CUA58" s="76"/>
      <c r="CUB58" s="76"/>
      <c r="CUC58" s="76"/>
      <c r="CUD58" s="76"/>
      <c r="CUE58" s="76"/>
      <c r="CUF58" s="76"/>
      <c r="CUG58" s="76"/>
      <c r="CUH58" s="76"/>
      <c r="CUI58" s="76"/>
      <c r="CUJ58" s="76"/>
      <c r="CUK58" s="76"/>
      <c r="CUL58" s="76"/>
      <c r="CUM58" s="76"/>
      <c r="CUN58" s="76"/>
      <c r="CUO58" s="76"/>
      <c r="CUP58" s="76"/>
      <c r="CUQ58" s="76"/>
      <c r="CUR58" s="76"/>
      <c r="CUS58" s="76"/>
      <c r="CUT58" s="76"/>
      <c r="CUU58" s="76"/>
      <c r="CUV58" s="76"/>
      <c r="CUW58" s="76"/>
      <c r="CUX58" s="76"/>
      <c r="CUY58" s="76"/>
      <c r="CUZ58" s="76"/>
      <c r="CVA58" s="76"/>
      <c r="CVB58" s="76"/>
      <c r="CVC58" s="76"/>
      <c r="CVD58" s="76"/>
      <c r="CVE58" s="76"/>
      <c r="CVF58" s="76"/>
      <c r="CVG58" s="76"/>
      <c r="CVH58" s="76"/>
      <c r="CVI58" s="76"/>
      <c r="CVJ58" s="76"/>
      <c r="CVK58" s="76"/>
      <c r="CVL58" s="76"/>
      <c r="CVM58" s="76"/>
      <c r="CVN58" s="76"/>
      <c r="CVO58" s="76"/>
      <c r="CVP58" s="76"/>
      <c r="CVQ58" s="76"/>
      <c r="CVR58" s="76"/>
      <c r="CVS58" s="76"/>
      <c r="CVT58" s="76"/>
      <c r="CVU58" s="76"/>
      <c r="CVV58" s="76"/>
      <c r="CVW58" s="76"/>
      <c r="CVX58" s="76"/>
      <c r="CVY58" s="76"/>
      <c r="CVZ58" s="76"/>
      <c r="CWA58" s="76"/>
      <c r="CWB58" s="76"/>
      <c r="CWC58" s="76"/>
      <c r="CWD58" s="76"/>
      <c r="CWE58" s="76"/>
      <c r="CWF58" s="76"/>
      <c r="CWG58" s="76"/>
      <c r="CWH58" s="76"/>
      <c r="CWI58" s="76"/>
      <c r="CWJ58" s="76"/>
      <c r="CWK58" s="76"/>
      <c r="CWL58" s="76"/>
      <c r="CWM58" s="76"/>
      <c r="CWN58" s="76"/>
      <c r="CWO58" s="76"/>
      <c r="CWP58" s="76"/>
      <c r="CWQ58" s="76"/>
      <c r="CWR58" s="76"/>
      <c r="CWS58" s="76"/>
      <c r="CWT58" s="76"/>
      <c r="CWU58" s="76"/>
      <c r="CWV58" s="76"/>
      <c r="CWW58" s="76"/>
      <c r="CWX58" s="76"/>
      <c r="CWY58" s="76"/>
      <c r="CWZ58" s="76"/>
      <c r="CXA58" s="76"/>
      <c r="CXB58" s="76"/>
      <c r="CXC58" s="76"/>
      <c r="CXD58" s="76"/>
      <c r="CXE58" s="76"/>
      <c r="CXF58" s="76"/>
      <c r="CXG58" s="76"/>
      <c r="CXH58" s="76"/>
      <c r="CXI58" s="76"/>
      <c r="CXJ58" s="76"/>
      <c r="CXK58" s="76"/>
      <c r="CXL58" s="76"/>
      <c r="CXM58" s="76"/>
      <c r="CXN58" s="76"/>
      <c r="CXO58" s="76"/>
      <c r="CXP58" s="76"/>
      <c r="CXQ58" s="76"/>
      <c r="CXR58" s="76"/>
      <c r="CXS58" s="76"/>
      <c r="CXT58" s="76"/>
      <c r="CXU58" s="76"/>
      <c r="CXV58" s="76"/>
      <c r="CXW58" s="76"/>
      <c r="CXX58" s="76"/>
      <c r="CXY58" s="76"/>
      <c r="CXZ58" s="76"/>
      <c r="CYA58" s="76"/>
      <c r="CYB58" s="76"/>
      <c r="CYC58" s="76"/>
      <c r="CYD58" s="76"/>
      <c r="CYE58" s="76"/>
      <c r="CYF58" s="76"/>
      <c r="CYG58" s="76"/>
      <c r="CYH58" s="76"/>
      <c r="CYI58" s="76"/>
      <c r="CYJ58" s="76"/>
      <c r="CYK58" s="76"/>
      <c r="CYL58" s="76"/>
      <c r="CYM58" s="76"/>
      <c r="CYN58" s="76"/>
      <c r="CYO58" s="76"/>
      <c r="CYP58" s="76"/>
      <c r="CYQ58" s="76"/>
      <c r="CYR58" s="76"/>
      <c r="CYS58" s="76"/>
      <c r="CYT58" s="76"/>
      <c r="CYU58" s="76"/>
      <c r="CYV58" s="76"/>
      <c r="CYW58" s="76"/>
      <c r="CYX58" s="76"/>
      <c r="CYY58" s="76"/>
      <c r="CYZ58" s="76"/>
      <c r="CZA58" s="76"/>
      <c r="CZB58" s="76"/>
      <c r="CZC58" s="76"/>
      <c r="CZD58" s="76"/>
      <c r="CZE58" s="76"/>
      <c r="CZF58" s="76"/>
      <c r="CZG58" s="76"/>
      <c r="CZH58" s="76"/>
      <c r="CZI58" s="76"/>
      <c r="CZJ58" s="76"/>
      <c r="CZK58" s="76"/>
      <c r="CZL58" s="76"/>
      <c r="CZM58" s="76"/>
      <c r="CZN58" s="76"/>
      <c r="CZO58" s="76"/>
      <c r="CZP58" s="76"/>
      <c r="CZQ58" s="76"/>
      <c r="CZR58" s="76"/>
      <c r="CZS58" s="76"/>
      <c r="CZT58" s="76"/>
      <c r="CZU58" s="76"/>
      <c r="CZV58" s="76"/>
      <c r="CZW58" s="76"/>
      <c r="CZX58" s="76"/>
      <c r="CZY58" s="76"/>
      <c r="CZZ58" s="76"/>
      <c r="DAA58" s="76"/>
      <c r="DAB58" s="76"/>
      <c r="DAC58" s="76"/>
      <c r="DAD58" s="76"/>
      <c r="DAE58" s="76"/>
      <c r="DAF58" s="76"/>
      <c r="DAG58" s="76"/>
      <c r="DAH58" s="76"/>
      <c r="DAI58" s="76"/>
      <c r="DAJ58" s="76"/>
      <c r="DAK58" s="76"/>
      <c r="DAL58" s="76"/>
      <c r="DAM58" s="76"/>
      <c r="DAN58" s="76"/>
      <c r="DAO58" s="76"/>
      <c r="DAP58" s="76"/>
      <c r="DAQ58" s="76"/>
      <c r="DAR58" s="76"/>
      <c r="DAS58" s="76"/>
      <c r="DAT58" s="76"/>
      <c r="DAU58" s="76"/>
      <c r="DAV58" s="76"/>
      <c r="DAW58" s="76"/>
      <c r="DAX58" s="76"/>
      <c r="DAY58" s="76"/>
      <c r="DAZ58" s="76"/>
      <c r="DBA58" s="76"/>
      <c r="DBB58" s="76"/>
      <c r="DBC58" s="76"/>
      <c r="DBD58" s="76"/>
      <c r="DBE58" s="76"/>
      <c r="DBF58" s="76"/>
      <c r="DBG58" s="76"/>
      <c r="DBH58" s="76"/>
      <c r="DBI58" s="76"/>
      <c r="DBJ58" s="76"/>
      <c r="DBK58" s="76"/>
      <c r="DBL58" s="76"/>
      <c r="DBM58" s="76"/>
      <c r="DBN58" s="76"/>
      <c r="DBO58" s="76"/>
      <c r="DBP58" s="76"/>
      <c r="DBQ58" s="76"/>
      <c r="DBR58" s="76"/>
      <c r="DBS58" s="76"/>
      <c r="DBT58" s="76"/>
      <c r="DBU58" s="76"/>
      <c r="DBV58" s="76"/>
      <c r="DBW58" s="76"/>
      <c r="DBX58" s="76"/>
      <c r="DBY58" s="76"/>
      <c r="DBZ58" s="76"/>
      <c r="DCA58" s="76"/>
      <c r="DCB58" s="76"/>
      <c r="DCC58" s="76"/>
      <c r="DCD58" s="76"/>
      <c r="DCE58" s="76"/>
      <c r="DCF58" s="76"/>
      <c r="DCG58" s="76"/>
      <c r="DCH58" s="76"/>
      <c r="DCI58" s="76"/>
      <c r="DCJ58" s="76"/>
      <c r="DCK58" s="76"/>
      <c r="DCL58" s="76"/>
      <c r="DCM58" s="76"/>
      <c r="DCN58" s="76"/>
      <c r="DCO58" s="76"/>
      <c r="DCP58" s="76"/>
      <c r="DCQ58" s="76"/>
      <c r="DCR58" s="76"/>
      <c r="DCS58" s="76"/>
      <c r="DCT58" s="76"/>
      <c r="DCU58" s="76"/>
      <c r="DCV58" s="76"/>
      <c r="DCW58" s="76"/>
      <c r="DCX58" s="76"/>
      <c r="DCY58" s="76"/>
      <c r="DCZ58" s="76"/>
      <c r="DDA58" s="76"/>
      <c r="DDB58" s="76"/>
      <c r="DDC58" s="76"/>
      <c r="DDD58" s="76"/>
      <c r="DDE58" s="76"/>
      <c r="DDF58" s="76"/>
      <c r="DDG58" s="76"/>
      <c r="DDH58" s="76"/>
      <c r="DDI58" s="76"/>
      <c r="DDJ58" s="76"/>
      <c r="DDK58" s="76"/>
      <c r="DDL58" s="76"/>
      <c r="DDM58" s="76"/>
      <c r="DDN58" s="76"/>
      <c r="DDO58" s="76"/>
      <c r="DDP58" s="76"/>
      <c r="DDQ58" s="76"/>
      <c r="DDR58" s="76"/>
      <c r="DDS58" s="76"/>
      <c r="DDT58" s="76"/>
      <c r="DDU58" s="76"/>
      <c r="DDV58" s="76"/>
      <c r="DDW58" s="76"/>
      <c r="DDX58" s="76"/>
      <c r="DDY58" s="76"/>
      <c r="DDZ58" s="76"/>
      <c r="DEA58" s="76"/>
      <c r="DEB58" s="76"/>
      <c r="DEC58" s="76"/>
      <c r="DED58" s="76"/>
      <c r="DEE58" s="76"/>
      <c r="DEF58" s="76"/>
      <c r="DEG58" s="76"/>
      <c r="DEH58" s="76"/>
      <c r="DEI58" s="76"/>
      <c r="DEJ58" s="76"/>
      <c r="DEK58" s="76"/>
      <c r="DEL58" s="76"/>
      <c r="DEM58" s="76"/>
      <c r="DEN58" s="76"/>
      <c r="DEO58" s="76"/>
      <c r="DEP58" s="76"/>
      <c r="DEQ58" s="76"/>
      <c r="DER58" s="76"/>
      <c r="DES58" s="76"/>
      <c r="DET58" s="76"/>
      <c r="DEU58" s="76"/>
      <c r="DEV58" s="76"/>
      <c r="DEW58" s="76"/>
      <c r="DEX58" s="76"/>
      <c r="DEY58" s="76"/>
      <c r="DEZ58" s="76"/>
      <c r="DFA58" s="76"/>
      <c r="DFB58" s="76"/>
      <c r="DFC58" s="76"/>
      <c r="DFD58" s="76"/>
      <c r="DFE58" s="76"/>
      <c r="DFF58" s="76"/>
      <c r="DFG58" s="76"/>
      <c r="DFH58" s="76"/>
      <c r="DFI58" s="76"/>
      <c r="DFJ58" s="76"/>
      <c r="DFK58" s="76"/>
      <c r="DFL58" s="76"/>
      <c r="DFM58" s="76"/>
      <c r="DFN58" s="76"/>
      <c r="DFO58" s="76"/>
      <c r="DFP58" s="76"/>
      <c r="DFQ58" s="76"/>
      <c r="DFR58" s="76"/>
      <c r="DFS58" s="76"/>
      <c r="DFT58" s="76"/>
      <c r="DFU58" s="76"/>
      <c r="DFV58" s="76"/>
      <c r="DFW58" s="76"/>
      <c r="DFX58" s="76"/>
      <c r="DFY58" s="76"/>
      <c r="DFZ58" s="76"/>
      <c r="DGA58" s="76"/>
      <c r="DGB58" s="76"/>
      <c r="DGC58" s="76"/>
      <c r="DGD58" s="76"/>
      <c r="DGE58" s="76"/>
      <c r="DGF58" s="76"/>
      <c r="DGG58" s="76"/>
      <c r="DGH58" s="76"/>
      <c r="DGI58" s="76"/>
      <c r="DGJ58" s="76"/>
      <c r="DGK58" s="76"/>
      <c r="DGL58" s="76"/>
      <c r="DGM58" s="76"/>
      <c r="DGN58" s="76"/>
      <c r="DGO58" s="76"/>
      <c r="DGP58" s="76"/>
      <c r="DGQ58" s="76"/>
      <c r="DGR58" s="76"/>
      <c r="DGS58" s="76"/>
      <c r="DGT58" s="76"/>
      <c r="DGU58" s="76"/>
      <c r="DGV58" s="76"/>
      <c r="DGW58" s="76"/>
      <c r="DGX58" s="76"/>
      <c r="DGY58" s="76"/>
      <c r="DGZ58" s="76"/>
      <c r="DHA58" s="76"/>
      <c r="DHB58" s="76"/>
      <c r="DHC58" s="76"/>
      <c r="DHD58" s="76"/>
      <c r="DHE58" s="76"/>
      <c r="DHF58" s="76"/>
      <c r="DHG58" s="76"/>
      <c r="DHH58" s="76"/>
      <c r="DHI58" s="76"/>
      <c r="DHJ58" s="76"/>
      <c r="DHK58" s="76"/>
      <c r="DHL58" s="76"/>
      <c r="DHM58" s="76"/>
      <c r="DHN58" s="76"/>
      <c r="DHO58" s="76"/>
      <c r="DHP58" s="76"/>
      <c r="DHQ58" s="76"/>
      <c r="DHR58" s="76"/>
      <c r="DHS58" s="76"/>
      <c r="DHT58" s="76"/>
      <c r="DHU58" s="76"/>
      <c r="DHV58" s="76"/>
      <c r="DHW58" s="76"/>
      <c r="DHX58" s="76"/>
      <c r="DHY58" s="76"/>
      <c r="DHZ58" s="76"/>
      <c r="DIA58" s="76"/>
      <c r="DIB58" s="76"/>
      <c r="DIC58" s="76"/>
      <c r="DID58" s="76"/>
      <c r="DIE58" s="76"/>
      <c r="DIF58" s="76"/>
      <c r="DIG58" s="76"/>
      <c r="DIH58" s="76"/>
      <c r="DII58" s="76"/>
      <c r="DIJ58" s="76"/>
      <c r="DIK58" s="76"/>
      <c r="DIL58" s="76"/>
      <c r="DIM58" s="76"/>
      <c r="DIN58" s="76"/>
      <c r="DIO58" s="76"/>
      <c r="DIP58" s="76"/>
      <c r="DIQ58" s="76"/>
      <c r="DIR58" s="76"/>
      <c r="DIS58" s="76"/>
      <c r="DIT58" s="76"/>
      <c r="DIU58" s="76"/>
      <c r="DIV58" s="76"/>
      <c r="DIW58" s="76"/>
      <c r="DIX58" s="76"/>
      <c r="DIY58" s="76"/>
      <c r="DIZ58" s="76"/>
      <c r="DJA58" s="76"/>
      <c r="DJB58" s="76"/>
      <c r="DJC58" s="76"/>
      <c r="DJD58" s="76"/>
      <c r="DJE58" s="76"/>
      <c r="DJF58" s="76"/>
      <c r="DJG58" s="76"/>
      <c r="DJH58" s="76"/>
      <c r="DJI58" s="76"/>
      <c r="DJJ58" s="76"/>
      <c r="DJK58" s="76"/>
      <c r="DJL58" s="76"/>
      <c r="DJM58" s="76"/>
      <c r="DJN58" s="76"/>
      <c r="DJO58" s="76"/>
      <c r="DJP58" s="76"/>
      <c r="DJQ58" s="76"/>
      <c r="DJR58" s="76"/>
      <c r="DJS58" s="76"/>
      <c r="DJT58" s="76"/>
      <c r="DJU58" s="76"/>
      <c r="DJV58" s="76"/>
      <c r="DJW58" s="76"/>
      <c r="DJX58" s="76"/>
      <c r="DJY58" s="76"/>
      <c r="DJZ58" s="76"/>
      <c r="DKA58" s="76"/>
      <c r="DKB58" s="76"/>
      <c r="DKC58" s="76"/>
      <c r="DKD58" s="76"/>
      <c r="DKE58" s="76"/>
      <c r="DKF58" s="76"/>
      <c r="DKG58" s="76"/>
      <c r="DKH58" s="76"/>
      <c r="DKI58" s="76"/>
      <c r="DKJ58" s="76"/>
      <c r="DKK58" s="76"/>
      <c r="DKL58" s="76"/>
      <c r="DKM58" s="76"/>
      <c r="DKN58" s="76"/>
      <c r="DKO58" s="76"/>
      <c r="DKP58" s="76"/>
      <c r="DKQ58" s="76"/>
      <c r="DKR58" s="76"/>
      <c r="DKS58" s="76"/>
      <c r="DKT58" s="76"/>
      <c r="DKU58" s="76"/>
      <c r="DKV58" s="76"/>
      <c r="DKW58" s="76"/>
      <c r="DKX58" s="76"/>
      <c r="DKY58" s="76"/>
      <c r="DKZ58" s="76"/>
      <c r="DLA58" s="76"/>
      <c r="DLB58" s="76"/>
      <c r="DLC58" s="76"/>
      <c r="DLD58" s="76"/>
      <c r="DLE58" s="76"/>
      <c r="DLF58" s="76"/>
      <c r="DLG58" s="76"/>
      <c r="DLH58" s="76"/>
      <c r="DLI58" s="76"/>
      <c r="DLJ58" s="76"/>
      <c r="DLK58" s="76"/>
      <c r="DLL58" s="76"/>
      <c r="DLM58" s="76"/>
      <c r="DLN58" s="76"/>
      <c r="DLO58" s="76"/>
      <c r="DLP58" s="76"/>
      <c r="DLQ58" s="76"/>
      <c r="DLR58" s="76"/>
      <c r="DLS58" s="76"/>
      <c r="DLT58" s="76"/>
      <c r="DLU58" s="76"/>
      <c r="DLV58" s="76"/>
      <c r="DLW58" s="76"/>
      <c r="DLX58" s="76"/>
      <c r="DLY58" s="76"/>
      <c r="DLZ58" s="76"/>
      <c r="DMA58" s="76"/>
      <c r="DMB58" s="76"/>
      <c r="DMC58" s="76"/>
      <c r="DMD58" s="76"/>
      <c r="DME58" s="76"/>
      <c r="DMF58" s="76"/>
      <c r="DMG58" s="76"/>
      <c r="DMH58" s="76"/>
      <c r="DMI58" s="76"/>
      <c r="DMJ58" s="76"/>
      <c r="DMK58" s="76"/>
      <c r="DML58" s="76"/>
      <c r="DMM58" s="76"/>
      <c r="DMN58" s="76"/>
      <c r="DMO58" s="76"/>
      <c r="DMP58" s="76"/>
      <c r="DMQ58" s="76"/>
      <c r="DMR58" s="76"/>
      <c r="DMS58" s="76"/>
      <c r="DMT58" s="76"/>
      <c r="DMU58" s="76"/>
      <c r="DMV58" s="76"/>
      <c r="DMW58" s="76"/>
      <c r="DMX58" s="76"/>
      <c r="DMY58" s="76"/>
      <c r="DMZ58" s="76"/>
      <c r="DNA58" s="76"/>
      <c r="DNB58" s="76"/>
      <c r="DNC58" s="76"/>
      <c r="DND58" s="76"/>
      <c r="DNE58" s="76"/>
      <c r="DNF58" s="76"/>
      <c r="DNG58" s="76"/>
      <c r="DNH58" s="76"/>
      <c r="DNI58" s="76"/>
      <c r="DNJ58" s="76"/>
      <c r="DNK58" s="76"/>
      <c r="DNL58" s="76"/>
      <c r="DNM58" s="76"/>
      <c r="DNN58" s="76"/>
      <c r="DNO58" s="76"/>
      <c r="DNP58" s="76"/>
      <c r="DNQ58" s="76"/>
      <c r="DNR58" s="76"/>
      <c r="DNS58" s="76"/>
      <c r="DNT58" s="76"/>
      <c r="DNU58" s="76"/>
      <c r="DNV58" s="76"/>
      <c r="DNW58" s="76"/>
      <c r="DNX58" s="76"/>
      <c r="DNY58" s="76"/>
      <c r="DNZ58" s="76"/>
      <c r="DOA58" s="76"/>
      <c r="DOB58" s="76"/>
      <c r="DOC58" s="76"/>
      <c r="DOD58" s="76"/>
      <c r="DOE58" s="76"/>
      <c r="DOF58" s="76"/>
      <c r="DOG58" s="76"/>
      <c r="DOH58" s="76"/>
      <c r="DOI58" s="76"/>
      <c r="DOJ58" s="76"/>
      <c r="DOK58" s="76"/>
      <c r="DOL58" s="76"/>
      <c r="DOM58" s="76"/>
      <c r="DON58" s="76"/>
      <c r="DOO58" s="76"/>
      <c r="DOP58" s="76"/>
      <c r="DOQ58" s="76"/>
      <c r="DOR58" s="76"/>
      <c r="DOS58" s="76"/>
      <c r="DOT58" s="76"/>
      <c r="DOU58" s="76"/>
      <c r="DOV58" s="76"/>
      <c r="DOW58" s="76"/>
      <c r="DOX58" s="76"/>
      <c r="DOY58" s="76"/>
      <c r="DOZ58" s="76"/>
      <c r="DPA58" s="76"/>
      <c r="DPB58" s="76"/>
      <c r="DPC58" s="76"/>
      <c r="DPD58" s="76"/>
      <c r="DPE58" s="76"/>
      <c r="DPF58" s="76"/>
      <c r="DPG58" s="76"/>
      <c r="DPH58" s="76"/>
      <c r="DPI58" s="76"/>
      <c r="DPJ58" s="76"/>
      <c r="DPK58" s="76"/>
      <c r="DPL58" s="76"/>
      <c r="DPM58" s="76"/>
      <c r="DPN58" s="76"/>
      <c r="DPO58" s="76"/>
      <c r="DPP58" s="76"/>
      <c r="DPQ58" s="76"/>
      <c r="DPR58" s="76"/>
      <c r="DPS58" s="76"/>
      <c r="DPT58" s="76"/>
      <c r="DPU58" s="76"/>
      <c r="DPV58" s="76"/>
      <c r="DPW58" s="76"/>
      <c r="DPX58" s="76"/>
      <c r="DPY58" s="76"/>
      <c r="DPZ58" s="76"/>
      <c r="DQA58" s="76"/>
      <c r="DQB58" s="76"/>
      <c r="DQC58" s="76"/>
      <c r="DQD58" s="76"/>
      <c r="DQE58" s="76"/>
      <c r="DQF58" s="76"/>
      <c r="DQG58" s="76"/>
      <c r="DQH58" s="76"/>
      <c r="DQI58" s="76"/>
      <c r="DQJ58" s="76"/>
      <c r="DQK58" s="76"/>
      <c r="DQL58" s="76"/>
      <c r="DQM58" s="76"/>
      <c r="DQN58" s="76"/>
      <c r="DQO58" s="76"/>
      <c r="DQP58" s="76"/>
      <c r="DQQ58" s="76"/>
      <c r="DQR58" s="76"/>
      <c r="DQS58" s="76"/>
      <c r="DQT58" s="76"/>
      <c r="DQU58" s="76"/>
      <c r="DQV58" s="76"/>
      <c r="DQW58" s="76"/>
      <c r="DQX58" s="76"/>
      <c r="DQY58" s="76"/>
      <c r="DQZ58" s="76"/>
      <c r="DRA58" s="76"/>
      <c r="DRB58" s="76"/>
      <c r="DRC58" s="76"/>
      <c r="DRD58" s="76"/>
      <c r="DRE58" s="76"/>
      <c r="DRF58" s="76"/>
      <c r="DRG58" s="76"/>
      <c r="DRH58" s="76"/>
      <c r="DRI58" s="76"/>
      <c r="DRJ58" s="76"/>
      <c r="DRK58" s="76"/>
      <c r="DRL58" s="76"/>
      <c r="DRM58" s="76"/>
      <c r="DRN58" s="76"/>
      <c r="DRO58" s="76"/>
      <c r="DRP58" s="76"/>
      <c r="DRQ58" s="76"/>
      <c r="DRR58" s="76"/>
      <c r="DRS58" s="76"/>
      <c r="DRT58" s="76"/>
      <c r="DRU58" s="76"/>
      <c r="DRV58" s="76"/>
      <c r="DRW58" s="76"/>
      <c r="DRX58" s="76"/>
      <c r="DRY58" s="76"/>
      <c r="DRZ58" s="76"/>
      <c r="DSA58" s="76"/>
      <c r="DSB58" s="76"/>
      <c r="DSC58" s="76"/>
      <c r="DSD58" s="76"/>
      <c r="DSE58" s="76"/>
      <c r="DSF58" s="76"/>
      <c r="DSG58" s="76"/>
      <c r="DSH58" s="76"/>
      <c r="DSI58" s="76"/>
      <c r="DSJ58" s="76"/>
      <c r="DSK58" s="76"/>
      <c r="DSL58" s="76"/>
      <c r="DSM58" s="76"/>
      <c r="DSN58" s="76"/>
      <c r="DSO58" s="76"/>
      <c r="DSP58" s="76"/>
      <c r="DSQ58" s="76"/>
      <c r="DSR58" s="76"/>
      <c r="DSS58" s="76"/>
      <c r="DST58" s="76"/>
      <c r="DSU58" s="76"/>
      <c r="DSV58" s="76"/>
      <c r="DSW58" s="76"/>
      <c r="DSX58" s="76"/>
      <c r="DSY58" s="76"/>
      <c r="DSZ58" s="76"/>
      <c r="DTA58" s="76"/>
      <c r="DTB58" s="76"/>
      <c r="DTC58" s="76"/>
      <c r="DTD58" s="76"/>
      <c r="DTE58" s="76"/>
      <c r="DTF58" s="76"/>
      <c r="DTG58" s="76"/>
      <c r="DTH58" s="76"/>
      <c r="DTI58" s="76"/>
      <c r="DTJ58" s="76"/>
      <c r="DTK58" s="76"/>
      <c r="DTL58" s="76"/>
      <c r="DTM58" s="76"/>
      <c r="DTN58" s="76"/>
      <c r="DTO58" s="76"/>
      <c r="DTP58" s="76"/>
      <c r="DTQ58" s="76"/>
      <c r="DTR58" s="76"/>
      <c r="DTS58" s="76"/>
      <c r="DTT58" s="76"/>
      <c r="DTU58" s="76"/>
      <c r="DTV58" s="76"/>
      <c r="DTW58" s="76"/>
      <c r="DTX58" s="76"/>
      <c r="DTY58" s="76"/>
      <c r="DTZ58" s="76"/>
      <c r="DUA58" s="76"/>
      <c r="DUB58" s="76"/>
      <c r="DUC58" s="76"/>
      <c r="DUD58" s="76"/>
      <c r="DUE58" s="76"/>
      <c r="DUF58" s="76"/>
      <c r="DUG58" s="76"/>
      <c r="DUH58" s="76"/>
      <c r="DUI58" s="76"/>
      <c r="DUJ58" s="76"/>
      <c r="DUK58" s="76"/>
      <c r="DUL58" s="76"/>
      <c r="DUM58" s="76"/>
      <c r="DUN58" s="76"/>
      <c r="DUO58" s="76"/>
      <c r="DUP58" s="76"/>
      <c r="DUQ58" s="76"/>
      <c r="DUR58" s="76"/>
      <c r="DUS58" s="76"/>
      <c r="DUT58" s="76"/>
      <c r="DUU58" s="76"/>
      <c r="DUV58" s="76"/>
      <c r="DUW58" s="76"/>
      <c r="DUX58" s="76"/>
      <c r="DUY58" s="76"/>
      <c r="DUZ58" s="76"/>
      <c r="DVA58" s="76"/>
      <c r="DVB58" s="76"/>
      <c r="DVC58" s="76"/>
      <c r="DVD58" s="76"/>
      <c r="DVE58" s="76"/>
      <c r="DVF58" s="76"/>
      <c r="DVG58" s="76"/>
      <c r="DVH58" s="76"/>
      <c r="DVI58" s="76"/>
      <c r="DVJ58" s="76"/>
      <c r="DVK58" s="76"/>
      <c r="DVL58" s="76"/>
      <c r="DVM58" s="76"/>
      <c r="DVN58" s="76"/>
      <c r="DVO58" s="76"/>
      <c r="DVP58" s="76"/>
      <c r="DVQ58" s="76"/>
      <c r="DVR58" s="76"/>
      <c r="DVS58" s="76"/>
      <c r="DVT58" s="76"/>
      <c r="DVU58" s="76"/>
      <c r="DVV58" s="76"/>
      <c r="DVW58" s="76"/>
      <c r="DVX58" s="76"/>
      <c r="DVY58" s="76"/>
      <c r="DVZ58" s="76"/>
      <c r="DWA58" s="76"/>
      <c r="DWB58" s="76"/>
      <c r="DWC58" s="76"/>
      <c r="DWD58" s="76"/>
      <c r="DWE58" s="76"/>
      <c r="DWF58" s="76"/>
      <c r="DWG58" s="76"/>
      <c r="DWH58" s="76"/>
      <c r="DWI58" s="76"/>
      <c r="DWJ58" s="76"/>
      <c r="DWK58" s="76"/>
      <c r="DWL58" s="76"/>
      <c r="DWM58" s="76"/>
      <c r="DWN58" s="76"/>
      <c r="DWO58" s="76"/>
      <c r="DWP58" s="76"/>
      <c r="DWQ58" s="76"/>
      <c r="DWR58" s="76"/>
      <c r="DWS58" s="76"/>
      <c r="DWT58" s="76"/>
      <c r="DWU58" s="76"/>
      <c r="DWV58" s="76"/>
      <c r="DWW58" s="76"/>
      <c r="DWX58" s="76"/>
      <c r="DWY58" s="76"/>
      <c r="DWZ58" s="76"/>
      <c r="DXA58" s="76"/>
      <c r="DXB58" s="76"/>
      <c r="DXC58" s="76"/>
      <c r="DXD58" s="76"/>
      <c r="DXE58" s="76"/>
      <c r="DXF58" s="76"/>
      <c r="DXG58" s="76"/>
      <c r="DXH58" s="76"/>
      <c r="DXI58" s="76"/>
      <c r="DXJ58" s="76"/>
      <c r="DXK58" s="76"/>
      <c r="DXL58" s="76"/>
      <c r="DXM58" s="76"/>
      <c r="DXN58" s="76"/>
      <c r="DXO58" s="76"/>
      <c r="DXP58" s="76"/>
      <c r="DXQ58" s="76"/>
      <c r="DXR58" s="76"/>
      <c r="DXS58" s="76"/>
      <c r="DXT58" s="76"/>
      <c r="DXU58" s="76"/>
      <c r="DXV58" s="76"/>
      <c r="DXW58" s="76"/>
      <c r="DXX58" s="76"/>
      <c r="DXY58" s="76"/>
      <c r="DXZ58" s="76"/>
      <c r="DYA58" s="76"/>
      <c r="DYB58" s="76"/>
      <c r="DYC58" s="76"/>
      <c r="DYD58" s="76"/>
      <c r="DYE58" s="76"/>
      <c r="DYF58" s="76"/>
      <c r="DYG58" s="76"/>
      <c r="DYH58" s="76"/>
      <c r="DYI58" s="76"/>
      <c r="DYJ58" s="76"/>
      <c r="DYK58" s="76"/>
      <c r="DYL58" s="76"/>
      <c r="DYM58" s="76"/>
      <c r="DYN58" s="76"/>
      <c r="DYO58" s="76"/>
      <c r="DYP58" s="76"/>
      <c r="DYQ58" s="76"/>
      <c r="DYR58" s="76"/>
      <c r="DYS58" s="76"/>
      <c r="DYT58" s="76"/>
      <c r="DYU58" s="76"/>
      <c r="DYV58" s="76"/>
      <c r="DYW58" s="76"/>
      <c r="DYX58" s="76"/>
      <c r="DYY58" s="76"/>
      <c r="DYZ58" s="76"/>
      <c r="DZA58" s="76"/>
      <c r="DZB58" s="76"/>
      <c r="DZC58" s="76"/>
      <c r="DZD58" s="76"/>
      <c r="DZE58" s="76"/>
      <c r="DZF58" s="76"/>
      <c r="DZG58" s="76"/>
      <c r="DZH58" s="76"/>
      <c r="DZI58" s="76"/>
      <c r="DZJ58" s="76"/>
      <c r="DZK58" s="76"/>
      <c r="DZL58" s="76"/>
      <c r="DZM58" s="76"/>
      <c r="DZN58" s="76"/>
      <c r="DZO58" s="76"/>
      <c r="DZP58" s="76"/>
      <c r="DZQ58" s="76"/>
      <c r="DZR58" s="76"/>
      <c r="DZS58" s="76"/>
      <c r="DZT58" s="76"/>
      <c r="DZU58" s="76"/>
      <c r="DZV58" s="76"/>
      <c r="DZW58" s="76"/>
      <c r="DZX58" s="76"/>
      <c r="DZY58" s="76"/>
      <c r="DZZ58" s="76"/>
      <c r="EAA58" s="76"/>
      <c r="EAB58" s="76"/>
      <c r="EAC58" s="76"/>
      <c r="EAD58" s="76"/>
      <c r="EAE58" s="76"/>
      <c r="EAF58" s="76"/>
      <c r="EAG58" s="76"/>
      <c r="EAH58" s="76"/>
      <c r="EAI58" s="76"/>
      <c r="EAJ58" s="76"/>
      <c r="EAK58" s="76"/>
      <c r="EAL58" s="76"/>
      <c r="EAM58" s="76"/>
      <c r="EAN58" s="76"/>
      <c r="EAO58" s="76"/>
      <c r="EAP58" s="76"/>
      <c r="EAQ58" s="76"/>
      <c r="EAR58" s="76"/>
      <c r="EAS58" s="76"/>
      <c r="EAT58" s="76"/>
      <c r="EAU58" s="76"/>
      <c r="EAV58" s="76"/>
      <c r="EAW58" s="76"/>
      <c r="EAX58" s="76"/>
      <c r="EAY58" s="76"/>
      <c r="EAZ58" s="76"/>
      <c r="EBA58" s="76"/>
      <c r="EBB58" s="76"/>
      <c r="EBC58" s="76"/>
      <c r="EBD58" s="76"/>
      <c r="EBE58" s="76"/>
      <c r="EBF58" s="76"/>
      <c r="EBG58" s="76"/>
      <c r="EBH58" s="76"/>
      <c r="EBI58" s="76"/>
      <c r="EBJ58" s="76"/>
      <c r="EBK58" s="76"/>
      <c r="EBL58" s="76"/>
      <c r="EBM58" s="76"/>
      <c r="EBN58" s="76"/>
      <c r="EBO58" s="76"/>
      <c r="EBP58" s="76"/>
      <c r="EBQ58" s="76"/>
      <c r="EBR58" s="76"/>
      <c r="EBS58" s="76"/>
      <c r="EBT58" s="76"/>
      <c r="EBU58" s="76"/>
      <c r="EBV58" s="76"/>
      <c r="EBW58" s="76"/>
      <c r="EBX58" s="76"/>
      <c r="EBY58" s="76"/>
      <c r="EBZ58" s="76"/>
      <c r="ECA58" s="76"/>
      <c r="ECB58" s="76"/>
      <c r="ECC58" s="76"/>
      <c r="ECD58" s="76"/>
      <c r="ECE58" s="76"/>
      <c r="ECF58" s="76"/>
      <c r="ECG58" s="76"/>
      <c r="ECH58" s="76"/>
      <c r="ECI58" s="76"/>
      <c r="ECJ58" s="76"/>
      <c r="ECK58" s="76"/>
      <c r="ECL58" s="76"/>
      <c r="ECM58" s="76"/>
      <c r="ECN58" s="76"/>
      <c r="ECO58" s="76"/>
      <c r="ECP58" s="76"/>
      <c r="ECQ58" s="76"/>
      <c r="ECR58" s="76"/>
      <c r="ECS58" s="76"/>
      <c r="ECT58" s="76"/>
      <c r="ECU58" s="76"/>
      <c r="ECV58" s="76"/>
      <c r="ECW58" s="76"/>
      <c r="ECX58" s="76"/>
      <c r="ECY58" s="76"/>
      <c r="ECZ58" s="76"/>
      <c r="EDA58" s="76"/>
      <c r="EDB58" s="76"/>
      <c r="EDC58" s="76"/>
      <c r="EDD58" s="76"/>
      <c r="EDE58" s="76"/>
      <c r="EDF58" s="76"/>
      <c r="EDG58" s="76"/>
      <c r="EDH58" s="76"/>
      <c r="EDI58" s="76"/>
      <c r="EDJ58" s="76"/>
      <c r="EDK58" s="76"/>
      <c r="EDL58" s="76"/>
      <c r="EDM58" s="76"/>
      <c r="EDN58" s="76"/>
      <c r="EDO58" s="76"/>
      <c r="EDP58" s="76"/>
      <c r="EDQ58" s="76"/>
      <c r="EDR58" s="76"/>
      <c r="EDS58" s="76"/>
      <c r="EDT58" s="76"/>
      <c r="EDU58" s="76"/>
      <c r="EDV58" s="76"/>
      <c r="EDW58" s="76"/>
      <c r="EDX58" s="76"/>
      <c r="EDY58" s="76"/>
      <c r="EDZ58" s="76"/>
      <c r="EEA58" s="76"/>
      <c r="EEB58" s="76"/>
      <c r="EEC58" s="76"/>
      <c r="EED58" s="76"/>
      <c r="EEE58" s="76"/>
      <c r="EEF58" s="76"/>
      <c r="EEG58" s="76"/>
      <c r="EEH58" s="76"/>
      <c r="EEI58" s="76"/>
      <c r="EEJ58" s="76"/>
      <c r="EEK58" s="76"/>
      <c r="EEL58" s="76"/>
      <c r="EEM58" s="76"/>
      <c r="EEN58" s="76"/>
      <c r="EEO58" s="76"/>
      <c r="EEP58" s="76"/>
      <c r="EEQ58" s="76"/>
      <c r="EER58" s="76"/>
      <c r="EES58" s="76"/>
      <c r="EET58" s="76"/>
      <c r="EEU58" s="76"/>
      <c r="EEV58" s="76"/>
      <c r="EEW58" s="76"/>
      <c r="EEX58" s="76"/>
      <c r="EEY58" s="76"/>
      <c r="EEZ58" s="76"/>
      <c r="EFA58" s="76"/>
      <c r="EFB58" s="76"/>
      <c r="EFC58" s="76"/>
      <c r="EFD58" s="76"/>
      <c r="EFE58" s="76"/>
      <c r="EFF58" s="76"/>
      <c r="EFG58" s="76"/>
      <c r="EFH58" s="76"/>
      <c r="EFI58" s="76"/>
      <c r="EFJ58" s="76"/>
      <c r="EFK58" s="76"/>
      <c r="EFL58" s="76"/>
      <c r="EFM58" s="76"/>
      <c r="EFN58" s="76"/>
      <c r="EFO58" s="76"/>
      <c r="EFP58" s="76"/>
      <c r="EFQ58" s="76"/>
      <c r="EFR58" s="76"/>
      <c r="EFS58" s="76"/>
      <c r="EFT58" s="76"/>
      <c r="EFU58" s="76"/>
      <c r="EFV58" s="76"/>
      <c r="EFW58" s="76"/>
      <c r="EFX58" s="76"/>
      <c r="EFY58" s="76"/>
      <c r="EFZ58" s="76"/>
      <c r="EGA58" s="76"/>
      <c r="EGB58" s="76"/>
      <c r="EGC58" s="76"/>
      <c r="EGD58" s="76"/>
      <c r="EGE58" s="76"/>
      <c r="EGF58" s="76"/>
      <c r="EGG58" s="76"/>
      <c r="EGH58" s="76"/>
      <c r="EGI58" s="76"/>
      <c r="EGJ58" s="76"/>
      <c r="EGK58" s="76"/>
      <c r="EGL58" s="76"/>
      <c r="EGM58" s="76"/>
      <c r="EGN58" s="76"/>
      <c r="EGO58" s="76"/>
      <c r="EGP58" s="76"/>
      <c r="EGQ58" s="76"/>
      <c r="EGR58" s="76"/>
      <c r="EGS58" s="76"/>
      <c r="EGT58" s="76"/>
      <c r="EGU58" s="76"/>
      <c r="EGV58" s="76"/>
      <c r="EGW58" s="76"/>
      <c r="EGX58" s="76"/>
      <c r="EGY58" s="76"/>
      <c r="EGZ58" s="76"/>
      <c r="EHA58" s="76"/>
      <c r="EHB58" s="76"/>
      <c r="EHC58" s="76"/>
      <c r="EHD58" s="76"/>
      <c r="EHE58" s="76"/>
      <c r="EHF58" s="76"/>
      <c r="EHG58" s="76"/>
      <c r="EHH58" s="76"/>
      <c r="EHI58" s="76"/>
      <c r="EHJ58" s="76"/>
      <c r="EHK58" s="76"/>
      <c r="EHL58" s="76"/>
      <c r="EHM58" s="76"/>
      <c r="EHN58" s="76"/>
      <c r="EHO58" s="76"/>
      <c r="EHP58" s="76"/>
      <c r="EHQ58" s="76"/>
      <c r="EHR58" s="76"/>
      <c r="EHS58" s="76"/>
      <c r="EHT58" s="76"/>
      <c r="EHU58" s="76"/>
      <c r="EHV58" s="76"/>
      <c r="EHW58" s="76"/>
      <c r="EHX58" s="76"/>
      <c r="EHY58" s="76"/>
      <c r="EHZ58" s="76"/>
      <c r="EIA58" s="76"/>
      <c r="EIB58" s="76"/>
      <c r="EIC58" s="76"/>
      <c r="EID58" s="76"/>
      <c r="EIE58" s="76"/>
      <c r="EIF58" s="76"/>
      <c r="EIG58" s="76"/>
      <c r="EIH58" s="76"/>
      <c r="EII58" s="76"/>
      <c r="EIJ58" s="76"/>
      <c r="EIK58" s="76"/>
      <c r="EIL58" s="76"/>
      <c r="EIM58" s="76"/>
      <c r="EIN58" s="76"/>
      <c r="EIO58" s="76"/>
      <c r="EIP58" s="76"/>
      <c r="EIQ58" s="76"/>
      <c r="EIR58" s="76"/>
      <c r="EIS58" s="76"/>
      <c r="EIT58" s="76"/>
      <c r="EIU58" s="76"/>
      <c r="EIV58" s="76"/>
      <c r="EIW58" s="76"/>
      <c r="EIX58" s="76"/>
      <c r="EIY58" s="76"/>
      <c r="EIZ58" s="76"/>
      <c r="EJA58" s="76"/>
      <c r="EJB58" s="76"/>
      <c r="EJC58" s="76"/>
      <c r="EJD58" s="76"/>
      <c r="EJE58" s="76"/>
      <c r="EJF58" s="76"/>
      <c r="EJG58" s="76"/>
      <c r="EJH58" s="76"/>
      <c r="EJI58" s="76"/>
      <c r="EJJ58" s="76"/>
      <c r="EJK58" s="76"/>
      <c r="EJL58" s="76"/>
      <c r="EJM58" s="76"/>
      <c r="EJN58" s="76"/>
      <c r="EJO58" s="76"/>
      <c r="EJP58" s="76"/>
      <c r="EJQ58" s="76"/>
      <c r="EJR58" s="76"/>
      <c r="EJS58" s="76"/>
      <c r="EJT58" s="76"/>
      <c r="EJU58" s="76"/>
      <c r="EJV58" s="76"/>
      <c r="EJW58" s="76"/>
      <c r="EJX58" s="76"/>
      <c r="EJY58" s="76"/>
      <c r="EJZ58" s="76"/>
      <c r="EKA58" s="76"/>
      <c r="EKB58" s="76"/>
      <c r="EKC58" s="76"/>
      <c r="EKD58" s="76"/>
      <c r="EKE58" s="76"/>
      <c r="EKF58" s="76"/>
      <c r="EKG58" s="76"/>
      <c r="EKH58" s="76"/>
      <c r="EKI58" s="76"/>
      <c r="EKJ58" s="76"/>
      <c r="EKK58" s="76"/>
      <c r="EKL58" s="76"/>
      <c r="EKM58" s="76"/>
      <c r="EKN58" s="76"/>
      <c r="EKO58" s="76"/>
      <c r="EKP58" s="76"/>
      <c r="EKQ58" s="76"/>
      <c r="EKR58" s="76"/>
      <c r="EKS58" s="76"/>
      <c r="EKT58" s="76"/>
      <c r="EKU58" s="76"/>
      <c r="EKV58" s="76"/>
      <c r="EKW58" s="76"/>
      <c r="EKX58" s="76"/>
      <c r="EKY58" s="76"/>
      <c r="EKZ58" s="76"/>
      <c r="ELA58" s="76"/>
      <c r="ELB58" s="76"/>
      <c r="ELC58" s="76"/>
      <c r="ELD58" s="76"/>
      <c r="ELE58" s="76"/>
      <c r="ELF58" s="76"/>
      <c r="ELG58" s="76"/>
      <c r="ELH58" s="76"/>
      <c r="ELI58" s="76"/>
      <c r="ELJ58" s="76"/>
      <c r="ELK58" s="76"/>
      <c r="ELL58" s="76"/>
      <c r="ELM58" s="76"/>
      <c r="ELN58" s="76"/>
      <c r="ELO58" s="76"/>
      <c r="ELP58" s="76"/>
      <c r="ELQ58" s="76"/>
      <c r="ELR58" s="76"/>
      <c r="ELS58" s="76"/>
      <c r="ELT58" s="76"/>
      <c r="ELU58" s="76"/>
      <c r="ELV58" s="76"/>
      <c r="ELW58" s="76"/>
      <c r="ELX58" s="76"/>
      <c r="ELY58" s="76"/>
      <c r="ELZ58" s="76"/>
      <c r="EMA58" s="76"/>
      <c r="EMB58" s="76"/>
      <c r="EMC58" s="76"/>
      <c r="EMD58" s="76"/>
      <c r="EME58" s="76"/>
      <c r="EMF58" s="76"/>
      <c r="EMG58" s="76"/>
      <c r="EMH58" s="76"/>
      <c r="EMI58" s="76"/>
      <c r="EMJ58" s="76"/>
      <c r="EMK58" s="76"/>
      <c r="EML58" s="76"/>
      <c r="EMM58" s="76"/>
      <c r="EMN58" s="76"/>
      <c r="EMO58" s="76"/>
      <c r="EMP58" s="76"/>
      <c r="EMQ58" s="76"/>
      <c r="EMR58" s="76"/>
      <c r="EMS58" s="76"/>
      <c r="EMT58" s="76"/>
      <c r="EMU58" s="76"/>
      <c r="EMV58" s="76"/>
      <c r="EMW58" s="76"/>
      <c r="EMX58" s="76"/>
      <c r="EMY58" s="76"/>
      <c r="EMZ58" s="76"/>
      <c r="ENA58" s="76"/>
      <c r="ENB58" s="76"/>
      <c r="ENC58" s="76"/>
      <c r="END58" s="76"/>
      <c r="ENE58" s="76"/>
      <c r="ENF58" s="76"/>
      <c r="ENG58" s="76"/>
      <c r="ENH58" s="76"/>
      <c r="ENI58" s="76"/>
      <c r="ENJ58" s="76"/>
      <c r="ENK58" s="76"/>
      <c r="ENL58" s="76"/>
      <c r="ENM58" s="76"/>
      <c r="ENN58" s="76"/>
      <c r="ENO58" s="76"/>
      <c r="ENP58" s="76"/>
      <c r="ENQ58" s="76"/>
      <c r="ENR58" s="76"/>
      <c r="ENS58" s="76"/>
      <c r="ENT58" s="76"/>
      <c r="ENU58" s="76"/>
      <c r="ENV58" s="76"/>
      <c r="ENW58" s="76"/>
      <c r="ENX58" s="76"/>
      <c r="ENY58" s="76"/>
      <c r="ENZ58" s="76"/>
      <c r="EOA58" s="76"/>
      <c r="EOB58" s="76"/>
      <c r="EOC58" s="76"/>
      <c r="EOD58" s="76"/>
      <c r="EOE58" s="76"/>
      <c r="EOF58" s="76"/>
      <c r="EOG58" s="76"/>
      <c r="EOH58" s="76"/>
      <c r="EOI58" s="76"/>
      <c r="EOJ58" s="76"/>
      <c r="EOK58" s="76"/>
      <c r="EOL58" s="76"/>
      <c r="EOM58" s="76"/>
      <c r="EON58" s="76"/>
      <c r="EOO58" s="76"/>
      <c r="EOP58" s="76"/>
      <c r="EOQ58" s="76"/>
      <c r="EOR58" s="76"/>
      <c r="EOS58" s="76"/>
      <c r="EOT58" s="76"/>
      <c r="EOU58" s="76"/>
      <c r="EOV58" s="76"/>
      <c r="EOW58" s="76"/>
      <c r="EOX58" s="76"/>
      <c r="EOY58" s="76"/>
      <c r="EOZ58" s="76"/>
      <c r="EPA58" s="76"/>
      <c r="EPB58" s="76"/>
      <c r="EPC58" s="76"/>
      <c r="EPD58" s="76"/>
      <c r="EPE58" s="76"/>
      <c r="EPF58" s="76"/>
      <c r="EPG58" s="76"/>
      <c r="EPH58" s="76"/>
      <c r="EPI58" s="76"/>
      <c r="EPJ58" s="76"/>
      <c r="EPK58" s="76"/>
      <c r="EPL58" s="76"/>
      <c r="EPM58" s="76"/>
      <c r="EPN58" s="76"/>
      <c r="EPO58" s="76"/>
      <c r="EPP58" s="76"/>
      <c r="EPQ58" s="76"/>
      <c r="EPR58" s="76"/>
      <c r="EPS58" s="76"/>
      <c r="EPT58" s="76"/>
      <c r="EPU58" s="76"/>
      <c r="EPV58" s="76"/>
      <c r="EPW58" s="76"/>
      <c r="EPX58" s="76"/>
      <c r="EPY58" s="76"/>
      <c r="EPZ58" s="76"/>
      <c r="EQA58" s="76"/>
      <c r="EQB58" s="76"/>
      <c r="EQC58" s="76"/>
      <c r="EQD58" s="76"/>
      <c r="EQE58" s="76"/>
      <c r="EQF58" s="76"/>
      <c r="EQG58" s="76"/>
      <c r="EQH58" s="76"/>
      <c r="EQI58" s="76"/>
      <c r="EQJ58" s="76"/>
      <c r="EQK58" s="76"/>
      <c r="EQL58" s="76"/>
      <c r="EQM58" s="76"/>
      <c r="EQN58" s="76"/>
      <c r="EQO58" s="76"/>
      <c r="EQP58" s="76"/>
      <c r="EQQ58" s="76"/>
      <c r="EQR58" s="76"/>
      <c r="EQS58" s="76"/>
      <c r="EQT58" s="76"/>
      <c r="EQU58" s="76"/>
      <c r="EQV58" s="76"/>
      <c r="EQW58" s="76"/>
      <c r="EQX58" s="76"/>
      <c r="EQY58" s="76"/>
      <c r="EQZ58" s="76"/>
      <c r="ERA58" s="76"/>
      <c r="ERB58" s="76"/>
      <c r="ERC58" s="76"/>
      <c r="ERD58" s="76"/>
      <c r="ERE58" s="76"/>
      <c r="ERF58" s="76"/>
      <c r="ERG58" s="76"/>
      <c r="ERH58" s="76"/>
      <c r="ERI58" s="76"/>
      <c r="ERJ58" s="76"/>
      <c r="ERK58" s="76"/>
      <c r="ERL58" s="76"/>
      <c r="ERM58" s="76"/>
      <c r="ERN58" s="76"/>
      <c r="ERO58" s="76"/>
      <c r="ERP58" s="76"/>
      <c r="ERQ58" s="76"/>
      <c r="ERR58" s="76"/>
      <c r="ERS58" s="76"/>
      <c r="ERT58" s="76"/>
      <c r="ERU58" s="76"/>
      <c r="ERV58" s="76"/>
      <c r="ERW58" s="76"/>
      <c r="ERX58" s="76"/>
      <c r="ERY58" s="76"/>
      <c r="ERZ58" s="76"/>
      <c r="ESA58" s="76"/>
      <c r="ESB58" s="76"/>
      <c r="ESC58" s="76"/>
      <c r="ESD58" s="76"/>
      <c r="ESE58" s="76"/>
      <c r="ESF58" s="76"/>
      <c r="ESG58" s="76"/>
      <c r="ESH58" s="76"/>
      <c r="ESI58" s="76"/>
      <c r="ESJ58" s="76"/>
      <c r="ESK58" s="76"/>
      <c r="ESL58" s="76"/>
      <c r="ESM58" s="76"/>
      <c r="ESN58" s="76"/>
      <c r="ESO58" s="76"/>
      <c r="ESP58" s="76"/>
      <c r="ESQ58" s="76"/>
      <c r="ESR58" s="76"/>
      <c r="ESS58" s="76"/>
      <c r="EST58" s="76"/>
      <c r="ESU58" s="76"/>
      <c r="ESV58" s="76"/>
      <c r="ESW58" s="76"/>
      <c r="ESX58" s="76"/>
      <c r="ESY58" s="76"/>
      <c r="ESZ58" s="76"/>
      <c r="ETA58" s="76"/>
      <c r="ETB58" s="76"/>
      <c r="ETC58" s="76"/>
      <c r="ETD58" s="76"/>
      <c r="ETE58" s="76"/>
      <c r="ETF58" s="76"/>
      <c r="ETG58" s="76"/>
      <c r="ETH58" s="76"/>
      <c r="ETI58" s="76"/>
      <c r="ETJ58" s="76"/>
      <c r="ETK58" s="76"/>
      <c r="ETL58" s="76"/>
      <c r="ETM58" s="76"/>
      <c r="ETN58" s="76"/>
      <c r="ETO58" s="76"/>
      <c r="ETP58" s="76"/>
      <c r="ETQ58" s="76"/>
      <c r="ETR58" s="76"/>
      <c r="ETS58" s="76"/>
      <c r="ETT58" s="76"/>
      <c r="ETU58" s="76"/>
      <c r="ETV58" s="76"/>
      <c r="ETW58" s="76"/>
      <c r="ETX58" s="76"/>
      <c r="ETY58" s="76"/>
      <c r="ETZ58" s="76"/>
      <c r="EUA58" s="76"/>
      <c r="EUB58" s="76"/>
      <c r="EUC58" s="76"/>
      <c r="EUD58" s="76"/>
      <c r="EUE58" s="76"/>
      <c r="EUF58" s="76"/>
      <c r="EUG58" s="76"/>
      <c r="EUH58" s="76"/>
      <c r="EUI58" s="76"/>
      <c r="EUJ58" s="76"/>
      <c r="EUK58" s="76"/>
      <c r="EUL58" s="76"/>
      <c r="EUM58" s="76"/>
      <c r="EUN58" s="76"/>
      <c r="EUO58" s="76"/>
      <c r="EUP58" s="76"/>
      <c r="EUQ58" s="76"/>
      <c r="EUR58" s="76"/>
      <c r="EUS58" s="76"/>
      <c r="EUT58" s="76"/>
      <c r="EUU58" s="76"/>
      <c r="EUV58" s="76"/>
      <c r="EUW58" s="76"/>
      <c r="EUX58" s="76"/>
      <c r="EUY58" s="76"/>
      <c r="EUZ58" s="76"/>
      <c r="EVA58" s="76"/>
      <c r="EVB58" s="76"/>
      <c r="EVC58" s="76"/>
      <c r="EVD58" s="76"/>
      <c r="EVE58" s="76"/>
      <c r="EVF58" s="76"/>
      <c r="EVG58" s="76"/>
      <c r="EVH58" s="76"/>
      <c r="EVI58" s="76"/>
      <c r="EVJ58" s="76"/>
      <c r="EVK58" s="76"/>
      <c r="EVL58" s="76"/>
      <c r="EVM58" s="76"/>
      <c r="EVN58" s="76"/>
      <c r="EVO58" s="76"/>
      <c r="EVP58" s="76"/>
      <c r="EVQ58" s="76"/>
      <c r="EVR58" s="76"/>
      <c r="EVS58" s="76"/>
      <c r="EVT58" s="76"/>
      <c r="EVU58" s="76"/>
      <c r="EVV58" s="76"/>
      <c r="EVW58" s="76"/>
      <c r="EVX58" s="76"/>
      <c r="EVY58" s="76"/>
      <c r="EVZ58" s="76"/>
      <c r="EWA58" s="76"/>
      <c r="EWB58" s="76"/>
      <c r="EWC58" s="76"/>
      <c r="EWD58" s="76"/>
      <c r="EWE58" s="76"/>
      <c r="EWF58" s="76"/>
      <c r="EWG58" s="76"/>
      <c r="EWH58" s="76"/>
      <c r="EWI58" s="76"/>
      <c r="EWJ58" s="76"/>
      <c r="EWK58" s="76"/>
      <c r="EWL58" s="76"/>
      <c r="EWM58" s="76"/>
      <c r="EWN58" s="76"/>
      <c r="EWO58" s="76"/>
      <c r="EWP58" s="76"/>
      <c r="EWQ58" s="76"/>
      <c r="EWR58" s="76"/>
      <c r="EWS58" s="76"/>
      <c r="EWT58" s="76"/>
      <c r="EWU58" s="76"/>
      <c r="EWV58" s="76"/>
      <c r="EWW58" s="76"/>
      <c r="EWX58" s="76"/>
      <c r="EWY58" s="76"/>
      <c r="EWZ58" s="76"/>
      <c r="EXA58" s="76"/>
      <c r="EXB58" s="76"/>
      <c r="EXC58" s="76"/>
      <c r="EXD58" s="76"/>
      <c r="EXE58" s="76"/>
      <c r="EXF58" s="76"/>
      <c r="EXG58" s="76"/>
      <c r="EXH58" s="76"/>
      <c r="EXI58" s="76"/>
      <c r="EXJ58" s="76"/>
      <c r="EXK58" s="76"/>
      <c r="EXL58" s="76"/>
      <c r="EXM58" s="76"/>
      <c r="EXN58" s="76"/>
      <c r="EXO58" s="76"/>
      <c r="EXP58" s="76"/>
      <c r="EXQ58" s="76"/>
      <c r="EXR58" s="76"/>
      <c r="EXS58" s="76"/>
      <c r="EXT58" s="76"/>
      <c r="EXU58" s="76"/>
      <c r="EXV58" s="76"/>
      <c r="EXW58" s="76"/>
      <c r="EXX58" s="76"/>
      <c r="EXY58" s="76"/>
      <c r="EXZ58" s="76"/>
      <c r="EYA58" s="76"/>
      <c r="EYB58" s="76"/>
      <c r="EYC58" s="76"/>
      <c r="EYD58" s="76"/>
      <c r="EYE58" s="76"/>
      <c r="EYF58" s="76"/>
      <c r="EYG58" s="76"/>
      <c r="EYH58" s="76"/>
      <c r="EYI58" s="76"/>
      <c r="EYJ58" s="76"/>
      <c r="EYK58" s="76"/>
      <c r="EYL58" s="76"/>
      <c r="EYM58" s="76"/>
      <c r="EYN58" s="76"/>
      <c r="EYO58" s="76"/>
      <c r="EYP58" s="76"/>
      <c r="EYQ58" s="76"/>
      <c r="EYR58" s="76"/>
      <c r="EYS58" s="76"/>
      <c r="EYT58" s="76"/>
      <c r="EYU58" s="76"/>
      <c r="EYV58" s="76"/>
      <c r="EYW58" s="76"/>
      <c r="EYX58" s="76"/>
      <c r="EYY58" s="76"/>
      <c r="EYZ58" s="76"/>
      <c r="EZA58" s="76"/>
      <c r="EZB58" s="76"/>
      <c r="EZC58" s="76"/>
      <c r="EZD58" s="76"/>
      <c r="EZE58" s="76"/>
      <c r="EZF58" s="76"/>
      <c r="EZG58" s="76"/>
      <c r="EZH58" s="76"/>
      <c r="EZI58" s="76"/>
      <c r="EZJ58" s="76"/>
      <c r="EZK58" s="76"/>
      <c r="EZL58" s="76"/>
      <c r="EZM58" s="76"/>
      <c r="EZN58" s="76"/>
      <c r="EZO58" s="76"/>
      <c r="EZP58" s="76"/>
      <c r="EZQ58" s="76"/>
      <c r="EZR58" s="76"/>
      <c r="EZS58" s="76"/>
      <c r="EZT58" s="76"/>
      <c r="EZU58" s="76"/>
      <c r="EZV58" s="76"/>
      <c r="EZW58" s="76"/>
      <c r="EZX58" s="76"/>
      <c r="EZY58" s="76"/>
      <c r="EZZ58" s="76"/>
      <c r="FAA58" s="76"/>
      <c r="FAB58" s="76"/>
      <c r="FAC58" s="76"/>
      <c r="FAD58" s="76"/>
      <c r="FAE58" s="76"/>
      <c r="FAF58" s="76"/>
      <c r="FAG58" s="76"/>
      <c r="FAH58" s="76"/>
      <c r="FAI58" s="76"/>
      <c r="FAJ58" s="76"/>
      <c r="FAK58" s="76"/>
      <c r="FAL58" s="76"/>
      <c r="FAM58" s="76"/>
      <c r="FAN58" s="76"/>
      <c r="FAO58" s="76"/>
      <c r="FAP58" s="76"/>
      <c r="FAQ58" s="76"/>
      <c r="FAR58" s="76"/>
      <c r="FAS58" s="76"/>
      <c r="FAT58" s="76"/>
      <c r="FAU58" s="76"/>
      <c r="FAV58" s="76"/>
      <c r="FAW58" s="76"/>
      <c r="FAX58" s="76"/>
      <c r="FAY58" s="76"/>
      <c r="FAZ58" s="76"/>
      <c r="FBA58" s="76"/>
      <c r="FBB58" s="76"/>
      <c r="FBC58" s="76"/>
      <c r="FBD58" s="76"/>
      <c r="FBE58" s="76"/>
      <c r="FBF58" s="76"/>
      <c r="FBG58" s="76"/>
      <c r="FBH58" s="76"/>
      <c r="FBI58" s="76"/>
      <c r="FBJ58" s="76"/>
      <c r="FBK58" s="76"/>
      <c r="FBL58" s="76"/>
      <c r="FBM58" s="76"/>
      <c r="FBN58" s="76"/>
      <c r="FBO58" s="76"/>
      <c r="FBP58" s="76"/>
      <c r="FBQ58" s="76"/>
      <c r="FBR58" s="76"/>
      <c r="FBS58" s="76"/>
      <c r="FBT58" s="76"/>
      <c r="FBU58" s="76"/>
      <c r="FBV58" s="76"/>
      <c r="FBW58" s="76"/>
      <c r="FBX58" s="76"/>
      <c r="FBY58" s="76"/>
      <c r="FBZ58" s="76"/>
      <c r="FCA58" s="76"/>
      <c r="FCB58" s="76"/>
      <c r="FCC58" s="76"/>
      <c r="FCD58" s="76"/>
      <c r="FCE58" s="76"/>
      <c r="FCF58" s="76"/>
      <c r="FCG58" s="76"/>
      <c r="FCH58" s="76"/>
      <c r="FCI58" s="76"/>
      <c r="FCJ58" s="76"/>
      <c r="FCK58" s="76"/>
      <c r="FCL58" s="76"/>
      <c r="FCM58" s="76"/>
      <c r="FCN58" s="76"/>
      <c r="FCO58" s="76"/>
      <c r="FCP58" s="76"/>
      <c r="FCQ58" s="76"/>
      <c r="FCR58" s="76"/>
      <c r="FCS58" s="76"/>
      <c r="FCT58" s="76"/>
      <c r="FCU58" s="76"/>
      <c r="FCV58" s="76"/>
      <c r="FCW58" s="76"/>
      <c r="FCX58" s="76"/>
      <c r="FCY58" s="76"/>
      <c r="FCZ58" s="76"/>
      <c r="FDA58" s="76"/>
      <c r="FDB58" s="76"/>
      <c r="FDC58" s="76"/>
      <c r="FDD58" s="76"/>
      <c r="FDE58" s="76"/>
      <c r="FDF58" s="76"/>
      <c r="FDG58" s="76"/>
      <c r="FDH58" s="76"/>
      <c r="FDI58" s="76"/>
      <c r="FDJ58" s="76"/>
      <c r="FDK58" s="76"/>
      <c r="FDL58" s="76"/>
      <c r="FDM58" s="76"/>
      <c r="FDN58" s="76"/>
      <c r="FDO58" s="76"/>
      <c r="FDP58" s="76"/>
      <c r="FDQ58" s="76"/>
      <c r="FDR58" s="76"/>
      <c r="FDS58" s="76"/>
      <c r="FDT58" s="76"/>
      <c r="FDU58" s="76"/>
      <c r="FDV58" s="76"/>
      <c r="FDW58" s="76"/>
      <c r="FDX58" s="76"/>
      <c r="FDY58" s="76"/>
      <c r="FDZ58" s="76"/>
      <c r="FEA58" s="76"/>
      <c r="FEB58" s="76"/>
      <c r="FEC58" s="76"/>
      <c r="FED58" s="76"/>
      <c r="FEE58" s="76"/>
      <c r="FEF58" s="76"/>
      <c r="FEG58" s="76"/>
      <c r="FEH58" s="76"/>
      <c r="FEI58" s="76"/>
      <c r="FEJ58" s="76"/>
      <c r="FEK58" s="76"/>
      <c r="FEL58" s="76"/>
      <c r="FEM58" s="76"/>
      <c r="FEN58" s="76"/>
      <c r="FEO58" s="76"/>
      <c r="FEP58" s="76"/>
      <c r="FEQ58" s="76"/>
      <c r="FER58" s="76"/>
      <c r="FES58" s="76"/>
      <c r="FET58" s="76"/>
      <c r="FEU58" s="76"/>
      <c r="FEV58" s="76"/>
      <c r="FEW58" s="76"/>
      <c r="FEX58" s="76"/>
      <c r="FEY58" s="76"/>
      <c r="FEZ58" s="76"/>
      <c r="FFA58" s="76"/>
      <c r="FFB58" s="76"/>
      <c r="FFC58" s="76"/>
      <c r="FFD58" s="76"/>
      <c r="FFE58" s="76"/>
      <c r="FFF58" s="76"/>
      <c r="FFG58" s="76"/>
      <c r="FFH58" s="76"/>
      <c r="FFI58" s="76"/>
      <c r="FFJ58" s="76"/>
      <c r="FFK58" s="76"/>
      <c r="FFL58" s="76"/>
      <c r="FFM58" s="76"/>
      <c r="FFN58" s="76"/>
      <c r="FFO58" s="76"/>
      <c r="FFP58" s="76"/>
      <c r="FFQ58" s="76"/>
      <c r="FFR58" s="76"/>
      <c r="FFS58" s="76"/>
      <c r="FFT58" s="76"/>
      <c r="FFU58" s="76"/>
      <c r="FFV58" s="76"/>
      <c r="FFW58" s="76"/>
      <c r="FFX58" s="76"/>
      <c r="FFY58" s="76"/>
      <c r="FFZ58" s="76"/>
      <c r="FGA58" s="76"/>
      <c r="FGB58" s="76"/>
      <c r="FGC58" s="76"/>
      <c r="FGD58" s="76"/>
      <c r="FGE58" s="76"/>
      <c r="FGF58" s="76"/>
      <c r="FGG58" s="76"/>
      <c r="FGH58" s="76"/>
      <c r="FGI58" s="76"/>
      <c r="FGJ58" s="76"/>
      <c r="FGK58" s="76"/>
      <c r="FGL58" s="76"/>
      <c r="FGM58" s="76"/>
      <c r="FGN58" s="76"/>
      <c r="FGO58" s="76"/>
      <c r="FGP58" s="76"/>
      <c r="FGQ58" s="76"/>
      <c r="FGR58" s="76"/>
      <c r="FGS58" s="76"/>
      <c r="FGT58" s="76"/>
      <c r="FGU58" s="76"/>
      <c r="FGV58" s="76"/>
      <c r="FGW58" s="76"/>
      <c r="FGX58" s="76"/>
      <c r="FGY58" s="76"/>
      <c r="FGZ58" s="76"/>
      <c r="FHA58" s="76"/>
      <c r="FHB58" s="76"/>
      <c r="FHC58" s="76"/>
      <c r="FHD58" s="76"/>
      <c r="FHE58" s="76"/>
      <c r="FHF58" s="76"/>
      <c r="FHG58" s="76"/>
      <c r="FHH58" s="76"/>
      <c r="FHI58" s="76"/>
      <c r="FHJ58" s="76"/>
      <c r="FHK58" s="76"/>
      <c r="FHL58" s="76"/>
      <c r="FHM58" s="76"/>
      <c r="FHN58" s="76"/>
      <c r="FHO58" s="76"/>
      <c r="FHP58" s="76"/>
      <c r="FHQ58" s="76"/>
      <c r="FHR58" s="76"/>
      <c r="FHS58" s="76"/>
      <c r="FHT58" s="76"/>
      <c r="FHU58" s="76"/>
      <c r="FHV58" s="76"/>
      <c r="FHW58" s="76"/>
      <c r="FHX58" s="76"/>
      <c r="FHY58" s="76"/>
      <c r="FHZ58" s="76"/>
      <c r="FIA58" s="76"/>
      <c r="FIB58" s="76"/>
      <c r="FIC58" s="76"/>
      <c r="FID58" s="76"/>
      <c r="FIE58" s="76"/>
      <c r="FIF58" s="76"/>
      <c r="FIG58" s="76"/>
      <c r="FIH58" s="76"/>
      <c r="FII58" s="76"/>
      <c r="FIJ58" s="76"/>
      <c r="FIK58" s="76"/>
      <c r="FIL58" s="76"/>
      <c r="FIM58" s="76"/>
      <c r="FIN58" s="76"/>
      <c r="FIO58" s="76"/>
      <c r="FIP58" s="76"/>
      <c r="FIQ58" s="76"/>
      <c r="FIR58" s="76"/>
      <c r="FIS58" s="76"/>
      <c r="FIT58" s="76"/>
      <c r="FIU58" s="76"/>
      <c r="FIV58" s="76"/>
      <c r="FIW58" s="76"/>
      <c r="FIX58" s="76"/>
      <c r="FIY58" s="76"/>
      <c r="FIZ58" s="76"/>
      <c r="FJA58" s="76"/>
      <c r="FJB58" s="76"/>
      <c r="FJC58" s="76"/>
      <c r="FJD58" s="76"/>
      <c r="FJE58" s="76"/>
      <c r="FJF58" s="76"/>
      <c r="FJG58" s="76"/>
      <c r="FJH58" s="76"/>
      <c r="FJI58" s="76"/>
      <c r="FJJ58" s="76"/>
      <c r="FJK58" s="76"/>
      <c r="FJL58" s="76"/>
      <c r="FJM58" s="76"/>
      <c r="FJN58" s="76"/>
      <c r="FJO58" s="76"/>
      <c r="FJP58" s="76"/>
      <c r="FJQ58" s="76"/>
      <c r="FJR58" s="76"/>
      <c r="FJS58" s="76"/>
      <c r="FJT58" s="76"/>
      <c r="FJU58" s="76"/>
      <c r="FJV58" s="76"/>
      <c r="FJW58" s="76"/>
      <c r="FJX58" s="76"/>
      <c r="FJY58" s="76"/>
      <c r="FJZ58" s="76"/>
      <c r="FKA58" s="76"/>
      <c r="FKB58" s="76"/>
      <c r="FKC58" s="76"/>
      <c r="FKD58" s="76"/>
      <c r="FKE58" s="76"/>
      <c r="FKF58" s="76"/>
      <c r="FKG58" s="76"/>
      <c r="FKH58" s="76"/>
      <c r="FKI58" s="76"/>
      <c r="FKJ58" s="76"/>
      <c r="FKK58" s="76"/>
      <c r="FKL58" s="76"/>
      <c r="FKM58" s="76"/>
      <c r="FKN58" s="76"/>
      <c r="FKO58" s="76"/>
      <c r="FKP58" s="76"/>
      <c r="FKQ58" s="76"/>
      <c r="FKR58" s="76"/>
      <c r="FKS58" s="76"/>
      <c r="FKT58" s="76"/>
      <c r="FKU58" s="76"/>
      <c r="FKV58" s="76"/>
      <c r="FKW58" s="76"/>
      <c r="FKX58" s="76"/>
      <c r="FKY58" s="76"/>
      <c r="FKZ58" s="76"/>
      <c r="FLA58" s="76"/>
      <c r="FLB58" s="76"/>
      <c r="FLC58" s="76"/>
      <c r="FLD58" s="76"/>
      <c r="FLE58" s="76"/>
      <c r="FLF58" s="76"/>
      <c r="FLG58" s="76"/>
      <c r="FLH58" s="76"/>
      <c r="FLI58" s="76"/>
      <c r="FLJ58" s="76"/>
      <c r="FLK58" s="76"/>
      <c r="FLL58" s="76"/>
      <c r="FLM58" s="76"/>
      <c r="FLN58" s="76"/>
      <c r="FLO58" s="76"/>
      <c r="FLP58" s="76"/>
      <c r="FLQ58" s="76"/>
      <c r="FLR58" s="76"/>
      <c r="FLS58" s="76"/>
      <c r="FLT58" s="76"/>
      <c r="FLU58" s="76"/>
      <c r="FLV58" s="76"/>
      <c r="FLW58" s="76"/>
      <c r="FLX58" s="76"/>
      <c r="FLY58" s="76"/>
      <c r="FLZ58" s="76"/>
      <c r="FMA58" s="76"/>
      <c r="FMB58" s="76"/>
      <c r="FMC58" s="76"/>
      <c r="FMD58" s="76"/>
      <c r="FME58" s="76"/>
      <c r="FMF58" s="76"/>
      <c r="FMG58" s="76"/>
      <c r="FMH58" s="76"/>
      <c r="FMI58" s="76"/>
      <c r="FMJ58" s="76"/>
      <c r="FMK58" s="76"/>
      <c r="FML58" s="76"/>
      <c r="FMM58" s="76"/>
      <c r="FMN58" s="76"/>
      <c r="FMO58" s="76"/>
      <c r="FMP58" s="76"/>
      <c r="FMQ58" s="76"/>
      <c r="FMR58" s="76"/>
      <c r="FMS58" s="76"/>
      <c r="FMT58" s="76"/>
      <c r="FMU58" s="76"/>
      <c r="FMV58" s="76"/>
      <c r="FMW58" s="76"/>
      <c r="FMX58" s="76"/>
      <c r="FMY58" s="76"/>
      <c r="FMZ58" s="76"/>
      <c r="FNA58" s="76"/>
      <c r="FNB58" s="76"/>
      <c r="FNC58" s="76"/>
      <c r="FND58" s="76"/>
      <c r="FNE58" s="76"/>
      <c r="FNF58" s="76"/>
      <c r="FNG58" s="76"/>
      <c r="FNH58" s="76"/>
      <c r="FNI58" s="76"/>
      <c r="FNJ58" s="76"/>
      <c r="FNK58" s="76"/>
      <c r="FNL58" s="76"/>
      <c r="FNM58" s="76"/>
      <c r="FNN58" s="76"/>
      <c r="FNO58" s="76"/>
      <c r="FNP58" s="76"/>
      <c r="FNQ58" s="76"/>
      <c r="FNR58" s="76"/>
      <c r="FNS58" s="76"/>
      <c r="FNT58" s="76"/>
      <c r="FNU58" s="76"/>
      <c r="FNV58" s="76"/>
      <c r="FNW58" s="76"/>
      <c r="FNX58" s="76"/>
      <c r="FNY58" s="76"/>
      <c r="FNZ58" s="76"/>
      <c r="FOA58" s="76"/>
      <c r="FOB58" s="76"/>
      <c r="FOC58" s="76"/>
      <c r="FOD58" s="76"/>
      <c r="FOE58" s="76"/>
      <c r="FOF58" s="76"/>
      <c r="FOG58" s="76"/>
      <c r="FOH58" s="76"/>
      <c r="FOI58" s="76"/>
      <c r="FOJ58" s="76"/>
      <c r="FOK58" s="76"/>
      <c r="FOL58" s="76"/>
      <c r="FOM58" s="76"/>
      <c r="FON58" s="76"/>
      <c r="FOO58" s="76"/>
      <c r="FOP58" s="76"/>
      <c r="FOQ58" s="76"/>
      <c r="FOR58" s="76"/>
      <c r="FOS58" s="76"/>
      <c r="FOT58" s="76"/>
      <c r="FOU58" s="76"/>
      <c r="FOV58" s="76"/>
      <c r="FOW58" s="76"/>
      <c r="FOX58" s="76"/>
      <c r="FOY58" s="76"/>
      <c r="FOZ58" s="76"/>
      <c r="FPA58" s="76"/>
      <c r="FPB58" s="76"/>
      <c r="FPC58" s="76"/>
      <c r="FPD58" s="76"/>
      <c r="FPE58" s="76"/>
      <c r="FPF58" s="76"/>
      <c r="FPG58" s="76"/>
      <c r="FPH58" s="76"/>
      <c r="FPI58" s="76"/>
      <c r="FPJ58" s="76"/>
      <c r="FPK58" s="76"/>
      <c r="FPL58" s="76"/>
      <c r="FPM58" s="76"/>
      <c r="FPN58" s="76"/>
      <c r="FPO58" s="76"/>
      <c r="FPP58" s="76"/>
      <c r="FPQ58" s="76"/>
      <c r="FPR58" s="76"/>
      <c r="FPS58" s="76"/>
      <c r="FPT58" s="76"/>
      <c r="FPU58" s="76"/>
      <c r="FPV58" s="76"/>
      <c r="FPW58" s="76"/>
      <c r="FPX58" s="76"/>
      <c r="FPY58" s="76"/>
      <c r="FPZ58" s="76"/>
      <c r="FQA58" s="76"/>
      <c r="FQB58" s="76"/>
      <c r="FQC58" s="76"/>
      <c r="FQD58" s="76"/>
      <c r="FQE58" s="76"/>
      <c r="FQF58" s="76"/>
      <c r="FQG58" s="76"/>
      <c r="FQH58" s="76"/>
      <c r="FQI58" s="76"/>
      <c r="FQJ58" s="76"/>
      <c r="FQK58" s="76"/>
      <c r="FQL58" s="76"/>
      <c r="FQM58" s="76"/>
      <c r="FQN58" s="76"/>
      <c r="FQO58" s="76"/>
      <c r="FQP58" s="76"/>
      <c r="FQQ58" s="76"/>
      <c r="FQR58" s="76"/>
      <c r="FQS58" s="76"/>
      <c r="FQT58" s="76"/>
      <c r="FQU58" s="76"/>
      <c r="FQV58" s="76"/>
      <c r="FQW58" s="76"/>
      <c r="FQX58" s="76"/>
      <c r="FQY58" s="76"/>
      <c r="FQZ58" s="76"/>
      <c r="FRA58" s="76"/>
      <c r="FRB58" s="76"/>
      <c r="FRC58" s="76"/>
      <c r="FRD58" s="76"/>
      <c r="FRE58" s="76"/>
      <c r="FRF58" s="76"/>
      <c r="FRG58" s="76"/>
      <c r="FRH58" s="76"/>
      <c r="FRI58" s="76"/>
      <c r="FRJ58" s="76"/>
      <c r="FRK58" s="76"/>
      <c r="FRL58" s="76"/>
      <c r="FRM58" s="76"/>
      <c r="FRN58" s="76"/>
      <c r="FRO58" s="76"/>
      <c r="FRP58" s="76"/>
      <c r="FRQ58" s="76"/>
      <c r="FRR58" s="76"/>
      <c r="FRS58" s="76"/>
      <c r="FRT58" s="76"/>
      <c r="FRU58" s="76"/>
      <c r="FRV58" s="76"/>
      <c r="FRW58" s="76"/>
      <c r="FRX58" s="76"/>
      <c r="FRY58" s="76"/>
      <c r="FRZ58" s="76"/>
      <c r="FSA58" s="76"/>
      <c r="FSB58" s="76"/>
      <c r="FSC58" s="76"/>
      <c r="FSD58" s="76"/>
      <c r="FSE58" s="76"/>
      <c r="FSF58" s="76"/>
      <c r="FSG58" s="76"/>
      <c r="FSH58" s="76"/>
      <c r="FSI58" s="76"/>
      <c r="FSJ58" s="76"/>
      <c r="FSK58" s="76"/>
      <c r="FSL58" s="76"/>
      <c r="FSM58" s="76"/>
      <c r="FSN58" s="76"/>
      <c r="FSO58" s="76"/>
      <c r="FSP58" s="76"/>
      <c r="FSQ58" s="76"/>
      <c r="FSR58" s="76"/>
      <c r="FSS58" s="76"/>
      <c r="FST58" s="76"/>
      <c r="FSU58" s="76"/>
      <c r="FSV58" s="76"/>
      <c r="FSW58" s="76"/>
      <c r="FSX58" s="76"/>
      <c r="FSY58" s="76"/>
      <c r="FSZ58" s="76"/>
      <c r="FTA58" s="76"/>
      <c r="FTB58" s="76"/>
      <c r="FTC58" s="76"/>
      <c r="FTD58" s="76"/>
      <c r="FTE58" s="76"/>
      <c r="FTF58" s="76"/>
      <c r="FTG58" s="76"/>
      <c r="FTH58" s="76"/>
      <c r="FTI58" s="76"/>
      <c r="FTJ58" s="76"/>
      <c r="FTK58" s="76"/>
      <c r="FTL58" s="76"/>
      <c r="FTM58" s="76"/>
      <c r="FTN58" s="76"/>
      <c r="FTO58" s="76"/>
      <c r="FTP58" s="76"/>
      <c r="FTQ58" s="76"/>
      <c r="FTR58" s="76"/>
      <c r="FTS58" s="76"/>
      <c r="FTT58" s="76"/>
      <c r="FTU58" s="76"/>
      <c r="FTV58" s="76"/>
      <c r="FTW58" s="76"/>
      <c r="FTX58" s="76"/>
      <c r="FTY58" s="76"/>
      <c r="FTZ58" s="76"/>
      <c r="FUA58" s="76"/>
      <c r="FUB58" s="76"/>
      <c r="FUC58" s="76"/>
      <c r="FUD58" s="76"/>
      <c r="FUE58" s="76"/>
      <c r="FUF58" s="76"/>
      <c r="FUG58" s="76"/>
      <c r="FUH58" s="76"/>
      <c r="FUI58" s="76"/>
      <c r="FUJ58" s="76"/>
      <c r="FUK58" s="76"/>
      <c r="FUL58" s="76"/>
      <c r="FUM58" s="76"/>
      <c r="FUN58" s="76"/>
      <c r="FUO58" s="76"/>
      <c r="FUP58" s="76"/>
      <c r="FUQ58" s="76"/>
      <c r="FUR58" s="76"/>
      <c r="FUS58" s="76"/>
      <c r="FUT58" s="76"/>
      <c r="FUU58" s="76"/>
      <c r="FUV58" s="76"/>
      <c r="FUW58" s="76"/>
      <c r="FUX58" s="76"/>
      <c r="FUY58" s="76"/>
      <c r="FUZ58" s="76"/>
      <c r="FVA58" s="76"/>
      <c r="FVB58" s="76"/>
      <c r="FVC58" s="76"/>
      <c r="FVD58" s="76"/>
      <c r="FVE58" s="76"/>
      <c r="FVF58" s="76"/>
      <c r="FVG58" s="76"/>
      <c r="FVH58" s="76"/>
      <c r="FVI58" s="76"/>
      <c r="FVJ58" s="76"/>
      <c r="FVK58" s="76"/>
      <c r="FVL58" s="76"/>
      <c r="FVM58" s="76"/>
      <c r="FVN58" s="76"/>
      <c r="FVO58" s="76"/>
      <c r="FVP58" s="76"/>
      <c r="FVQ58" s="76"/>
      <c r="FVR58" s="76"/>
      <c r="FVS58" s="76"/>
      <c r="FVT58" s="76"/>
      <c r="FVU58" s="76"/>
      <c r="FVV58" s="76"/>
      <c r="FVW58" s="76"/>
      <c r="FVX58" s="76"/>
      <c r="FVY58" s="76"/>
      <c r="FVZ58" s="76"/>
      <c r="FWA58" s="76"/>
      <c r="FWB58" s="76"/>
      <c r="FWC58" s="76"/>
      <c r="FWD58" s="76"/>
      <c r="FWE58" s="76"/>
      <c r="FWF58" s="76"/>
      <c r="FWG58" s="76"/>
      <c r="FWH58" s="76"/>
      <c r="FWI58" s="76"/>
      <c r="FWJ58" s="76"/>
      <c r="FWK58" s="76"/>
      <c r="FWL58" s="76"/>
      <c r="FWM58" s="76"/>
      <c r="FWN58" s="76"/>
      <c r="FWO58" s="76"/>
      <c r="FWP58" s="76"/>
      <c r="FWQ58" s="76"/>
      <c r="FWR58" s="76"/>
      <c r="FWS58" s="76"/>
      <c r="FWT58" s="76"/>
      <c r="FWU58" s="76"/>
      <c r="FWV58" s="76"/>
      <c r="FWW58" s="76"/>
      <c r="FWX58" s="76"/>
      <c r="FWY58" s="76"/>
      <c r="FWZ58" s="76"/>
      <c r="FXA58" s="76"/>
      <c r="FXB58" s="76"/>
      <c r="FXC58" s="76"/>
      <c r="FXD58" s="76"/>
      <c r="FXE58" s="76"/>
      <c r="FXF58" s="76"/>
      <c r="FXG58" s="76"/>
      <c r="FXH58" s="76"/>
      <c r="FXI58" s="76"/>
      <c r="FXJ58" s="76"/>
      <c r="FXK58" s="76"/>
      <c r="FXL58" s="76"/>
      <c r="FXM58" s="76"/>
      <c r="FXN58" s="76"/>
      <c r="FXO58" s="76"/>
      <c r="FXP58" s="76"/>
      <c r="FXQ58" s="76"/>
      <c r="FXR58" s="76"/>
      <c r="FXS58" s="76"/>
      <c r="FXT58" s="76"/>
      <c r="FXU58" s="76"/>
      <c r="FXV58" s="76"/>
      <c r="FXW58" s="76"/>
      <c r="FXX58" s="76"/>
      <c r="FXY58" s="76"/>
      <c r="FXZ58" s="76"/>
      <c r="FYA58" s="76"/>
      <c r="FYB58" s="76"/>
      <c r="FYC58" s="76"/>
      <c r="FYD58" s="76"/>
      <c r="FYE58" s="76"/>
      <c r="FYF58" s="76"/>
      <c r="FYG58" s="76"/>
      <c r="FYH58" s="76"/>
      <c r="FYI58" s="76"/>
      <c r="FYJ58" s="76"/>
      <c r="FYK58" s="76"/>
      <c r="FYL58" s="76"/>
      <c r="FYM58" s="76"/>
      <c r="FYN58" s="76"/>
      <c r="FYO58" s="76"/>
      <c r="FYP58" s="76"/>
      <c r="FYQ58" s="76"/>
      <c r="FYR58" s="76"/>
      <c r="FYS58" s="76"/>
      <c r="FYT58" s="76"/>
      <c r="FYU58" s="76"/>
      <c r="FYV58" s="76"/>
      <c r="FYW58" s="76"/>
      <c r="FYX58" s="76"/>
      <c r="FYY58" s="76"/>
      <c r="FYZ58" s="76"/>
      <c r="FZA58" s="76"/>
      <c r="FZB58" s="76"/>
      <c r="FZC58" s="76"/>
      <c r="FZD58" s="76"/>
      <c r="FZE58" s="76"/>
      <c r="FZF58" s="76"/>
      <c r="FZG58" s="76"/>
      <c r="FZH58" s="76"/>
      <c r="FZI58" s="76"/>
      <c r="FZJ58" s="76"/>
      <c r="FZK58" s="76"/>
      <c r="FZL58" s="76"/>
      <c r="FZM58" s="76"/>
      <c r="FZN58" s="76"/>
      <c r="FZO58" s="76"/>
      <c r="FZP58" s="76"/>
      <c r="FZQ58" s="76"/>
      <c r="FZR58" s="76"/>
      <c r="FZS58" s="76"/>
      <c r="FZT58" s="76"/>
      <c r="FZU58" s="76"/>
      <c r="FZV58" s="76"/>
      <c r="FZW58" s="76"/>
      <c r="FZX58" s="76"/>
      <c r="FZY58" s="76"/>
      <c r="FZZ58" s="76"/>
      <c r="GAA58" s="76"/>
      <c r="GAB58" s="76"/>
      <c r="GAC58" s="76"/>
      <c r="GAD58" s="76"/>
      <c r="GAE58" s="76"/>
      <c r="GAF58" s="76"/>
      <c r="GAG58" s="76"/>
      <c r="GAH58" s="76"/>
      <c r="GAI58" s="76"/>
      <c r="GAJ58" s="76"/>
      <c r="GAK58" s="76"/>
      <c r="GAL58" s="76"/>
      <c r="GAM58" s="76"/>
      <c r="GAN58" s="76"/>
      <c r="GAO58" s="76"/>
      <c r="GAP58" s="76"/>
      <c r="GAQ58" s="76"/>
      <c r="GAR58" s="76"/>
      <c r="GAS58" s="76"/>
      <c r="GAT58" s="76"/>
      <c r="GAU58" s="76"/>
      <c r="GAV58" s="76"/>
      <c r="GAW58" s="76"/>
      <c r="GAX58" s="76"/>
      <c r="GAY58" s="76"/>
      <c r="GAZ58" s="76"/>
      <c r="GBA58" s="76"/>
      <c r="GBB58" s="76"/>
      <c r="GBC58" s="76"/>
      <c r="GBD58" s="76"/>
      <c r="GBE58" s="76"/>
      <c r="GBF58" s="76"/>
      <c r="GBG58" s="76"/>
      <c r="GBH58" s="76"/>
      <c r="GBI58" s="76"/>
      <c r="GBJ58" s="76"/>
      <c r="GBK58" s="76"/>
      <c r="GBL58" s="76"/>
      <c r="GBM58" s="76"/>
      <c r="GBN58" s="76"/>
      <c r="GBO58" s="76"/>
      <c r="GBP58" s="76"/>
      <c r="GBQ58" s="76"/>
      <c r="GBR58" s="76"/>
      <c r="GBS58" s="76"/>
      <c r="GBT58" s="76"/>
      <c r="GBU58" s="76"/>
      <c r="GBV58" s="76"/>
      <c r="GBW58" s="76"/>
      <c r="GBX58" s="76"/>
      <c r="GBY58" s="76"/>
      <c r="GBZ58" s="76"/>
      <c r="GCA58" s="76"/>
      <c r="GCB58" s="76"/>
      <c r="GCC58" s="76"/>
      <c r="GCD58" s="76"/>
      <c r="GCE58" s="76"/>
      <c r="GCF58" s="76"/>
      <c r="GCG58" s="76"/>
      <c r="GCH58" s="76"/>
      <c r="GCI58" s="76"/>
      <c r="GCJ58" s="76"/>
      <c r="GCK58" s="76"/>
      <c r="GCL58" s="76"/>
      <c r="GCM58" s="76"/>
      <c r="GCN58" s="76"/>
      <c r="GCO58" s="76"/>
      <c r="GCP58" s="76"/>
      <c r="GCQ58" s="76"/>
      <c r="GCR58" s="76"/>
      <c r="GCS58" s="76"/>
      <c r="GCT58" s="76"/>
      <c r="GCU58" s="76"/>
      <c r="GCV58" s="76"/>
      <c r="GCW58" s="76"/>
      <c r="GCX58" s="76"/>
      <c r="GCY58" s="76"/>
      <c r="GCZ58" s="76"/>
      <c r="GDA58" s="76"/>
      <c r="GDB58" s="76"/>
      <c r="GDC58" s="76"/>
      <c r="GDD58" s="76"/>
      <c r="GDE58" s="76"/>
      <c r="GDF58" s="76"/>
      <c r="GDG58" s="76"/>
      <c r="GDH58" s="76"/>
      <c r="GDI58" s="76"/>
      <c r="GDJ58" s="76"/>
      <c r="GDK58" s="76"/>
      <c r="GDL58" s="76"/>
      <c r="GDM58" s="76"/>
      <c r="GDN58" s="76"/>
      <c r="GDO58" s="76"/>
      <c r="GDP58" s="76"/>
      <c r="GDQ58" s="76"/>
      <c r="GDR58" s="76"/>
      <c r="GDS58" s="76"/>
      <c r="GDT58" s="76"/>
      <c r="GDU58" s="76"/>
      <c r="GDV58" s="76"/>
      <c r="GDW58" s="76"/>
      <c r="GDX58" s="76"/>
      <c r="GDY58" s="76"/>
      <c r="GDZ58" s="76"/>
      <c r="GEA58" s="76"/>
      <c r="GEB58" s="76"/>
      <c r="GEC58" s="76"/>
      <c r="GED58" s="76"/>
      <c r="GEE58" s="76"/>
      <c r="GEF58" s="76"/>
      <c r="GEG58" s="76"/>
      <c r="GEH58" s="76"/>
      <c r="GEI58" s="76"/>
      <c r="GEJ58" s="76"/>
      <c r="GEK58" s="76"/>
      <c r="GEL58" s="76"/>
      <c r="GEM58" s="76"/>
      <c r="GEN58" s="76"/>
      <c r="GEO58" s="76"/>
      <c r="GEP58" s="76"/>
      <c r="GEQ58" s="76"/>
      <c r="GER58" s="76"/>
      <c r="GES58" s="76"/>
      <c r="GET58" s="76"/>
      <c r="GEU58" s="76"/>
      <c r="GEV58" s="76"/>
      <c r="GEW58" s="76"/>
      <c r="GEX58" s="76"/>
      <c r="GEY58" s="76"/>
      <c r="GEZ58" s="76"/>
      <c r="GFA58" s="76"/>
      <c r="GFB58" s="76"/>
      <c r="GFC58" s="76"/>
      <c r="GFD58" s="76"/>
      <c r="GFE58" s="76"/>
      <c r="GFF58" s="76"/>
      <c r="GFG58" s="76"/>
      <c r="GFH58" s="76"/>
      <c r="GFI58" s="76"/>
      <c r="GFJ58" s="76"/>
      <c r="GFK58" s="76"/>
      <c r="GFL58" s="76"/>
      <c r="GFM58" s="76"/>
      <c r="GFN58" s="76"/>
      <c r="GFO58" s="76"/>
      <c r="GFP58" s="76"/>
      <c r="GFQ58" s="76"/>
      <c r="GFR58" s="76"/>
      <c r="GFS58" s="76"/>
      <c r="GFT58" s="76"/>
      <c r="GFU58" s="76"/>
      <c r="GFV58" s="76"/>
      <c r="GFW58" s="76"/>
      <c r="GFX58" s="76"/>
      <c r="GFY58" s="76"/>
      <c r="GFZ58" s="76"/>
      <c r="GGA58" s="76"/>
      <c r="GGB58" s="76"/>
      <c r="GGC58" s="76"/>
      <c r="GGD58" s="76"/>
      <c r="GGE58" s="76"/>
      <c r="GGF58" s="76"/>
      <c r="GGG58" s="76"/>
      <c r="GGH58" s="76"/>
      <c r="GGI58" s="76"/>
      <c r="GGJ58" s="76"/>
      <c r="GGK58" s="76"/>
      <c r="GGL58" s="76"/>
      <c r="GGM58" s="76"/>
      <c r="GGN58" s="76"/>
      <c r="GGO58" s="76"/>
      <c r="GGP58" s="76"/>
      <c r="GGQ58" s="76"/>
      <c r="GGR58" s="76"/>
      <c r="GGS58" s="76"/>
      <c r="GGT58" s="76"/>
      <c r="GGU58" s="76"/>
      <c r="GGV58" s="76"/>
      <c r="GGW58" s="76"/>
      <c r="GGX58" s="76"/>
      <c r="GGY58" s="76"/>
      <c r="GGZ58" s="76"/>
      <c r="GHA58" s="76"/>
      <c r="GHB58" s="76"/>
      <c r="GHC58" s="76"/>
      <c r="GHD58" s="76"/>
      <c r="GHE58" s="76"/>
      <c r="GHF58" s="76"/>
      <c r="GHG58" s="76"/>
      <c r="GHH58" s="76"/>
      <c r="GHI58" s="76"/>
      <c r="GHJ58" s="76"/>
      <c r="GHK58" s="76"/>
      <c r="GHL58" s="76"/>
      <c r="GHM58" s="76"/>
      <c r="GHN58" s="76"/>
      <c r="GHO58" s="76"/>
      <c r="GHP58" s="76"/>
      <c r="GHQ58" s="76"/>
      <c r="GHR58" s="76"/>
      <c r="GHS58" s="76"/>
      <c r="GHT58" s="76"/>
      <c r="GHU58" s="76"/>
      <c r="GHV58" s="76"/>
      <c r="GHW58" s="76"/>
      <c r="GHX58" s="76"/>
      <c r="GHY58" s="76"/>
      <c r="GHZ58" s="76"/>
      <c r="GIA58" s="76"/>
      <c r="GIB58" s="76"/>
      <c r="GIC58" s="76"/>
      <c r="GID58" s="76"/>
      <c r="GIE58" s="76"/>
      <c r="GIF58" s="76"/>
      <c r="GIG58" s="76"/>
      <c r="GIH58" s="76"/>
      <c r="GII58" s="76"/>
      <c r="GIJ58" s="76"/>
      <c r="GIK58" s="76"/>
      <c r="GIL58" s="76"/>
      <c r="GIM58" s="76"/>
      <c r="GIN58" s="76"/>
      <c r="GIO58" s="76"/>
      <c r="GIP58" s="76"/>
      <c r="GIQ58" s="76"/>
      <c r="GIR58" s="76"/>
      <c r="GIS58" s="76"/>
      <c r="GIT58" s="76"/>
      <c r="GIU58" s="76"/>
      <c r="GIV58" s="76"/>
      <c r="GIW58" s="76"/>
      <c r="GIX58" s="76"/>
      <c r="GIY58" s="76"/>
      <c r="GIZ58" s="76"/>
      <c r="GJA58" s="76"/>
      <c r="GJB58" s="76"/>
      <c r="GJC58" s="76"/>
      <c r="GJD58" s="76"/>
      <c r="GJE58" s="76"/>
      <c r="GJF58" s="76"/>
      <c r="GJG58" s="76"/>
      <c r="GJH58" s="76"/>
      <c r="GJI58" s="76"/>
      <c r="GJJ58" s="76"/>
      <c r="GJK58" s="76"/>
      <c r="GJL58" s="76"/>
      <c r="GJM58" s="76"/>
      <c r="GJN58" s="76"/>
      <c r="GJO58" s="76"/>
      <c r="GJP58" s="76"/>
      <c r="GJQ58" s="76"/>
      <c r="GJR58" s="76"/>
      <c r="GJS58" s="76"/>
      <c r="GJT58" s="76"/>
      <c r="GJU58" s="76"/>
      <c r="GJV58" s="76"/>
      <c r="GJW58" s="76"/>
      <c r="GJX58" s="76"/>
      <c r="GJY58" s="76"/>
      <c r="GJZ58" s="76"/>
      <c r="GKA58" s="76"/>
      <c r="GKB58" s="76"/>
      <c r="GKC58" s="76"/>
      <c r="GKD58" s="76"/>
      <c r="GKE58" s="76"/>
      <c r="GKF58" s="76"/>
      <c r="GKG58" s="76"/>
      <c r="GKH58" s="76"/>
      <c r="GKI58" s="76"/>
      <c r="GKJ58" s="76"/>
      <c r="GKK58" s="76"/>
      <c r="GKL58" s="76"/>
      <c r="GKM58" s="76"/>
      <c r="GKN58" s="76"/>
      <c r="GKO58" s="76"/>
      <c r="GKP58" s="76"/>
      <c r="GKQ58" s="76"/>
      <c r="GKR58" s="76"/>
      <c r="GKS58" s="76"/>
      <c r="GKT58" s="76"/>
      <c r="GKU58" s="76"/>
      <c r="GKV58" s="76"/>
      <c r="GKW58" s="76"/>
      <c r="GKX58" s="76"/>
      <c r="GKY58" s="76"/>
      <c r="GKZ58" s="76"/>
      <c r="GLA58" s="76"/>
      <c r="GLB58" s="76"/>
      <c r="GLC58" s="76"/>
      <c r="GLD58" s="76"/>
      <c r="GLE58" s="76"/>
      <c r="GLF58" s="76"/>
      <c r="GLG58" s="76"/>
      <c r="GLH58" s="76"/>
      <c r="GLI58" s="76"/>
      <c r="GLJ58" s="76"/>
      <c r="GLK58" s="76"/>
      <c r="GLL58" s="76"/>
      <c r="GLM58" s="76"/>
      <c r="GLN58" s="76"/>
      <c r="GLO58" s="76"/>
      <c r="GLP58" s="76"/>
      <c r="GLQ58" s="76"/>
      <c r="GLR58" s="76"/>
      <c r="GLS58" s="76"/>
      <c r="GLT58" s="76"/>
      <c r="GLU58" s="76"/>
      <c r="GLV58" s="76"/>
      <c r="GLW58" s="76"/>
      <c r="GLX58" s="76"/>
      <c r="GLY58" s="76"/>
      <c r="GLZ58" s="76"/>
      <c r="GMA58" s="76"/>
      <c r="GMB58" s="76"/>
      <c r="GMC58" s="76"/>
      <c r="GMD58" s="76"/>
      <c r="GME58" s="76"/>
      <c r="GMF58" s="76"/>
      <c r="GMG58" s="76"/>
      <c r="GMH58" s="76"/>
      <c r="GMI58" s="76"/>
      <c r="GMJ58" s="76"/>
      <c r="GMK58" s="76"/>
      <c r="GML58" s="76"/>
      <c r="GMM58" s="76"/>
      <c r="GMN58" s="76"/>
      <c r="GMO58" s="76"/>
      <c r="GMP58" s="76"/>
      <c r="GMQ58" s="76"/>
      <c r="GMR58" s="76"/>
      <c r="GMS58" s="76"/>
      <c r="GMT58" s="76"/>
      <c r="GMU58" s="76"/>
      <c r="GMV58" s="76"/>
      <c r="GMW58" s="76"/>
      <c r="GMX58" s="76"/>
      <c r="GMY58" s="76"/>
      <c r="GMZ58" s="76"/>
      <c r="GNA58" s="76"/>
      <c r="GNB58" s="76"/>
      <c r="GNC58" s="76"/>
      <c r="GND58" s="76"/>
      <c r="GNE58" s="76"/>
      <c r="GNF58" s="76"/>
      <c r="GNG58" s="76"/>
      <c r="GNH58" s="76"/>
      <c r="GNI58" s="76"/>
      <c r="GNJ58" s="76"/>
      <c r="GNK58" s="76"/>
      <c r="GNL58" s="76"/>
      <c r="GNM58" s="76"/>
      <c r="GNN58" s="76"/>
      <c r="GNO58" s="76"/>
      <c r="GNP58" s="76"/>
      <c r="GNQ58" s="76"/>
      <c r="GNR58" s="76"/>
      <c r="GNS58" s="76"/>
      <c r="GNT58" s="76"/>
      <c r="GNU58" s="76"/>
      <c r="GNV58" s="76"/>
      <c r="GNW58" s="76"/>
      <c r="GNX58" s="76"/>
      <c r="GNY58" s="76"/>
      <c r="GNZ58" s="76"/>
      <c r="GOA58" s="76"/>
      <c r="GOB58" s="76"/>
      <c r="GOC58" s="76"/>
      <c r="GOD58" s="76"/>
      <c r="GOE58" s="76"/>
      <c r="GOF58" s="76"/>
      <c r="GOG58" s="76"/>
      <c r="GOH58" s="76"/>
      <c r="GOI58" s="76"/>
      <c r="GOJ58" s="76"/>
      <c r="GOK58" s="76"/>
      <c r="GOL58" s="76"/>
      <c r="GOM58" s="76"/>
      <c r="GON58" s="76"/>
      <c r="GOO58" s="76"/>
      <c r="GOP58" s="76"/>
      <c r="GOQ58" s="76"/>
      <c r="GOR58" s="76"/>
      <c r="GOS58" s="76"/>
      <c r="GOT58" s="76"/>
      <c r="GOU58" s="76"/>
      <c r="GOV58" s="76"/>
      <c r="GOW58" s="76"/>
      <c r="GOX58" s="76"/>
      <c r="GOY58" s="76"/>
      <c r="GOZ58" s="76"/>
      <c r="GPA58" s="76"/>
      <c r="GPB58" s="76"/>
      <c r="GPC58" s="76"/>
      <c r="GPD58" s="76"/>
      <c r="GPE58" s="76"/>
      <c r="GPF58" s="76"/>
      <c r="GPG58" s="76"/>
      <c r="GPH58" s="76"/>
      <c r="GPI58" s="76"/>
      <c r="GPJ58" s="76"/>
      <c r="GPK58" s="76"/>
      <c r="GPL58" s="76"/>
      <c r="GPM58" s="76"/>
      <c r="GPN58" s="76"/>
      <c r="GPO58" s="76"/>
      <c r="GPP58" s="76"/>
      <c r="GPQ58" s="76"/>
      <c r="GPR58" s="76"/>
      <c r="GPS58" s="76"/>
      <c r="GPT58" s="76"/>
      <c r="GPU58" s="76"/>
      <c r="GPV58" s="76"/>
      <c r="GPW58" s="76"/>
      <c r="GPX58" s="76"/>
      <c r="GPY58" s="76"/>
      <c r="GPZ58" s="76"/>
      <c r="GQA58" s="76"/>
      <c r="GQB58" s="76"/>
      <c r="GQC58" s="76"/>
      <c r="GQD58" s="76"/>
      <c r="GQE58" s="76"/>
      <c r="GQF58" s="76"/>
      <c r="GQG58" s="76"/>
      <c r="GQH58" s="76"/>
      <c r="GQI58" s="76"/>
      <c r="GQJ58" s="76"/>
      <c r="GQK58" s="76"/>
      <c r="GQL58" s="76"/>
      <c r="GQM58" s="76"/>
      <c r="GQN58" s="76"/>
      <c r="GQO58" s="76"/>
      <c r="GQP58" s="76"/>
      <c r="GQQ58" s="76"/>
      <c r="GQR58" s="76"/>
      <c r="GQS58" s="76"/>
      <c r="GQT58" s="76"/>
      <c r="GQU58" s="76"/>
      <c r="GQV58" s="76"/>
      <c r="GQW58" s="76"/>
      <c r="GQX58" s="76"/>
      <c r="GQY58" s="76"/>
      <c r="GQZ58" s="76"/>
      <c r="GRA58" s="76"/>
      <c r="GRB58" s="76"/>
      <c r="GRC58" s="76"/>
      <c r="GRD58" s="76"/>
      <c r="GRE58" s="76"/>
      <c r="GRF58" s="76"/>
      <c r="GRG58" s="76"/>
      <c r="GRH58" s="76"/>
      <c r="GRI58" s="76"/>
      <c r="GRJ58" s="76"/>
      <c r="GRK58" s="76"/>
      <c r="GRL58" s="76"/>
      <c r="GRM58" s="76"/>
      <c r="GRN58" s="76"/>
      <c r="GRO58" s="76"/>
      <c r="GRP58" s="76"/>
      <c r="GRQ58" s="76"/>
      <c r="GRR58" s="76"/>
      <c r="GRS58" s="76"/>
      <c r="GRT58" s="76"/>
      <c r="GRU58" s="76"/>
      <c r="GRV58" s="76"/>
      <c r="GRW58" s="76"/>
      <c r="GRX58" s="76"/>
      <c r="GRY58" s="76"/>
      <c r="GRZ58" s="76"/>
      <c r="GSA58" s="76"/>
      <c r="GSB58" s="76"/>
      <c r="GSC58" s="76"/>
      <c r="GSD58" s="76"/>
      <c r="GSE58" s="76"/>
      <c r="GSF58" s="76"/>
      <c r="GSG58" s="76"/>
      <c r="GSH58" s="76"/>
      <c r="GSI58" s="76"/>
      <c r="GSJ58" s="76"/>
      <c r="GSK58" s="76"/>
      <c r="GSL58" s="76"/>
      <c r="GSM58" s="76"/>
      <c r="GSN58" s="76"/>
      <c r="GSO58" s="76"/>
      <c r="GSP58" s="76"/>
      <c r="GSQ58" s="76"/>
      <c r="GSR58" s="76"/>
      <c r="GSS58" s="76"/>
      <c r="GST58" s="76"/>
      <c r="GSU58" s="76"/>
      <c r="GSV58" s="76"/>
      <c r="GSW58" s="76"/>
      <c r="GSX58" s="76"/>
      <c r="GSY58" s="76"/>
      <c r="GSZ58" s="76"/>
      <c r="GTA58" s="76"/>
      <c r="GTB58" s="76"/>
      <c r="GTC58" s="76"/>
      <c r="GTD58" s="76"/>
      <c r="GTE58" s="76"/>
      <c r="GTF58" s="76"/>
      <c r="GTG58" s="76"/>
      <c r="GTH58" s="76"/>
      <c r="GTI58" s="76"/>
      <c r="GTJ58" s="76"/>
      <c r="GTK58" s="76"/>
      <c r="GTL58" s="76"/>
      <c r="GTM58" s="76"/>
      <c r="GTN58" s="76"/>
      <c r="GTO58" s="76"/>
      <c r="GTP58" s="76"/>
      <c r="GTQ58" s="76"/>
      <c r="GTR58" s="76"/>
      <c r="GTS58" s="76"/>
      <c r="GTT58" s="76"/>
      <c r="GTU58" s="76"/>
      <c r="GTV58" s="76"/>
      <c r="GTW58" s="76"/>
      <c r="GTX58" s="76"/>
      <c r="GTY58" s="76"/>
      <c r="GTZ58" s="76"/>
      <c r="GUA58" s="76"/>
      <c r="GUB58" s="76"/>
      <c r="GUC58" s="76"/>
      <c r="GUD58" s="76"/>
      <c r="GUE58" s="76"/>
      <c r="GUF58" s="76"/>
      <c r="GUG58" s="76"/>
      <c r="GUH58" s="76"/>
      <c r="GUI58" s="76"/>
      <c r="GUJ58" s="76"/>
      <c r="GUK58" s="76"/>
      <c r="GUL58" s="76"/>
      <c r="GUM58" s="76"/>
      <c r="GUN58" s="76"/>
      <c r="GUO58" s="76"/>
      <c r="GUP58" s="76"/>
      <c r="GUQ58" s="76"/>
      <c r="GUR58" s="76"/>
      <c r="GUS58" s="76"/>
      <c r="GUT58" s="76"/>
      <c r="GUU58" s="76"/>
      <c r="GUV58" s="76"/>
      <c r="GUW58" s="76"/>
      <c r="GUX58" s="76"/>
      <c r="GUY58" s="76"/>
      <c r="GUZ58" s="76"/>
      <c r="GVA58" s="76"/>
      <c r="GVB58" s="76"/>
      <c r="GVC58" s="76"/>
      <c r="GVD58" s="76"/>
      <c r="GVE58" s="76"/>
      <c r="GVF58" s="76"/>
      <c r="GVG58" s="76"/>
      <c r="GVH58" s="76"/>
      <c r="GVI58" s="76"/>
      <c r="GVJ58" s="76"/>
      <c r="GVK58" s="76"/>
      <c r="GVL58" s="76"/>
      <c r="GVM58" s="76"/>
      <c r="GVN58" s="76"/>
      <c r="GVO58" s="76"/>
      <c r="GVP58" s="76"/>
      <c r="GVQ58" s="76"/>
      <c r="GVR58" s="76"/>
      <c r="GVS58" s="76"/>
      <c r="GVT58" s="76"/>
      <c r="GVU58" s="76"/>
      <c r="GVV58" s="76"/>
      <c r="GVW58" s="76"/>
      <c r="GVX58" s="76"/>
      <c r="GVY58" s="76"/>
      <c r="GVZ58" s="76"/>
      <c r="GWA58" s="76"/>
      <c r="GWB58" s="76"/>
      <c r="GWC58" s="76"/>
      <c r="GWD58" s="76"/>
      <c r="GWE58" s="76"/>
      <c r="GWF58" s="76"/>
      <c r="GWG58" s="76"/>
      <c r="GWH58" s="76"/>
      <c r="GWI58" s="76"/>
      <c r="GWJ58" s="76"/>
      <c r="GWK58" s="76"/>
      <c r="GWL58" s="76"/>
      <c r="GWM58" s="76"/>
      <c r="GWN58" s="76"/>
      <c r="GWO58" s="76"/>
      <c r="GWP58" s="76"/>
      <c r="GWQ58" s="76"/>
      <c r="GWR58" s="76"/>
      <c r="GWS58" s="76"/>
      <c r="GWT58" s="76"/>
      <c r="GWU58" s="76"/>
      <c r="GWV58" s="76"/>
      <c r="GWW58" s="76"/>
      <c r="GWX58" s="76"/>
      <c r="GWY58" s="76"/>
      <c r="GWZ58" s="76"/>
      <c r="GXA58" s="76"/>
      <c r="GXB58" s="76"/>
      <c r="GXC58" s="76"/>
      <c r="GXD58" s="76"/>
      <c r="GXE58" s="76"/>
      <c r="GXF58" s="76"/>
      <c r="GXG58" s="76"/>
      <c r="GXH58" s="76"/>
      <c r="GXI58" s="76"/>
      <c r="GXJ58" s="76"/>
      <c r="GXK58" s="76"/>
      <c r="GXL58" s="76"/>
      <c r="GXM58" s="76"/>
      <c r="GXN58" s="76"/>
      <c r="GXO58" s="76"/>
      <c r="GXP58" s="76"/>
      <c r="GXQ58" s="76"/>
      <c r="GXR58" s="76"/>
      <c r="GXS58" s="76"/>
      <c r="GXT58" s="76"/>
      <c r="GXU58" s="76"/>
      <c r="GXV58" s="76"/>
      <c r="GXW58" s="76"/>
      <c r="GXX58" s="76"/>
      <c r="GXY58" s="76"/>
      <c r="GXZ58" s="76"/>
      <c r="GYA58" s="76"/>
      <c r="GYB58" s="76"/>
      <c r="GYC58" s="76"/>
      <c r="GYD58" s="76"/>
      <c r="GYE58" s="76"/>
      <c r="GYF58" s="76"/>
      <c r="GYG58" s="76"/>
      <c r="GYH58" s="76"/>
      <c r="GYI58" s="76"/>
      <c r="GYJ58" s="76"/>
      <c r="GYK58" s="76"/>
      <c r="GYL58" s="76"/>
      <c r="GYM58" s="76"/>
      <c r="GYN58" s="76"/>
      <c r="GYO58" s="76"/>
      <c r="GYP58" s="76"/>
      <c r="GYQ58" s="76"/>
      <c r="GYR58" s="76"/>
      <c r="GYS58" s="76"/>
      <c r="GYT58" s="76"/>
      <c r="GYU58" s="76"/>
      <c r="GYV58" s="76"/>
      <c r="GYW58" s="76"/>
      <c r="GYX58" s="76"/>
      <c r="GYY58" s="76"/>
      <c r="GYZ58" s="76"/>
      <c r="GZA58" s="76"/>
      <c r="GZB58" s="76"/>
      <c r="GZC58" s="76"/>
      <c r="GZD58" s="76"/>
      <c r="GZE58" s="76"/>
      <c r="GZF58" s="76"/>
      <c r="GZG58" s="76"/>
      <c r="GZH58" s="76"/>
      <c r="GZI58" s="76"/>
      <c r="GZJ58" s="76"/>
      <c r="GZK58" s="76"/>
      <c r="GZL58" s="76"/>
      <c r="GZM58" s="76"/>
      <c r="GZN58" s="76"/>
      <c r="GZO58" s="76"/>
      <c r="GZP58" s="76"/>
      <c r="GZQ58" s="76"/>
      <c r="GZR58" s="76"/>
      <c r="GZS58" s="76"/>
      <c r="GZT58" s="76"/>
      <c r="GZU58" s="76"/>
      <c r="GZV58" s="76"/>
      <c r="GZW58" s="76"/>
      <c r="GZX58" s="76"/>
      <c r="GZY58" s="76"/>
      <c r="GZZ58" s="76"/>
      <c r="HAA58" s="76"/>
      <c r="HAB58" s="76"/>
      <c r="HAC58" s="76"/>
      <c r="HAD58" s="76"/>
      <c r="HAE58" s="76"/>
      <c r="HAF58" s="76"/>
      <c r="HAG58" s="76"/>
      <c r="HAH58" s="76"/>
      <c r="HAI58" s="76"/>
      <c r="HAJ58" s="76"/>
      <c r="HAK58" s="76"/>
      <c r="HAL58" s="76"/>
      <c r="HAM58" s="76"/>
      <c r="HAN58" s="76"/>
      <c r="HAO58" s="76"/>
      <c r="HAP58" s="76"/>
      <c r="HAQ58" s="76"/>
      <c r="HAR58" s="76"/>
      <c r="HAS58" s="76"/>
      <c r="HAT58" s="76"/>
      <c r="HAU58" s="76"/>
      <c r="HAV58" s="76"/>
      <c r="HAW58" s="76"/>
      <c r="HAX58" s="76"/>
      <c r="HAY58" s="76"/>
      <c r="HAZ58" s="76"/>
      <c r="HBA58" s="76"/>
      <c r="HBB58" s="76"/>
      <c r="HBC58" s="76"/>
      <c r="HBD58" s="76"/>
      <c r="HBE58" s="76"/>
      <c r="HBF58" s="76"/>
      <c r="HBG58" s="76"/>
      <c r="HBH58" s="76"/>
      <c r="HBI58" s="76"/>
      <c r="HBJ58" s="76"/>
      <c r="HBK58" s="76"/>
      <c r="HBL58" s="76"/>
      <c r="HBM58" s="76"/>
      <c r="HBN58" s="76"/>
      <c r="HBO58" s="76"/>
      <c r="HBP58" s="76"/>
      <c r="HBQ58" s="76"/>
      <c r="HBR58" s="76"/>
      <c r="HBS58" s="76"/>
      <c r="HBT58" s="76"/>
      <c r="HBU58" s="76"/>
      <c r="HBV58" s="76"/>
      <c r="HBW58" s="76"/>
      <c r="HBX58" s="76"/>
      <c r="HBY58" s="76"/>
      <c r="HBZ58" s="76"/>
      <c r="HCA58" s="76"/>
      <c r="HCB58" s="76"/>
      <c r="HCC58" s="76"/>
      <c r="HCD58" s="76"/>
      <c r="HCE58" s="76"/>
      <c r="HCF58" s="76"/>
      <c r="HCG58" s="76"/>
      <c r="HCH58" s="76"/>
      <c r="HCI58" s="76"/>
      <c r="HCJ58" s="76"/>
      <c r="HCK58" s="76"/>
      <c r="HCL58" s="76"/>
      <c r="HCM58" s="76"/>
      <c r="HCN58" s="76"/>
      <c r="HCO58" s="76"/>
      <c r="HCP58" s="76"/>
      <c r="HCQ58" s="76"/>
      <c r="HCR58" s="76"/>
      <c r="HCS58" s="76"/>
      <c r="HCT58" s="76"/>
      <c r="HCU58" s="76"/>
      <c r="HCV58" s="76"/>
      <c r="HCW58" s="76"/>
      <c r="HCX58" s="76"/>
      <c r="HCY58" s="76"/>
      <c r="HCZ58" s="76"/>
      <c r="HDA58" s="76"/>
      <c r="HDB58" s="76"/>
      <c r="HDC58" s="76"/>
      <c r="HDD58" s="76"/>
      <c r="HDE58" s="76"/>
      <c r="HDF58" s="76"/>
      <c r="HDG58" s="76"/>
      <c r="HDH58" s="76"/>
      <c r="HDI58" s="76"/>
      <c r="HDJ58" s="76"/>
      <c r="HDK58" s="76"/>
      <c r="HDL58" s="76"/>
      <c r="HDM58" s="76"/>
      <c r="HDN58" s="76"/>
      <c r="HDO58" s="76"/>
      <c r="HDP58" s="76"/>
      <c r="HDQ58" s="76"/>
      <c r="HDR58" s="76"/>
      <c r="HDS58" s="76"/>
      <c r="HDT58" s="76"/>
      <c r="HDU58" s="76"/>
      <c r="HDV58" s="76"/>
      <c r="HDW58" s="76"/>
      <c r="HDX58" s="76"/>
      <c r="HDY58" s="76"/>
      <c r="HDZ58" s="76"/>
      <c r="HEA58" s="76"/>
      <c r="HEB58" s="76"/>
      <c r="HEC58" s="76"/>
      <c r="HED58" s="76"/>
      <c r="HEE58" s="76"/>
      <c r="HEF58" s="76"/>
      <c r="HEG58" s="76"/>
      <c r="HEH58" s="76"/>
      <c r="HEI58" s="76"/>
      <c r="HEJ58" s="76"/>
      <c r="HEK58" s="76"/>
      <c r="HEL58" s="76"/>
      <c r="HEM58" s="76"/>
      <c r="HEN58" s="76"/>
      <c r="HEO58" s="76"/>
      <c r="HEP58" s="76"/>
      <c r="HEQ58" s="76"/>
      <c r="HER58" s="76"/>
      <c r="HES58" s="76"/>
      <c r="HET58" s="76"/>
      <c r="HEU58" s="76"/>
      <c r="HEV58" s="76"/>
      <c r="HEW58" s="76"/>
      <c r="HEX58" s="76"/>
      <c r="HEY58" s="76"/>
      <c r="HEZ58" s="76"/>
      <c r="HFA58" s="76"/>
      <c r="HFB58" s="76"/>
      <c r="HFC58" s="76"/>
      <c r="HFD58" s="76"/>
      <c r="HFE58" s="76"/>
      <c r="HFF58" s="76"/>
      <c r="HFG58" s="76"/>
      <c r="HFH58" s="76"/>
      <c r="HFI58" s="76"/>
      <c r="HFJ58" s="76"/>
      <c r="HFK58" s="76"/>
      <c r="HFL58" s="76"/>
      <c r="HFM58" s="76"/>
      <c r="HFN58" s="76"/>
      <c r="HFO58" s="76"/>
      <c r="HFP58" s="76"/>
      <c r="HFQ58" s="76"/>
      <c r="HFR58" s="76"/>
      <c r="HFS58" s="76"/>
      <c r="HFT58" s="76"/>
      <c r="HFU58" s="76"/>
      <c r="HFV58" s="76"/>
      <c r="HFW58" s="76"/>
      <c r="HFX58" s="76"/>
      <c r="HFY58" s="76"/>
      <c r="HFZ58" s="76"/>
      <c r="HGA58" s="76"/>
      <c r="HGB58" s="76"/>
      <c r="HGC58" s="76"/>
      <c r="HGD58" s="76"/>
      <c r="HGE58" s="76"/>
      <c r="HGF58" s="76"/>
      <c r="HGG58" s="76"/>
      <c r="HGH58" s="76"/>
      <c r="HGI58" s="76"/>
      <c r="HGJ58" s="76"/>
      <c r="HGK58" s="76"/>
      <c r="HGL58" s="76"/>
      <c r="HGM58" s="76"/>
      <c r="HGN58" s="76"/>
      <c r="HGO58" s="76"/>
      <c r="HGP58" s="76"/>
      <c r="HGQ58" s="76"/>
      <c r="HGR58" s="76"/>
      <c r="HGS58" s="76"/>
      <c r="HGT58" s="76"/>
      <c r="HGU58" s="76"/>
      <c r="HGV58" s="76"/>
      <c r="HGW58" s="76"/>
      <c r="HGX58" s="76"/>
      <c r="HGY58" s="76"/>
      <c r="HGZ58" s="76"/>
      <c r="HHA58" s="76"/>
      <c r="HHB58" s="76"/>
      <c r="HHC58" s="76"/>
      <c r="HHD58" s="76"/>
      <c r="HHE58" s="76"/>
      <c r="HHF58" s="76"/>
      <c r="HHG58" s="76"/>
      <c r="HHH58" s="76"/>
      <c r="HHI58" s="76"/>
      <c r="HHJ58" s="76"/>
      <c r="HHK58" s="76"/>
      <c r="HHL58" s="76"/>
      <c r="HHM58" s="76"/>
      <c r="HHN58" s="76"/>
      <c r="HHO58" s="76"/>
      <c r="HHP58" s="76"/>
      <c r="HHQ58" s="76"/>
      <c r="HHR58" s="76"/>
      <c r="HHS58" s="76"/>
      <c r="HHT58" s="76"/>
      <c r="HHU58" s="76"/>
      <c r="HHV58" s="76"/>
      <c r="HHW58" s="76"/>
      <c r="HHX58" s="76"/>
      <c r="HHY58" s="76"/>
      <c r="HHZ58" s="76"/>
      <c r="HIA58" s="76"/>
      <c r="HIB58" s="76"/>
      <c r="HIC58" s="76"/>
      <c r="HID58" s="76"/>
      <c r="HIE58" s="76"/>
      <c r="HIF58" s="76"/>
      <c r="HIG58" s="76"/>
      <c r="HIH58" s="76"/>
      <c r="HII58" s="76"/>
      <c r="HIJ58" s="76"/>
      <c r="HIK58" s="76"/>
      <c r="HIL58" s="76"/>
      <c r="HIM58" s="76"/>
      <c r="HIN58" s="76"/>
      <c r="HIO58" s="76"/>
      <c r="HIP58" s="76"/>
      <c r="HIQ58" s="76"/>
      <c r="HIR58" s="76"/>
      <c r="HIS58" s="76"/>
      <c r="HIT58" s="76"/>
      <c r="HIU58" s="76"/>
      <c r="HIV58" s="76"/>
      <c r="HIW58" s="76"/>
      <c r="HIX58" s="76"/>
      <c r="HIY58" s="76"/>
      <c r="HIZ58" s="76"/>
      <c r="HJA58" s="76"/>
      <c r="HJB58" s="76"/>
      <c r="HJC58" s="76"/>
      <c r="HJD58" s="76"/>
      <c r="HJE58" s="76"/>
      <c r="HJF58" s="76"/>
      <c r="HJG58" s="76"/>
      <c r="HJH58" s="76"/>
      <c r="HJI58" s="76"/>
      <c r="HJJ58" s="76"/>
      <c r="HJK58" s="76"/>
      <c r="HJL58" s="76"/>
      <c r="HJM58" s="76"/>
      <c r="HJN58" s="76"/>
      <c r="HJO58" s="76"/>
      <c r="HJP58" s="76"/>
      <c r="HJQ58" s="76"/>
      <c r="HJR58" s="76"/>
      <c r="HJS58" s="76"/>
      <c r="HJT58" s="76"/>
      <c r="HJU58" s="76"/>
      <c r="HJV58" s="76"/>
      <c r="HJW58" s="76"/>
      <c r="HJX58" s="76"/>
      <c r="HJY58" s="76"/>
      <c r="HJZ58" s="76"/>
      <c r="HKA58" s="76"/>
      <c r="HKB58" s="76"/>
      <c r="HKC58" s="76"/>
      <c r="HKD58" s="76"/>
      <c r="HKE58" s="76"/>
      <c r="HKF58" s="76"/>
      <c r="HKG58" s="76"/>
      <c r="HKH58" s="76"/>
      <c r="HKI58" s="76"/>
      <c r="HKJ58" s="76"/>
      <c r="HKK58" s="76"/>
      <c r="HKL58" s="76"/>
      <c r="HKM58" s="76"/>
      <c r="HKN58" s="76"/>
      <c r="HKO58" s="76"/>
      <c r="HKP58" s="76"/>
      <c r="HKQ58" s="76"/>
      <c r="HKR58" s="76"/>
      <c r="HKS58" s="76"/>
      <c r="HKT58" s="76"/>
      <c r="HKU58" s="76"/>
      <c r="HKV58" s="76"/>
      <c r="HKW58" s="76"/>
      <c r="HKX58" s="76"/>
      <c r="HKY58" s="76"/>
      <c r="HKZ58" s="76"/>
      <c r="HLA58" s="76"/>
      <c r="HLB58" s="76"/>
      <c r="HLC58" s="76"/>
      <c r="HLD58" s="76"/>
      <c r="HLE58" s="76"/>
      <c r="HLF58" s="76"/>
      <c r="HLG58" s="76"/>
      <c r="HLH58" s="76"/>
      <c r="HLI58" s="76"/>
      <c r="HLJ58" s="76"/>
      <c r="HLK58" s="76"/>
      <c r="HLL58" s="76"/>
      <c r="HLM58" s="76"/>
      <c r="HLN58" s="76"/>
      <c r="HLO58" s="76"/>
      <c r="HLP58" s="76"/>
      <c r="HLQ58" s="76"/>
      <c r="HLR58" s="76"/>
      <c r="HLS58" s="76"/>
      <c r="HLT58" s="76"/>
      <c r="HLU58" s="76"/>
      <c r="HLV58" s="76"/>
      <c r="HLW58" s="76"/>
      <c r="HLX58" s="76"/>
      <c r="HLY58" s="76"/>
      <c r="HLZ58" s="76"/>
      <c r="HMA58" s="76"/>
      <c r="HMB58" s="76"/>
      <c r="HMC58" s="76"/>
      <c r="HMD58" s="76"/>
      <c r="HME58" s="76"/>
      <c r="HMF58" s="76"/>
      <c r="HMG58" s="76"/>
      <c r="HMH58" s="76"/>
      <c r="HMI58" s="76"/>
      <c r="HMJ58" s="76"/>
      <c r="HMK58" s="76"/>
      <c r="HML58" s="76"/>
      <c r="HMM58" s="76"/>
      <c r="HMN58" s="76"/>
      <c r="HMO58" s="76"/>
      <c r="HMP58" s="76"/>
      <c r="HMQ58" s="76"/>
      <c r="HMR58" s="76"/>
      <c r="HMS58" s="76"/>
      <c r="HMT58" s="76"/>
      <c r="HMU58" s="76"/>
      <c r="HMV58" s="76"/>
      <c r="HMW58" s="76"/>
      <c r="HMX58" s="76"/>
      <c r="HMY58" s="76"/>
      <c r="HMZ58" s="76"/>
      <c r="HNA58" s="76"/>
      <c r="HNB58" s="76"/>
      <c r="HNC58" s="76"/>
      <c r="HND58" s="76"/>
      <c r="HNE58" s="76"/>
      <c r="HNF58" s="76"/>
      <c r="HNG58" s="76"/>
      <c r="HNH58" s="76"/>
      <c r="HNI58" s="76"/>
      <c r="HNJ58" s="76"/>
      <c r="HNK58" s="76"/>
      <c r="HNL58" s="76"/>
      <c r="HNM58" s="76"/>
      <c r="HNN58" s="76"/>
      <c r="HNO58" s="76"/>
      <c r="HNP58" s="76"/>
      <c r="HNQ58" s="76"/>
      <c r="HNR58" s="76"/>
      <c r="HNS58" s="76"/>
      <c r="HNT58" s="76"/>
      <c r="HNU58" s="76"/>
      <c r="HNV58" s="76"/>
      <c r="HNW58" s="76"/>
      <c r="HNX58" s="76"/>
      <c r="HNY58" s="76"/>
      <c r="HNZ58" s="76"/>
      <c r="HOA58" s="76"/>
      <c r="HOB58" s="76"/>
      <c r="HOC58" s="76"/>
      <c r="HOD58" s="76"/>
      <c r="HOE58" s="76"/>
      <c r="HOF58" s="76"/>
      <c r="HOG58" s="76"/>
      <c r="HOH58" s="76"/>
      <c r="HOI58" s="76"/>
      <c r="HOJ58" s="76"/>
      <c r="HOK58" s="76"/>
      <c r="HOL58" s="76"/>
      <c r="HOM58" s="76"/>
      <c r="HON58" s="76"/>
      <c r="HOO58" s="76"/>
      <c r="HOP58" s="76"/>
      <c r="HOQ58" s="76"/>
      <c r="HOR58" s="76"/>
      <c r="HOS58" s="76"/>
      <c r="HOT58" s="76"/>
      <c r="HOU58" s="76"/>
      <c r="HOV58" s="76"/>
      <c r="HOW58" s="76"/>
      <c r="HOX58" s="76"/>
      <c r="HOY58" s="76"/>
      <c r="HOZ58" s="76"/>
      <c r="HPA58" s="76"/>
      <c r="HPB58" s="76"/>
      <c r="HPC58" s="76"/>
      <c r="HPD58" s="76"/>
      <c r="HPE58" s="76"/>
      <c r="HPF58" s="76"/>
      <c r="HPG58" s="76"/>
      <c r="HPH58" s="76"/>
      <c r="HPI58" s="76"/>
      <c r="HPJ58" s="76"/>
      <c r="HPK58" s="76"/>
      <c r="HPL58" s="76"/>
      <c r="HPM58" s="76"/>
      <c r="HPN58" s="76"/>
      <c r="HPO58" s="76"/>
      <c r="HPP58" s="76"/>
      <c r="HPQ58" s="76"/>
      <c r="HPR58" s="76"/>
      <c r="HPS58" s="76"/>
      <c r="HPT58" s="76"/>
      <c r="HPU58" s="76"/>
      <c r="HPV58" s="76"/>
      <c r="HPW58" s="76"/>
      <c r="HPX58" s="76"/>
      <c r="HPY58" s="76"/>
      <c r="HPZ58" s="76"/>
      <c r="HQA58" s="76"/>
      <c r="HQB58" s="76"/>
      <c r="HQC58" s="76"/>
      <c r="HQD58" s="76"/>
      <c r="HQE58" s="76"/>
      <c r="HQF58" s="76"/>
      <c r="HQG58" s="76"/>
      <c r="HQH58" s="76"/>
      <c r="HQI58" s="76"/>
      <c r="HQJ58" s="76"/>
      <c r="HQK58" s="76"/>
      <c r="HQL58" s="76"/>
      <c r="HQM58" s="76"/>
      <c r="HQN58" s="76"/>
      <c r="HQO58" s="76"/>
      <c r="HQP58" s="76"/>
      <c r="HQQ58" s="76"/>
      <c r="HQR58" s="76"/>
      <c r="HQS58" s="76"/>
      <c r="HQT58" s="76"/>
      <c r="HQU58" s="76"/>
      <c r="HQV58" s="76"/>
      <c r="HQW58" s="76"/>
      <c r="HQX58" s="76"/>
      <c r="HQY58" s="76"/>
      <c r="HQZ58" s="76"/>
      <c r="HRA58" s="76"/>
      <c r="HRB58" s="76"/>
      <c r="HRC58" s="76"/>
      <c r="HRD58" s="76"/>
      <c r="HRE58" s="76"/>
      <c r="HRF58" s="76"/>
      <c r="HRG58" s="76"/>
      <c r="HRH58" s="76"/>
      <c r="HRI58" s="76"/>
      <c r="HRJ58" s="76"/>
      <c r="HRK58" s="76"/>
      <c r="HRL58" s="76"/>
      <c r="HRM58" s="76"/>
      <c r="HRN58" s="76"/>
      <c r="HRO58" s="76"/>
      <c r="HRP58" s="76"/>
      <c r="HRQ58" s="76"/>
      <c r="HRR58" s="76"/>
      <c r="HRS58" s="76"/>
      <c r="HRT58" s="76"/>
      <c r="HRU58" s="76"/>
      <c r="HRV58" s="76"/>
      <c r="HRW58" s="76"/>
      <c r="HRX58" s="76"/>
      <c r="HRY58" s="76"/>
      <c r="HRZ58" s="76"/>
      <c r="HSA58" s="76"/>
      <c r="HSB58" s="76"/>
      <c r="HSC58" s="76"/>
      <c r="HSD58" s="76"/>
      <c r="HSE58" s="76"/>
      <c r="HSF58" s="76"/>
      <c r="HSG58" s="76"/>
      <c r="HSH58" s="76"/>
      <c r="HSI58" s="76"/>
      <c r="HSJ58" s="76"/>
      <c r="HSK58" s="76"/>
      <c r="HSL58" s="76"/>
      <c r="HSM58" s="76"/>
      <c r="HSN58" s="76"/>
      <c r="HSO58" s="76"/>
      <c r="HSP58" s="76"/>
      <c r="HSQ58" s="76"/>
      <c r="HSR58" s="76"/>
      <c r="HSS58" s="76"/>
      <c r="HST58" s="76"/>
      <c r="HSU58" s="76"/>
      <c r="HSV58" s="76"/>
      <c r="HSW58" s="76"/>
      <c r="HSX58" s="76"/>
      <c r="HSY58" s="76"/>
      <c r="HSZ58" s="76"/>
      <c r="HTA58" s="76"/>
      <c r="HTB58" s="76"/>
      <c r="HTC58" s="76"/>
      <c r="HTD58" s="76"/>
      <c r="HTE58" s="76"/>
      <c r="HTF58" s="76"/>
      <c r="HTG58" s="76"/>
      <c r="HTH58" s="76"/>
      <c r="HTI58" s="76"/>
      <c r="HTJ58" s="76"/>
      <c r="HTK58" s="76"/>
      <c r="HTL58" s="76"/>
      <c r="HTM58" s="76"/>
      <c r="HTN58" s="76"/>
      <c r="HTO58" s="76"/>
      <c r="HTP58" s="76"/>
      <c r="HTQ58" s="76"/>
      <c r="HTR58" s="76"/>
      <c r="HTS58" s="76"/>
      <c r="HTT58" s="76"/>
      <c r="HTU58" s="76"/>
      <c r="HTV58" s="76"/>
      <c r="HTW58" s="76"/>
      <c r="HTX58" s="76"/>
      <c r="HTY58" s="76"/>
      <c r="HTZ58" s="76"/>
      <c r="HUA58" s="76"/>
      <c r="HUB58" s="76"/>
      <c r="HUC58" s="76"/>
      <c r="HUD58" s="76"/>
      <c r="HUE58" s="76"/>
      <c r="HUF58" s="76"/>
      <c r="HUG58" s="76"/>
      <c r="HUH58" s="76"/>
      <c r="HUI58" s="76"/>
      <c r="HUJ58" s="76"/>
      <c r="HUK58" s="76"/>
      <c r="HUL58" s="76"/>
      <c r="HUM58" s="76"/>
      <c r="HUN58" s="76"/>
      <c r="HUO58" s="76"/>
      <c r="HUP58" s="76"/>
      <c r="HUQ58" s="76"/>
      <c r="HUR58" s="76"/>
      <c r="HUS58" s="76"/>
      <c r="HUT58" s="76"/>
      <c r="HUU58" s="76"/>
      <c r="HUV58" s="76"/>
      <c r="HUW58" s="76"/>
      <c r="HUX58" s="76"/>
      <c r="HUY58" s="76"/>
      <c r="HUZ58" s="76"/>
      <c r="HVA58" s="76"/>
      <c r="HVB58" s="76"/>
      <c r="HVC58" s="76"/>
      <c r="HVD58" s="76"/>
      <c r="HVE58" s="76"/>
      <c r="HVF58" s="76"/>
      <c r="HVG58" s="76"/>
      <c r="HVH58" s="76"/>
      <c r="HVI58" s="76"/>
      <c r="HVJ58" s="76"/>
      <c r="HVK58" s="76"/>
      <c r="HVL58" s="76"/>
      <c r="HVM58" s="76"/>
      <c r="HVN58" s="76"/>
      <c r="HVO58" s="76"/>
      <c r="HVP58" s="76"/>
      <c r="HVQ58" s="76"/>
      <c r="HVR58" s="76"/>
      <c r="HVS58" s="76"/>
      <c r="HVT58" s="76"/>
      <c r="HVU58" s="76"/>
      <c r="HVV58" s="76"/>
      <c r="HVW58" s="76"/>
      <c r="HVX58" s="76"/>
      <c r="HVY58" s="76"/>
      <c r="HVZ58" s="76"/>
      <c r="HWA58" s="76"/>
      <c r="HWB58" s="76"/>
      <c r="HWC58" s="76"/>
      <c r="HWD58" s="76"/>
      <c r="HWE58" s="76"/>
      <c r="HWF58" s="76"/>
      <c r="HWG58" s="76"/>
      <c r="HWH58" s="76"/>
      <c r="HWI58" s="76"/>
      <c r="HWJ58" s="76"/>
      <c r="HWK58" s="76"/>
      <c r="HWL58" s="76"/>
      <c r="HWM58" s="76"/>
      <c r="HWN58" s="76"/>
      <c r="HWO58" s="76"/>
      <c r="HWP58" s="76"/>
      <c r="HWQ58" s="76"/>
      <c r="HWR58" s="76"/>
      <c r="HWS58" s="76"/>
      <c r="HWT58" s="76"/>
      <c r="HWU58" s="76"/>
      <c r="HWV58" s="76"/>
      <c r="HWW58" s="76"/>
      <c r="HWX58" s="76"/>
      <c r="HWY58" s="76"/>
      <c r="HWZ58" s="76"/>
      <c r="HXA58" s="76"/>
      <c r="HXB58" s="76"/>
      <c r="HXC58" s="76"/>
      <c r="HXD58" s="76"/>
      <c r="HXE58" s="76"/>
      <c r="HXF58" s="76"/>
      <c r="HXG58" s="76"/>
      <c r="HXH58" s="76"/>
      <c r="HXI58" s="76"/>
      <c r="HXJ58" s="76"/>
      <c r="HXK58" s="76"/>
      <c r="HXL58" s="76"/>
      <c r="HXM58" s="76"/>
      <c r="HXN58" s="76"/>
      <c r="HXO58" s="76"/>
      <c r="HXP58" s="76"/>
      <c r="HXQ58" s="76"/>
      <c r="HXR58" s="76"/>
      <c r="HXS58" s="76"/>
      <c r="HXT58" s="76"/>
      <c r="HXU58" s="76"/>
      <c r="HXV58" s="76"/>
      <c r="HXW58" s="76"/>
      <c r="HXX58" s="76"/>
      <c r="HXY58" s="76"/>
      <c r="HXZ58" s="76"/>
      <c r="HYA58" s="76"/>
      <c r="HYB58" s="76"/>
      <c r="HYC58" s="76"/>
      <c r="HYD58" s="76"/>
      <c r="HYE58" s="76"/>
      <c r="HYF58" s="76"/>
      <c r="HYG58" s="76"/>
      <c r="HYH58" s="76"/>
      <c r="HYI58" s="76"/>
      <c r="HYJ58" s="76"/>
      <c r="HYK58" s="76"/>
      <c r="HYL58" s="76"/>
      <c r="HYM58" s="76"/>
      <c r="HYN58" s="76"/>
      <c r="HYO58" s="76"/>
      <c r="HYP58" s="76"/>
      <c r="HYQ58" s="76"/>
      <c r="HYR58" s="76"/>
      <c r="HYS58" s="76"/>
      <c r="HYT58" s="76"/>
      <c r="HYU58" s="76"/>
      <c r="HYV58" s="76"/>
      <c r="HYW58" s="76"/>
      <c r="HYX58" s="76"/>
      <c r="HYY58" s="76"/>
      <c r="HYZ58" s="76"/>
      <c r="HZA58" s="76"/>
      <c r="HZB58" s="76"/>
      <c r="HZC58" s="76"/>
      <c r="HZD58" s="76"/>
      <c r="HZE58" s="76"/>
      <c r="HZF58" s="76"/>
      <c r="HZG58" s="76"/>
      <c r="HZH58" s="76"/>
      <c r="HZI58" s="76"/>
      <c r="HZJ58" s="76"/>
      <c r="HZK58" s="76"/>
      <c r="HZL58" s="76"/>
      <c r="HZM58" s="76"/>
      <c r="HZN58" s="76"/>
      <c r="HZO58" s="76"/>
      <c r="HZP58" s="76"/>
      <c r="HZQ58" s="76"/>
      <c r="HZR58" s="76"/>
      <c r="HZS58" s="76"/>
      <c r="HZT58" s="76"/>
      <c r="HZU58" s="76"/>
      <c r="HZV58" s="76"/>
      <c r="HZW58" s="76"/>
      <c r="HZX58" s="76"/>
      <c r="HZY58" s="76"/>
      <c r="HZZ58" s="76"/>
      <c r="IAA58" s="76"/>
      <c r="IAB58" s="76"/>
      <c r="IAC58" s="76"/>
      <c r="IAD58" s="76"/>
      <c r="IAE58" s="76"/>
      <c r="IAF58" s="76"/>
      <c r="IAG58" s="76"/>
      <c r="IAH58" s="76"/>
      <c r="IAI58" s="76"/>
      <c r="IAJ58" s="76"/>
      <c r="IAK58" s="76"/>
      <c r="IAL58" s="76"/>
      <c r="IAM58" s="76"/>
      <c r="IAN58" s="76"/>
      <c r="IAO58" s="76"/>
      <c r="IAP58" s="76"/>
      <c r="IAQ58" s="76"/>
      <c r="IAR58" s="76"/>
      <c r="IAS58" s="76"/>
      <c r="IAT58" s="76"/>
      <c r="IAU58" s="76"/>
      <c r="IAV58" s="76"/>
      <c r="IAW58" s="76"/>
      <c r="IAX58" s="76"/>
      <c r="IAY58" s="76"/>
      <c r="IAZ58" s="76"/>
      <c r="IBA58" s="76"/>
      <c r="IBB58" s="76"/>
      <c r="IBC58" s="76"/>
      <c r="IBD58" s="76"/>
      <c r="IBE58" s="76"/>
      <c r="IBF58" s="76"/>
      <c r="IBG58" s="76"/>
      <c r="IBH58" s="76"/>
      <c r="IBI58" s="76"/>
      <c r="IBJ58" s="76"/>
      <c r="IBK58" s="76"/>
      <c r="IBL58" s="76"/>
      <c r="IBM58" s="76"/>
      <c r="IBN58" s="76"/>
      <c r="IBO58" s="76"/>
      <c r="IBP58" s="76"/>
      <c r="IBQ58" s="76"/>
      <c r="IBR58" s="76"/>
      <c r="IBS58" s="76"/>
      <c r="IBT58" s="76"/>
      <c r="IBU58" s="76"/>
      <c r="IBV58" s="76"/>
      <c r="IBW58" s="76"/>
      <c r="IBX58" s="76"/>
      <c r="IBY58" s="76"/>
      <c r="IBZ58" s="76"/>
      <c r="ICA58" s="76"/>
      <c r="ICB58" s="76"/>
      <c r="ICC58" s="76"/>
      <c r="ICD58" s="76"/>
      <c r="ICE58" s="76"/>
      <c r="ICF58" s="76"/>
      <c r="ICG58" s="76"/>
      <c r="ICH58" s="76"/>
      <c r="ICI58" s="76"/>
      <c r="ICJ58" s="76"/>
      <c r="ICK58" s="76"/>
      <c r="ICL58" s="76"/>
      <c r="ICM58" s="76"/>
      <c r="ICN58" s="76"/>
      <c r="ICO58" s="76"/>
      <c r="ICP58" s="76"/>
      <c r="ICQ58" s="76"/>
      <c r="ICR58" s="76"/>
      <c r="ICS58" s="76"/>
      <c r="ICT58" s="76"/>
      <c r="ICU58" s="76"/>
      <c r="ICV58" s="76"/>
      <c r="ICW58" s="76"/>
      <c r="ICX58" s="76"/>
      <c r="ICY58" s="76"/>
      <c r="ICZ58" s="76"/>
      <c r="IDA58" s="76"/>
      <c r="IDB58" s="76"/>
      <c r="IDC58" s="76"/>
      <c r="IDD58" s="76"/>
      <c r="IDE58" s="76"/>
      <c r="IDF58" s="76"/>
      <c r="IDG58" s="76"/>
      <c r="IDH58" s="76"/>
      <c r="IDI58" s="76"/>
      <c r="IDJ58" s="76"/>
      <c r="IDK58" s="76"/>
      <c r="IDL58" s="76"/>
      <c r="IDM58" s="76"/>
      <c r="IDN58" s="76"/>
      <c r="IDO58" s="76"/>
      <c r="IDP58" s="76"/>
      <c r="IDQ58" s="76"/>
      <c r="IDR58" s="76"/>
      <c r="IDS58" s="76"/>
      <c r="IDT58" s="76"/>
      <c r="IDU58" s="76"/>
      <c r="IDV58" s="76"/>
      <c r="IDW58" s="76"/>
      <c r="IDX58" s="76"/>
      <c r="IDY58" s="76"/>
      <c r="IDZ58" s="76"/>
      <c r="IEA58" s="76"/>
      <c r="IEB58" s="76"/>
      <c r="IEC58" s="76"/>
      <c r="IED58" s="76"/>
      <c r="IEE58" s="76"/>
      <c r="IEF58" s="76"/>
      <c r="IEG58" s="76"/>
      <c r="IEH58" s="76"/>
      <c r="IEI58" s="76"/>
      <c r="IEJ58" s="76"/>
      <c r="IEK58" s="76"/>
      <c r="IEL58" s="76"/>
      <c r="IEM58" s="76"/>
      <c r="IEN58" s="76"/>
      <c r="IEO58" s="76"/>
      <c r="IEP58" s="76"/>
      <c r="IEQ58" s="76"/>
      <c r="IER58" s="76"/>
      <c r="IES58" s="76"/>
      <c r="IET58" s="76"/>
      <c r="IEU58" s="76"/>
      <c r="IEV58" s="76"/>
      <c r="IEW58" s="76"/>
      <c r="IEX58" s="76"/>
      <c r="IEY58" s="76"/>
      <c r="IEZ58" s="76"/>
      <c r="IFA58" s="76"/>
      <c r="IFB58" s="76"/>
      <c r="IFC58" s="76"/>
      <c r="IFD58" s="76"/>
      <c r="IFE58" s="76"/>
      <c r="IFF58" s="76"/>
      <c r="IFG58" s="76"/>
      <c r="IFH58" s="76"/>
      <c r="IFI58" s="76"/>
      <c r="IFJ58" s="76"/>
      <c r="IFK58" s="76"/>
      <c r="IFL58" s="76"/>
      <c r="IFM58" s="76"/>
      <c r="IFN58" s="76"/>
      <c r="IFO58" s="76"/>
      <c r="IFP58" s="76"/>
      <c r="IFQ58" s="76"/>
      <c r="IFR58" s="76"/>
      <c r="IFS58" s="76"/>
      <c r="IFT58" s="76"/>
      <c r="IFU58" s="76"/>
      <c r="IFV58" s="76"/>
      <c r="IFW58" s="76"/>
      <c r="IFX58" s="76"/>
      <c r="IFY58" s="76"/>
      <c r="IFZ58" s="76"/>
      <c r="IGA58" s="76"/>
      <c r="IGB58" s="76"/>
      <c r="IGC58" s="76"/>
      <c r="IGD58" s="76"/>
      <c r="IGE58" s="76"/>
      <c r="IGF58" s="76"/>
      <c r="IGG58" s="76"/>
      <c r="IGH58" s="76"/>
      <c r="IGI58" s="76"/>
      <c r="IGJ58" s="76"/>
      <c r="IGK58" s="76"/>
      <c r="IGL58" s="76"/>
      <c r="IGM58" s="76"/>
      <c r="IGN58" s="76"/>
      <c r="IGO58" s="76"/>
      <c r="IGP58" s="76"/>
      <c r="IGQ58" s="76"/>
      <c r="IGR58" s="76"/>
      <c r="IGS58" s="76"/>
      <c r="IGT58" s="76"/>
      <c r="IGU58" s="76"/>
      <c r="IGV58" s="76"/>
      <c r="IGW58" s="76"/>
      <c r="IGX58" s="76"/>
      <c r="IGY58" s="76"/>
      <c r="IGZ58" s="76"/>
      <c r="IHA58" s="76"/>
      <c r="IHB58" s="76"/>
      <c r="IHC58" s="76"/>
      <c r="IHD58" s="76"/>
      <c r="IHE58" s="76"/>
      <c r="IHF58" s="76"/>
      <c r="IHG58" s="76"/>
      <c r="IHH58" s="76"/>
      <c r="IHI58" s="76"/>
      <c r="IHJ58" s="76"/>
      <c r="IHK58" s="76"/>
      <c r="IHL58" s="76"/>
      <c r="IHM58" s="76"/>
      <c r="IHN58" s="76"/>
      <c r="IHO58" s="76"/>
      <c r="IHP58" s="76"/>
      <c r="IHQ58" s="76"/>
      <c r="IHR58" s="76"/>
      <c r="IHS58" s="76"/>
      <c r="IHT58" s="76"/>
      <c r="IHU58" s="76"/>
      <c r="IHV58" s="76"/>
      <c r="IHW58" s="76"/>
      <c r="IHX58" s="76"/>
      <c r="IHY58" s="76"/>
      <c r="IHZ58" s="76"/>
      <c r="IIA58" s="76"/>
      <c r="IIB58" s="76"/>
      <c r="IIC58" s="76"/>
      <c r="IID58" s="76"/>
      <c r="IIE58" s="76"/>
      <c r="IIF58" s="76"/>
      <c r="IIG58" s="76"/>
      <c r="IIH58" s="76"/>
      <c r="III58" s="76"/>
      <c r="IIJ58" s="76"/>
      <c r="IIK58" s="76"/>
      <c r="IIL58" s="76"/>
      <c r="IIM58" s="76"/>
      <c r="IIN58" s="76"/>
      <c r="IIO58" s="76"/>
      <c r="IIP58" s="76"/>
      <c r="IIQ58" s="76"/>
      <c r="IIR58" s="76"/>
      <c r="IIS58" s="76"/>
      <c r="IIT58" s="76"/>
      <c r="IIU58" s="76"/>
      <c r="IIV58" s="76"/>
      <c r="IIW58" s="76"/>
      <c r="IIX58" s="76"/>
      <c r="IIY58" s="76"/>
      <c r="IIZ58" s="76"/>
      <c r="IJA58" s="76"/>
      <c r="IJB58" s="76"/>
      <c r="IJC58" s="76"/>
      <c r="IJD58" s="76"/>
      <c r="IJE58" s="76"/>
      <c r="IJF58" s="76"/>
      <c r="IJG58" s="76"/>
      <c r="IJH58" s="76"/>
      <c r="IJI58" s="76"/>
      <c r="IJJ58" s="76"/>
      <c r="IJK58" s="76"/>
      <c r="IJL58" s="76"/>
      <c r="IJM58" s="76"/>
      <c r="IJN58" s="76"/>
      <c r="IJO58" s="76"/>
      <c r="IJP58" s="76"/>
      <c r="IJQ58" s="76"/>
      <c r="IJR58" s="76"/>
      <c r="IJS58" s="76"/>
      <c r="IJT58" s="76"/>
      <c r="IJU58" s="76"/>
      <c r="IJV58" s="76"/>
      <c r="IJW58" s="76"/>
      <c r="IJX58" s="76"/>
      <c r="IJY58" s="76"/>
      <c r="IJZ58" s="76"/>
      <c r="IKA58" s="76"/>
      <c r="IKB58" s="76"/>
      <c r="IKC58" s="76"/>
      <c r="IKD58" s="76"/>
      <c r="IKE58" s="76"/>
      <c r="IKF58" s="76"/>
      <c r="IKG58" s="76"/>
      <c r="IKH58" s="76"/>
      <c r="IKI58" s="76"/>
      <c r="IKJ58" s="76"/>
      <c r="IKK58" s="76"/>
      <c r="IKL58" s="76"/>
      <c r="IKM58" s="76"/>
      <c r="IKN58" s="76"/>
      <c r="IKO58" s="76"/>
      <c r="IKP58" s="76"/>
      <c r="IKQ58" s="76"/>
      <c r="IKR58" s="76"/>
      <c r="IKS58" s="76"/>
      <c r="IKT58" s="76"/>
      <c r="IKU58" s="76"/>
      <c r="IKV58" s="76"/>
      <c r="IKW58" s="76"/>
      <c r="IKX58" s="76"/>
      <c r="IKY58" s="76"/>
      <c r="IKZ58" s="76"/>
      <c r="ILA58" s="76"/>
      <c r="ILB58" s="76"/>
      <c r="ILC58" s="76"/>
      <c r="ILD58" s="76"/>
      <c r="ILE58" s="76"/>
      <c r="ILF58" s="76"/>
      <c r="ILG58" s="76"/>
      <c r="ILH58" s="76"/>
      <c r="ILI58" s="76"/>
      <c r="ILJ58" s="76"/>
      <c r="ILK58" s="76"/>
      <c r="ILL58" s="76"/>
      <c r="ILM58" s="76"/>
      <c r="ILN58" s="76"/>
      <c r="ILO58" s="76"/>
      <c r="ILP58" s="76"/>
      <c r="ILQ58" s="76"/>
      <c r="ILR58" s="76"/>
      <c r="ILS58" s="76"/>
      <c r="ILT58" s="76"/>
      <c r="ILU58" s="76"/>
      <c r="ILV58" s="76"/>
      <c r="ILW58" s="76"/>
      <c r="ILX58" s="76"/>
      <c r="ILY58" s="76"/>
      <c r="ILZ58" s="76"/>
      <c r="IMA58" s="76"/>
      <c r="IMB58" s="76"/>
      <c r="IMC58" s="76"/>
      <c r="IMD58" s="76"/>
      <c r="IME58" s="76"/>
      <c r="IMF58" s="76"/>
      <c r="IMG58" s="76"/>
      <c r="IMH58" s="76"/>
      <c r="IMI58" s="76"/>
      <c r="IMJ58" s="76"/>
      <c r="IMK58" s="76"/>
      <c r="IML58" s="76"/>
      <c r="IMM58" s="76"/>
      <c r="IMN58" s="76"/>
      <c r="IMO58" s="76"/>
      <c r="IMP58" s="76"/>
      <c r="IMQ58" s="76"/>
      <c r="IMR58" s="76"/>
      <c r="IMS58" s="76"/>
      <c r="IMT58" s="76"/>
      <c r="IMU58" s="76"/>
      <c r="IMV58" s="76"/>
      <c r="IMW58" s="76"/>
      <c r="IMX58" s="76"/>
      <c r="IMY58" s="76"/>
      <c r="IMZ58" s="76"/>
      <c r="INA58" s="76"/>
      <c r="INB58" s="76"/>
      <c r="INC58" s="76"/>
      <c r="IND58" s="76"/>
      <c r="INE58" s="76"/>
      <c r="INF58" s="76"/>
      <c r="ING58" s="76"/>
      <c r="INH58" s="76"/>
      <c r="INI58" s="76"/>
      <c r="INJ58" s="76"/>
      <c r="INK58" s="76"/>
      <c r="INL58" s="76"/>
      <c r="INM58" s="76"/>
      <c r="INN58" s="76"/>
      <c r="INO58" s="76"/>
      <c r="INP58" s="76"/>
      <c r="INQ58" s="76"/>
      <c r="INR58" s="76"/>
      <c r="INS58" s="76"/>
      <c r="INT58" s="76"/>
      <c r="INU58" s="76"/>
      <c r="INV58" s="76"/>
      <c r="INW58" s="76"/>
      <c r="INX58" s="76"/>
      <c r="INY58" s="76"/>
      <c r="INZ58" s="76"/>
      <c r="IOA58" s="76"/>
      <c r="IOB58" s="76"/>
      <c r="IOC58" s="76"/>
      <c r="IOD58" s="76"/>
      <c r="IOE58" s="76"/>
      <c r="IOF58" s="76"/>
      <c r="IOG58" s="76"/>
      <c r="IOH58" s="76"/>
      <c r="IOI58" s="76"/>
      <c r="IOJ58" s="76"/>
      <c r="IOK58" s="76"/>
      <c r="IOL58" s="76"/>
      <c r="IOM58" s="76"/>
      <c r="ION58" s="76"/>
      <c r="IOO58" s="76"/>
      <c r="IOP58" s="76"/>
      <c r="IOQ58" s="76"/>
      <c r="IOR58" s="76"/>
      <c r="IOS58" s="76"/>
      <c r="IOT58" s="76"/>
      <c r="IOU58" s="76"/>
      <c r="IOV58" s="76"/>
      <c r="IOW58" s="76"/>
      <c r="IOX58" s="76"/>
      <c r="IOY58" s="76"/>
      <c r="IOZ58" s="76"/>
      <c r="IPA58" s="76"/>
      <c r="IPB58" s="76"/>
      <c r="IPC58" s="76"/>
      <c r="IPD58" s="76"/>
      <c r="IPE58" s="76"/>
      <c r="IPF58" s="76"/>
      <c r="IPG58" s="76"/>
      <c r="IPH58" s="76"/>
      <c r="IPI58" s="76"/>
      <c r="IPJ58" s="76"/>
      <c r="IPK58" s="76"/>
      <c r="IPL58" s="76"/>
      <c r="IPM58" s="76"/>
      <c r="IPN58" s="76"/>
      <c r="IPO58" s="76"/>
      <c r="IPP58" s="76"/>
      <c r="IPQ58" s="76"/>
      <c r="IPR58" s="76"/>
      <c r="IPS58" s="76"/>
      <c r="IPT58" s="76"/>
      <c r="IPU58" s="76"/>
      <c r="IPV58" s="76"/>
      <c r="IPW58" s="76"/>
      <c r="IPX58" s="76"/>
      <c r="IPY58" s="76"/>
      <c r="IPZ58" s="76"/>
      <c r="IQA58" s="76"/>
      <c r="IQB58" s="76"/>
      <c r="IQC58" s="76"/>
      <c r="IQD58" s="76"/>
      <c r="IQE58" s="76"/>
      <c r="IQF58" s="76"/>
      <c r="IQG58" s="76"/>
      <c r="IQH58" s="76"/>
      <c r="IQI58" s="76"/>
      <c r="IQJ58" s="76"/>
      <c r="IQK58" s="76"/>
      <c r="IQL58" s="76"/>
      <c r="IQM58" s="76"/>
      <c r="IQN58" s="76"/>
      <c r="IQO58" s="76"/>
      <c r="IQP58" s="76"/>
      <c r="IQQ58" s="76"/>
      <c r="IQR58" s="76"/>
      <c r="IQS58" s="76"/>
      <c r="IQT58" s="76"/>
      <c r="IQU58" s="76"/>
      <c r="IQV58" s="76"/>
      <c r="IQW58" s="76"/>
      <c r="IQX58" s="76"/>
      <c r="IQY58" s="76"/>
      <c r="IQZ58" s="76"/>
      <c r="IRA58" s="76"/>
      <c r="IRB58" s="76"/>
      <c r="IRC58" s="76"/>
      <c r="IRD58" s="76"/>
      <c r="IRE58" s="76"/>
      <c r="IRF58" s="76"/>
      <c r="IRG58" s="76"/>
      <c r="IRH58" s="76"/>
      <c r="IRI58" s="76"/>
      <c r="IRJ58" s="76"/>
      <c r="IRK58" s="76"/>
      <c r="IRL58" s="76"/>
      <c r="IRM58" s="76"/>
      <c r="IRN58" s="76"/>
      <c r="IRO58" s="76"/>
      <c r="IRP58" s="76"/>
      <c r="IRQ58" s="76"/>
      <c r="IRR58" s="76"/>
      <c r="IRS58" s="76"/>
      <c r="IRT58" s="76"/>
      <c r="IRU58" s="76"/>
      <c r="IRV58" s="76"/>
      <c r="IRW58" s="76"/>
      <c r="IRX58" s="76"/>
      <c r="IRY58" s="76"/>
      <c r="IRZ58" s="76"/>
      <c r="ISA58" s="76"/>
      <c r="ISB58" s="76"/>
      <c r="ISC58" s="76"/>
      <c r="ISD58" s="76"/>
      <c r="ISE58" s="76"/>
      <c r="ISF58" s="76"/>
      <c r="ISG58" s="76"/>
      <c r="ISH58" s="76"/>
      <c r="ISI58" s="76"/>
      <c r="ISJ58" s="76"/>
      <c r="ISK58" s="76"/>
      <c r="ISL58" s="76"/>
      <c r="ISM58" s="76"/>
      <c r="ISN58" s="76"/>
      <c r="ISO58" s="76"/>
      <c r="ISP58" s="76"/>
      <c r="ISQ58" s="76"/>
      <c r="ISR58" s="76"/>
      <c r="ISS58" s="76"/>
      <c r="IST58" s="76"/>
      <c r="ISU58" s="76"/>
      <c r="ISV58" s="76"/>
      <c r="ISW58" s="76"/>
      <c r="ISX58" s="76"/>
      <c r="ISY58" s="76"/>
      <c r="ISZ58" s="76"/>
      <c r="ITA58" s="76"/>
      <c r="ITB58" s="76"/>
      <c r="ITC58" s="76"/>
      <c r="ITD58" s="76"/>
      <c r="ITE58" s="76"/>
      <c r="ITF58" s="76"/>
      <c r="ITG58" s="76"/>
      <c r="ITH58" s="76"/>
      <c r="ITI58" s="76"/>
      <c r="ITJ58" s="76"/>
      <c r="ITK58" s="76"/>
      <c r="ITL58" s="76"/>
      <c r="ITM58" s="76"/>
      <c r="ITN58" s="76"/>
      <c r="ITO58" s="76"/>
      <c r="ITP58" s="76"/>
      <c r="ITQ58" s="76"/>
      <c r="ITR58" s="76"/>
      <c r="ITS58" s="76"/>
      <c r="ITT58" s="76"/>
      <c r="ITU58" s="76"/>
      <c r="ITV58" s="76"/>
      <c r="ITW58" s="76"/>
      <c r="ITX58" s="76"/>
      <c r="ITY58" s="76"/>
      <c r="ITZ58" s="76"/>
      <c r="IUA58" s="76"/>
      <c r="IUB58" s="76"/>
      <c r="IUC58" s="76"/>
      <c r="IUD58" s="76"/>
      <c r="IUE58" s="76"/>
      <c r="IUF58" s="76"/>
      <c r="IUG58" s="76"/>
      <c r="IUH58" s="76"/>
      <c r="IUI58" s="76"/>
      <c r="IUJ58" s="76"/>
      <c r="IUK58" s="76"/>
      <c r="IUL58" s="76"/>
      <c r="IUM58" s="76"/>
      <c r="IUN58" s="76"/>
      <c r="IUO58" s="76"/>
      <c r="IUP58" s="76"/>
      <c r="IUQ58" s="76"/>
      <c r="IUR58" s="76"/>
      <c r="IUS58" s="76"/>
      <c r="IUT58" s="76"/>
      <c r="IUU58" s="76"/>
      <c r="IUV58" s="76"/>
      <c r="IUW58" s="76"/>
      <c r="IUX58" s="76"/>
      <c r="IUY58" s="76"/>
      <c r="IUZ58" s="76"/>
      <c r="IVA58" s="76"/>
      <c r="IVB58" s="76"/>
      <c r="IVC58" s="76"/>
      <c r="IVD58" s="76"/>
      <c r="IVE58" s="76"/>
      <c r="IVF58" s="76"/>
      <c r="IVG58" s="76"/>
      <c r="IVH58" s="76"/>
      <c r="IVI58" s="76"/>
      <c r="IVJ58" s="76"/>
      <c r="IVK58" s="76"/>
      <c r="IVL58" s="76"/>
      <c r="IVM58" s="76"/>
      <c r="IVN58" s="76"/>
      <c r="IVO58" s="76"/>
      <c r="IVP58" s="76"/>
      <c r="IVQ58" s="76"/>
      <c r="IVR58" s="76"/>
      <c r="IVS58" s="76"/>
      <c r="IVT58" s="76"/>
      <c r="IVU58" s="76"/>
      <c r="IVV58" s="76"/>
      <c r="IVW58" s="76"/>
      <c r="IVX58" s="76"/>
      <c r="IVY58" s="76"/>
      <c r="IVZ58" s="76"/>
      <c r="IWA58" s="76"/>
      <c r="IWB58" s="76"/>
      <c r="IWC58" s="76"/>
      <c r="IWD58" s="76"/>
      <c r="IWE58" s="76"/>
      <c r="IWF58" s="76"/>
      <c r="IWG58" s="76"/>
      <c r="IWH58" s="76"/>
      <c r="IWI58" s="76"/>
      <c r="IWJ58" s="76"/>
      <c r="IWK58" s="76"/>
      <c r="IWL58" s="76"/>
      <c r="IWM58" s="76"/>
      <c r="IWN58" s="76"/>
      <c r="IWO58" s="76"/>
      <c r="IWP58" s="76"/>
      <c r="IWQ58" s="76"/>
      <c r="IWR58" s="76"/>
      <c r="IWS58" s="76"/>
      <c r="IWT58" s="76"/>
      <c r="IWU58" s="76"/>
      <c r="IWV58" s="76"/>
      <c r="IWW58" s="76"/>
      <c r="IWX58" s="76"/>
      <c r="IWY58" s="76"/>
      <c r="IWZ58" s="76"/>
      <c r="IXA58" s="76"/>
      <c r="IXB58" s="76"/>
      <c r="IXC58" s="76"/>
      <c r="IXD58" s="76"/>
      <c r="IXE58" s="76"/>
      <c r="IXF58" s="76"/>
      <c r="IXG58" s="76"/>
      <c r="IXH58" s="76"/>
      <c r="IXI58" s="76"/>
      <c r="IXJ58" s="76"/>
      <c r="IXK58" s="76"/>
      <c r="IXL58" s="76"/>
      <c r="IXM58" s="76"/>
      <c r="IXN58" s="76"/>
      <c r="IXO58" s="76"/>
      <c r="IXP58" s="76"/>
      <c r="IXQ58" s="76"/>
      <c r="IXR58" s="76"/>
      <c r="IXS58" s="76"/>
      <c r="IXT58" s="76"/>
      <c r="IXU58" s="76"/>
      <c r="IXV58" s="76"/>
      <c r="IXW58" s="76"/>
      <c r="IXX58" s="76"/>
      <c r="IXY58" s="76"/>
      <c r="IXZ58" s="76"/>
      <c r="IYA58" s="76"/>
      <c r="IYB58" s="76"/>
      <c r="IYC58" s="76"/>
      <c r="IYD58" s="76"/>
      <c r="IYE58" s="76"/>
      <c r="IYF58" s="76"/>
      <c r="IYG58" s="76"/>
      <c r="IYH58" s="76"/>
      <c r="IYI58" s="76"/>
      <c r="IYJ58" s="76"/>
      <c r="IYK58" s="76"/>
      <c r="IYL58" s="76"/>
      <c r="IYM58" s="76"/>
      <c r="IYN58" s="76"/>
      <c r="IYO58" s="76"/>
      <c r="IYP58" s="76"/>
      <c r="IYQ58" s="76"/>
      <c r="IYR58" s="76"/>
      <c r="IYS58" s="76"/>
      <c r="IYT58" s="76"/>
      <c r="IYU58" s="76"/>
      <c r="IYV58" s="76"/>
      <c r="IYW58" s="76"/>
      <c r="IYX58" s="76"/>
      <c r="IYY58" s="76"/>
      <c r="IYZ58" s="76"/>
      <c r="IZA58" s="76"/>
      <c r="IZB58" s="76"/>
      <c r="IZC58" s="76"/>
      <c r="IZD58" s="76"/>
      <c r="IZE58" s="76"/>
      <c r="IZF58" s="76"/>
      <c r="IZG58" s="76"/>
      <c r="IZH58" s="76"/>
      <c r="IZI58" s="76"/>
      <c r="IZJ58" s="76"/>
      <c r="IZK58" s="76"/>
      <c r="IZL58" s="76"/>
      <c r="IZM58" s="76"/>
      <c r="IZN58" s="76"/>
      <c r="IZO58" s="76"/>
      <c r="IZP58" s="76"/>
      <c r="IZQ58" s="76"/>
      <c r="IZR58" s="76"/>
      <c r="IZS58" s="76"/>
      <c r="IZT58" s="76"/>
      <c r="IZU58" s="76"/>
      <c r="IZV58" s="76"/>
      <c r="IZW58" s="76"/>
      <c r="IZX58" s="76"/>
      <c r="IZY58" s="76"/>
      <c r="IZZ58" s="76"/>
      <c r="JAA58" s="76"/>
      <c r="JAB58" s="76"/>
      <c r="JAC58" s="76"/>
      <c r="JAD58" s="76"/>
      <c r="JAE58" s="76"/>
      <c r="JAF58" s="76"/>
      <c r="JAG58" s="76"/>
      <c r="JAH58" s="76"/>
      <c r="JAI58" s="76"/>
      <c r="JAJ58" s="76"/>
      <c r="JAK58" s="76"/>
      <c r="JAL58" s="76"/>
      <c r="JAM58" s="76"/>
      <c r="JAN58" s="76"/>
      <c r="JAO58" s="76"/>
      <c r="JAP58" s="76"/>
      <c r="JAQ58" s="76"/>
      <c r="JAR58" s="76"/>
      <c r="JAS58" s="76"/>
      <c r="JAT58" s="76"/>
      <c r="JAU58" s="76"/>
      <c r="JAV58" s="76"/>
      <c r="JAW58" s="76"/>
      <c r="JAX58" s="76"/>
      <c r="JAY58" s="76"/>
      <c r="JAZ58" s="76"/>
      <c r="JBA58" s="76"/>
      <c r="JBB58" s="76"/>
      <c r="JBC58" s="76"/>
      <c r="JBD58" s="76"/>
      <c r="JBE58" s="76"/>
      <c r="JBF58" s="76"/>
      <c r="JBG58" s="76"/>
      <c r="JBH58" s="76"/>
      <c r="JBI58" s="76"/>
      <c r="JBJ58" s="76"/>
      <c r="JBK58" s="76"/>
      <c r="JBL58" s="76"/>
      <c r="JBM58" s="76"/>
      <c r="JBN58" s="76"/>
      <c r="JBO58" s="76"/>
      <c r="JBP58" s="76"/>
      <c r="JBQ58" s="76"/>
      <c r="JBR58" s="76"/>
      <c r="JBS58" s="76"/>
      <c r="JBT58" s="76"/>
      <c r="JBU58" s="76"/>
      <c r="JBV58" s="76"/>
      <c r="JBW58" s="76"/>
      <c r="JBX58" s="76"/>
      <c r="JBY58" s="76"/>
      <c r="JBZ58" s="76"/>
      <c r="JCA58" s="76"/>
      <c r="JCB58" s="76"/>
      <c r="JCC58" s="76"/>
      <c r="JCD58" s="76"/>
      <c r="JCE58" s="76"/>
      <c r="JCF58" s="76"/>
      <c r="JCG58" s="76"/>
      <c r="JCH58" s="76"/>
      <c r="JCI58" s="76"/>
      <c r="JCJ58" s="76"/>
      <c r="JCK58" s="76"/>
      <c r="JCL58" s="76"/>
      <c r="JCM58" s="76"/>
      <c r="JCN58" s="76"/>
      <c r="JCO58" s="76"/>
      <c r="JCP58" s="76"/>
      <c r="JCQ58" s="76"/>
      <c r="JCR58" s="76"/>
      <c r="JCS58" s="76"/>
      <c r="JCT58" s="76"/>
      <c r="JCU58" s="76"/>
      <c r="JCV58" s="76"/>
      <c r="JCW58" s="76"/>
      <c r="JCX58" s="76"/>
      <c r="JCY58" s="76"/>
      <c r="JCZ58" s="76"/>
      <c r="JDA58" s="76"/>
      <c r="JDB58" s="76"/>
      <c r="JDC58" s="76"/>
      <c r="JDD58" s="76"/>
      <c r="JDE58" s="76"/>
      <c r="JDF58" s="76"/>
      <c r="JDG58" s="76"/>
      <c r="JDH58" s="76"/>
      <c r="JDI58" s="76"/>
      <c r="JDJ58" s="76"/>
      <c r="JDK58" s="76"/>
      <c r="JDL58" s="76"/>
      <c r="JDM58" s="76"/>
      <c r="JDN58" s="76"/>
      <c r="JDO58" s="76"/>
      <c r="JDP58" s="76"/>
      <c r="JDQ58" s="76"/>
      <c r="JDR58" s="76"/>
      <c r="JDS58" s="76"/>
      <c r="JDT58" s="76"/>
      <c r="JDU58" s="76"/>
      <c r="JDV58" s="76"/>
      <c r="JDW58" s="76"/>
      <c r="JDX58" s="76"/>
      <c r="JDY58" s="76"/>
      <c r="JDZ58" s="76"/>
      <c r="JEA58" s="76"/>
      <c r="JEB58" s="76"/>
      <c r="JEC58" s="76"/>
      <c r="JED58" s="76"/>
      <c r="JEE58" s="76"/>
      <c r="JEF58" s="76"/>
      <c r="JEG58" s="76"/>
      <c r="JEH58" s="76"/>
      <c r="JEI58" s="76"/>
      <c r="JEJ58" s="76"/>
      <c r="JEK58" s="76"/>
      <c r="JEL58" s="76"/>
      <c r="JEM58" s="76"/>
      <c r="JEN58" s="76"/>
      <c r="JEO58" s="76"/>
      <c r="JEP58" s="76"/>
      <c r="JEQ58" s="76"/>
      <c r="JER58" s="76"/>
      <c r="JES58" s="76"/>
      <c r="JET58" s="76"/>
      <c r="JEU58" s="76"/>
      <c r="JEV58" s="76"/>
      <c r="JEW58" s="76"/>
      <c r="JEX58" s="76"/>
      <c r="JEY58" s="76"/>
      <c r="JEZ58" s="76"/>
      <c r="JFA58" s="76"/>
      <c r="JFB58" s="76"/>
      <c r="JFC58" s="76"/>
      <c r="JFD58" s="76"/>
      <c r="JFE58" s="76"/>
      <c r="JFF58" s="76"/>
      <c r="JFG58" s="76"/>
      <c r="JFH58" s="76"/>
      <c r="JFI58" s="76"/>
      <c r="JFJ58" s="76"/>
      <c r="JFK58" s="76"/>
      <c r="JFL58" s="76"/>
      <c r="JFM58" s="76"/>
      <c r="JFN58" s="76"/>
      <c r="JFO58" s="76"/>
      <c r="JFP58" s="76"/>
      <c r="JFQ58" s="76"/>
      <c r="JFR58" s="76"/>
      <c r="JFS58" s="76"/>
      <c r="JFT58" s="76"/>
      <c r="JFU58" s="76"/>
      <c r="JFV58" s="76"/>
      <c r="JFW58" s="76"/>
      <c r="JFX58" s="76"/>
      <c r="JFY58" s="76"/>
      <c r="JFZ58" s="76"/>
      <c r="JGA58" s="76"/>
      <c r="JGB58" s="76"/>
      <c r="JGC58" s="76"/>
      <c r="JGD58" s="76"/>
      <c r="JGE58" s="76"/>
      <c r="JGF58" s="76"/>
      <c r="JGG58" s="76"/>
      <c r="JGH58" s="76"/>
      <c r="JGI58" s="76"/>
      <c r="JGJ58" s="76"/>
      <c r="JGK58" s="76"/>
      <c r="JGL58" s="76"/>
      <c r="JGM58" s="76"/>
      <c r="JGN58" s="76"/>
      <c r="JGO58" s="76"/>
      <c r="JGP58" s="76"/>
      <c r="JGQ58" s="76"/>
      <c r="JGR58" s="76"/>
      <c r="JGS58" s="76"/>
      <c r="JGT58" s="76"/>
      <c r="JGU58" s="76"/>
      <c r="JGV58" s="76"/>
      <c r="JGW58" s="76"/>
      <c r="JGX58" s="76"/>
      <c r="JGY58" s="76"/>
      <c r="JGZ58" s="76"/>
      <c r="JHA58" s="76"/>
      <c r="JHB58" s="76"/>
      <c r="JHC58" s="76"/>
      <c r="JHD58" s="76"/>
      <c r="JHE58" s="76"/>
      <c r="JHF58" s="76"/>
      <c r="JHG58" s="76"/>
      <c r="JHH58" s="76"/>
      <c r="JHI58" s="76"/>
      <c r="JHJ58" s="76"/>
      <c r="JHK58" s="76"/>
      <c r="JHL58" s="76"/>
      <c r="JHM58" s="76"/>
      <c r="JHN58" s="76"/>
      <c r="JHO58" s="76"/>
      <c r="JHP58" s="76"/>
      <c r="JHQ58" s="76"/>
      <c r="JHR58" s="76"/>
      <c r="JHS58" s="76"/>
      <c r="JHT58" s="76"/>
      <c r="JHU58" s="76"/>
      <c r="JHV58" s="76"/>
      <c r="JHW58" s="76"/>
      <c r="JHX58" s="76"/>
      <c r="JHY58" s="76"/>
      <c r="JHZ58" s="76"/>
      <c r="JIA58" s="76"/>
      <c r="JIB58" s="76"/>
      <c r="JIC58" s="76"/>
      <c r="JID58" s="76"/>
      <c r="JIE58" s="76"/>
      <c r="JIF58" s="76"/>
      <c r="JIG58" s="76"/>
      <c r="JIH58" s="76"/>
      <c r="JII58" s="76"/>
      <c r="JIJ58" s="76"/>
      <c r="JIK58" s="76"/>
      <c r="JIL58" s="76"/>
      <c r="JIM58" s="76"/>
      <c r="JIN58" s="76"/>
      <c r="JIO58" s="76"/>
      <c r="JIP58" s="76"/>
      <c r="JIQ58" s="76"/>
      <c r="JIR58" s="76"/>
      <c r="JIS58" s="76"/>
      <c r="JIT58" s="76"/>
      <c r="JIU58" s="76"/>
      <c r="JIV58" s="76"/>
      <c r="JIW58" s="76"/>
      <c r="JIX58" s="76"/>
      <c r="JIY58" s="76"/>
      <c r="JIZ58" s="76"/>
      <c r="JJA58" s="76"/>
      <c r="JJB58" s="76"/>
      <c r="JJC58" s="76"/>
      <c r="JJD58" s="76"/>
      <c r="JJE58" s="76"/>
      <c r="JJF58" s="76"/>
      <c r="JJG58" s="76"/>
      <c r="JJH58" s="76"/>
      <c r="JJI58" s="76"/>
      <c r="JJJ58" s="76"/>
      <c r="JJK58" s="76"/>
      <c r="JJL58" s="76"/>
      <c r="JJM58" s="76"/>
      <c r="JJN58" s="76"/>
      <c r="JJO58" s="76"/>
      <c r="JJP58" s="76"/>
      <c r="JJQ58" s="76"/>
      <c r="JJR58" s="76"/>
      <c r="JJS58" s="76"/>
      <c r="JJT58" s="76"/>
      <c r="JJU58" s="76"/>
      <c r="JJV58" s="76"/>
      <c r="JJW58" s="76"/>
      <c r="JJX58" s="76"/>
      <c r="JJY58" s="76"/>
      <c r="JJZ58" s="76"/>
      <c r="JKA58" s="76"/>
      <c r="JKB58" s="76"/>
      <c r="JKC58" s="76"/>
      <c r="JKD58" s="76"/>
      <c r="JKE58" s="76"/>
      <c r="JKF58" s="76"/>
      <c r="JKG58" s="76"/>
      <c r="JKH58" s="76"/>
      <c r="JKI58" s="76"/>
      <c r="JKJ58" s="76"/>
      <c r="JKK58" s="76"/>
      <c r="JKL58" s="76"/>
      <c r="JKM58" s="76"/>
      <c r="JKN58" s="76"/>
      <c r="JKO58" s="76"/>
      <c r="JKP58" s="76"/>
      <c r="JKQ58" s="76"/>
      <c r="JKR58" s="76"/>
      <c r="JKS58" s="76"/>
      <c r="JKT58" s="76"/>
      <c r="JKU58" s="76"/>
      <c r="JKV58" s="76"/>
      <c r="JKW58" s="76"/>
      <c r="JKX58" s="76"/>
      <c r="JKY58" s="76"/>
      <c r="JKZ58" s="76"/>
      <c r="JLA58" s="76"/>
      <c r="JLB58" s="76"/>
      <c r="JLC58" s="76"/>
      <c r="JLD58" s="76"/>
      <c r="JLE58" s="76"/>
      <c r="JLF58" s="76"/>
      <c r="JLG58" s="76"/>
      <c r="JLH58" s="76"/>
      <c r="JLI58" s="76"/>
      <c r="JLJ58" s="76"/>
      <c r="JLK58" s="76"/>
      <c r="JLL58" s="76"/>
      <c r="JLM58" s="76"/>
      <c r="JLN58" s="76"/>
      <c r="JLO58" s="76"/>
      <c r="JLP58" s="76"/>
      <c r="JLQ58" s="76"/>
      <c r="JLR58" s="76"/>
      <c r="JLS58" s="76"/>
      <c r="JLT58" s="76"/>
      <c r="JLU58" s="76"/>
      <c r="JLV58" s="76"/>
      <c r="JLW58" s="76"/>
      <c r="JLX58" s="76"/>
      <c r="JLY58" s="76"/>
      <c r="JLZ58" s="76"/>
      <c r="JMA58" s="76"/>
      <c r="JMB58" s="76"/>
      <c r="JMC58" s="76"/>
      <c r="JMD58" s="76"/>
      <c r="JME58" s="76"/>
      <c r="JMF58" s="76"/>
      <c r="JMG58" s="76"/>
      <c r="JMH58" s="76"/>
      <c r="JMI58" s="76"/>
      <c r="JMJ58" s="76"/>
      <c r="JMK58" s="76"/>
      <c r="JML58" s="76"/>
      <c r="JMM58" s="76"/>
      <c r="JMN58" s="76"/>
      <c r="JMO58" s="76"/>
      <c r="JMP58" s="76"/>
      <c r="JMQ58" s="76"/>
      <c r="JMR58" s="76"/>
      <c r="JMS58" s="76"/>
      <c r="JMT58" s="76"/>
      <c r="JMU58" s="76"/>
      <c r="JMV58" s="76"/>
      <c r="JMW58" s="76"/>
      <c r="JMX58" s="76"/>
      <c r="JMY58" s="76"/>
      <c r="JMZ58" s="76"/>
      <c r="JNA58" s="76"/>
      <c r="JNB58" s="76"/>
      <c r="JNC58" s="76"/>
      <c r="JND58" s="76"/>
      <c r="JNE58" s="76"/>
      <c r="JNF58" s="76"/>
      <c r="JNG58" s="76"/>
      <c r="JNH58" s="76"/>
      <c r="JNI58" s="76"/>
      <c r="JNJ58" s="76"/>
      <c r="JNK58" s="76"/>
      <c r="JNL58" s="76"/>
      <c r="JNM58" s="76"/>
      <c r="JNN58" s="76"/>
      <c r="JNO58" s="76"/>
      <c r="JNP58" s="76"/>
      <c r="JNQ58" s="76"/>
      <c r="JNR58" s="76"/>
      <c r="JNS58" s="76"/>
      <c r="JNT58" s="76"/>
      <c r="JNU58" s="76"/>
      <c r="JNV58" s="76"/>
      <c r="JNW58" s="76"/>
      <c r="JNX58" s="76"/>
      <c r="JNY58" s="76"/>
      <c r="JNZ58" s="76"/>
      <c r="JOA58" s="76"/>
      <c r="JOB58" s="76"/>
      <c r="JOC58" s="76"/>
      <c r="JOD58" s="76"/>
      <c r="JOE58" s="76"/>
      <c r="JOF58" s="76"/>
      <c r="JOG58" s="76"/>
      <c r="JOH58" s="76"/>
      <c r="JOI58" s="76"/>
      <c r="JOJ58" s="76"/>
      <c r="JOK58" s="76"/>
      <c r="JOL58" s="76"/>
      <c r="JOM58" s="76"/>
      <c r="JON58" s="76"/>
      <c r="JOO58" s="76"/>
      <c r="JOP58" s="76"/>
      <c r="JOQ58" s="76"/>
      <c r="JOR58" s="76"/>
      <c r="JOS58" s="76"/>
      <c r="JOT58" s="76"/>
      <c r="JOU58" s="76"/>
      <c r="JOV58" s="76"/>
      <c r="JOW58" s="76"/>
      <c r="JOX58" s="76"/>
      <c r="JOY58" s="76"/>
      <c r="JOZ58" s="76"/>
      <c r="JPA58" s="76"/>
      <c r="JPB58" s="76"/>
      <c r="JPC58" s="76"/>
      <c r="JPD58" s="76"/>
      <c r="JPE58" s="76"/>
      <c r="JPF58" s="76"/>
      <c r="JPG58" s="76"/>
      <c r="JPH58" s="76"/>
      <c r="JPI58" s="76"/>
      <c r="JPJ58" s="76"/>
      <c r="JPK58" s="76"/>
      <c r="JPL58" s="76"/>
      <c r="JPM58" s="76"/>
      <c r="JPN58" s="76"/>
      <c r="JPO58" s="76"/>
      <c r="JPP58" s="76"/>
      <c r="JPQ58" s="76"/>
      <c r="JPR58" s="76"/>
      <c r="JPS58" s="76"/>
      <c r="JPT58" s="76"/>
      <c r="JPU58" s="76"/>
      <c r="JPV58" s="76"/>
      <c r="JPW58" s="76"/>
      <c r="JPX58" s="76"/>
      <c r="JPY58" s="76"/>
      <c r="JPZ58" s="76"/>
      <c r="JQA58" s="76"/>
      <c r="JQB58" s="76"/>
      <c r="JQC58" s="76"/>
      <c r="JQD58" s="76"/>
      <c r="JQE58" s="76"/>
      <c r="JQF58" s="76"/>
      <c r="JQG58" s="76"/>
      <c r="JQH58" s="76"/>
      <c r="JQI58" s="76"/>
      <c r="JQJ58" s="76"/>
      <c r="JQK58" s="76"/>
      <c r="JQL58" s="76"/>
      <c r="JQM58" s="76"/>
      <c r="JQN58" s="76"/>
      <c r="JQO58" s="76"/>
      <c r="JQP58" s="76"/>
      <c r="JQQ58" s="76"/>
      <c r="JQR58" s="76"/>
      <c r="JQS58" s="76"/>
      <c r="JQT58" s="76"/>
      <c r="JQU58" s="76"/>
      <c r="JQV58" s="76"/>
      <c r="JQW58" s="76"/>
      <c r="JQX58" s="76"/>
      <c r="JQY58" s="76"/>
      <c r="JQZ58" s="76"/>
      <c r="JRA58" s="76"/>
      <c r="JRB58" s="76"/>
      <c r="JRC58" s="76"/>
      <c r="JRD58" s="76"/>
      <c r="JRE58" s="76"/>
      <c r="JRF58" s="76"/>
      <c r="JRG58" s="76"/>
      <c r="JRH58" s="76"/>
      <c r="JRI58" s="76"/>
      <c r="JRJ58" s="76"/>
      <c r="JRK58" s="76"/>
      <c r="JRL58" s="76"/>
      <c r="JRM58" s="76"/>
      <c r="JRN58" s="76"/>
      <c r="JRO58" s="76"/>
      <c r="JRP58" s="76"/>
      <c r="JRQ58" s="76"/>
      <c r="JRR58" s="76"/>
      <c r="JRS58" s="76"/>
      <c r="JRT58" s="76"/>
      <c r="JRU58" s="76"/>
      <c r="JRV58" s="76"/>
      <c r="JRW58" s="76"/>
      <c r="JRX58" s="76"/>
      <c r="JRY58" s="76"/>
      <c r="JRZ58" s="76"/>
      <c r="JSA58" s="76"/>
      <c r="JSB58" s="76"/>
      <c r="JSC58" s="76"/>
      <c r="JSD58" s="76"/>
      <c r="JSE58" s="76"/>
      <c r="JSF58" s="76"/>
      <c r="JSG58" s="76"/>
      <c r="JSH58" s="76"/>
      <c r="JSI58" s="76"/>
      <c r="JSJ58" s="76"/>
      <c r="JSK58" s="76"/>
      <c r="JSL58" s="76"/>
      <c r="JSM58" s="76"/>
      <c r="JSN58" s="76"/>
      <c r="JSO58" s="76"/>
      <c r="JSP58" s="76"/>
      <c r="JSQ58" s="76"/>
      <c r="JSR58" s="76"/>
      <c r="JSS58" s="76"/>
      <c r="JST58" s="76"/>
      <c r="JSU58" s="76"/>
      <c r="JSV58" s="76"/>
      <c r="JSW58" s="76"/>
      <c r="JSX58" s="76"/>
      <c r="JSY58" s="76"/>
      <c r="JSZ58" s="76"/>
      <c r="JTA58" s="76"/>
      <c r="JTB58" s="76"/>
      <c r="JTC58" s="76"/>
      <c r="JTD58" s="76"/>
      <c r="JTE58" s="76"/>
      <c r="JTF58" s="76"/>
      <c r="JTG58" s="76"/>
      <c r="JTH58" s="76"/>
      <c r="JTI58" s="76"/>
      <c r="JTJ58" s="76"/>
      <c r="JTK58" s="76"/>
      <c r="JTL58" s="76"/>
      <c r="JTM58" s="76"/>
      <c r="JTN58" s="76"/>
      <c r="JTO58" s="76"/>
      <c r="JTP58" s="76"/>
      <c r="JTQ58" s="76"/>
      <c r="JTR58" s="76"/>
      <c r="JTS58" s="76"/>
      <c r="JTT58" s="76"/>
      <c r="JTU58" s="76"/>
      <c r="JTV58" s="76"/>
      <c r="JTW58" s="76"/>
      <c r="JTX58" s="76"/>
      <c r="JTY58" s="76"/>
      <c r="JTZ58" s="76"/>
      <c r="JUA58" s="76"/>
      <c r="JUB58" s="76"/>
      <c r="JUC58" s="76"/>
      <c r="JUD58" s="76"/>
      <c r="JUE58" s="76"/>
      <c r="JUF58" s="76"/>
      <c r="JUG58" s="76"/>
      <c r="JUH58" s="76"/>
      <c r="JUI58" s="76"/>
      <c r="JUJ58" s="76"/>
      <c r="JUK58" s="76"/>
      <c r="JUL58" s="76"/>
      <c r="JUM58" s="76"/>
      <c r="JUN58" s="76"/>
      <c r="JUO58" s="76"/>
      <c r="JUP58" s="76"/>
      <c r="JUQ58" s="76"/>
      <c r="JUR58" s="76"/>
      <c r="JUS58" s="76"/>
      <c r="JUT58" s="76"/>
      <c r="JUU58" s="76"/>
      <c r="JUV58" s="76"/>
      <c r="JUW58" s="76"/>
      <c r="JUX58" s="76"/>
      <c r="JUY58" s="76"/>
      <c r="JUZ58" s="76"/>
      <c r="JVA58" s="76"/>
      <c r="JVB58" s="76"/>
      <c r="JVC58" s="76"/>
      <c r="JVD58" s="76"/>
      <c r="JVE58" s="76"/>
      <c r="JVF58" s="76"/>
      <c r="JVG58" s="76"/>
      <c r="JVH58" s="76"/>
      <c r="JVI58" s="76"/>
      <c r="JVJ58" s="76"/>
      <c r="JVK58" s="76"/>
      <c r="JVL58" s="76"/>
      <c r="JVM58" s="76"/>
      <c r="JVN58" s="76"/>
      <c r="JVO58" s="76"/>
      <c r="JVP58" s="76"/>
      <c r="JVQ58" s="76"/>
      <c r="JVR58" s="76"/>
      <c r="JVS58" s="76"/>
      <c r="JVT58" s="76"/>
      <c r="JVU58" s="76"/>
      <c r="JVV58" s="76"/>
      <c r="JVW58" s="76"/>
      <c r="JVX58" s="76"/>
      <c r="JVY58" s="76"/>
      <c r="JVZ58" s="76"/>
      <c r="JWA58" s="76"/>
      <c r="JWB58" s="76"/>
      <c r="JWC58" s="76"/>
      <c r="JWD58" s="76"/>
      <c r="JWE58" s="76"/>
      <c r="JWF58" s="76"/>
      <c r="JWG58" s="76"/>
      <c r="JWH58" s="76"/>
      <c r="JWI58" s="76"/>
      <c r="JWJ58" s="76"/>
      <c r="JWK58" s="76"/>
      <c r="JWL58" s="76"/>
      <c r="JWM58" s="76"/>
      <c r="JWN58" s="76"/>
      <c r="JWO58" s="76"/>
      <c r="JWP58" s="76"/>
      <c r="JWQ58" s="76"/>
      <c r="JWR58" s="76"/>
      <c r="JWS58" s="76"/>
      <c r="JWT58" s="76"/>
      <c r="JWU58" s="76"/>
      <c r="JWV58" s="76"/>
      <c r="JWW58" s="76"/>
      <c r="JWX58" s="76"/>
      <c r="JWY58" s="76"/>
      <c r="JWZ58" s="76"/>
      <c r="JXA58" s="76"/>
      <c r="JXB58" s="76"/>
      <c r="JXC58" s="76"/>
      <c r="JXD58" s="76"/>
      <c r="JXE58" s="76"/>
      <c r="JXF58" s="76"/>
      <c r="JXG58" s="76"/>
      <c r="JXH58" s="76"/>
      <c r="JXI58" s="76"/>
      <c r="JXJ58" s="76"/>
      <c r="JXK58" s="76"/>
      <c r="JXL58" s="76"/>
      <c r="JXM58" s="76"/>
      <c r="JXN58" s="76"/>
      <c r="JXO58" s="76"/>
      <c r="JXP58" s="76"/>
      <c r="JXQ58" s="76"/>
      <c r="JXR58" s="76"/>
      <c r="JXS58" s="76"/>
      <c r="JXT58" s="76"/>
      <c r="JXU58" s="76"/>
      <c r="JXV58" s="76"/>
      <c r="JXW58" s="76"/>
      <c r="JXX58" s="76"/>
      <c r="JXY58" s="76"/>
      <c r="JXZ58" s="76"/>
      <c r="JYA58" s="76"/>
      <c r="JYB58" s="76"/>
      <c r="JYC58" s="76"/>
      <c r="JYD58" s="76"/>
      <c r="JYE58" s="76"/>
      <c r="JYF58" s="76"/>
      <c r="JYG58" s="76"/>
      <c r="JYH58" s="76"/>
      <c r="JYI58" s="76"/>
      <c r="JYJ58" s="76"/>
      <c r="JYK58" s="76"/>
      <c r="JYL58" s="76"/>
      <c r="JYM58" s="76"/>
      <c r="JYN58" s="76"/>
      <c r="JYO58" s="76"/>
      <c r="JYP58" s="76"/>
      <c r="JYQ58" s="76"/>
      <c r="JYR58" s="76"/>
      <c r="JYS58" s="76"/>
      <c r="JYT58" s="76"/>
      <c r="JYU58" s="76"/>
      <c r="JYV58" s="76"/>
      <c r="JYW58" s="76"/>
      <c r="JYX58" s="76"/>
      <c r="JYY58" s="76"/>
      <c r="JYZ58" s="76"/>
      <c r="JZA58" s="76"/>
      <c r="JZB58" s="76"/>
      <c r="JZC58" s="76"/>
      <c r="JZD58" s="76"/>
      <c r="JZE58" s="76"/>
      <c r="JZF58" s="76"/>
      <c r="JZG58" s="76"/>
      <c r="JZH58" s="76"/>
      <c r="JZI58" s="76"/>
      <c r="JZJ58" s="76"/>
      <c r="JZK58" s="76"/>
      <c r="JZL58" s="76"/>
      <c r="JZM58" s="76"/>
      <c r="JZN58" s="76"/>
      <c r="JZO58" s="76"/>
      <c r="JZP58" s="76"/>
      <c r="JZQ58" s="76"/>
      <c r="JZR58" s="76"/>
      <c r="JZS58" s="76"/>
      <c r="JZT58" s="76"/>
      <c r="JZU58" s="76"/>
      <c r="JZV58" s="76"/>
      <c r="JZW58" s="76"/>
      <c r="JZX58" s="76"/>
      <c r="JZY58" s="76"/>
      <c r="JZZ58" s="76"/>
      <c r="KAA58" s="76"/>
      <c r="KAB58" s="76"/>
      <c r="KAC58" s="76"/>
      <c r="KAD58" s="76"/>
      <c r="KAE58" s="76"/>
      <c r="KAF58" s="76"/>
      <c r="KAG58" s="76"/>
      <c r="KAH58" s="76"/>
      <c r="KAI58" s="76"/>
      <c r="KAJ58" s="76"/>
      <c r="KAK58" s="76"/>
      <c r="KAL58" s="76"/>
      <c r="KAM58" s="76"/>
      <c r="KAN58" s="76"/>
      <c r="KAO58" s="76"/>
      <c r="KAP58" s="76"/>
      <c r="KAQ58" s="76"/>
      <c r="KAR58" s="76"/>
      <c r="KAS58" s="76"/>
      <c r="KAT58" s="76"/>
      <c r="KAU58" s="76"/>
      <c r="KAV58" s="76"/>
      <c r="KAW58" s="76"/>
      <c r="KAX58" s="76"/>
      <c r="KAY58" s="76"/>
      <c r="KAZ58" s="76"/>
      <c r="KBA58" s="76"/>
      <c r="KBB58" s="76"/>
      <c r="KBC58" s="76"/>
      <c r="KBD58" s="76"/>
      <c r="KBE58" s="76"/>
      <c r="KBF58" s="76"/>
      <c r="KBG58" s="76"/>
      <c r="KBH58" s="76"/>
      <c r="KBI58" s="76"/>
      <c r="KBJ58" s="76"/>
      <c r="KBK58" s="76"/>
      <c r="KBL58" s="76"/>
      <c r="KBM58" s="76"/>
      <c r="KBN58" s="76"/>
      <c r="KBO58" s="76"/>
      <c r="KBP58" s="76"/>
      <c r="KBQ58" s="76"/>
      <c r="KBR58" s="76"/>
      <c r="KBS58" s="76"/>
      <c r="KBT58" s="76"/>
      <c r="KBU58" s="76"/>
      <c r="KBV58" s="76"/>
      <c r="KBW58" s="76"/>
      <c r="KBX58" s="76"/>
      <c r="KBY58" s="76"/>
      <c r="KBZ58" s="76"/>
      <c r="KCA58" s="76"/>
      <c r="KCB58" s="76"/>
      <c r="KCC58" s="76"/>
      <c r="KCD58" s="76"/>
      <c r="KCE58" s="76"/>
      <c r="KCF58" s="76"/>
      <c r="KCG58" s="76"/>
      <c r="KCH58" s="76"/>
      <c r="KCI58" s="76"/>
      <c r="KCJ58" s="76"/>
      <c r="KCK58" s="76"/>
      <c r="KCL58" s="76"/>
      <c r="KCM58" s="76"/>
      <c r="KCN58" s="76"/>
      <c r="KCO58" s="76"/>
      <c r="KCP58" s="76"/>
      <c r="KCQ58" s="76"/>
      <c r="KCR58" s="76"/>
      <c r="KCS58" s="76"/>
      <c r="KCT58" s="76"/>
      <c r="KCU58" s="76"/>
      <c r="KCV58" s="76"/>
      <c r="KCW58" s="76"/>
      <c r="KCX58" s="76"/>
      <c r="KCY58" s="76"/>
      <c r="KCZ58" s="76"/>
      <c r="KDA58" s="76"/>
      <c r="KDB58" s="76"/>
      <c r="KDC58" s="76"/>
      <c r="KDD58" s="76"/>
      <c r="KDE58" s="76"/>
      <c r="KDF58" s="76"/>
      <c r="KDG58" s="76"/>
      <c r="KDH58" s="76"/>
      <c r="KDI58" s="76"/>
      <c r="KDJ58" s="76"/>
      <c r="KDK58" s="76"/>
      <c r="KDL58" s="76"/>
      <c r="KDM58" s="76"/>
      <c r="KDN58" s="76"/>
      <c r="KDO58" s="76"/>
      <c r="KDP58" s="76"/>
      <c r="KDQ58" s="76"/>
      <c r="KDR58" s="76"/>
      <c r="KDS58" s="76"/>
      <c r="KDT58" s="76"/>
      <c r="KDU58" s="76"/>
      <c r="KDV58" s="76"/>
      <c r="KDW58" s="76"/>
      <c r="KDX58" s="76"/>
      <c r="KDY58" s="76"/>
      <c r="KDZ58" s="76"/>
      <c r="KEA58" s="76"/>
      <c r="KEB58" s="76"/>
      <c r="KEC58" s="76"/>
      <c r="KED58" s="76"/>
      <c r="KEE58" s="76"/>
      <c r="KEF58" s="76"/>
      <c r="KEG58" s="76"/>
      <c r="KEH58" s="76"/>
      <c r="KEI58" s="76"/>
      <c r="KEJ58" s="76"/>
      <c r="KEK58" s="76"/>
      <c r="KEL58" s="76"/>
      <c r="KEM58" s="76"/>
      <c r="KEN58" s="76"/>
      <c r="KEO58" s="76"/>
      <c r="KEP58" s="76"/>
      <c r="KEQ58" s="76"/>
      <c r="KER58" s="76"/>
      <c r="KES58" s="76"/>
      <c r="KET58" s="76"/>
      <c r="KEU58" s="76"/>
      <c r="KEV58" s="76"/>
      <c r="KEW58" s="76"/>
      <c r="KEX58" s="76"/>
      <c r="KEY58" s="76"/>
      <c r="KEZ58" s="76"/>
      <c r="KFA58" s="76"/>
      <c r="KFB58" s="76"/>
      <c r="KFC58" s="76"/>
      <c r="KFD58" s="76"/>
      <c r="KFE58" s="76"/>
      <c r="KFF58" s="76"/>
      <c r="KFG58" s="76"/>
      <c r="KFH58" s="76"/>
      <c r="KFI58" s="76"/>
      <c r="KFJ58" s="76"/>
      <c r="KFK58" s="76"/>
      <c r="KFL58" s="76"/>
      <c r="KFM58" s="76"/>
      <c r="KFN58" s="76"/>
      <c r="KFO58" s="76"/>
      <c r="KFP58" s="76"/>
      <c r="KFQ58" s="76"/>
      <c r="KFR58" s="76"/>
      <c r="KFS58" s="76"/>
      <c r="KFT58" s="76"/>
      <c r="KFU58" s="76"/>
      <c r="KFV58" s="76"/>
      <c r="KFW58" s="76"/>
      <c r="KFX58" s="76"/>
      <c r="KFY58" s="76"/>
      <c r="KFZ58" s="76"/>
      <c r="KGA58" s="76"/>
      <c r="KGB58" s="76"/>
      <c r="KGC58" s="76"/>
      <c r="KGD58" s="76"/>
      <c r="KGE58" s="76"/>
      <c r="KGF58" s="76"/>
      <c r="KGG58" s="76"/>
      <c r="KGH58" s="76"/>
      <c r="KGI58" s="76"/>
      <c r="KGJ58" s="76"/>
      <c r="KGK58" s="76"/>
      <c r="KGL58" s="76"/>
      <c r="KGM58" s="76"/>
      <c r="KGN58" s="76"/>
      <c r="KGO58" s="76"/>
      <c r="KGP58" s="76"/>
      <c r="KGQ58" s="76"/>
      <c r="KGR58" s="76"/>
      <c r="KGS58" s="76"/>
      <c r="KGT58" s="76"/>
      <c r="KGU58" s="76"/>
      <c r="KGV58" s="76"/>
      <c r="KGW58" s="76"/>
      <c r="KGX58" s="76"/>
      <c r="KGY58" s="76"/>
      <c r="KGZ58" s="76"/>
      <c r="KHA58" s="76"/>
      <c r="KHB58" s="76"/>
      <c r="KHC58" s="76"/>
      <c r="KHD58" s="76"/>
      <c r="KHE58" s="76"/>
      <c r="KHF58" s="76"/>
      <c r="KHG58" s="76"/>
      <c r="KHH58" s="76"/>
      <c r="KHI58" s="76"/>
      <c r="KHJ58" s="76"/>
      <c r="KHK58" s="76"/>
      <c r="KHL58" s="76"/>
      <c r="KHM58" s="76"/>
      <c r="KHN58" s="76"/>
      <c r="KHO58" s="76"/>
      <c r="KHP58" s="76"/>
      <c r="KHQ58" s="76"/>
      <c r="KHR58" s="76"/>
      <c r="KHS58" s="76"/>
      <c r="KHT58" s="76"/>
      <c r="KHU58" s="76"/>
      <c r="KHV58" s="76"/>
      <c r="KHW58" s="76"/>
      <c r="KHX58" s="76"/>
      <c r="KHY58" s="76"/>
      <c r="KHZ58" s="76"/>
      <c r="KIA58" s="76"/>
      <c r="KIB58" s="76"/>
      <c r="KIC58" s="76"/>
      <c r="KID58" s="76"/>
      <c r="KIE58" s="76"/>
      <c r="KIF58" s="76"/>
      <c r="KIG58" s="76"/>
      <c r="KIH58" s="76"/>
      <c r="KII58" s="76"/>
      <c r="KIJ58" s="76"/>
      <c r="KIK58" s="76"/>
      <c r="KIL58" s="76"/>
      <c r="KIM58" s="76"/>
      <c r="KIN58" s="76"/>
      <c r="KIO58" s="76"/>
      <c r="KIP58" s="76"/>
      <c r="KIQ58" s="76"/>
      <c r="KIR58" s="76"/>
      <c r="KIS58" s="76"/>
      <c r="KIT58" s="76"/>
      <c r="KIU58" s="76"/>
      <c r="KIV58" s="76"/>
      <c r="KIW58" s="76"/>
      <c r="KIX58" s="76"/>
      <c r="KIY58" s="76"/>
      <c r="KIZ58" s="76"/>
      <c r="KJA58" s="76"/>
      <c r="KJB58" s="76"/>
      <c r="KJC58" s="76"/>
      <c r="KJD58" s="76"/>
      <c r="KJE58" s="76"/>
      <c r="KJF58" s="76"/>
      <c r="KJG58" s="76"/>
      <c r="KJH58" s="76"/>
      <c r="KJI58" s="76"/>
      <c r="KJJ58" s="76"/>
      <c r="KJK58" s="76"/>
      <c r="KJL58" s="76"/>
      <c r="KJM58" s="76"/>
      <c r="KJN58" s="76"/>
      <c r="KJO58" s="76"/>
      <c r="KJP58" s="76"/>
      <c r="KJQ58" s="76"/>
      <c r="KJR58" s="76"/>
      <c r="KJS58" s="76"/>
      <c r="KJT58" s="76"/>
      <c r="KJU58" s="76"/>
      <c r="KJV58" s="76"/>
      <c r="KJW58" s="76"/>
      <c r="KJX58" s="76"/>
      <c r="KJY58" s="76"/>
      <c r="KJZ58" s="76"/>
      <c r="KKA58" s="76"/>
      <c r="KKB58" s="76"/>
      <c r="KKC58" s="76"/>
      <c r="KKD58" s="76"/>
      <c r="KKE58" s="76"/>
      <c r="KKF58" s="76"/>
      <c r="KKG58" s="76"/>
      <c r="KKH58" s="76"/>
      <c r="KKI58" s="76"/>
      <c r="KKJ58" s="76"/>
      <c r="KKK58" s="76"/>
      <c r="KKL58" s="76"/>
      <c r="KKM58" s="76"/>
      <c r="KKN58" s="76"/>
      <c r="KKO58" s="76"/>
      <c r="KKP58" s="76"/>
      <c r="KKQ58" s="76"/>
      <c r="KKR58" s="76"/>
      <c r="KKS58" s="76"/>
      <c r="KKT58" s="76"/>
      <c r="KKU58" s="76"/>
      <c r="KKV58" s="76"/>
      <c r="KKW58" s="76"/>
      <c r="KKX58" s="76"/>
      <c r="KKY58" s="76"/>
      <c r="KKZ58" s="76"/>
      <c r="KLA58" s="76"/>
      <c r="KLB58" s="76"/>
      <c r="KLC58" s="76"/>
      <c r="KLD58" s="76"/>
      <c r="KLE58" s="76"/>
      <c r="KLF58" s="76"/>
      <c r="KLG58" s="76"/>
      <c r="KLH58" s="76"/>
      <c r="KLI58" s="76"/>
      <c r="KLJ58" s="76"/>
      <c r="KLK58" s="76"/>
      <c r="KLL58" s="76"/>
      <c r="KLM58" s="76"/>
      <c r="KLN58" s="76"/>
      <c r="KLO58" s="76"/>
      <c r="KLP58" s="76"/>
      <c r="KLQ58" s="76"/>
      <c r="KLR58" s="76"/>
      <c r="KLS58" s="76"/>
      <c r="KLT58" s="76"/>
      <c r="KLU58" s="76"/>
      <c r="KLV58" s="76"/>
      <c r="KLW58" s="76"/>
      <c r="KLX58" s="76"/>
      <c r="KLY58" s="76"/>
      <c r="KLZ58" s="76"/>
      <c r="KMA58" s="76"/>
      <c r="KMB58" s="76"/>
      <c r="KMC58" s="76"/>
      <c r="KMD58" s="76"/>
      <c r="KME58" s="76"/>
      <c r="KMF58" s="76"/>
      <c r="KMG58" s="76"/>
      <c r="KMH58" s="76"/>
      <c r="KMI58" s="76"/>
      <c r="KMJ58" s="76"/>
      <c r="KMK58" s="76"/>
      <c r="KML58" s="76"/>
      <c r="KMM58" s="76"/>
      <c r="KMN58" s="76"/>
      <c r="KMO58" s="76"/>
      <c r="KMP58" s="76"/>
      <c r="KMQ58" s="76"/>
      <c r="KMR58" s="76"/>
      <c r="KMS58" s="76"/>
      <c r="KMT58" s="76"/>
      <c r="KMU58" s="76"/>
      <c r="KMV58" s="76"/>
      <c r="KMW58" s="76"/>
      <c r="KMX58" s="76"/>
      <c r="KMY58" s="76"/>
      <c r="KMZ58" s="76"/>
      <c r="KNA58" s="76"/>
      <c r="KNB58" s="76"/>
      <c r="KNC58" s="76"/>
      <c r="KND58" s="76"/>
      <c r="KNE58" s="76"/>
      <c r="KNF58" s="76"/>
      <c r="KNG58" s="76"/>
      <c r="KNH58" s="76"/>
      <c r="KNI58" s="76"/>
      <c r="KNJ58" s="76"/>
      <c r="KNK58" s="76"/>
      <c r="KNL58" s="76"/>
      <c r="KNM58" s="76"/>
      <c r="KNN58" s="76"/>
      <c r="KNO58" s="76"/>
      <c r="KNP58" s="76"/>
      <c r="KNQ58" s="76"/>
      <c r="KNR58" s="76"/>
      <c r="KNS58" s="76"/>
      <c r="KNT58" s="76"/>
      <c r="KNU58" s="76"/>
      <c r="KNV58" s="76"/>
      <c r="KNW58" s="76"/>
      <c r="KNX58" s="76"/>
      <c r="KNY58" s="76"/>
      <c r="KNZ58" s="76"/>
      <c r="KOA58" s="76"/>
      <c r="KOB58" s="76"/>
      <c r="KOC58" s="76"/>
      <c r="KOD58" s="76"/>
      <c r="KOE58" s="76"/>
      <c r="KOF58" s="76"/>
      <c r="KOG58" s="76"/>
      <c r="KOH58" s="76"/>
      <c r="KOI58" s="76"/>
      <c r="KOJ58" s="76"/>
      <c r="KOK58" s="76"/>
      <c r="KOL58" s="76"/>
      <c r="KOM58" s="76"/>
      <c r="KON58" s="76"/>
      <c r="KOO58" s="76"/>
      <c r="KOP58" s="76"/>
      <c r="KOQ58" s="76"/>
      <c r="KOR58" s="76"/>
      <c r="KOS58" s="76"/>
      <c r="KOT58" s="76"/>
      <c r="KOU58" s="76"/>
      <c r="KOV58" s="76"/>
      <c r="KOW58" s="76"/>
      <c r="KOX58" s="76"/>
      <c r="KOY58" s="76"/>
      <c r="KOZ58" s="76"/>
      <c r="KPA58" s="76"/>
      <c r="KPB58" s="76"/>
      <c r="KPC58" s="76"/>
      <c r="KPD58" s="76"/>
      <c r="KPE58" s="76"/>
      <c r="KPF58" s="76"/>
      <c r="KPG58" s="76"/>
      <c r="KPH58" s="76"/>
      <c r="KPI58" s="76"/>
      <c r="KPJ58" s="76"/>
      <c r="KPK58" s="76"/>
      <c r="KPL58" s="76"/>
      <c r="KPM58" s="76"/>
      <c r="KPN58" s="76"/>
      <c r="KPO58" s="76"/>
      <c r="KPP58" s="76"/>
      <c r="KPQ58" s="76"/>
      <c r="KPR58" s="76"/>
      <c r="KPS58" s="76"/>
      <c r="KPT58" s="76"/>
      <c r="KPU58" s="76"/>
      <c r="KPV58" s="76"/>
      <c r="KPW58" s="76"/>
      <c r="KPX58" s="76"/>
      <c r="KPY58" s="76"/>
      <c r="KPZ58" s="76"/>
      <c r="KQA58" s="76"/>
      <c r="KQB58" s="76"/>
      <c r="KQC58" s="76"/>
      <c r="KQD58" s="76"/>
      <c r="KQE58" s="76"/>
      <c r="KQF58" s="76"/>
      <c r="KQG58" s="76"/>
      <c r="KQH58" s="76"/>
      <c r="KQI58" s="76"/>
      <c r="KQJ58" s="76"/>
      <c r="KQK58" s="76"/>
      <c r="KQL58" s="76"/>
      <c r="KQM58" s="76"/>
      <c r="KQN58" s="76"/>
      <c r="KQO58" s="76"/>
      <c r="KQP58" s="76"/>
      <c r="KQQ58" s="76"/>
      <c r="KQR58" s="76"/>
      <c r="KQS58" s="76"/>
      <c r="KQT58" s="76"/>
      <c r="KQU58" s="76"/>
      <c r="KQV58" s="76"/>
      <c r="KQW58" s="76"/>
      <c r="KQX58" s="76"/>
      <c r="KQY58" s="76"/>
      <c r="KQZ58" s="76"/>
      <c r="KRA58" s="76"/>
      <c r="KRB58" s="76"/>
      <c r="KRC58" s="76"/>
      <c r="KRD58" s="76"/>
      <c r="KRE58" s="76"/>
      <c r="KRF58" s="76"/>
      <c r="KRG58" s="76"/>
      <c r="KRH58" s="76"/>
      <c r="KRI58" s="76"/>
      <c r="KRJ58" s="76"/>
      <c r="KRK58" s="76"/>
      <c r="KRL58" s="76"/>
      <c r="KRM58" s="76"/>
      <c r="KRN58" s="76"/>
      <c r="KRO58" s="76"/>
      <c r="KRP58" s="76"/>
      <c r="KRQ58" s="76"/>
      <c r="KRR58" s="76"/>
      <c r="KRS58" s="76"/>
      <c r="KRT58" s="76"/>
      <c r="KRU58" s="76"/>
      <c r="KRV58" s="76"/>
      <c r="KRW58" s="76"/>
      <c r="KRX58" s="76"/>
      <c r="KRY58" s="76"/>
      <c r="KRZ58" s="76"/>
      <c r="KSA58" s="76"/>
      <c r="KSB58" s="76"/>
      <c r="KSC58" s="76"/>
      <c r="KSD58" s="76"/>
      <c r="KSE58" s="76"/>
      <c r="KSF58" s="76"/>
      <c r="KSG58" s="76"/>
      <c r="KSH58" s="76"/>
      <c r="KSI58" s="76"/>
      <c r="KSJ58" s="76"/>
      <c r="KSK58" s="76"/>
      <c r="KSL58" s="76"/>
      <c r="KSM58" s="76"/>
      <c r="KSN58" s="76"/>
      <c r="KSO58" s="76"/>
      <c r="KSP58" s="76"/>
      <c r="KSQ58" s="76"/>
      <c r="KSR58" s="76"/>
      <c r="KSS58" s="76"/>
      <c r="KST58" s="76"/>
      <c r="KSU58" s="76"/>
      <c r="KSV58" s="76"/>
      <c r="KSW58" s="76"/>
      <c r="KSX58" s="76"/>
      <c r="KSY58" s="76"/>
      <c r="KSZ58" s="76"/>
      <c r="KTA58" s="76"/>
      <c r="KTB58" s="76"/>
      <c r="KTC58" s="76"/>
      <c r="KTD58" s="76"/>
      <c r="KTE58" s="76"/>
      <c r="KTF58" s="76"/>
      <c r="KTG58" s="76"/>
      <c r="KTH58" s="76"/>
      <c r="KTI58" s="76"/>
      <c r="KTJ58" s="76"/>
      <c r="KTK58" s="76"/>
      <c r="KTL58" s="76"/>
      <c r="KTM58" s="76"/>
      <c r="KTN58" s="76"/>
      <c r="KTO58" s="76"/>
      <c r="KTP58" s="76"/>
      <c r="KTQ58" s="76"/>
      <c r="KTR58" s="76"/>
      <c r="KTS58" s="76"/>
      <c r="KTT58" s="76"/>
      <c r="KTU58" s="76"/>
      <c r="KTV58" s="76"/>
      <c r="KTW58" s="76"/>
      <c r="KTX58" s="76"/>
      <c r="KTY58" s="76"/>
      <c r="KTZ58" s="76"/>
      <c r="KUA58" s="76"/>
      <c r="KUB58" s="76"/>
      <c r="KUC58" s="76"/>
      <c r="KUD58" s="76"/>
      <c r="KUE58" s="76"/>
      <c r="KUF58" s="76"/>
      <c r="KUG58" s="76"/>
      <c r="KUH58" s="76"/>
      <c r="KUI58" s="76"/>
      <c r="KUJ58" s="76"/>
      <c r="KUK58" s="76"/>
      <c r="KUL58" s="76"/>
      <c r="KUM58" s="76"/>
      <c r="KUN58" s="76"/>
      <c r="KUO58" s="76"/>
      <c r="KUP58" s="76"/>
      <c r="KUQ58" s="76"/>
      <c r="KUR58" s="76"/>
      <c r="KUS58" s="76"/>
      <c r="KUT58" s="76"/>
      <c r="KUU58" s="76"/>
      <c r="KUV58" s="76"/>
      <c r="KUW58" s="76"/>
      <c r="KUX58" s="76"/>
      <c r="KUY58" s="76"/>
      <c r="KUZ58" s="76"/>
      <c r="KVA58" s="76"/>
      <c r="KVB58" s="76"/>
      <c r="KVC58" s="76"/>
      <c r="KVD58" s="76"/>
      <c r="KVE58" s="76"/>
      <c r="KVF58" s="76"/>
      <c r="KVG58" s="76"/>
      <c r="KVH58" s="76"/>
      <c r="KVI58" s="76"/>
      <c r="KVJ58" s="76"/>
      <c r="KVK58" s="76"/>
      <c r="KVL58" s="76"/>
      <c r="KVM58" s="76"/>
      <c r="KVN58" s="76"/>
      <c r="KVO58" s="76"/>
      <c r="KVP58" s="76"/>
      <c r="KVQ58" s="76"/>
      <c r="KVR58" s="76"/>
      <c r="KVS58" s="76"/>
      <c r="KVT58" s="76"/>
      <c r="KVU58" s="76"/>
      <c r="KVV58" s="76"/>
      <c r="KVW58" s="76"/>
      <c r="KVX58" s="76"/>
      <c r="KVY58" s="76"/>
      <c r="KVZ58" s="76"/>
      <c r="KWA58" s="76"/>
      <c r="KWB58" s="76"/>
      <c r="KWC58" s="76"/>
      <c r="KWD58" s="76"/>
      <c r="KWE58" s="76"/>
      <c r="KWF58" s="76"/>
      <c r="KWG58" s="76"/>
      <c r="KWH58" s="76"/>
      <c r="KWI58" s="76"/>
      <c r="KWJ58" s="76"/>
      <c r="KWK58" s="76"/>
      <c r="KWL58" s="76"/>
      <c r="KWM58" s="76"/>
      <c r="KWN58" s="76"/>
      <c r="KWO58" s="76"/>
      <c r="KWP58" s="76"/>
      <c r="KWQ58" s="76"/>
      <c r="KWR58" s="76"/>
      <c r="KWS58" s="76"/>
      <c r="KWT58" s="76"/>
      <c r="KWU58" s="76"/>
      <c r="KWV58" s="76"/>
      <c r="KWW58" s="76"/>
      <c r="KWX58" s="76"/>
      <c r="KWY58" s="76"/>
      <c r="KWZ58" s="76"/>
      <c r="KXA58" s="76"/>
      <c r="KXB58" s="76"/>
      <c r="KXC58" s="76"/>
      <c r="KXD58" s="76"/>
      <c r="KXE58" s="76"/>
      <c r="KXF58" s="76"/>
      <c r="KXG58" s="76"/>
      <c r="KXH58" s="76"/>
      <c r="KXI58" s="76"/>
      <c r="KXJ58" s="76"/>
      <c r="KXK58" s="76"/>
      <c r="KXL58" s="76"/>
      <c r="KXM58" s="76"/>
      <c r="KXN58" s="76"/>
      <c r="KXO58" s="76"/>
      <c r="KXP58" s="76"/>
      <c r="KXQ58" s="76"/>
      <c r="KXR58" s="76"/>
      <c r="KXS58" s="76"/>
      <c r="KXT58" s="76"/>
      <c r="KXU58" s="76"/>
      <c r="KXV58" s="76"/>
      <c r="KXW58" s="76"/>
      <c r="KXX58" s="76"/>
      <c r="KXY58" s="76"/>
      <c r="KXZ58" s="76"/>
      <c r="KYA58" s="76"/>
      <c r="KYB58" s="76"/>
      <c r="KYC58" s="76"/>
      <c r="KYD58" s="76"/>
      <c r="KYE58" s="76"/>
      <c r="KYF58" s="76"/>
      <c r="KYG58" s="76"/>
      <c r="KYH58" s="76"/>
      <c r="KYI58" s="76"/>
      <c r="KYJ58" s="76"/>
      <c r="KYK58" s="76"/>
      <c r="KYL58" s="76"/>
      <c r="KYM58" s="76"/>
      <c r="KYN58" s="76"/>
      <c r="KYO58" s="76"/>
      <c r="KYP58" s="76"/>
      <c r="KYQ58" s="76"/>
      <c r="KYR58" s="76"/>
      <c r="KYS58" s="76"/>
      <c r="KYT58" s="76"/>
      <c r="KYU58" s="76"/>
      <c r="KYV58" s="76"/>
      <c r="KYW58" s="76"/>
      <c r="KYX58" s="76"/>
      <c r="KYY58" s="76"/>
      <c r="KYZ58" s="76"/>
      <c r="KZA58" s="76"/>
      <c r="KZB58" s="76"/>
      <c r="KZC58" s="76"/>
      <c r="KZD58" s="76"/>
      <c r="KZE58" s="76"/>
      <c r="KZF58" s="76"/>
      <c r="KZG58" s="76"/>
      <c r="KZH58" s="76"/>
      <c r="KZI58" s="76"/>
      <c r="KZJ58" s="76"/>
      <c r="KZK58" s="76"/>
      <c r="KZL58" s="76"/>
      <c r="KZM58" s="76"/>
      <c r="KZN58" s="76"/>
      <c r="KZO58" s="76"/>
      <c r="KZP58" s="76"/>
      <c r="KZQ58" s="76"/>
      <c r="KZR58" s="76"/>
      <c r="KZS58" s="76"/>
      <c r="KZT58" s="76"/>
      <c r="KZU58" s="76"/>
      <c r="KZV58" s="76"/>
      <c r="KZW58" s="76"/>
      <c r="KZX58" s="76"/>
      <c r="KZY58" s="76"/>
      <c r="KZZ58" s="76"/>
      <c r="LAA58" s="76"/>
      <c r="LAB58" s="76"/>
      <c r="LAC58" s="76"/>
      <c r="LAD58" s="76"/>
      <c r="LAE58" s="76"/>
      <c r="LAF58" s="76"/>
      <c r="LAG58" s="76"/>
      <c r="LAH58" s="76"/>
      <c r="LAI58" s="76"/>
      <c r="LAJ58" s="76"/>
      <c r="LAK58" s="76"/>
      <c r="LAL58" s="76"/>
      <c r="LAM58" s="76"/>
      <c r="LAN58" s="76"/>
      <c r="LAO58" s="76"/>
      <c r="LAP58" s="76"/>
      <c r="LAQ58" s="76"/>
      <c r="LAR58" s="76"/>
      <c r="LAS58" s="76"/>
      <c r="LAT58" s="76"/>
      <c r="LAU58" s="76"/>
      <c r="LAV58" s="76"/>
      <c r="LAW58" s="76"/>
      <c r="LAX58" s="76"/>
      <c r="LAY58" s="76"/>
      <c r="LAZ58" s="76"/>
      <c r="LBA58" s="76"/>
      <c r="LBB58" s="76"/>
      <c r="LBC58" s="76"/>
      <c r="LBD58" s="76"/>
      <c r="LBE58" s="76"/>
      <c r="LBF58" s="76"/>
      <c r="LBG58" s="76"/>
      <c r="LBH58" s="76"/>
      <c r="LBI58" s="76"/>
      <c r="LBJ58" s="76"/>
      <c r="LBK58" s="76"/>
      <c r="LBL58" s="76"/>
      <c r="LBM58" s="76"/>
      <c r="LBN58" s="76"/>
      <c r="LBO58" s="76"/>
      <c r="LBP58" s="76"/>
      <c r="LBQ58" s="76"/>
      <c r="LBR58" s="76"/>
      <c r="LBS58" s="76"/>
      <c r="LBT58" s="76"/>
      <c r="LBU58" s="76"/>
      <c r="LBV58" s="76"/>
      <c r="LBW58" s="76"/>
      <c r="LBX58" s="76"/>
      <c r="LBY58" s="76"/>
      <c r="LBZ58" s="76"/>
      <c r="LCA58" s="76"/>
      <c r="LCB58" s="76"/>
      <c r="LCC58" s="76"/>
      <c r="LCD58" s="76"/>
      <c r="LCE58" s="76"/>
      <c r="LCF58" s="76"/>
      <c r="LCG58" s="76"/>
      <c r="LCH58" s="76"/>
      <c r="LCI58" s="76"/>
      <c r="LCJ58" s="76"/>
      <c r="LCK58" s="76"/>
      <c r="LCL58" s="76"/>
      <c r="LCM58" s="76"/>
      <c r="LCN58" s="76"/>
      <c r="LCO58" s="76"/>
      <c r="LCP58" s="76"/>
      <c r="LCQ58" s="76"/>
      <c r="LCR58" s="76"/>
      <c r="LCS58" s="76"/>
      <c r="LCT58" s="76"/>
      <c r="LCU58" s="76"/>
      <c r="LCV58" s="76"/>
      <c r="LCW58" s="76"/>
      <c r="LCX58" s="76"/>
      <c r="LCY58" s="76"/>
      <c r="LCZ58" s="76"/>
      <c r="LDA58" s="76"/>
      <c r="LDB58" s="76"/>
      <c r="LDC58" s="76"/>
      <c r="LDD58" s="76"/>
      <c r="LDE58" s="76"/>
      <c r="LDF58" s="76"/>
      <c r="LDG58" s="76"/>
      <c r="LDH58" s="76"/>
      <c r="LDI58" s="76"/>
      <c r="LDJ58" s="76"/>
      <c r="LDK58" s="76"/>
      <c r="LDL58" s="76"/>
      <c r="LDM58" s="76"/>
      <c r="LDN58" s="76"/>
      <c r="LDO58" s="76"/>
      <c r="LDP58" s="76"/>
      <c r="LDQ58" s="76"/>
      <c r="LDR58" s="76"/>
      <c r="LDS58" s="76"/>
      <c r="LDT58" s="76"/>
      <c r="LDU58" s="76"/>
      <c r="LDV58" s="76"/>
      <c r="LDW58" s="76"/>
      <c r="LDX58" s="76"/>
      <c r="LDY58" s="76"/>
      <c r="LDZ58" s="76"/>
      <c r="LEA58" s="76"/>
      <c r="LEB58" s="76"/>
      <c r="LEC58" s="76"/>
      <c r="LED58" s="76"/>
      <c r="LEE58" s="76"/>
      <c r="LEF58" s="76"/>
      <c r="LEG58" s="76"/>
      <c r="LEH58" s="76"/>
      <c r="LEI58" s="76"/>
      <c r="LEJ58" s="76"/>
      <c r="LEK58" s="76"/>
      <c r="LEL58" s="76"/>
      <c r="LEM58" s="76"/>
      <c r="LEN58" s="76"/>
      <c r="LEO58" s="76"/>
      <c r="LEP58" s="76"/>
      <c r="LEQ58" s="76"/>
      <c r="LER58" s="76"/>
      <c r="LES58" s="76"/>
      <c r="LET58" s="76"/>
      <c r="LEU58" s="76"/>
      <c r="LEV58" s="76"/>
      <c r="LEW58" s="76"/>
      <c r="LEX58" s="76"/>
      <c r="LEY58" s="76"/>
      <c r="LEZ58" s="76"/>
      <c r="LFA58" s="76"/>
      <c r="LFB58" s="76"/>
      <c r="LFC58" s="76"/>
      <c r="LFD58" s="76"/>
      <c r="LFE58" s="76"/>
      <c r="LFF58" s="76"/>
      <c r="LFG58" s="76"/>
      <c r="LFH58" s="76"/>
      <c r="LFI58" s="76"/>
      <c r="LFJ58" s="76"/>
      <c r="LFK58" s="76"/>
      <c r="LFL58" s="76"/>
      <c r="LFM58" s="76"/>
      <c r="LFN58" s="76"/>
      <c r="LFO58" s="76"/>
      <c r="LFP58" s="76"/>
      <c r="LFQ58" s="76"/>
      <c r="LFR58" s="76"/>
      <c r="LFS58" s="76"/>
      <c r="LFT58" s="76"/>
      <c r="LFU58" s="76"/>
      <c r="LFV58" s="76"/>
      <c r="LFW58" s="76"/>
      <c r="LFX58" s="76"/>
      <c r="LFY58" s="76"/>
      <c r="LFZ58" s="76"/>
      <c r="LGA58" s="76"/>
      <c r="LGB58" s="76"/>
      <c r="LGC58" s="76"/>
      <c r="LGD58" s="76"/>
      <c r="LGE58" s="76"/>
      <c r="LGF58" s="76"/>
      <c r="LGG58" s="76"/>
      <c r="LGH58" s="76"/>
      <c r="LGI58" s="76"/>
      <c r="LGJ58" s="76"/>
      <c r="LGK58" s="76"/>
      <c r="LGL58" s="76"/>
      <c r="LGM58" s="76"/>
      <c r="LGN58" s="76"/>
      <c r="LGO58" s="76"/>
      <c r="LGP58" s="76"/>
      <c r="LGQ58" s="76"/>
      <c r="LGR58" s="76"/>
      <c r="LGS58" s="76"/>
      <c r="LGT58" s="76"/>
      <c r="LGU58" s="76"/>
      <c r="LGV58" s="76"/>
      <c r="LGW58" s="76"/>
      <c r="LGX58" s="76"/>
      <c r="LGY58" s="76"/>
      <c r="LGZ58" s="76"/>
      <c r="LHA58" s="76"/>
      <c r="LHB58" s="76"/>
      <c r="LHC58" s="76"/>
      <c r="LHD58" s="76"/>
      <c r="LHE58" s="76"/>
      <c r="LHF58" s="76"/>
      <c r="LHG58" s="76"/>
      <c r="LHH58" s="76"/>
      <c r="LHI58" s="76"/>
      <c r="LHJ58" s="76"/>
      <c r="LHK58" s="76"/>
      <c r="LHL58" s="76"/>
      <c r="LHM58" s="76"/>
      <c r="LHN58" s="76"/>
      <c r="LHO58" s="76"/>
      <c r="LHP58" s="76"/>
      <c r="LHQ58" s="76"/>
      <c r="LHR58" s="76"/>
      <c r="LHS58" s="76"/>
      <c r="LHT58" s="76"/>
      <c r="LHU58" s="76"/>
      <c r="LHV58" s="76"/>
      <c r="LHW58" s="76"/>
      <c r="LHX58" s="76"/>
      <c r="LHY58" s="76"/>
      <c r="LHZ58" s="76"/>
      <c r="LIA58" s="76"/>
      <c r="LIB58" s="76"/>
      <c r="LIC58" s="76"/>
      <c r="LID58" s="76"/>
      <c r="LIE58" s="76"/>
      <c r="LIF58" s="76"/>
      <c r="LIG58" s="76"/>
      <c r="LIH58" s="76"/>
      <c r="LII58" s="76"/>
      <c r="LIJ58" s="76"/>
      <c r="LIK58" s="76"/>
      <c r="LIL58" s="76"/>
      <c r="LIM58" s="76"/>
      <c r="LIN58" s="76"/>
      <c r="LIO58" s="76"/>
      <c r="LIP58" s="76"/>
      <c r="LIQ58" s="76"/>
      <c r="LIR58" s="76"/>
      <c r="LIS58" s="76"/>
      <c r="LIT58" s="76"/>
      <c r="LIU58" s="76"/>
      <c r="LIV58" s="76"/>
      <c r="LIW58" s="76"/>
      <c r="LIX58" s="76"/>
      <c r="LIY58" s="76"/>
      <c r="LIZ58" s="76"/>
      <c r="LJA58" s="76"/>
      <c r="LJB58" s="76"/>
      <c r="LJC58" s="76"/>
      <c r="LJD58" s="76"/>
      <c r="LJE58" s="76"/>
      <c r="LJF58" s="76"/>
      <c r="LJG58" s="76"/>
      <c r="LJH58" s="76"/>
      <c r="LJI58" s="76"/>
      <c r="LJJ58" s="76"/>
      <c r="LJK58" s="76"/>
      <c r="LJL58" s="76"/>
      <c r="LJM58" s="76"/>
      <c r="LJN58" s="76"/>
      <c r="LJO58" s="76"/>
      <c r="LJP58" s="76"/>
      <c r="LJQ58" s="76"/>
      <c r="LJR58" s="76"/>
      <c r="LJS58" s="76"/>
      <c r="LJT58" s="76"/>
      <c r="LJU58" s="76"/>
      <c r="LJV58" s="76"/>
      <c r="LJW58" s="76"/>
      <c r="LJX58" s="76"/>
      <c r="LJY58" s="76"/>
      <c r="LJZ58" s="76"/>
      <c r="LKA58" s="76"/>
      <c r="LKB58" s="76"/>
      <c r="LKC58" s="76"/>
      <c r="LKD58" s="76"/>
      <c r="LKE58" s="76"/>
      <c r="LKF58" s="76"/>
      <c r="LKG58" s="76"/>
      <c r="LKH58" s="76"/>
      <c r="LKI58" s="76"/>
      <c r="LKJ58" s="76"/>
      <c r="LKK58" s="76"/>
      <c r="LKL58" s="76"/>
      <c r="LKM58" s="76"/>
      <c r="LKN58" s="76"/>
      <c r="LKO58" s="76"/>
      <c r="LKP58" s="76"/>
      <c r="LKQ58" s="76"/>
      <c r="LKR58" s="76"/>
      <c r="LKS58" s="76"/>
      <c r="LKT58" s="76"/>
      <c r="LKU58" s="76"/>
      <c r="LKV58" s="76"/>
      <c r="LKW58" s="76"/>
      <c r="LKX58" s="76"/>
      <c r="LKY58" s="76"/>
      <c r="LKZ58" s="76"/>
      <c r="LLA58" s="76"/>
      <c r="LLB58" s="76"/>
      <c r="LLC58" s="76"/>
      <c r="LLD58" s="76"/>
      <c r="LLE58" s="76"/>
      <c r="LLF58" s="76"/>
      <c r="LLG58" s="76"/>
      <c r="LLH58" s="76"/>
      <c r="LLI58" s="76"/>
      <c r="LLJ58" s="76"/>
      <c r="LLK58" s="76"/>
      <c r="LLL58" s="76"/>
      <c r="LLM58" s="76"/>
      <c r="LLN58" s="76"/>
      <c r="LLO58" s="76"/>
      <c r="LLP58" s="76"/>
      <c r="LLQ58" s="76"/>
      <c r="LLR58" s="76"/>
      <c r="LLS58" s="76"/>
      <c r="LLT58" s="76"/>
      <c r="LLU58" s="76"/>
      <c r="LLV58" s="76"/>
      <c r="LLW58" s="76"/>
      <c r="LLX58" s="76"/>
      <c r="LLY58" s="76"/>
      <c r="LLZ58" s="76"/>
      <c r="LMA58" s="76"/>
      <c r="LMB58" s="76"/>
      <c r="LMC58" s="76"/>
      <c r="LMD58" s="76"/>
      <c r="LME58" s="76"/>
      <c r="LMF58" s="76"/>
      <c r="LMG58" s="76"/>
      <c r="LMH58" s="76"/>
      <c r="LMI58" s="76"/>
      <c r="LMJ58" s="76"/>
      <c r="LMK58" s="76"/>
      <c r="LML58" s="76"/>
      <c r="LMM58" s="76"/>
      <c r="LMN58" s="76"/>
      <c r="LMO58" s="76"/>
      <c r="LMP58" s="76"/>
      <c r="LMQ58" s="76"/>
      <c r="LMR58" s="76"/>
      <c r="LMS58" s="76"/>
      <c r="LMT58" s="76"/>
      <c r="LMU58" s="76"/>
      <c r="LMV58" s="76"/>
      <c r="LMW58" s="76"/>
      <c r="LMX58" s="76"/>
      <c r="LMY58" s="76"/>
      <c r="LMZ58" s="76"/>
      <c r="LNA58" s="76"/>
      <c r="LNB58" s="76"/>
      <c r="LNC58" s="76"/>
      <c r="LND58" s="76"/>
      <c r="LNE58" s="76"/>
      <c r="LNF58" s="76"/>
      <c r="LNG58" s="76"/>
      <c r="LNH58" s="76"/>
      <c r="LNI58" s="76"/>
      <c r="LNJ58" s="76"/>
      <c r="LNK58" s="76"/>
      <c r="LNL58" s="76"/>
      <c r="LNM58" s="76"/>
      <c r="LNN58" s="76"/>
      <c r="LNO58" s="76"/>
      <c r="LNP58" s="76"/>
      <c r="LNQ58" s="76"/>
      <c r="LNR58" s="76"/>
      <c r="LNS58" s="76"/>
      <c r="LNT58" s="76"/>
      <c r="LNU58" s="76"/>
      <c r="LNV58" s="76"/>
      <c r="LNW58" s="76"/>
      <c r="LNX58" s="76"/>
      <c r="LNY58" s="76"/>
      <c r="LNZ58" s="76"/>
      <c r="LOA58" s="76"/>
      <c r="LOB58" s="76"/>
      <c r="LOC58" s="76"/>
      <c r="LOD58" s="76"/>
      <c r="LOE58" s="76"/>
      <c r="LOF58" s="76"/>
      <c r="LOG58" s="76"/>
      <c r="LOH58" s="76"/>
      <c r="LOI58" s="76"/>
      <c r="LOJ58" s="76"/>
      <c r="LOK58" s="76"/>
      <c r="LOL58" s="76"/>
      <c r="LOM58" s="76"/>
      <c r="LON58" s="76"/>
      <c r="LOO58" s="76"/>
      <c r="LOP58" s="76"/>
      <c r="LOQ58" s="76"/>
      <c r="LOR58" s="76"/>
      <c r="LOS58" s="76"/>
      <c r="LOT58" s="76"/>
      <c r="LOU58" s="76"/>
      <c r="LOV58" s="76"/>
      <c r="LOW58" s="76"/>
      <c r="LOX58" s="76"/>
      <c r="LOY58" s="76"/>
      <c r="LOZ58" s="76"/>
      <c r="LPA58" s="76"/>
      <c r="LPB58" s="76"/>
      <c r="LPC58" s="76"/>
      <c r="LPD58" s="76"/>
      <c r="LPE58" s="76"/>
      <c r="LPF58" s="76"/>
      <c r="LPG58" s="76"/>
      <c r="LPH58" s="76"/>
      <c r="LPI58" s="76"/>
      <c r="LPJ58" s="76"/>
      <c r="LPK58" s="76"/>
      <c r="LPL58" s="76"/>
      <c r="LPM58" s="76"/>
      <c r="LPN58" s="76"/>
      <c r="LPO58" s="76"/>
      <c r="LPP58" s="76"/>
      <c r="LPQ58" s="76"/>
      <c r="LPR58" s="76"/>
      <c r="LPS58" s="76"/>
      <c r="LPT58" s="76"/>
      <c r="LPU58" s="76"/>
      <c r="LPV58" s="76"/>
      <c r="LPW58" s="76"/>
      <c r="LPX58" s="76"/>
      <c r="LPY58" s="76"/>
      <c r="LPZ58" s="76"/>
      <c r="LQA58" s="76"/>
      <c r="LQB58" s="76"/>
      <c r="LQC58" s="76"/>
      <c r="LQD58" s="76"/>
      <c r="LQE58" s="76"/>
      <c r="LQF58" s="76"/>
      <c r="LQG58" s="76"/>
      <c r="LQH58" s="76"/>
      <c r="LQI58" s="76"/>
      <c r="LQJ58" s="76"/>
      <c r="LQK58" s="76"/>
      <c r="LQL58" s="76"/>
      <c r="LQM58" s="76"/>
      <c r="LQN58" s="76"/>
      <c r="LQO58" s="76"/>
      <c r="LQP58" s="76"/>
      <c r="LQQ58" s="76"/>
      <c r="LQR58" s="76"/>
      <c r="LQS58" s="76"/>
      <c r="LQT58" s="76"/>
      <c r="LQU58" s="76"/>
      <c r="LQV58" s="76"/>
      <c r="LQW58" s="76"/>
      <c r="LQX58" s="76"/>
      <c r="LQY58" s="76"/>
      <c r="LQZ58" s="76"/>
      <c r="LRA58" s="76"/>
      <c r="LRB58" s="76"/>
      <c r="LRC58" s="76"/>
      <c r="LRD58" s="76"/>
      <c r="LRE58" s="76"/>
      <c r="LRF58" s="76"/>
      <c r="LRG58" s="76"/>
      <c r="LRH58" s="76"/>
      <c r="LRI58" s="76"/>
      <c r="LRJ58" s="76"/>
      <c r="LRK58" s="76"/>
      <c r="LRL58" s="76"/>
      <c r="LRM58" s="76"/>
      <c r="LRN58" s="76"/>
      <c r="LRO58" s="76"/>
      <c r="LRP58" s="76"/>
      <c r="LRQ58" s="76"/>
      <c r="LRR58" s="76"/>
      <c r="LRS58" s="76"/>
      <c r="LRT58" s="76"/>
      <c r="LRU58" s="76"/>
      <c r="LRV58" s="76"/>
      <c r="LRW58" s="76"/>
      <c r="LRX58" s="76"/>
      <c r="LRY58" s="76"/>
      <c r="LRZ58" s="76"/>
      <c r="LSA58" s="76"/>
      <c r="LSB58" s="76"/>
      <c r="LSC58" s="76"/>
      <c r="LSD58" s="76"/>
      <c r="LSE58" s="76"/>
      <c r="LSF58" s="76"/>
      <c r="LSG58" s="76"/>
      <c r="LSH58" s="76"/>
      <c r="LSI58" s="76"/>
      <c r="LSJ58" s="76"/>
      <c r="LSK58" s="76"/>
      <c r="LSL58" s="76"/>
      <c r="LSM58" s="76"/>
      <c r="LSN58" s="76"/>
      <c r="LSO58" s="76"/>
      <c r="LSP58" s="76"/>
      <c r="LSQ58" s="76"/>
      <c r="LSR58" s="76"/>
      <c r="LSS58" s="76"/>
      <c r="LST58" s="76"/>
      <c r="LSU58" s="76"/>
      <c r="LSV58" s="76"/>
      <c r="LSW58" s="76"/>
      <c r="LSX58" s="76"/>
      <c r="LSY58" s="76"/>
      <c r="LSZ58" s="76"/>
      <c r="LTA58" s="76"/>
      <c r="LTB58" s="76"/>
      <c r="LTC58" s="76"/>
      <c r="LTD58" s="76"/>
      <c r="LTE58" s="76"/>
      <c r="LTF58" s="76"/>
      <c r="LTG58" s="76"/>
      <c r="LTH58" s="76"/>
      <c r="LTI58" s="76"/>
      <c r="LTJ58" s="76"/>
      <c r="LTK58" s="76"/>
      <c r="LTL58" s="76"/>
      <c r="LTM58" s="76"/>
      <c r="LTN58" s="76"/>
      <c r="LTO58" s="76"/>
      <c r="LTP58" s="76"/>
      <c r="LTQ58" s="76"/>
      <c r="LTR58" s="76"/>
      <c r="LTS58" s="76"/>
      <c r="LTT58" s="76"/>
      <c r="LTU58" s="76"/>
      <c r="LTV58" s="76"/>
      <c r="LTW58" s="76"/>
      <c r="LTX58" s="76"/>
      <c r="LTY58" s="76"/>
      <c r="LTZ58" s="76"/>
      <c r="LUA58" s="76"/>
      <c r="LUB58" s="76"/>
      <c r="LUC58" s="76"/>
      <c r="LUD58" s="76"/>
      <c r="LUE58" s="76"/>
      <c r="LUF58" s="76"/>
      <c r="LUG58" s="76"/>
      <c r="LUH58" s="76"/>
      <c r="LUI58" s="76"/>
      <c r="LUJ58" s="76"/>
      <c r="LUK58" s="76"/>
      <c r="LUL58" s="76"/>
      <c r="LUM58" s="76"/>
      <c r="LUN58" s="76"/>
      <c r="LUO58" s="76"/>
      <c r="LUP58" s="76"/>
      <c r="LUQ58" s="76"/>
      <c r="LUR58" s="76"/>
      <c r="LUS58" s="76"/>
      <c r="LUT58" s="76"/>
      <c r="LUU58" s="76"/>
      <c r="LUV58" s="76"/>
      <c r="LUW58" s="76"/>
      <c r="LUX58" s="76"/>
      <c r="LUY58" s="76"/>
      <c r="LUZ58" s="76"/>
      <c r="LVA58" s="76"/>
      <c r="LVB58" s="76"/>
      <c r="LVC58" s="76"/>
      <c r="LVD58" s="76"/>
      <c r="LVE58" s="76"/>
      <c r="LVF58" s="76"/>
      <c r="LVG58" s="76"/>
      <c r="LVH58" s="76"/>
      <c r="LVI58" s="76"/>
      <c r="LVJ58" s="76"/>
      <c r="LVK58" s="76"/>
      <c r="LVL58" s="76"/>
      <c r="LVM58" s="76"/>
      <c r="LVN58" s="76"/>
      <c r="LVO58" s="76"/>
      <c r="LVP58" s="76"/>
      <c r="LVQ58" s="76"/>
      <c r="LVR58" s="76"/>
      <c r="LVS58" s="76"/>
      <c r="LVT58" s="76"/>
      <c r="LVU58" s="76"/>
      <c r="LVV58" s="76"/>
      <c r="LVW58" s="76"/>
      <c r="LVX58" s="76"/>
      <c r="LVY58" s="76"/>
      <c r="LVZ58" s="76"/>
      <c r="LWA58" s="76"/>
      <c r="LWB58" s="76"/>
      <c r="LWC58" s="76"/>
      <c r="LWD58" s="76"/>
      <c r="LWE58" s="76"/>
      <c r="LWF58" s="76"/>
      <c r="LWG58" s="76"/>
      <c r="LWH58" s="76"/>
      <c r="LWI58" s="76"/>
      <c r="LWJ58" s="76"/>
      <c r="LWK58" s="76"/>
      <c r="LWL58" s="76"/>
      <c r="LWM58" s="76"/>
      <c r="LWN58" s="76"/>
      <c r="LWO58" s="76"/>
      <c r="LWP58" s="76"/>
      <c r="LWQ58" s="76"/>
      <c r="LWR58" s="76"/>
      <c r="LWS58" s="76"/>
      <c r="LWT58" s="76"/>
      <c r="LWU58" s="76"/>
      <c r="LWV58" s="76"/>
      <c r="LWW58" s="76"/>
      <c r="LWX58" s="76"/>
      <c r="LWY58" s="76"/>
      <c r="LWZ58" s="76"/>
      <c r="LXA58" s="76"/>
      <c r="LXB58" s="76"/>
      <c r="LXC58" s="76"/>
      <c r="LXD58" s="76"/>
      <c r="LXE58" s="76"/>
      <c r="LXF58" s="76"/>
      <c r="LXG58" s="76"/>
      <c r="LXH58" s="76"/>
      <c r="LXI58" s="76"/>
      <c r="LXJ58" s="76"/>
      <c r="LXK58" s="76"/>
      <c r="LXL58" s="76"/>
      <c r="LXM58" s="76"/>
      <c r="LXN58" s="76"/>
      <c r="LXO58" s="76"/>
      <c r="LXP58" s="76"/>
      <c r="LXQ58" s="76"/>
      <c r="LXR58" s="76"/>
      <c r="LXS58" s="76"/>
      <c r="LXT58" s="76"/>
      <c r="LXU58" s="76"/>
      <c r="LXV58" s="76"/>
      <c r="LXW58" s="76"/>
      <c r="LXX58" s="76"/>
      <c r="LXY58" s="76"/>
      <c r="LXZ58" s="76"/>
      <c r="LYA58" s="76"/>
      <c r="LYB58" s="76"/>
      <c r="LYC58" s="76"/>
      <c r="LYD58" s="76"/>
      <c r="LYE58" s="76"/>
      <c r="LYF58" s="76"/>
      <c r="LYG58" s="76"/>
      <c r="LYH58" s="76"/>
      <c r="LYI58" s="76"/>
      <c r="LYJ58" s="76"/>
      <c r="LYK58" s="76"/>
      <c r="LYL58" s="76"/>
      <c r="LYM58" s="76"/>
      <c r="LYN58" s="76"/>
      <c r="LYO58" s="76"/>
      <c r="LYP58" s="76"/>
      <c r="LYQ58" s="76"/>
      <c r="LYR58" s="76"/>
      <c r="LYS58" s="76"/>
      <c r="LYT58" s="76"/>
      <c r="LYU58" s="76"/>
      <c r="LYV58" s="76"/>
      <c r="LYW58" s="76"/>
      <c r="LYX58" s="76"/>
      <c r="LYY58" s="76"/>
      <c r="LYZ58" s="76"/>
      <c r="LZA58" s="76"/>
      <c r="LZB58" s="76"/>
      <c r="LZC58" s="76"/>
      <c r="LZD58" s="76"/>
      <c r="LZE58" s="76"/>
      <c r="LZF58" s="76"/>
      <c r="LZG58" s="76"/>
      <c r="LZH58" s="76"/>
      <c r="LZI58" s="76"/>
      <c r="LZJ58" s="76"/>
      <c r="LZK58" s="76"/>
      <c r="LZL58" s="76"/>
      <c r="LZM58" s="76"/>
      <c r="LZN58" s="76"/>
      <c r="LZO58" s="76"/>
      <c r="LZP58" s="76"/>
      <c r="LZQ58" s="76"/>
      <c r="LZR58" s="76"/>
      <c r="LZS58" s="76"/>
      <c r="LZT58" s="76"/>
      <c r="LZU58" s="76"/>
      <c r="LZV58" s="76"/>
      <c r="LZW58" s="76"/>
      <c r="LZX58" s="76"/>
      <c r="LZY58" s="76"/>
      <c r="LZZ58" s="76"/>
      <c r="MAA58" s="76"/>
      <c r="MAB58" s="76"/>
      <c r="MAC58" s="76"/>
      <c r="MAD58" s="76"/>
      <c r="MAE58" s="76"/>
      <c r="MAF58" s="76"/>
      <c r="MAG58" s="76"/>
      <c r="MAH58" s="76"/>
      <c r="MAI58" s="76"/>
      <c r="MAJ58" s="76"/>
      <c r="MAK58" s="76"/>
      <c r="MAL58" s="76"/>
      <c r="MAM58" s="76"/>
      <c r="MAN58" s="76"/>
      <c r="MAO58" s="76"/>
      <c r="MAP58" s="76"/>
      <c r="MAQ58" s="76"/>
      <c r="MAR58" s="76"/>
      <c r="MAS58" s="76"/>
      <c r="MAT58" s="76"/>
      <c r="MAU58" s="76"/>
      <c r="MAV58" s="76"/>
      <c r="MAW58" s="76"/>
      <c r="MAX58" s="76"/>
      <c r="MAY58" s="76"/>
      <c r="MAZ58" s="76"/>
      <c r="MBA58" s="76"/>
      <c r="MBB58" s="76"/>
      <c r="MBC58" s="76"/>
      <c r="MBD58" s="76"/>
      <c r="MBE58" s="76"/>
      <c r="MBF58" s="76"/>
      <c r="MBG58" s="76"/>
      <c r="MBH58" s="76"/>
      <c r="MBI58" s="76"/>
      <c r="MBJ58" s="76"/>
      <c r="MBK58" s="76"/>
      <c r="MBL58" s="76"/>
      <c r="MBM58" s="76"/>
      <c r="MBN58" s="76"/>
      <c r="MBO58" s="76"/>
      <c r="MBP58" s="76"/>
      <c r="MBQ58" s="76"/>
      <c r="MBR58" s="76"/>
      <c r="MBS58" s="76"/>
      <c r="MBT58" s="76"/>
      <c r="MBU58" s="76"/>
      <c r="MBV58" s="76"/>
      <c r="MBW58" s="76"/>
      <c r="MBX58" s="76"/>
      <c r="MBY58" s="76"/>
      <c r="MBZ58" s="76"/>
      <c r="MCA58" s="76"/>
      <c r="MCB58" s="76"/>
      <c r="MCC58" s="76"/>
      <c r="MCD58" s="76"/>
      <c r="MCE58" s="76"/>
      <c r="MCF58" s="76"/>
      <c r="MCG58" s="76"/>
      <c r="MCH58" s="76"/>
      <c r="MCI58" s="76"/>
      <c r="MCJ58" s="76"/>
      <c r="MCK58" s="76"/>
      <c r="MCL58" s="76"/>
      <c r="MCM58" s="76"/>
      <c r="MCN58" s="76"/>
      <c r="MCO58" s="76"/>
      <c r="MCP58" s="76"/>
      <c r="MCQ58" s="76"/>
      <c r="MCR58" s="76"/>
      <c r="MCS58" s="76"/>
      <c r="MCT58" s="76"/>
      <c r="MCU58" s="76"/>
      <c r="MCV58" s="76"/>
      <c r="MCW58" s="76"/>
      <c r="MCX58" s="76"/>
      <c r="MCY58" s="76"/>
      <c r="MCZ58" s="76"/>
      <c r="MDA58" s="76"/>
      <c r="MDB58" s="76"/>
      <c r="MDC58" s="76"/>
      <c r="MDD58" s="76"/>
      <c r="MDE58" s="76"/>
      <c r="MDF58" s="76"/>
      <c r="MDG58" s="76"/>
      <c r="MDH58" s="76"/>
      <c r="MDI58" s="76"/>
      <c r="MDJ58" s="76"/>
      <c r="MDK58" s="76"/>
      <c r="MDL58" s="76"/>
      <c r="MDM58" s="76"/>
      <c r="MDN58" s="76"/>
      <c r="MDO58" s="76"/>
      <c r="MDP58" s="76"/>
      <c r="MDQ58" s="76"/>
      <c r="MDR58" s="76"/>
      <c r="MDS58" s="76"/>
      <c r="MDT58" s="76"/>
      <c r="MDU58" s="76"/>
      <c r="MDV58" s="76"/>
      <c r="MDW58" s="76"/>
      <c r="MDX58" s="76"/>
      <c r="MDY58" s="76"/>
      <c r="MDZ58" s="76"/>
      <c r="MEA58" s="76"/>
      <c r="MEB58" s="76"/>
      <c r="MEC58" s="76"/>
      <c r="MED58" s="76"/>
      <c r="MEE58" s="76"/>
      <c r="MEF58" s="76"/>
      <c r="MEG58" s="76"/>
      <c r="MEH58" s="76"/>
      <c r="MEI58" s="76"/>
      <c r="MEJ58" s="76"/>
      <c r="MEK58" s="76"/>
      <c r="MEL58" s="76"/>
      <c r="MEM58" s="76"/>
      <c r="MEN58" s="76"/>
      <c r="MEO58" s="76"/>
      <c r="MEP58" s="76"/>
      <c r="MEQ58" s="76"/>
      <c r="MER58" s="76"/>
      <c r="MES58" s="76"/>
      <c r="MET58" s="76"/>
      <c r="MEU58" s="76"/>
      <c r="MEV58" s="76"/>
      <c r="MEW58" s="76"/>
      <c r="MEX58" s="76"/>
      <c r="MEY58" s="76"/>
      <c r="MEZ58" s="76"/>
      <c r="MFA58" s="76"/>
      <c r="MFB58" s="76"/>
      <c r="MFC58" s="76"/>
      <c r="MFD58" s="76"/>
      <c r="MFE58" s="76"/>
      <c r="MFF58" s="76"/>
      <c r="MFG58" s="76"/>
      <c r="MFH58" s="76"/>
      <c r="MFI58" s="76"/>
      <c r="MFJ58" s="76"/>
      <c r="MFK58" s="76"/>
      <c r="MFL58" s="76"/>
      <c r="MFM58" s="76"/>
      <c r="MFN58" s="76"/>
      <c r="MFO58" s="76"/>
      <c r="MFP58" s="76"/>
      <c r="MFQ58" s="76"/>
      <c r="MFR58" s="76"/>
      <c r="MFS58" s="76"/>
      <c r="MFT58" s="76"/>
      <c r="MFU58" s="76"/>
      <c r="MFV58" s="76"/>
      <c r="MFW58" s="76"/>
      <c r="MFX58" s="76"/>
      <c r="MFY58" s="76"/>
      <c r="MFZ58" s="76"/>
      <c r="MGA58" s="76"/>
      <c r="MGB58" s="76"/>
      <c r="MGC58" s="76"/>
      <c r="MGD58" s="76"/>
      <c r="MGE58" s="76"/>
      <c r="MGF58" s="76"/>
      <c r="MGG58" s="76"/>
      <c r="MGH58" s="76"/>
      <c r="MGI58" s="76"/>
      <c r="MGJ58" s="76"/>
      <c r="MGK58" s="76"/>
      <c r="MGL58" s="76"/>
      <c r="MGM58" s="76"/>
      <c r="MGN58" s="76"/>
      <c r="MGO58" s="76"/>
      <c r="MGP58" s="76"/>
      <c r="MGQ58" s="76"/>
      <c r="MGR58" s="76"/>
      <c r="MGS58" s="76"/>
      <c r="MGT58" s="76"/>
      <c r="MGU58" s="76"/>
      <c r="MGV58" s="76"/>
      <c r="MGW58" s="76"/>
      <c r="MGX58" s="76"/>
      <c r="MGY58" s="76"/>
      <c r="MGZ58" s="76"/>
      <c r="MHA58" s="76"/>
      <c r="MHB58" s="76"/>
      <c r="MHC58" s="76"/>
      <c r="MHD58" s="76"/>
      <c r="MHE58" s="76"/>
      <c r="MHF58" s="76"/>
      <c r="MHG58" s="76"/>
      <c r="MHH58" s="76"/>
      <c r="MHI58" s="76"/>
      <c r="MHJ58" s="76"/>
      <c r="MHK58" s="76"/>
      <c r="MHL58" s="76"/>
      <c r="MHM58" s="76"/>
      <c r="MHN58" s="76"/>
      <c r="MHO58" s="76"/>
      <c r="MHP58" s="76"/>
      <c r="MHQ58" s="76"/>
      <c r="MHR58" s="76"/>
      <c r="MHS58" s="76"/>
      <c r="MHT58" s="76"/>
      <c r="MHU58" s="76"/>
      <c r="MHV58" s="76"/>
      <c r="MHW58" s="76"/>
      <c r="MHX58" s="76"/>
      <c r="MHY58" s="76"/>
      <c r="MHZ58" s="76"/>
      <c r="MIA58" s="76"/>
      <c r="MIB58" s="76"/>
      <c r="MIC58" s="76"/>
      <c r="MID58" s="76"/>
      <c r="MIE58" s="76"/>
      <c r="MIF58" s="76"/>
      <c r="MIG58" s="76"/>
      <c r="MIH58" s="76"/>
      <c r="MII58" s="76"/>
      <c r="MIJ58" s="76"/>
      <c r="MIK58" s="76"/>
      <c r="MIL58" s="76"/>
      <c r="MIM58" s="76"/>
      <c r="MIN58" s="76"/>
      <c r="MIO58" s="76"/>
      <c r="MIP58" s="76"/>
      <c r="MIQ58" s="76"/>
      <c r="MIR58" s="76"/>
      <c r="MIS58" s="76"/>
      <c r="MIT58" s="76"/>
      <c r="MIU58" s="76"/>
      <c r="MIV58" s="76"/>
      <c r="MIW58" s="76"/>
      <c r="MIX58" s="76"/>
      <c r="MIY58" s="76"/>
      <c r="MIZ58" s="76"/>
      <c r="MJA58" s="76"/>
      <c r="MJB58" s="76"/>
      <c r="MJC58" s="76"/>
      <c r="MJD58" s="76"/>
      <c r="MJE58" s="76"/>
      <c r="MJF58" s="76"/>
      <c r="MJG58" s="76"/>
      <c r="MJH58" s="76"/>
      <c r="MJI58" s="76"/>
      <c r="MJJ58" s="76"/>
      <c r="MJK58" s="76"/>
      <c r="MJL58" s="76"/>
      <c r="MJM58" s="76"/>
      <c r="MJN58" s="76"/>
      <c r="MJO58" s="76"/>
      <c r="MJP58" s="76"/>
      <c r="MJQ58" s="76"/>
      <c r="MJR58" s="76"/>
      <c r="MJS58" s="76"/>
      <c r="MJT58" s="76"/>
      <c r="MJU58" s="76"/>
      <c r="MJV58" s="76"/>
      <c r="MJW58" s="76"/>
      <c r="MJX58" s="76"/>
      <c r="MJY58" s="76"/>
      <c r="MJZ58" s="76"/>
      <c r="MKA58" s="76"/>
      <c r="MKB58" s="76"/>
      <c r="MKC58" s="76"/>
      <c r="MKD58" s="76"/>
      <c r="MKE58" s="76"/>
      <c r="MKF58" s="76"/>
      <c r="MKG58" s="76"/>
      <c r="MKH58" s="76"/>
      <c r="MKI58" s="76"/>
      <c r="MKJ58" s="76"/>
      <c r="MKK58" s="76"/>
      <c r="MKL58" s="76"/>
      <c r="MKM58" s="76"/>
      <c r="MKN58" s="76"/>
      <c r="MKO58" s="76"/>
      <c r="MKP58" s="76"/>
      <c r="MKQ58" s="76"/>
      <c r="MKR58" s="76"/>
      <c r="MKS58" s="76"/>
      <c r="MKT58" s="76"/>
      <c r="MKU58" s="76"/>
      <c r="MKV58" s="76"/>
      <c r="MKW58" s="76"/>
      <c r="MKX58" s="76"/>
      <c r="MKY58" s="76"/>
      <c r="MKZ58" s="76"/>
      <c r="MLA58" s="76"/>
      <c r="MLB58" s="76"/>
      <c r="MLC58" s="76"/>
      <c r="MLD58" s="76"/>
      <c r="MLE58" s="76"/>
      <c r="MLF58" s="76"/>
      <c r="MLG58" s="76"/>
      <c r="MLH58" s="76"/>
      <c r="MLI58" s="76"/>
      <c r="MLJ58" s="76"/>
      <c r="MLK58" s="76"/>
      <c r="MLL58" s="76"/>
      <c r="MLM58" s="76"/>
      <c r="MLN58" s="76"/>
      <c r="MLO58" s="76"/>
      <c r="MLP58" s="76"/>
      <c r="MLQ58" s="76"/>
      <c r="MLR58" s="76"/>
      <c r="MLS58" s="76"/>
      <c r="MLT58" s="76"/>
      <c r="MLU58" s="76"/>
      <c r="MLV58" s="76"/>
      <c r="MLW58" s="76"/>
      <c r="MLX58" s="76"/>
      <c r="MLY58" s="76"/>
      <c r="MLZ58" s="76"/>
      <c r="MMA58" s="76"/>
      <c r="MMB58" s="76"/>
      <c r="MMC58" s="76"/>
      <c r="MMD58" s="76"/>
      <c r="MME58" s="76"/>
      <c r="MMF58" s="76"/>
      <c r="MMG58" s="76"/>
      <c r="MMH58" s="76"/>
      <c r="MMI58" s="76"/>
      <c r="MMJ58" s="76"/>
      <c r="MMK58" s="76"/>
      <c r="MML58" s="76"/>
      <c r="MMM58" s="76"/>
      <c r="MMN58" s="76"/>
      <c r="MMO58" s="76"/>
      <c r="MMP58" s="76"/>
      <c r="MMQ58" s="76"/>
      <c r="MMR58" s="76"/>
      <c r="MMS58" s="76"/>
      <c r="MMT58" s="76"/>
      <c r="MMU58" s="76"/>
      <c r="MMV58" s="76"/>
      <c r="MMW58" s="76"/>
      <c r="MMX58" s="76"/>
      <c r="MMY58" s="76"/>
      <c r="MMZ58" s="76"/>
      <c r="MNA58" s="76"/>
      <c r="MNB58" s="76"/>
      <c r="MNC58" s="76"/>
      <c r="MND58" s="76"/>
      <c r="MNE58" s="76"/>
      <c r="MNF58" s="76"/>
      <c r="MNG58" s="76"/>
      <c r="MNH58" s="76"/>
      <c r="MNI58" s="76"/>
      <c r="MNJ58" s="76"/>
      <c r="MNK58" s="76"/>
      <c r="MNL58" s="76"/>
      <c r="MNM58" s="76"/>
      <c r="MNN58" s="76"/>
      <c r="MNO58" s="76"/>
      <c r="MNP58" s="76"/>
      <c r="MNQ58" s="76"/>
      <c r="MNR58" s="76"/>
      <c r="MNS58" s="76"/>
      <c r="MNT58" s="76"/>
      <c r="MNU58" s="76"/>
      <c r="MNV58" s="76"/>
      <c r="MNW58" s="76"/>
      <c r="MNX58" s="76"/>
      <c r="MNY58" s="76"/>
      <c r="MNZ58" s="76"/>
      <c r="MOA58" s="76"/>
      <c r="MOB58" s="76"/>
      <c r="MOC58" s="76"/>
      <c r="MOD58" s="76"/>
      <c r="MOE58" s="76"/>
      <c r="MOF58" s="76"/>
      <c r="MOG58" s="76"/>
      <c r="MOH58" s="76"/>
      <c r="MOI58" s="76"/>
      <c r="MOJ58" s="76"/>
      <c r="MOK58" s="76"/>
      <c r="MOL58" s="76"/>
      <c r="MOM58" s="76"/>
      <c r="MON58" s="76"/>
      <c r="MOO58" s="76"/>
      <c r="MOP58" s="76"/>
      <c r="MOQ58" s="76"/>
      <c r="MOR58" s="76"/>
      <c r="MOS58" s="76"/>
      <c r="MOT58" s="76"/>
      <c r="MOU58" s="76"/>
      <c r="MOV58" s="76"/>
      <c r="MOW58" s="76"/>
      <c r="MOX58" s="76"/>
      <c r="MOY58" s="76"/>
      <c r="MOZ58" s="76"/>
      <c r="MPA58" s="76"/>
      <c r="MPB58" s="76"/>
      <c r="MPC58" s="76"/>
      <c r="MPD58" s="76"/>
      <c r="MPE58" s="76"/>
      <c r="MPF58" s="76"/>
      <c r="MPG58" s="76"/>
      <c r="MPH58" s="76"/>
      <c r="MPI58" s="76"/>
      <c r="MPJ58" s="76"/>
      <c r="MPK58" s="76"/>
      <c r="MPL58" s="76"/>
      <c r="MPM58" s="76"/>
      <c r="MPN58" s="76"/>
      <c r="MPO58" s="76"/>
      <c r="MPP58" s="76"/>
      <c r="MPQ58" s="76"/>
      <c r="MPR58" s="76"/>
      <c r="MPS58" s="76"/>
      <c r="MPT58" s="76"/>
      <c r="MPU58" s="76"/>
      <c r="MPV58" s="76"/>
      <c r="MPW58" s="76"/>
      <c r="MPX58" s="76"/>
      <c r="MPY58" s="76"/>
      <c r="MPZ58" s="76"/>
      <c r="MQA58" s="76"/>
      <c r="MQB58" s="76"/>
      <c r="MQC58" s="76"/>
      <c r="MQD58" s="76"/>
      <c r="MQE58" s="76"/>
      <c r="MQF58" s="76"/>
      <c r="MQG58" s="76"/>
      <c r="MQH58" s="76"/>
      <c r="MQI58" s="76"/>
      <c r="MQJ58" s="76"/>
      <c r="MQK58" s="76"/>
      <c r="MQL58" s="76"/>
      <c r="MQM58" s="76"/>
      <c r="MQN58" s="76"/>
      <c r="MQO58" s="76"/>
      <c r="MQP58" s="76"/>
      <c r="MQQ58" s="76"/>
      <c r="MQR58" s="76"/>
      <c r="MQS58" s="76"/>
      <c r="MQT58" s="76"/>
      <c r="MQU58" s="76"/>
      <c r="MQV58" s="76"/>
      <c r="MQW58" s="76"/>
      <c r="MQX58" s="76"/>
      <c r="MQY58" s="76"/>
      <c r="MQZ58" s="76"/>
      <c r="MRA58" s="76"/>
      <c r="MRB58" s="76"/>
      <c r="MRC58" s="76"/>
      <c r="MRD58" s="76"/>
      <c r="MRE58" s="76"/>
      <c r="MRF58" s="76"/>
      <c r="MRG58" s="76"/>
      <c r="MRH58" s="76"/>
      <c r="MRI58" s="76"/>
      <c r="MRJ58" s="76"/>
      <c r="MRK58" s="76"/>
      <c r="MRL58" s="76"/>
      <c r="MRM58" s="76"/>
      <c r="MRN58" s="76"/>
      <c r="MRO58" s="76"/>
      <c r="MRP58" s="76"/>
      <c r="MRQ58" s="76"/>
      <c r="MRR58" s="76"/>
      <c r="MRS58" s="76"/>
      <c r="MRT58" s="76"/>
      <c r="MRU58" s="76"/>
      <c r="MRV58" s="76"/>
      <c r="MRW58" s="76"/>
      <c r="MRX58" s="76"/>
      <c r="MRY58" s="76"/>
      <c r="MRZ58" s="76"/>
      <c r="MSA58" s="76"/>
      <c r="MSB58" s="76"/>
      <c r="MSC58" s="76"/>
      <c r="MSD58" s="76"/>
      <c r="MSE58" s="76"/>
      <c r="MSF58" s="76"/>
      <c r="MSG58" s="76"/>
      <c r="MSH58" s="76"/>
      <c r="MSI58" s="76"/>
      <c r="MSJ58" s="76"/>
      <c r="MSK58" s="76"/>
      <c r="MSL58" s="76"/>
      <c r="MSM58" s="76"/>
      <c r="MSN58" s="76"/>
      <c r="MSO58" s="76"/>
      <c r="MSP58" s="76"/>
      <c r="MSQ58" s="76"/>
      <c r="MSR58" s="76"/>
      <c r="MSS58" s="76"/>
      <c r="MST58" s="76"/>
      <c r="MSU58" s="76"/>
      <c r="MSV58" s="76"/>
      <c r="MSW58" s="76"/>
      <c r="MSX58" s="76"/>
      <c r="MSY58" s="76"/>
      <c r="MSZ58" s="76"/>
      <c r="MTA58" s="76"/>
      <c r="MTB58" s="76"/>
      <c r="MTC58" s="76"/>
      <c r="MTD58" s="76"/>
      <c r="MTE58" s="76"/>
      <c r="MTF58" s="76"/>
      <c r="MTG58" s="76"/>
      <c r="MTH58" s="76"/>
      <c r="MTI58" s="76"/>
      <c r="MTJ58" s="76"/>
      <c r="MTK58" s="76"/>
      <c r="MTL58" s="76"/>
      <c r="MTM58" s="76"/>
      <c r="MTN58" s="76"/>
      <c r="MTO58" s="76"/>
      <c r="MTP58" s="76"/>
      <c r="MTQ58" s="76"/>
      <c r="MTR58" s="76"/>
      <c r="MTS58" s="76"/>
      <c r="MTT58" s="76"/>
      <c r="MTU58" s="76"/>
      <c r="MTV58" s="76"/>
      <c r="MTW58" s="76"/>
      <c r="MTX58" s="76"/>
      <c r="MTY58" s="76"/>
      <c r="MTZ58" s="76"/>
      <c r="MUA58" s="76"/>
      <c r="MUB58" s="76"/>
      <c r="MUC58" s="76"/>
      <c r="MUD58" s="76"/>
      <c r="MUE58" s="76"/>
      <c r="MUF58" s="76"/>
      <c r="MUG58" s="76"/>
      <c r="MUH58" s="76"/>
      <c r="MUI58" s="76"/>
      <c r="MUJ58" s="76"/>
      <c r="MUK58" s="76"/>
      <c r="MUL58" s="76"/>
      <c r="MUM58" s="76"/>
      <c r="MUN58" s="76"/>
      <c r="MUO58" s="76"/>
      <c r="MUP58" s="76"/>
      <c r="MUQ58" s="76"/>
      <c r="MUR58" s="76"/>
      <c r="MUS58" s="76"/>
      <c r="MUT58" s="76"/>
      <c r="MUU58" s="76"/>
      <c r="MUV58" s="76"/>
      <c r="MUW58" s="76"/>
      <c r="MUX58" s="76"/>
      <c r="MUY58" s="76"/>
      <c r="MUZ58" s="76"/>
      <c r="MVA58" s="76"/>
      <c r="MVB58" s="76"/>
      <c r="MVC58" s="76"/>
      <c r="MVD58" s="76"/>
      <c r="MVE58" s="76"/>
      <c r="MVF58" s="76"/>
      <c r="MVG58" s="76"/>
      <c r="MVH58" s="76"/>
      <c r="MVI58" s="76"/>
      <c r="MVJ58" s="76"/>
      <c r="MVK58" s="76"/>
      <c r="MVL58" s="76"/>
      <c r="MVM58" s="76"/>
      <c r="MVN58" s="76"/>
      <c r="MVO58" s="76"/>
      <c r="MVP58" s="76"/>
      <c r="MVQ58" s="76"/>
      <c r="MVR58" s="76"/>
      <c r="MVS58" s="76"/>
      <c r="MVT58" s="76"/>
      <c r="MVU58" s="76"/>
      <c r="MVV58" s="76"/>
      <c r="MVW58" s="76"/>
      <c r="MVX58" s="76"/>
      <c r="MVY58" s="76"/>
      <c r="MVZ58" s="76"/>
      <c r="MWA58" s="76"/>
      <c r="MWB58" s="76"/>
      <c r="MWC58" s="76"/>
      <c r="MWD58" s="76"/>
      <c r="MWE58" s="76"/>
      <c r="MWF58" s="76"/>
      <c r="MWG58" s="76"/>
      <c r="MWH58" s="76"/>
      <c r="MWI58" s="76"/>
      <c r="MWJ58" s="76"/>
      <c r="MWK58" s="76"/>
      <c r="MWL58" s="76"/>
      <c r="MWM58" s="76"/>
      <c r="MWN58" s="76"/>
      <c r="MWO58" s="76"/>
      <c r="MWP58" s="76"/>
      <c r="MWQ58" s="76"/>
      <c r="MWR58" s="76"/>
      <c r="MWS58" s="76"/>
      <c r="MWT58" s="76"/>
      <c r="MWU58" s="76"/>
      <c r="MWV58" s="76"/>
      <c r="MWW58" s="76"/>
      <c r="MWX58" s="76"/>
      <c r="MWY58" s="76"/>
      <c r="MWZ58" s="76"/>
      <c r="MXA58" s="76"/>
      <c r="MXB58" s="76"/>
      <c r="MXC58" s="76"/>
      <c r="MXD58" s="76"/>
      <c r="MXE58" s="76"/>
      <c r="MXF58" s="76"/>
      <c r="MXG58" s="76"/>
      <c r="MXH58" s="76"/>
      <c r="MXI58" s="76"/>
      <c r="MXJ58" s="76"/>
      <c r="MXK58" s="76"/>
      <c r="MXL58" s="76"/>
      <c r="MXM58" s="76"/>
      <c r="MXN58" s="76"/>
      <c r="MXO58" s="76"/>
      <c r="MXP58" s="76"/>
      <c r="MXQ58" s="76"/>
      <c r="MXR58" s="76"/>
      <c r="MXS58" s="76"/>
      <c r="MXT58" s="76"/>
      <c r="MXU58" s="76"/>
      <c r="MXV58" s="76"/>
      <c r="MXW58" s="76"/>
      <c r="MXX58" s="76"/>
      <c r="MXY58" s="76"/>
      <c r="MXZ58" s="76"/>
      <c r="MYA58" s="76"/>
      <c r="MYB58" s="76"/>
      <c r="MYC58" s="76"/>
      <c r="MYD58" s="76"/>
      <c r="MYE58" s="76"/>
      <c r="MYF58" s="76"/>
      <c r="MYG58" s="76"/>
      <c r="MYH58" s="76"/>
      <c r="MYI58" s="76"/>
      <c r="MYJ58" s="76"/>
      <c r="MYK58" s="76"/>
      <c r="MYL58" s="76"/>
      <c r="MYM58" s="76"/>
      <c r="MYN58" s="76"/>
      <c r="MYO58" s="76"/>
      <c r="MYP58" s="76"/>
      <c r="MYQ58" s="76"/>
      <c r="MYR58" s="76"/>
      <c r="MYS58" s="76"/>
      <c r="MYT58" s="76"/>
      <c r="MYU58" s="76"/>
      <c r="MYV58" s="76"/>
      <c r="MYW58" s="76"/>
      <c r="MYX58" s="76"/>
      <c r="MYY58" s="76"/>
      <c r="MYZ58" s="76"/>
      <c r="MZA58" s="76"/>
      <c r="MZB58" s="76"/>
      <c r="MZC58" s="76"/>
      <c r="MZD58" s="76"/>
      <c r="MZE58" s="76"/>
      <c r="MZF58" s="76"/>
      <c r="MZG58" s="76"/>
      <c r="MZH58" s="76"/>
      <c r="MZI58" s="76"/>
      <c r="MZJ58" s="76"/>
      <c r="MZK58" s="76"/>
      <c r="MZL58" s="76"/>
      <c r="MZM58" s="76"/>
      <c r="MZN58" s="76"/>
      <c r="MZO58" s="76"/>
      <c r="MZP58" s="76"/>
      <c r="MZQ58" s="76"/>
      <c r="MZR58" s="76"/>
      <c r="MZS58" s="76"/>
      <c r="MZT58" s="76"/>
      <c r="MZU58" s="76"/>
      <c r="MZV58" s="76"/>
      <c r="MZW58" s="76"/>
      <c r="MZX58" s="76"/>
      <c r="MZY58" s="76"/>
      <c r="MZZ58" s="76"/>
      <c r="NAA58" s="76"/>
      <c r="NAB58" s="76"/>
      <c r="NAC58" s="76"/>
      <c r="NAD58" s="76"/>
      <c r="NAE58" s="76"/>
      <c r="NAF58" s="76"/>
      <c r="NAG58" s="76"/>
      <c r="NAH58" s="76"/>
      <c r="NAI58" s="76"/>
      <c r="NAJ58" s="76"/>
      <c r="NAK58" s="76"/>
      <c r="NAL58" s="76"/>
      <c r="NAM58" s="76"/>
      <c r="NAN58" s="76"/>
      <c r="NAO58" s="76"/>
      <c r="NAP58" s="76"/>
      <c r="NAQ58" s="76"/>
      <c r="NAR58" s="76"/>
      <c r="NAS58" s="76"/>
      <c r="NAT58" s="76"/>
      <c r="NAU58" s="76"/>
      <c r="NAV58" s="76"/>
      <c r="NAW58" s="76"/>
      <c r="NAX58" s="76"/>
      <c r="NAY58" s="76"/>
      <c r="NAZ58" s="76"/>
      <c r="NBA58" s="76"/>
      <c r="NBB58" s="76"/>
      <c r="NBC58" s="76"/>
      <c r="NBD58" s="76"/>
      <c r="NBE58" s="76"/>
      <c r="NBF58" s="76"/>
      <c r="NBG58" s="76"/>
      <c r="NBH58" s="76"/>
      <c r="NBI58" s="76"/>
      <c r="NBJ58" s="76"/>
      <c r="NBK58" s="76"/>
      <c r="NBL58" s="76"/>
      <c r="NBM58" s="76"/>
      <c r="NBN58" s="76"/>
      <c r="NBO58" s="76"/>
      <c r="NBP58" s="76"/>
      <c r="NBQ58" s="76"/>
      <c r="NBR58" s="76"/>
      <c r="NBS58" s="76"/>
      <c r="NBT58" s="76"/>
      <c r="NBU58" s="76"/>
      <c r="NBV58" s="76"/>
      <c r="NBW58" s="76"/>
      <c r="NBX58" s="76"/>
      <c r="NBY58" s="76"/>
      <c r="NBZ58" s="76"/>
      <c r="NCA58" s="76"/>
      <c r="NCB58" s="76"/>
      <c r="NCC58" s="76"/>
      <c r="NCD58" s="76"/>
      <c r="NCE58" s="76"/>
      <c r="NCF58" s="76"/>
      <c r="NCG58" s="76"/>
      <c r="NCH58" s="76"/>
      <c r="NCI58" s="76"/>
      <c r="NCJ58" s="76"/>
      <c r="NCK58" s="76"/>
      <c r="NCL58" s="76"/>
      <c r="NCM58" s="76"/>
      <c r="NCN58" s="76"/>
      <c r="NCO58" s="76"/>
      <c r="NCP58" s="76"/>
      <c r="NCQ58" s="76"/>
      <c r="NCR58" s="76"/>
      <c r="NCS58" s="76"/>
      <c r="NCT58" s="76"/>
      <c r="NCU58" s="76"/>
      <c r="NCV58" s="76"/>
      <c r="NCW58" s="76"/>
      <c r="NCX58" s="76"/>
      <c r="NCY58" s="76"/>
      <c r="NCZ58" s="76"/>
      <c r="NDA58" s="76"/>
      <c r="NDB58" s="76"/>
      <c r="NDC58" s="76"/>
      <c r="NDD58" s="76"/>
      <c r="NDE58" s="76"/>
      <c r="NDF58" s="76"/>
      <c r="NDG58" s="76"/>
      <c r="NDH58" s="76"/>
      <c r="NDI58" s="76"/>
      <c r="NDJ58" s="76"/>
      <c r="NDK58" s="76"/>
      <c r="NDL58" s="76"/>
      <c r="NDM58" s="76"/>
      <c r="NDN58" s="76"/>
      <c r="NDO58" s="76"/>
      <c r="NDP58" s="76"/>
      <c r="NDQ58" s="76"/>
      <c r="NDR58" s="76"/>
      <c r="NDS58" s="76"/>
      <c r="NDT58" s="76"/>
      <c r="NDU58" s="76"/>
      <c r="NDV58" s="76"/>
      <c r="NDW58" s="76"/>
      <c r="NDX58" s="76"/>
      <c r="NDY58" s="76"/>
      <c r="NDZ58" s="76"/>
      <c r="NEA58" s="76"/>
      <c r="NEB58" s="76"/>
      <c r="NEC58" s="76"/>
      <c r="NED58" s="76"/>
      <c r="NEE58" s="76"/>
      <c r="NEF58" s="76"/>
      <c r="NEG58" s="76"/>
      <c r="NEH58" s="76"/>
      <c r="NEI58" s="76"/>
      <c r="NEJ58" s="76"/>
      <c r="NEK58" s="76"/>
      <c r="NEL58" s="76"/>
      <c r="NEM58" s="76"/>
      <c r="NEN58" s="76"/>
      <c r="NEO58" s="76"/>
      <c r="NEP58" s="76"/>
      <c r="NEQ58" s="76"/>
      <c r="NER58" s="76"/>
      <c r="NES58" s="76"/>
      <c r="NET58" s="76"/>
      <c r="NEU58" s="76"/>
      <c r="NEV58" s="76"/>
      <c r="NEW58" s="76"/>
      <c r="NEX58" s="76"/>
      <c r="NEY58" s="76"/>
      <c r="NEZ58" s="76"/>
      <c r="NFA58" s="76"/>
      <c r="NFB58" s="76"/>
      <c r="NFC58" s="76"/>
      <c r="NFD58" s="76"/>
      <c r="NFE58" s="76"/>
      <c r="NFF58" s="76"/>
      <c r="NFG58" s="76"/>
      <c r="NFH58" s="76"/>
      <c r="NFI58" s="76"/>
      <c r="NFJ58" s="76"/>
      <c r="NFK58" s="76"/>
      <c r="NFL58" s="76"/>
      <c r="NFM58" s="76"/>
      <c r="NFN58" s="76"/>
      <c r="NFO58" s="76"/>
      <c r="NFP58" s="76"/>
      <c r="NFQ58" s="76"/>
      <c r="NFR58" s="76"/>
      <c r="NFS58" s="76"/>
      <c r="NFT58" s="76"/>
      <c r="NFU58" s="76"/>
      <c r="NFV58" s="76"/>
      <c r="NFW58" s="76"/>
      <c r="NFX58" s="76"/>
      <c r="NFY58" s="76"/>
      <c r="NFZ58" s="76"/>
      <c r="NGA58" s="76"/>
      <c r="NGB58" s="76"/>
      <c r="NGC58" s="76"/>
      <c r="NGD58" s="76"/>
      <c r="NGE58" s="76"/>
      <c r="NGF58" s="76"/>
      <c r="NGG58" s="76"/>
      <c r="NGH58" s="76"/>
      <c r="NGI58" s="76"/>
      <c r="NGJ58" s="76"/>
      <c r="NGK58" s="76"/>
      <c r="NGL58" s="76"/>
      <c r="NGM58" s="76"/>
      <c r="NGN58" s="76"/>
      <c r="NGO58" s="76"/>
      <c r="NGP58" s="76"/>
      <c r="NGQ58" s="76"/>
      <c r="NGR58" s="76"/>
      <c r="NGS58" s="76"/>
      <c r="NGT58" s="76"/>
      <c r="NGU58" s="76"/>
      <c r="NGV58" s="76"/>
      <c r="NGW58" s="76"/>
      <c r="NGX58" s="76"/>
      <c r="NGY58" s="76"/>
      <c r="NGZ58" s="76"/>
      <c r="NHA58" s="76"/>
      <c r="NHB58" s="76"/>
      <c r="NHC58" s="76"/>
      <c r="NHD58" s="76"/>
      <c r="NHE58" s="76"/>
      <c r="NHF58" s="76"/>
      <c r="NHG58" s="76"/>
      <c r="NHH58" s="76"/>
      <c r="NHI58" s="76"/>
      <c r="NHJ58" s="76"/>
      <c r="NHK58" s="76"/>
      <c r="NHL58" s="76"/>
      <c r="NHM58" s="76"/>
      <c r="NHN58" s="76"/>
      <c r="NHO58" s="76"/>
      <c r="NHP58" s="76"/>
      <c r="NHQ58" s="76"/>
      <c r="NHR58" s="76"/>
      <c r="NHS58" s="76"/>
      <c r="NHT58" s="76"/>
      <c r="NHU58" s="76"/>
      <c r="NHV58" s="76"/>
      <c r="NHW58" s="76"/>
      <c r="NHX58" s="76"/>
      <c r="NHY58" s="76"/>
      <c r="NHZ58" s="76"/>
      <c r="NIA58" s="76"/>
      <c r="NIB58" s="76"/>
      <c r="NIC58" s="76"/>
      <c r="NID58" s="76"/>
      <c r="NIE58" s="76"/>
      <c r="NIF58" s="76"/>
      <c r="NIG58" s="76"/>
      <c r="NIH58" s="76"/>
      <c r="NII58" s="76"/>
      <c r="NIJ58" s="76"/>
      <c r="NIK58" s="76"/>
      <c r="NIL58" s="76"/>
      <c r="NIM58" s="76"/>
      <c r="NIN58" s="76"/>
      <c r="NIO58" s="76"/>
      <c r="NIP58" s="76"/>
      <c r="NIQ58" s="76"/>
      <c r="NIR58" s="76"/>
      <c r="NIS58" s="76"/>
      <c r="NIT58" s="76"/>
      <c r="NIU58" s="76"/>
      <c r="NIV58" s="76"/>
      <c r="NIW58" s="76"/>
      <c r="NIX58" s="76"/>
      <c r="NIY58" s="76"/>
      <c r="NIZ58" s="76"/>
      <c r="NJA58" s="76"/>
      <c r="NJB58" s="76"/>
      <c r="NJC58" s="76"/>
      <c r="NJD58" s="76"/>
      <c r="NJE58" s="76"/>
      <c r="NJF58" s="76"/>
      <c r="NJG58" s="76"/>
      <c r="NJH58" s="76"/>
      <c r="NJI58" s="76"/>
      <c r="NJJ58" s="76"/>
      <c r="NJK58" s="76"/>
      <c r="NJL58" s="76"/>
      <c r="NJM58" s="76"/>
      <c r="NJN58" s="76"/>
      <c r="NJO58" s="76"/>
      <c r="NJP58" s="76"/>
      <c r="NJQ58" s="76"/>
      <c r="NJR58" s="76"/>
      <c r="NJS58" s="76"/>
      <c r="NJT58" s="76"/>
      <c r="NJU58" s="76"/>
      <c r="NJV58" s="76"/>
      <c r="NJW58" s="76"/>
      <c r="NJX58" s="76"/>
      <c r="NJY58" s="76"/>
      <c r="NJZ58" s="76"/>
      <c r="NKA58" s="76"/>
      <c r="NKB58" s="76"/>
      <c r="NKC58" s="76"/>
      <c r="NKD58" s="76"/>
      <c r="NKE58" s="76"/>
      <c r="NKF58" s="76"/>
      <c r="NKG58" s="76"/>
      <c r="NKH58" s="76"/>
      <c r="NKI58" s="76"/>
      <c r="NKJ58" s="76"/>
      <c r="NKK58" s="76"/>
      <c r="NKL58" s="76"/>
      <c r="NKM58" s="76"/>
      <c r="NKN58" s="76"/>
      <c r="NKO58" s="76"/>
      <c r="NKP58" s="76"/>
      <c r="NKQ58" s="76"/>
      <c r="NKR58" s="76"/>
      <c r="NKS58" s="76"/>
      <c r="NKT58" s="76"/>
      <c r="NKU58" s="76"/>
      <c r="NKV58" s="76"/>
      <c r="NKW58" s="76"/>
      <c r="NKX58" s="76"/>
      <c r="NKY58" s="76"/>
      <c r="NKZ58" s="76"/>
      <c r="NLA58" s="76"/>
      <c r="NLB58" s="76"/>
      <c r="NLC58" s="76"/>
      <c r="NLD58" s="76"/>
      <c r="NLE58" s="76"/>
      <c r="NLF58" s="76"/>
      <c r="NLG58" s="76"/>
      <c r="NLH58" s="76"/>
      <c r="NLI58" s="76"/>
      <c r="NLJ58" s="76"/>
      <c r="NLK58" s="76"/>
      <c r="NLL58" s="76"/>
      <c r="NLM58" s="76"/>
      <c r="NLN58" s="76"/>
      <c r="NLO58" s="76"/>
      <c r="NLP58" s="76"/>
      <c r="NLQ58" s="76"/>
      <c r="NLR58" s="76"/>
      <c r="NLS58" s="76"/>
      <c r="NLT58" s="76"/>
      <c r="NLU58" s="76"/>
      <c r="NLV58" s="76"/>
      <c r="NLW58" s="76"/>
      <c r="NLX58" s="76"/>
      <c r="NLY58" s="76"/>
      <c r="NLZ58" s="76"/>
      <c r="NMA58" s="76"/>
      <c r="NMB58" s="76"/>
      <c r="NMC58" s="76"/>
      <c r="NMD58" s="76"/>
      <c r="NME58" s="76"/>
      <c r="NMF58" s="76"/>
      <c r="NMG58" s="76"/>
      <c r="NMH58" s="76"/>
      <c r="NMI58" s="76"/>
      <c r="NMJ58" s="76"/>
      <c r="NMK58" s="76"/>
      <c r="NML58" s="76"/>
      <c r="NMM58" s="76"/>
      <c r="NMN58" s="76"/>
      <c r="NMO58" s="76"/>
      <c r="NMP58" s="76"/>
      <c r="NMQ58" s="76"/>
      <c r="NMR58" s="76"/>
      <c r="NMS58" s="76"/>
      <c r="NMT58" s="76"/>
      <c r="NMU58" s="76"/>
      <c r="NMV58" s="76"/>
      <c r="NMW58" s="76"/>
      <c r="NMX58" s="76"/>
      <c r="NMY58" s="76"/>
      <c r="NMZ58" s="76"/>
      <c r="NNA58" s="76"/>
      <c r="NNB58" s="76"/>
      <c r="NNC58" s="76"/>
      <c r="NND58" s="76"/>
      <c r="NNE58" s="76"/>
      <c r="NNF58" s="76"/>
      <c r="NNG58" s="76"/>
      <c r="NNH58" s="76"/>
      <c r="NNI58" s="76"/>
      <c r="NNJ58" s="76"/>
      <c r="NNK58" s="76"/>
      <c r="NNL58" s="76"/>
      <c r="NNM58" s="76"/>
      <c r="NNN58" s="76"/>
      <c r="NNO58" s="76"/>
      <c r="NNP58" s="76"/>
      <c r="NNQ58" s="76"/>
      <c r="NNR58" s="76"/>
      <c r="NNS58" s="76"/>
      <c r="NNT58" s="76"/>
      <c r="NNU58" s="76"/>
      <c r="NNV58" s="76"/>
      <c r="NNW58" s="76"/>
      <c r="NNX58" s="76"/>
      <c r="NNY58" s="76"/>
      <c r="NNZ58" s="76"/>
      <c r="NOA58" s="76"/>
      <c r="NOB58" s="76"/>
      <c r="NOC58" s="76"/>
      <c r="NOD58" s="76"/>
      <c r="NOE58" s="76"/>
      <c r="NOF58" s="76"/>
      <c r="NOG58" s="76"/>
      <c r="NOH58" s="76"/>
      <c r="NOI58" s="76"/>
      <c r="NOJ58" s="76"/>
      <c r="NOK58" s="76"/>
      <c r="NOL58" s="76"/>
      <c r="NOM58" s="76"/>
      <c r="NON58" s="76"/>
      <c r="NOO58" s="76"/>
      <c r="NOP58" s="76"/>
      <c r="NOQ58" s="76"/>
      <c r="NOR58" s="76"/>
      <c r="NOS58" s="76"/>
      <c r="NOT58" s="76"/>
      <c r="NOU58" s="76"/>
      <c r="NOV58" s="76"/>
      <c r="NOW58" s="76"/>
      <c r="NOX58" s="76"/>
      <c r="NOY58" s="76"/>
      <c r="NOZ58" s="76"/>
      <c r="NPA58" s="76"/>
      <c r="NPB58" s="76"/>
      <c r="NPC58" s="76"/>
      <c r="NPD58" s="76"/>
      <c r="NPE58" s="76"/>
      <c r="NPF58" s="76"/>
      <c r="NPG58" s="76"/>
      <c r="NPH58" s="76"/>
      <c r="NPI58" s="76"/>
      <c r="NPJ58" s="76"/>
      <c r="NPK58" s="76"/>
      <c r="NPL58" s="76"/>
      <c r="NPM58" s="76"/>
      <c r="NPN58" s="76"/>
      <c r="NPO58" s="76"/>
      <c r="NPP58" s="76"/>
      <c r="NPQ58" s="76"/>
      <c r="NPR58" s="76"/>
      <c r="NPS58" s="76"/>
      <c r="NPT58" s="76"/>
      <c r="NPU58" s="76"/>
      <c r="NPV58" s="76"/>
      <c r="NPW58" s="76"/>
      <c r="NPX58" s="76"/>
      <c r="NPY58" s="76"/>
      <c r="NPZ58" s="76"/>
      <c r="NQA58" s="76"/>
      <c r="NQB58" s="76"/>
      <c r="NQC58" s="76"/>
      <c r="NQD58" s="76"/>
      <c r="NQE58" s="76"/>
      <c r="NQF58" s="76"/>
      <c r="NQG58" s="76"/>
      <c r="NQH58" s="76"/>
      <c r="NQI58" s="76"/>
      <c r="NQJ58" s="76"/>
      <c r="NQK58" s="76"/>
      <c r="NQL58" s="76"/>
      <c r="NQM58" s="76"/>
      <c r="NQN58" s="76"/>
      <c r="NQO58" s="76"/>
      <c r="NQP58" s="76"/>
      <c r="NQQ58" s="76"/>
      <c r="NQR58" s="76"/>
      <c r="NQS58" s="76"/>
      <c r="NQT58" s="76"/>
      <c r="NQU58" s="76"/>
      <c r="NQV58" s="76"/>
      <c r="NQW58" s="76"/>
      <c r="NQX58" s="76"/>
      <c r="NQY58" s="76"/>
      <c r="NQZ58" s="76"/>
      <c r="NRA58" s="76"/>
      <c r="NRB58" s="76"/>
      <c r="NRC58" s="76"/>
      <c r="NRD58" s="76"/>
      <c r="NRE58" s="76"/>
      <c r="NRF58" s="76"/>
      <c r="NRG58" s="76"/>
      <c r="NRH58" s="76"/>
      <c r="NRI58" s="76"/>
      <c r="NRJ58" s="76"/>
      <c r="NRK58" s="76"/>
      <c r="NRL58" s="76"/>
      <c r="NRM58" s="76"/>
      <c r="NRN58" s="76"/>
      <c r="NRO58" s="76"/>
      <c r="NRP58" s="76"/>
      <c r="NRQ58" s="76"/>
      <c r="NRR58" s="76"/>
      <c r="NRS58" s="76"/>
      <c r="NRT58" s="76"/>
      <c r="NRU58" s="76"/>
      <c r="NRV58" s="76"/>
      <c r="NRW58" s="76"/>
      <c r="NRX58" s="76"/>
      <c r="NRY58" s="76"/>
      <c r="NRZ58" s="76"/>
      <c r="NSA58" s="76"/>
      <c r="NSB58" s="76"/>
      <c r="NSC58" s="76"/>
      <c r="NSD58" s="76"/>
      <c r="NSE58" s="76"/>
      <c r="NSF58" s="76"/>
      <c r="NSG58" s="76"/>
      <c r="NSH58" s="76"/>
      <c r="NSI58" s="76"/>
      <c r="NSJ58" s="76"/>
      <c r="NSK58" s="76"/>
      <c r="NSL58" s="76"/>
      <c r="NSM58" s="76"/>
      <c r="NSN58" s="76"/>
      <c r="NSO58" s="76"/>
      <c r="NSP58" s="76"/>
      <c r="NSQ58" s="76"/>
      <c r="NSR58" s="76"/>
      <c r="NSS58" s="76"/>
      <c r="NST58" s="76"/>
      <c r="NSU58" s="76"/>
      <c r="NSV58" s="76"/>
      <c r="NSW58" s="76"/>
      <c r="NSX58" s="76"/>
      <c r="NSY58" s="76"/>
      <c r="NSZ58" s="76"/>
      <c r="NTA58" s="76"/>
      <c r="NTB58" s="76"/>
      <c r="NTC58" s="76"/>
      <c r="NTD58" s="76"/>
      <c r="NTE58" s="76"/>
      <c r="NTF58" s="76"/>
      <c r="NTG58" s="76"/>
      <c r="NTH58" s="76"/>
      <c r="NTI58" s="76"/>
      <c r="NTJ58" s="76"/>
      <c r="NTK58" s="76"/>
      <c r="NTL58" s="76"/>
      <c r="NTM58" s="76"/>
      <c r="NTN58" s="76"/>
      <c r="NTO58" s="76"/>
      <c r="NTP58" s="76"/>
      <c r="NTQ58" s="76"/>
      <c r="NTR58" s="76"/>
      <c r="NTS58" s="76"/>
      <c r="NTT58" s="76"/>
      <c r="NTU58" s="76"/>
      <c r="NTV58" s="76"/>
      <c r="NTW58" s="76"/>
      <c r="NTX58" s="76"/>
      <c r="NTY58" s="76"/>
      <c r="NTZ58" s="76"/>
      <c r="NUA58" s="76"/>
      <c r="NUB58" s="76"/>
      <c r="NUC58" s="76"/>
      <c r="NUD58" s="76"/>
      <c r="NUE58" s="76"/>
      <c r="NUF58" s="76"/>
      <c r="NUG58" s="76"/>
      <c r="NUH58" s="76"/>
      <c r="NUI58" s="76"/>
      <c r="NUJ58" s="76"/>
      <c r="NUK58" s="76"/>
      <c r="NUL58" s="76"/>
      <c r="NUM58" s="76"/>
      <c r="NUN58" s="76"/>
      <c r="NUO58" s="76"/>
      <c r="NUP58" s="76"/>
      <c r="NUQ58" s="76"/>
      <c r="NUR58" s="76"/>
      <c r="NUS58" s="76"/>
      <c r="NUT58" s="76"/>
      <c r="NUU58" s="76"/>
      <c r="NUV58" s="76"/>
      <c r="NUW58" s="76"/>
      <c r="NUX58" s="76"/>
      <c r="NUY58" s="76"/>
      <c r="NUZ58" s="76"/>
      <c r="NVA58" s="76"/>
      <c r="NVB58" s="76"/>
      <c r="NVC58" s="76"/>
      <c r="NVD58" s="76"/>
      <c r="NVE58" s="76"/>
      <c r="NVF58" s="76"/>
      <c r="NVG58" s="76"/>
      <c r="NVH58" s="76"/>
      <c r="NVI58" s="76"/>
      <c r="NVJ58" s="76"/>
      <c r="NVK58" s="76"/>
      <c r="NVL58" s="76"/>
      <c r="NVM58" s="76"/>
      <c r="NVN58" s="76"/>
      <c r="NVO58" s="76"/>
      <c r="NVP58" s="76"/>
      <c r="NVQ58" s="76"/>
      <c r="NVR58" s="76"/>
      <c r="NVS58" s="76"/>
      <c r="NVT58" s="76"/>
      <c r="NVU58" s="76"/>
      <c r="NVV58" s="76"/>
      <c r="NVW58" s="76"/>
      <c r="NVX58" s="76"/>
      <c r="NVY58" s="76"/>
      <c r="NVZ58" s="76"/>
      <c r="NWA58" s="76"/>
      <c r="NWB58" s="76"/>
      <c r="NWC58" s="76"/>
      <c r="NWD58" s="76"/>
      <c r="NWE58" s="76"/>
      <c r="NWF58" s="76"/>
      <c r="NWG58" s="76"/>
      <c r="NWH58" s="76"/>
      <c r="NWI58" s="76"/>
      <c r="NWJ58" s="76"/>
      <c r="NWK58" s="76"/>
      <c r="NWL58" s="76"/>
      <c r="NWM58" s="76"/>
      <c r="NWN58" s="76"/>
      <c r="NWO58" s="76"/>
      <c r="NWP58" s="76"/>
      <c r="NWQ58" s="76"/>
      <c r="NWR58" s="76"/>
      <c r="NWS58" s="76"/>
      <c r="NWT58" s="76"/>
      <c r="NWU58" s="76"/>
      <c r="NWV58" s="76"/>
      <c r="NWW58" s="76"/>
      <c r="NWX58" s="76"/>
      <c r="NWY58" s="76"/>
      <c r="NWZ58" s="76"/>
      <c r="NXA58" s="76"/>
      <c r="NXB58" s="76"/>
      <c r="NXC58" s="76"/>
      <c r="NXD58" s="76"/>
      <c r="NXE58" s="76"/>
      <c r="NXF58" s="76"/>
      <c r="NXG58" s="76"/>
      <c r="NXH58" s="76"/>
      <c r="NXI58" s="76"/>
      <c r="NXJ58" s="76"/>
      <c r="NXK58" s="76"/>
      <c r="NXL58" s="76"/>
      <c r="NXM58" s="76"/>
      <c r="NXN58" s="76"/>
      <c r="NXO58" s="76"/>
      <c r="NXP58" s="76"/>
      <c r="NXQ58" s="76"/>
      <c r="NXR58" s="76"/>
      <c r="NXS58" s="76"/>
      <c r="NXT58" s="76"/>
      <c r="NXU58" s="76"/>
      <c r="NXV58" s="76"/>
      <c r="NXW58" s="76"/>
      <c r="NXX58" s="76"/>
      <c r="NXY58" s="76"/>
      <c r="NXZ58" s="76"/>
      <c r="NYA58" s="76"/>
      <c r="NYB58" s="76"/>
      <c r="NYC58" s="76"/>
      <c r="NYD58" s="76"/>
      <c r="NYE58" s="76"/>
      <c r="NYF58" s="76"/>
      <c r="NYG58" s="76"/>
      <c r="NYH58" s="76"/>
      <c r="NYI58" s="76"/>
      <c r="NYJ58" s="76"/>
      <c r="NYK58" s="76"/>
      <c r="NYL58" s="76"/>
      <c r="NYM58" s="76"/>
      <c r="NYN58" s="76"/>
      <c r="NYO58" s="76"/>
      <c r="NYP58" s="76"/>
      <c r="NYQ58" s="76"/>
      <c r="NYR58" s="76"/>
      <c r="NYS58" s="76"/>
      <c r="NYT58" s="76"/>
      <c r="NYU58" s="76"/>
      <c r="NYV58" s="76"/>
      <c r="NYW58" s="76"/>
      <c r="NYX58" s="76"/>
      <c r="NYY58" s="76"/>
      <c r="NYZ58" s="76"/>
      <c r="NZA58" s="76"/>
      <c r="NZB58" s="76"/>
      <c r="NZC58" s="76"/>
      <c r="NZD58" s="76"/>
      <c r="NZE58" s="76"/>
      <c r="NZF58" s="76"/>
      <c r="NZG58" s="76"/>
      <c r="NZH58" s="76"/>
      <c r="NZI58" s="76"/>
      <c r="NZJ58" s="76"/>
      <c r="NZK58" s="76"/>
      <c r="NZL58" s="76"/>
      <c r="NZM58" s="76"/>
      <c r="NZN58" s="76"/>
      <c r="NZO58" s="76"/>
      <c r="NZP58" s="76"/>
      <c r="NZQ58" s="76"/>
      <c r="NZR58" s="76"/>
      <c r="NZS58" s="76"/>
      <c r="NZT58" s="76"/>
      <c r="NZU58" s="76"/>
      <c r="NZV58" s="76"/>
      <c r="NZW58" s="76"/>
      <c r="NZX58" s="76"/>
      <c r="NZY58" s="76"/>
      <c r="NZZ58" s="76"/>
      <c r="OAA58" s="76"/>
      <c r="OAB58" s="76"/>
      <c r="OAC58" s="76"/>
      <c r="OAD58" s="76"/>
      <c r="OAE58" s="76"/>
      <c r="OAF58" s="76"/>
      <c r="OAG58" s="76"/>
      <c r="OAH58" s="76"/>
      <c r="OAI58" s="76"/>
      <c r="OAJ58" s="76"/>
      <c r="OAK58" s="76"/>
      <c r="OAL58" s="76"/>
      <c r="OAM58" s="76"/>
      <c r="OAN58" s="76"/>
      <c r="OAO58" s="76"/>
      <c r="OAP58" s="76"/>
      <c r="OAQ58" s="76"/>
      <c r="OAR58" s="76"/>
      <c r="OAS58" s="76"/>
      <c r="OAT58" s="76"/>
      <c r="OAU58" s="76"/>
      <c r="OAV58" s="76"/>
      <c r="OAW58" s="76"/>
      <c r="OAX58" s="76"/>
      <c r="OAY58" s="76"/>
      <c r="OAZ58" s="76"/>
      <c r="OBA58" s="76"/>
      <c r="OBB58" s="76"/>
      <c r="OBC58" s="76"/>
      <c r="OBD58" s="76"/>
      <c r="OBE58" s="76"/>
      <c r="OBF58" s="76"/>
      <c r="OBG58" s="76"/>
      <c r="OBH58" s="76"/>
      <c r="OBI58" s="76"/>
      <c r="OBJ58" s="76"/>
      <c r="OBK58" s="76"/>
      <c r="OBL58" s="76"/>
      <c r="OBM58" s="76"/>
      <c r="OBN58" s="76"/>
      <c r="OBO58" s="76"/>
      <c r="OBP58" s="76"/>
      <c r="OBQ58" s="76"/>
      <c r="OBR58" s="76"/>
      <c r="OBS58" s="76"/>
      <c r="OBT58" s="76"/>
      <c r="OBU58" s="76"/>
      <c r="OBV58" s="76"/>
      <c r="OBW58" s="76"/>
      <c r="OBX58" s="76"/>
      <c r="OBY58" s="76"/>
      <c r="OBZ58" s="76"/>
      <c r="OCA58" s="76"/>
      <c r="OCB58" s="76"/>
      <c r="OCC58" s="76"/>
      <c r="OCD58" s="76"/>
      <c r="OCE58" s="76"/>
      <c r="OCF58" s="76"/>
      <c r="OCG58" s="76"/>
      <c r="OCH58" s="76"/>
      <c r="OCI58" s="76"/>
      <c r="OCJ58" s="76"/>
      <c r="OCK58" s="76"/>
      <c r="OCL58" s="76"/>
      <c r="OCM58" s="76"/>
      <c r="OCN58" s="76"/>
      <c r="OCO58" s="76"/>
      <c r="OCP58" s="76"/>
      <c r="OCQ58" s="76"/>
      <c r="OCR58" s="76"/>
      <c r="OCS58" s="76"/>
      <c r="OCT58" s="76"/>
      <c r="OCU58" s="76"/>
      <c r="OCV58" s="76"/>
      <c r="OCW58" s="76"/>
      <c r="OCX58" s="76"/>
      <c r="OCY58" s="76"/>
      <c r="OCZ58" s="76"/>
      <c r="ODA58" s="76"/>
      <c r="ODB58" s="76"/>
      <c r="ODC58" s="76"/>
      <c r="ODD58" s="76"/>
      <c r="ODE58" s="76"/>
      <c r="ODF58" s="76"/>
      <c r="ODG58" s="76"/>
      <c r="ODH58" s="76"/>
      <c r="ODI58" s="76"/>
      <c r="ODJ58" s="76"/>
      <c r="ODK58" s="76"/>
      <c r="ODL58" s="76"/>
      <c r="ODM58" s="76"/>
      <c r="ODN58" s="76"/>
      <c r="ODO58" s="76"/>
      <c r="ODP58" s="76"/>
      <c r="ODQ58" s="76"/>
      <c r="ODR58" s="76"/>
      <c r="ODS58" s="76"/>
      <c r="ODT58" s="76"/>
      <c r="ODU58" s="76"/>
      <c r="ODV58" s="76"/>
      <c r="ODW58" s="76"/>
      <c r="ODX58" s="76"/>
      <c r="ODY58" s="76"/>
      <c r="ODZ58" s="76"/>
      <c r="OEA58" s="76"/>
      <c r="OEB58" s="76"/>
      <c r="OEC58" s="76"/>
      <c r="OED58" s="76"/>
      <c r="OEE58" s="76"/>
      <c r="OEF58" s="76"/>
      <c r="OEG58" s="76"/>
      <c r="OEH58" s="76"/>
      <c r="OEI58" s="76"/>
      <c r="OEJ58" s="76"/>
      <c r="OEK58" s="76"/>
      <c r="OEL58" s="76"/>
      <c r="OEM58" s="76"/>
      <c r="OEN58" s="76"/>
      <c r="OEO58" s="76"/>
      <c r="OEP58" s="76"/>
      <c r="OEQ58" s="76"/>
      <c r="OER58" s="76"/>
      <c r="OES58" s="76"/>
      <c r="OET58" s="76"/>
      <c r="OEU58" s="76"/>
      <c r="OEV58" s="76"/>
      <c r="OEW58" s="76"/>
      <c r="OEX58" s="76"/>
      <c r="OEY58" s="76"/>
      <c r="OEZ58" s="76"/>
      <c r="OFA58" s="76"/>
      <c r="OFB58" s="76"/>
      <c r="OFC58" s="76"/>
      <c r="OFD58" s="76"/>
      <c r="OFE58" s="76"/>
      <c r="OFF58" s="76"/>
      <c r="OFG58" s="76"/>
      <c r="OFH58" s="76"/>
      <c r="OFI58" s="76"/>
      <c r="OFJ58" s="76"/>
      <c r="OFK58" s="76"/>
      <c r="OFL58" s="76"/>
      <c r="OFM58" s="76"/>
      <c r="OFN58" s="76"/>
      <c r="OFO58" s="76"/>
      <c r="OFP58" s="76"/>
      <c r="OFQ58" s="76"/>
      <c r="OFR58" s="76"/>
      <c r="OFS58" s="76"/>
      <c r="OFT58" s="76"/>
      <c r="OFU58" s="76"/>
      <c r="OFV58" s="76"/>
      <c r="OFW58" s="76"/>
      <c r="OFX58" s="76"/>
      <c r="OFY58" s="76"/>
      <c r="OFZ58" s="76"/>
      <c r="OGA58" s="76"/>
      <c r="OGB58" s="76"/>
      <c r="OGC58" s="76"/>
      <c r="OGD58" s="76"/>
      <c r="OGE58" s="76"/>
      <c r="OGF58" s="76"/>
      <c r="OGG58" s="76"/>
      <c r="OGH58" s="76"/>
      <c r="OGI58" s="76"/>
      <c r="OGJ58" s="76"/>
      <c r="OGK58" s="76"/>
      <c r="OGL58" s="76"/>
      <c r="OGM58" s="76"/>
      <c r="OGN58" s="76"/>
      <c r="OGO58" s="76"/>
      <c r="OGP58" s="76"/>
      <c r="OGQ58" s="76"/>
      <c r="OGR58" s="76"/>
      <c r="OGS58" s="76"/>
      <c r="OGT58" s="76"/>
      <c r="OGU58" s="76"/>
      <c r="OGV58" s="76"/>
      <c r="OGW58" s="76"/>
      <c r="OGX58" s="76"/>
      <c r="OGY58" s="76"/>
      <c r="OGZ58" s="76"/>
      <c r="OHA58" s="76"/>
      <c r="OHB58" s="76"/>
      <c r="OHC58" s="76"/>
      <c r="OHD58" s="76"/>
      <c r="OHE58" s="76"/>
      <c r="OHF58" s="76"/>
      <c r="OHG58" s="76"/>
      <c r="OHH58" s="76"/>
      <c r="OHI58" s="76"/>
      <c r="OHJ58" s="76"/>
      <c r="OHK58" s="76"/>
      <c r="OHL58" s="76"/>
      <c r="OHM58" s="76"/>
      <c r="OHN58" s="76"/>
      <c r="OHO58" s="76"/>
      <c r="OHP58" s="76"/>
      <c r="OHQ58" s="76"/>
      <c r="OHR58" s="76"/>
      <c r="OHS58" s="76"/>
      <c r="OHT58" s="76"/>
      <c r="OHU58" s="76"/>
      <c r="OHV58" s="76"/>
      <c r="OHW58" s="76"/>
      <c r="OHX58" s="76"/>
      <c r="OHY58" s="76"/>
      <c r="OHZ58" s="76"/>
      <c r="OIA58" s="76"/>
      <c r="OIB58" s="76"/>
      <c r="OIC58" s="76"/>
      <c r="OID58" s="76"/>
      <c r="OIE58" s="76"/>
      <c r="OIF58" s="76"/>
      <c r="OIG58" s="76"/>
      <c r="OIH58" s="76"/>
      <c r="OII58" s="76"/>
      <c r="OIJ58" s="76"/>
      <c r="OIK58" s="76"/>
      <c r="OIL58" s="76"/>
      <c r="OIM58" s="76"/>
      <c r="OIN58" s="76"/>
      <c r="OIO58" s="76"/>
      <c r="OIP58" s="76"/>
      <c r="OIQ58" s="76"/>
      <c r="OIR58" s="76"/>
      <c r="OIS58" s="76"/>
      <c r="OIT58" s="76"/>
      <c r="OIU58" s="76"/>
      <c r="OIV58" s="76"/>
      <c r="OIW58" s="76"/>
      <c r="OIX58" s="76"/>
      <c r="OIY58" s="76"/>
      <c r="OIZ58" s="76"/>
      <c r="OJA58" s="76"/>
      <c r="OJB58" s="76"/>
      <c r="OJC58" s="76"/>
      <c r="OJD58" s="76"/>
      <c r="OJE58" s="76"/>
      <c r="OJF58" s="76"/>
      <c r="OJG58" s="76"/>
      <c r="OJH58" s="76"/>
      <c r="OJI58" s="76"/>
      <c r="OJJ58" s="76"/>
      <c r="OJK58" s="76"/>
      <c r="OJL58" s="76"/>
      <c r="OJM58" s="76"/>
      <c r="OJN58" s="76"/>
      <c r="OJO58" s="76"/>
      <c r="OJP58" s="76"/>
      <c r="OJQ58" s="76"/>
      <c r="OJR58" s="76"/>
      <c r="OJS58" s="76"/>
      <c r="OJT58" s="76"/>
      <c r="OJU58" s="76"/>
      <c r="OJV58" s="76"/>
      <c r="OJW58" s="76"/>
      <c r="OJX58" s="76"/>
      <c r="OJY58" s="76"/>
      <c r="OJZ58" s="76"/>
      <c r="OKA58" s="76"/>
      <c r="OKB58" s="76"/>
      <c r="OKC58" s="76"/>
      <c r="OKD58" s="76"/>
      <c r="OKE58" s="76"/>
      <c r="OKF58" s="76"/>
      <c r="OKG58" s="76"/>
      <c r="OKH58" s="76"/>
      <c r="OKI58" s="76"/>
      <c r="OKJ58" s="76"/>
      <c r="OKK58" s="76"/>
      <c r="OKL58" s="76"/>
      <c r="OKM58" s="76"/>
      <c r="OKN58" s="76"/>
      <c r="OKO58" s="76"/>
      <c r="OKP58" s="76"/>
      <c r="OKQ58" s="76"/>
      <c r="OKR58" s="76"/>
      <c r="OKS58" s="76"/>
      <c r="OKT58" s="76"/>
      <c r="OKU58" s="76"/>
      <c r="OKV58" s="76"/>
      <c r="OKW58" s="76"/>
      <c r="OKX58" s="76"/>
      <c r="OKY58" s="76"/>
      <c r="OKZ58" s="76"/>
      <c r="OLA58" s="76"/>
      <c r="OLB58" s="76"/>
      <c r="OLC58" s="76"/>
      <c r="OLD58" s="76"/>
      <c r="OLE58" s="76"/>
      <c r="OLF58" s="76"/>
      <c r="OLG58" s="76"/>
      <c r="OLH58" s="76"/>
      <c r="OLI58" s="76"/>
      <c r="OLJ58" s="76"/>
      <c r="OLK58" s="76"/>
      <c r="OLL58" s="76"/>
      <c r="OLM58" s="76"/>
      <c r="OLN58" s="76"/>
      <c r="OLO58" s="76"/>
      <c r="OLP58" s="76"/>
      <c r="OLQ58" s="76"/>
      <c r="OLR58" s="76"/>
      <c r="OLS58" s="76"/>
      <c r="OLT58" s="76"/>
      <c r="OLU58" s="76"/>
      <c r="OLV58" s="76"/>
      <c r="OLW58" s="76"/>
      <c r="OLX58" s="76"/>
      <c r="OLY58" s="76"/>
      <c r="OLZ58" s="76"/>
      <c r="OMA58" s="76"/>
      <c r="OMB58" s="76"/>
      <c r="OMC58" s="76"/>
      <c r="OMD58" s="76"/>
      <c r="OME58" s="76"/>
      <c r="OMF58" s="76"/>
      <c r="OMG58" s="76"/>
      <c r="OMH58" s="76"/>
      <c r="OMI58" s="76"/>
      <c r="OMJ58" s="76"/>
      <c r="OMK58" s="76"/>
      <c r="OML58" s="76"/>
      <c r="OMM58" s="76"/>
      <c r="OMN58" s="76"/>
      <c r="OMO58" s="76"/>
      <c r="OMP58" s="76"/>
      <c r="OMQ58" s="76"/>
      <c r="OMR58" s="76"/>
      <c r="OMS58" s="76"/>
      <c r="OMT58" s="76"/>
      <c r="OMU58" s="76"/>
      <c r="OMV58" s="76"/>
      <c r="OMW58" s="76"/>
      <c r="OMX58" s="76"/>
      <c r="OMY58" s="76"/>
      <c r="OMZ58" s="76"/>
      <c r="ONA58" s="76"/>
      <c r="ONB58" s="76"/>
      <c r="ONC58" s="76"/>
      <c r="OND58" s="76"/>
      <c r="ONE58" s="76"/>
      <c r="ONF58" s="76"/>
      <c r="ONG58" s="76"/>
      <c r="ONH58" s="76"/>
      <c r="ONI58" s="76"/>
      <c r="ONJ58" s="76"/>
      <c r="ONK58" s="76"/>
      <c r="ONL58" s="76"/>
      <c r="ONM58" s="76"/>
      <c r="ONN58" s="76"/>
      <c r="ONO58" s="76"/>
      <c r="ONP58" s="76"/>
      <c r="ONQ58" s="76"/>
      <c r="ONR58" s="76"/>
      <c r="ONS58" s="76"/>
      <c r="ONT58" s="76"/>
      <c r="ONU58" s="76"/>
      <c r="ONV58" s="76"/>
      <c r="ONW58" s="76"/>
      <c r="ONX58" s="76"/>
      <c r="ONY58" s="76"/>
      <c r="ONZ58" s="76"/>
      <c r="OOA58" s="76"/>
      <c r="OOB58" s="76"/>
      <c r="OOC58" s="76"/>
      <c r="OOD58" s="76"/>
      <c r="OOE58" s="76"/>
      <c r="OOF58" s="76"/>
      <c r="OOG58" s="76"/>
      <c r="OOH58" s="76"/>
      <c r="OOI58" s="76"/>
      <c r="OOJ58" s="76"/>
      <c r="OOK58" s="76"/>
      <c r="OOL58" s="76"/>
      <c r="OOM58" s="76"/>
      <c r="OON58" s="76"/>
      <c r="OOO58" s="76"/>
      <c r="OOP58" s="76"/>
      <c r="OOQ58" s="76"/>
      <c r="OOR58" s="76"/>
      <c r="OOS58" s="76"/>
      <c r="OOT58" s="76"/>
      <c r="OOU58" s="76"/>
      <c r="OOV58" s="76"/>
      <c r="OOW58" s="76"/>
      <c r="OOX58" s="76"/>
      <c r="OOY58" s="76"/>
      <c r="OOZ58" s="76"/>
      <c r="OPA58" s="76"/>
      <c r="OPB58" s="76"/>
      <c r="OPC58" s="76"/>
      <c r="OPD58" s="76"/>
      <c r="OPE58" s="76"/>
      <c r="OPF58" s="76"/>
      <c r="OPG58" s="76"/>
      <c r="OPH58" s="76"/>
      <c r="OPI58" s="76"/>
      <c r="OPJ58" s="76"/>
      <c r="OPK58" s="76"/>
      <c r="OPL58" s="76"/>
      <c r="OPM58" s="76"/>
      <c r="OPN58" s="76"/>
      <c r="OPO58" s="76"/>
      <c r="OPP58" s="76"/>
      <c r="OPQ58" s="76"/>
      <c r="OPR58" s="76"/>
      <c r="OPS58" s="76"/>
      <c r="OPT58" s="76"/>
      <c r="OPU58" s="76"/>
      <c r="OPV58" s="76"/>
      <c r="OPW58" s="76"/>
      <c r="OPX58" s="76"/>
      <c r="OPY58" s="76"/>
      <c r="OPZ58" s="76"/>
      <c r="OQA58" s="76"/>
      <c r="OQB58" s="76"/>
      <c r="OQC58" s="76"/>
      <c r="OQD58" s="76"/>
      <c r="OQE58" s="76"/>
      <c r="OQF58" s="76"/>
      <c r="OQG58" s="76"/>
      <c r="OQH58" s="76"/>
      <c r="OQI58" s="76"/>
      <c r="OQJ58" s="76"/>
      <c r="OQK58" s="76"/>
      <c r="OQL58" s="76"/>
      <c r="OQM58" s="76"/>
      <c r="OQN58" s="76"/>
      <c r="OQO58" s="76"/>
      <c r="OQP58" s="76"/>
      <c r="OQQ58" s="76"/>
      <c r="OQR58" s="76"/>
      <c r="OQS58" s="76"/>
      <c r="OQT58" s="76"/>
      <c r="OQU58" s="76"/>
      <c r="OQV58" s="76"/>
      <c r="OQW58" s="76"/>
      <c r="OQX58" s="76"/>
      <c r="OQY58" s="76"/>
      <c r="OQZ58" s="76"/>
      <c r="ORA58" s="76"/>
      <c r="ORB58" s="76"/>
      <c r="ORC58" s="76"/>
      <c r="ORD58" s="76"/>
      <c r="ORE58" s="76"/>
      <c r="ORF58" s="76"/>
      <c r="ORG58" s="76"/>
      <c r="ORH58" s="76"/>
      <c r="ORI58" s="76"/>
      <c r="ORJ58" s="76"/>
      <c r="ORK58" s="76"/>
      <c r="ORL58" s="76"/>
      <c r="ORM58" s="76"/>
      <c r="ORN58" s="76"/>
      <c r="ORO58" s="76"/>
      <c r="ORP58" s="76"/>
      <c r="ORQ58" s="76"/>
      <c r="ORR58" s="76"/>
      <c r="ORS58" s="76"/>
      <c r="ORT58" s="76"/>
      <c r="ORU58" s="76"/>
      <c r="ORV58" s="76"/>
      <c r="ORW58" s="76"/>
      <c r="ORX58" s="76"/>
      <c r="ORY58" s="76"/>
      <c r="ORZ58" s="76"/>
      <c r="OSA58" s="76"/>
      <c r="OSB58" s="76"/>
      <c r="OSC58" s="76"/>
      <c r="OSD58" s="76"/>
      <c r="OSE58" s="76"/>
      <c r="OSF58" s="76"/>
      <c r="OSG58" s="76"/>
      <c r="OSH58" s="76"/>
      <c r="OSI58" s="76"/>
      <c r="OSJ58" s="76"/>
      <c r="OSK58" s="76"/>
      <c r="OSL58" s="76"/>
      <c r="OSM58" s="76"/>
      <c r="OSN58" s="76"/>
      <c r="OSO58" s="76"/>
      <c r="OSP58" s="76"/>
      <c r="OSQ58" s="76"/>
      <c r="OSR58" s="76"/>
      <c r="OSS58" s="76"/>
      <c r="OST58" s="76"/>
      <c r="OSU58" s="76"/>
      <c r="OSV58" s="76"/>
      <c r="OSW58" s="76"/>
      <c r="OSX58" s="76"/>
      <c r="OSY58" s="76"/>
      <c r="OSZ58" s="76"/>
      <c r="OTA58" s="76"/>
      <c r="OTB58" s="76"/>
      <c r="OTC58" s="76"/>
      <c r="OTD58" s="76"/>
      <c r="OTE58" s="76"/>
      <c r="OTF58" s="76"/>
      <c r="OTG58" s="76"/>
      <c r="OTH58" s="76"/>
      <c r="OTI58" s="76"/>
      <c r="OTJ58" s="76"/>
      <c r="OTK58" s="76"/>
      <c r="OTL58" s="76"/>
      <c r="OTM58" s="76"/>
      <c r="OTN58" s="76"/>
      <c r="OTO58" s="76"/>
      <c r="OTP58" s="76"/>
      <c r="OTQ58" s="76"/>
      <c r="OTR58" s="76"/>
      <c r="OTS58" s="76"/>
      <c r="OTT58" s="76"/>
      <c r="OTU58" s="76"/>
      <c r="OTV58" s="76"/>
      <c r="OTW58" s="76"/>
      <c r="OTX58" s="76"/>
      <c r="OTY58" s="76"/>
      <c r="OTZ58" s="76"/>
      <c r="OUA58" s="76"/>
      <c r="OUB58" s="76"/>
      <c r="OUC58" s="76"/>
      <c r="OUD58" s="76"/>
      <c r="OUE58" s="76"/>
      <c r="OUF58" s="76"/>
      <c r="OUG58" s="76"/>
      <c r="OUH58" s="76"/>
      <c r="OUI58" s="76"/>
      <c r="OUJ58" s="76"/>
      <c r="OUK58" s="76"/>
      <c r="OUL58" s="76"/>
      <c r="OUM58" s="76"/>
      <c r="OUN58" s="76"/>
      <c r="OUO58" s="76"/>
      <c r="OUP58" s="76"/>
      <c r="OUQ58" s="76"/>
      <c r="OUR58" s="76"/>
      <c r="OUS58" s="76"/>
      <c r="OUT58" s="76"/>
      <c r="OUU58" s="76"/>
      <c r="OUV58" s="76"/>
      <c r="OUW58" s="76"/>
      <c r="OUX58" s="76"/>
      <c r="OUY58" s="76"/>
      <c r="OUZ58" s="76"/>
      <c r="OVA58" s="76"/>
      <c r="OVB58" s="76"/>
      <c r="OVC58" s="76"/>
      <c r="OVD58" s="76"/>
      <c r="OVE58" s="76"/>
      <c r="OVF58" s="76"/>
      <c r="OVG58" s="76"/>
      <c r="OVH58" s="76"/>
      <c r="OVI58" s="76"/>
      <c r="OVJ58" s="76"/>
      <c r="OVK58" s="76"/>
      <c r="OVL58" s="76"/>
      <c r="OVM58" s="76"/>
      <c r="OVN58" s="76"/>
      <c r="OVO58" s="76"/>
      <c r="OVP58" s="76"/>
      <c r="OVQ58" s="76"/>
      <c r="OVR58" s="76"/>
      <c r="OVS58" s="76"/>
      <c r="OVT58" s="76"/>
      <c r="OVU58" s="76"/>
      <c r="OVV58" s="76"/>
      <c r="OVW58" s="76"/>
      <c r="OVX58" s="76"/>
      <c r="OVY58" s="76"/>
      <c r="OVZ58" s="76"/>
      <c r="OWA58" s="76"/>
      <c r="OWB58" s="76"/>
      <c r="OWC58" s="76"/>
      <c r="OWD58" s="76"/>
      <c r="OWE58" s="76"/>
      <c r="OWF58" s="76"/>
      <c r="OWG58" s="76"/>
      <c r="OWH58" s="76"/>
      <c r="OWI58" s="76"/>
      <c r="OWJ58" s="76"/>
      <c r="OWK58" s="76"/>
      <c r="OWL58" s="76"/>
      <c r="OWM58" s="76"/>
      <c r="OWN58" s="76"/>
      <c r="OWO58" s="76"/>
      <c r="OWP58" s="76"/>
      <c r="OWQ58" s="76"/>
      <c r="OWR58" s="76"/>
      <c r="OWS58" s="76"/>
      <c r="OWT58" s="76"/>
      <c r="OWU58" s="76"/>
      <c r="OWV58" s="76"/>
      <c r="OWW58" s="76"/>
      <c r="OWX58" s="76"/>
      <c r="OWY58" s="76"/>
      <c r="OWZ58" s="76"/>
      <c r="OXA58" s="76"/>
      <c r="OXB58" s="76"/>
      <c r="OXC58" s="76"/>
      <c r="OXD58" s="76"/>
      <c r="OXE58" s="76"/>
      <c r="OXF58" s="76"/>
      <c r="OXG58" s="76"/>
      <c r="OXH58" s="76"/>
      <c r="OXI58" s="76"/>
      <c r="OXJ58" s="76"/>
      <c r="OXK58" s="76"/>
      <c r="OXL58" s="76"/>
      <c r="OXM58" s="76"/>
      <c r="OXN58" s="76"/>
      <c r="OXO58" s="76"/>
      <c r="OXP58" s="76"/>
      <c r="OXQ58" s="76"/>
      <c r="OXR58" s="76"/>
      <c r="OXS58" s="76"/>
      <c r="OXT58" s="76"/>
      <c r="OXU58" s="76"/>
      <c r="OXV58" s="76"/>
      <c r="OXW58" s="76"/>
      <c r="OXX58" s="76"/>
      <c r="OXY58" s="76"/>
      <c r="OXZ58" s="76"/>
      <c r="OYA58" s="76"/>
      <c r="OYB58" s="76"/>
      <c r="OYC58" s="76"/>
      <c r="OYD58" s="76"/>
      <c r="OYE58" s="76"/>
      <c r="OYF58" s="76"/>
      <c r="OYG58" s="76"/>
      <c r="OYH58" s="76"/>
      <c r="OYI58" s="76"/>
      <c r="OYJ58" s="76"/>
      <c r="OYK58" s="76"/>
      <c r="OYL58" s="76"/>
      <c r="OYM58" s="76"/>
      <c r="OYN58" s="76"/>
      <c r="OYO58" s="76"/>
      <c r="OYP58" s="76"/>
      <c r="OYQ58" s="76"/>
      <c r="OYR58" s="76"/>
      <c r="OYS58" s="76"/>
      <c r="OYT58" s="76"/>
      <c r="OYU58" s="76"/>
      <c r="OYV58" s="76"/>
      <c r="OYW58" s="76"/>
      <c r="OYX58" s="76"/>
      <c r="OYY58" s="76"/>
      <c r="OYZ58" s="76"/>
      <c r="OZA58" s="76"/>
      <c r="OZB58" s="76"/>
      <c r="OZC58" s="76"/>
      <c r="OZD58" s="76"/>
      <c r="OZE58" s="76"/>
      <c r="OZF58" s="76"/>
      <c r="OZG58" s="76"/>
      <c r="OZH58" s="76"/>
      <c r="OZI58" s="76"/>
      <c r="OZJ58" s="76"/>
      <c r="OZK58" s="76"/>
      <c r="OZL58" s="76"/>
      <c r="OZM58" s="76"/>
      <c r="OZN58" s="76"/>
      <c r="OZO58" s="76"/>
      <c r="OZP58" s="76"/>
      <c r="OZQ58" s="76"/>
      <c r="OZR58" s="76"/>
      <c r="OZS58" s="76"/>
      <c r="OZT58" s="76"/>
      <c r="OZU58" s="76"/>
      <c r="OZV58" s="76"/>
      <c r="OZW58" s="76"/>
      <c r="OZX58" s="76"/>
      <c r="OZY58" s="76"/>
      <c r="OZZ58" s="76"/>
      <c r="PAA58" s="76"/>
      <c r="PAB58" s="76"/>
      <c r="PAC58" s="76"/>
      <c r="PAD58" s="76"/>
      <c r="PAE58" s="76"/>
      <c r="PAF58" s="76"/>
      <c r="PAG58" s="76"/>
      <c r="PAH58" s="76"/>
      <c r="PAI58" s="76"/>
      <c r="PAJ58" s="76"/>
      <c r="PAK58" s="76"/>
      <c r="PAL58" s="76"/>
      <c r="PAM58" s="76"/>
      <c r="PAN58" s="76"/>
      <c r="PAO58" s="76"/>
      <c r="PAP58" s="76"/>
      <c r="PAQ58" s="76"/>
      <c r="PAR58" s="76"/>
      <c r="PAS58" s="76"/>
      <c r="PAT58" s="76"/>
      <c r="PAU58" s="76"/>
      <c r="PAV58" s="76"/>
      <c r="PAW58" s="76"/>
      <c r="PAX58" s="76"/>
      <c r="PAY58" s="76"/>
      <c r="PAZ58" s="76"/>
      <c r="PBA58" s="76"/>
      <c r="PBB58" s="76"/>
      <c r="PBC58" s="76"/>
      <c r="PBD58" s="76"/>
      <c r="PBE58" s="76"/>
      <c r="PBF58" s="76"/>
      <c r="PBG58" s="76"/>
      <c r="PBH58" s="76"/>
      <c r="PBI58" s="76"/>
      <c r="PBJ58" s="76"/>
      <c r="PBK58" s="76"/>
      <c r="PBL58" s="76"/>
      <c r="PBM58" s="76"/>
      <c r="PBN58" s="76"/>
      <c r="PBO58" s="76"/>
      <c r="PBP58" s="76"/>
      <c r="PBQ58" s="76"/>
      <c r="PBR58" s="76"/>
      <c r="PBS58" s="76"/>
      <c r="PBT58" s="76"/>
      <c r="PBU58" s="76"/>
      <c r="PBV58" s="76"/>
      <c r="PBW58" s="76"/>
      <c r="PBX58" s="76"/>
      <c r="PBY58" s="76"/>
      <c r="PBZ58" s="76"/>
      <c r="PCA58" s="76"/>
      <c r="PCB58" s="76"/>
      <c r="PCC58" s="76"/>
      <c r="PCD58" s="76"/>
      <c r="PCE58" s="76"/>
      <c r="PCF58" s="76"/>
      <c r="PCG58" s="76"/>
      <c r="PCH58" s="76"/>
      <c r="PCI58" s="76"/>
      <c r="PCJ58" s="76"/>
      <c r="PCK58" s="76"/>
      <c r="PCL58" s="76"/>
      <c r="PCM58" s="76"/>
      <c r="PCN58" s="76"/>
      <c r="PCO58" s="76"/>
      <c r="PCP58" s="76"/>
      <c r="PCQ58" s="76"/>
      <c r="PCR58" s="76"/>
      <c r="PCS58" s="76"/>
      <c r="PCT58" s="76"/>
      <c r="PCU58" s="76"/>
      <c r="PCV58" s="76"/>
      <c r="PCW58" s="76"/>
      <c r="PCX58" s="76"/>
      <c r="PCY58" s="76"/>
      <c r="PCZ58" s="76"/>
      <c r="PDA58" s="76"/>
      <c r="PDB58" s="76"/>
      <c r="PDC58" s="76"/>
      <c r="PDD58" s="76"/>
      <c r="PDE58" s="76"/>
      <c r="PDF58" s="76"/>
      <c r="PDG58" s="76"/>
      <c r="PDH58" s="76"/>
      <c r="PDI58" s="76"/>
      <c r="PDJ58" s="76"/>
      <c r="PDK58" s="76"/>
      <c r="PDL58" s="76"/>
      <c r="PDM58" s="76"/>
      <c r="PDN58" s="76"/>
      <c r="PDO58" s="76"/>
      <c r="PDP58" s="76"/>
      <c r="PDQ58" s="76"/>
      <c r="PDR58" s="76"/>
      <c r="PDS58" s="76"/>
      <c r="PDT58" s="76"/>
      <c r="PDU58" s="76"/>
      <c r="PDV58" s="76"/>
      <c r="PDW58" s="76"/>
      <c r="PDX58" s="76"/>
      <c r="PDY58" s="76"/>
      <c r="PDZ58" s="76"/>
      <c r="PEA58" s="76"/>
      <c r="PEB58" s="76"/>
      <c r="PEC58" s="76"/>
      <c r="PED58" s="76"/>
      <c r="PEE58" s="76"/>
      <c r="PEF58" s="76"/>
      <c r="PEG58" s="76"/>
      <c r="PEH58" s="76"/>
      <c r="PEI58" s="76"/>
      <c r="PEJ58" s="76"/>
      <c r="PEK58" s="76"/>
      <c r="PEL58" s="76"/>
      <c r="PEM58" s="76"/>
      <c r="PEN58" s="76"/>
      <c r="PEO58" s="76"/>
      <c r="PEP58" s="76"/>
      <c r="PEQ58" s="76"/>
      <c r="PER58" s="76"/>
      <c r="PES58" s="76"/>
      <c r="PET58" s="76"/>
      <c r="PEU58" s="76"/>
      <c r="PEV58" s="76"/>
      <c r="PEW58" s="76"/>
      <c r="PEX58" s="76"/>
      <c r="PEY58" s="76"/>
      <c r="PEZ58" s="76"/>
      <c r="PFA58" s="76"/>
      <c r="PFB58" s="76"/>
      <c r="PFC58" s="76"/>
      <c r="PFD58" s="76"/>
      <c r="PFE58" s="76"/>
      <c r="PFF58" s="76"/>
      <c r="PFG58" s="76"/>
      <c r="PFH58" s="76"/>
      <c r="PFI58" s="76"/>
      <c r="PFJ58" s="76"/>
      <c r="PFK58" s="76"/>
      <c r="PFL58" s="76"/>
      <c r="PFM58" s="76"/>
      <c r="PFN58" s="76"/>
      <c r="PFO58" s="76"/>
      <c r="PFP58" s="76"/>
      <c r="PFQ58" s="76"/>
      <c r="PFR58" s="76"/>
      <c r="PFS58" s="76"/>
      <c r="PFT58" s="76"/>
      <c r="PFU58" s="76"/>
      <c r="PFV58" s="76"/>
      <c r="PFW58" s="76"/>
      <c r="PFX58" s="76"/>
      <c r="PFY58" s="76"/>
      <c r="PFZ58" s="76"/>
      <c r="PGA58" s="76"/>
      <c r="PGB58" s="76"/>
      <c r="PGC58" s="76"/>
      <c r="PGD58" s="76"/>
      <c r="PGE58" s="76"/>
      <c r="PGF58" s="76"/>
      <c r="PGG58" s="76"/>
      <c r="PGH58" s="76"/>
      <c r="PGI58" s="76"/>
      <c r="PGJ58" s="76"/>
      <c r="PGK58" s="76"/>
      <c r="PGL58" s="76"/>
      <c r="PGM58" s="76"/>
      <c r="PGN58" s="76"/>
      <c r="PGO58" s="76"/>
      <c r="PGP58" s="76"/>
      <c r="PGQ58" s="76"/>
      <c r="PGR58" s="76"/>
      <c r="PGS58" s="76"/>
      <c r="PGT58" s="76"/>
      <c r="PGU58" s="76"/>
      <c r="PGV58" s="76"/>
      <c r="PGW58" s="76"/>
      <c r="PGX58" s="76"/>
      <c r="PGY58" s="76"/>
      <c r="PGZ58" s="76"/>
      <c r="PHA58" s="76"/>
      <c r="PHB58" s="76"/>
      <c r="PHC58" s="76"/>
      <c r="PHD58" s="76"/>
      <c r="PHE58" s="76"/>
      <c r="PHF58" s="76"/>
      <c r="PHG58" s="76"/>
      <c r="PHH58" s="76"/>
      <c r="PHI58" s="76"/>
      <c r="PHJ58" s="76"/>
      <c r="PHK58" s="76"/>
      <c r="PHL58" s="76"/>
      <c r="PHM58" s="76"/>
      <c r="PHN58" s="76"/>
      <c r="PHO58" s="76"/>
      <c r="PHP58" s="76"/>
      <c r="PHQ58" s="76"/>
      <c r="PHR58" s="76"/>
      <c r="PHS58" s="76"/>
      <c r="PHT58" s="76"/>
      <c r="PHU58" s="76"/>
      <c r="PHV58" s="76"/>
      <c r="PHW58" s="76"/>
      <c r="PHX58" s="76"/>
      <c r="PHY58" s="76"/>
      <c r="PHZ58" s="76"/>
      <c r="PIA58" s="76"/>
      <c r="PIB58" s="76"/>
      <c r="PIC58" s="76"/>
      <c r="PID58" s="76"/>
      <c r="PIE58" s="76"/>
      <c r="PIF58" s="76"/>
      <c r="PIG58" s="76"/>
      <c r="PIH58" s="76"/>
      <c r="PII58" s="76"/>
      <c r="PIJ58" s="76"/>
      <c r="PIK58" s="76"/>
      <c r="PIL58" s="76"/>
      <c r="PIM58" s="76"/>
      <c r="PIN58" s="76"/>
      <c r="PIO58" s="76"/>
      <c r="PIP58" s="76"/>
      <c r="PIQ58" s="76"/>
      <c r="PIR58" s="76"/>
      <c r="PIS58" s="76"/>
      <c r="PIT58" s="76"/>
      <c r="PIU58" s="76"/>
      <c r="PIV58" s="76"/>
      <c r="PIW58" s="76"/>
      <c r="PIX58" s="76"/>
      <c r="PIY58" s="76"/>
      <c r="PIZ58" s="76"/>
      <c r="PJA58" s="76"/>
      <c r="PJB58" s="76"/>
      <c r="PJC58" s="76"/>
      <c r="PJD58" s="76"/>
      <c r="PJE58" s="76"/>
      <c r="PJF58" s="76"/>
      <c r="PJG58" s="76"/>
      <c r="PJH58" s="76"/>
      <c r="PJI58" s="76"/>
      <c r="PJJ58" s="76"/>
      <c r="PJK58" s="76"/>
      <c r="PJL58" s="76"/>
      <c r="PJM58" s="76"/>
      <c r="PJN58" s="76"/>
      <c r="PJO58" s="76"/>
      <c r="PJP58" s="76"/>
      <c r="PJQ58" s="76"/>
      <c r="PJR58" s="76"/>
      <c r="PJS58" s="76"/>
      <c r="PJT58" s="76"/>
      <c r="PJU58" s="76"/>
      <c r="PJV58" s="76"/>
      <c r="PJW58" s="76"/>
      <c r="PJX58" s="76"/>
      <c r="PJY58" s="76"/>
      <c r="PJZ58" s="76"/>
      <c r="PKA58" s="76"/>
      <c r="PKB58" s="76"/>
      <c r="PKC58" s="76"/>
      <c r="PKD58" s="76"/>
      <c r="PKE58" s="76"/>
      <c r="PKF58" s="76"/>
      <c r="PKG58" s="76"/>
      <c r="PKH58" s="76"/>
      <c r="PKI58" s="76"/>
      <c r="PKJ58" s="76"/>
      <c r="PKK58" s="76"/>
      <c r="PKL58" s="76"/>
      <c r="PKM58" s="76"/>
      <c r="PKN58" s="76"/>
      <c r="PKO58" s="76"/>
      <c r="PKP58" s="76"/>
      <c r="PKQ58" s="76"/>
      <c r="PKR58" s="76"/>
      <c r="PKS58" s="76"/>
      <c r="PKT58" s="76"/>
      <c r="PKU58" s="76"/>
      <c r="PKV58" s="76"/>
      <c r="PKW58" s="76"/>
      <c r="PKX58" s="76"/>
      <c r="PKY58" s="76"/>
      <c r="PKZ58" s="76"/>
      <c r="PLA58" s="76"/>
      <c r="PLB58" s="76"/>
      <c r="PLC58" s="76"/>
      <c r="PLD58" s="76"/>
      <c r="PLE58" s="76"/>
      <c r="PLF58" s="76"/>
      <c r="PLG58" s="76"/>
      <c r="PLH58" s="76"/>
      <c r="PLI58" s="76"/>
      <c r="PLJ58" s="76"/>
      <c r="PLK58" s="76"/>
      <c r="PLL58" s="76"/>
      <c r="PLM58" s="76"/>
      <c r="PLN58" s="76"/>
      <c r="PLO58" s="76"/>
      <c r="PLP58" s="76"/>
      <c r="PLQ58" s="76"/>
      <c r="PLR58" s="76"/>
      <c r="PLS58" s="76"/>
      <c r="PLT58" s="76"/>
      <c r="PLU58" s="76"/>
      <c r="PLV58" s="76"/>
      <c r="PLW58" s="76"/>
      <c r="PLX58" s="76"/>
      <c r="PLY58" s="76"/>
      <c r="PLZ58" s="76"/>
      <c r="PMA58" s="76"/>
      <c r="PMB58" s="76"/>
      <c r="PMC58" s="76"/>
      <c r="PMD58" s="76"/>
      <c r="PME58" s="76"/>
      <c r="PMF58" s="76"/>
      <c r="PMG58" s="76"/>
      <c r="PMH58" s="76"/>
      <c r="PMI58" s="76"/>
      <c r="PMJ58" s="76"/>
      <c r="PMK58" s="76"/>
      <c r="PML58" s="76"/>
      <c r="PMM58" s="76"/>
      <c r="PMN58" s="76"/>
      <c r="PMO58" s="76"/>
      <c r="PMP58" s="76"/>
      <c r="PMQ58" s="76"/>
      <c r="PMR58" s="76"/>
      <c r="PMS58" s="76"/>
      <c r="PMT58" s="76"/>
      <c r="PMU58" s="76"/>
      <c r="PMV58" s="76"/>
      <c r="PMW58" s="76"/>
      <c r="PMX58" s="76"/>
      <c r="PMY58" s="76"/>
      <c r="PMZ58" s="76"/>
      <c r="PNA58" s="76"/>
      <c r="PNB58" s="76"/>
      <c r="PNC58" s="76"/>
      <c r="PND58" s="76"/>
      <c r="PNE58" s="76"/>
      <c r="PNF58" s="76"/>
      <c r="PNG58" s="76"/>
      <c r="PNH58" s="76"/>
      <c r="PNI58" s="76"/>
      <c r="PNJ58" s="76"/>
      <c r="PNK58" s="76"/>
      <c r="PNL58" s="76"/>
      <c r="PNM58" s="76"/>
      <c r="PNN58" s="76"/>
      <c r="PNO58" s="76"/>
      <c r="PNP58" s="76"/>
      <c r="PNQ58" s="76"/>
      <c r="PNR58" s="76"/>
      <c r="PNS58" s="76"/>
      <c r="PNT58" s="76"/>
      <c r="PNU58" s="76"/>
      <c r="PNV58" s="76"/>
      <c r="PNW58" s="76"/>
      <c r="PNX58" s="76"/>
      <c r="PNY58" s="76"/>
      <c r="PNZ58" s="76"/>
      <c r="POA58" s="76"/>
      <c r="POB58" s="76"/>
      <c r="POC58" s="76"/>
      <c r="POD58" s="76"/>
      <c r="POE58" s="76"/>
      <c r="POF58" s="76"/>
      <c r="POG58" s="76"/>
      <c r="POH58" s="76"/>
      <c r="POI58" s="76"/>
      <c r="POJ58" s="76"/>
      <c r="POK58" s="76"/>
      <c r="POL58" s="76"/>
      <c r="POM58" s="76"/>
      <c r="PON58" s="76"/>
      <c r="POO58" s="76"/>
      <c r="POP58" s="76"/>
      <c r="POQ58" s="76"/>
      <c r="POR58" s="76"/>
      <c r="POS58" s="76"/>
      <c r="POT58" s="76"/>
      <c r="POU58" s="76"/>
      <c r="POV58" s="76"/>
      <c r="POW58" s="76"/>
      <c r="POX58" s="76"/>
      <c r="POY58" s="76"/>
      <c r="POZ58" s="76"/>
      <c r="PPA58" s="76"/>
      <c r="PPB58" s="76"/>
      <c r="PPC58" s="76"/>
      <c r="PPD58" s="76"/>
      <c r="PPE58" s="76"/>
      <c r="PPF58" s="76"/>
      <c r="PPG58" s="76"/>
      <c r="PPH58" s="76"/>
      <c r="PPI58" s="76"/>
      <c r="PPJ58" s="76"/>
      <c r="PPK58" s="76"/>
      <c r="PPL58" s="76"/>
      <c r="PPM58" s="76"/>
      <c r="PPN58" s="76"/>
      <c r="PPO58" s="76"/>
      <c r="PPP58" s="76"/>
      <c r="PPQ58" s="76"/>
      <c r="PPR58" s="76"/>
      <c r="PPS58" s="76"/>
      <c r="PPT58" s="76"/>
      <c r="PPU58" s="76"/>
      <c r="PPV58" s="76"/>
      <c r="PPW58" s="76"/>
      <c r="PPX58" s="76"/>
      <c r="PPY58" s="76"/>
      <c r="PPZ58" s="76"/>
      <c r="PQA58" s="76"/>
      <c r="PQB58" s="76"/>
      <c r="PQC58" s="76"/>
      <c r="PQD58" s="76"/>
      <c r="PQE58" s="76"/>
      <c r="PQF58" s="76"/>
      <c r="PQG58" s="76"/>
      <c r="PQH58" s="76"/>
      <c r="PQI58" s="76"/>
      <c r="PQJ58" s="76"/>
      <c r="PQK58" s="76"/>
      <c r="PQL58" s="76"/>
      <c r="PQM58" s="76"/>
      <c r="PQN58" s="76"/>
      <c r="PQO58" s="76"/>
      <c r="PQP58" s="76"/>
      <c r="PQQ58" s="76"/>
      <c r="PQR58" s="76"/>
      <c r="PQS58" s="76"/>
      <c r="PQT58" s="76"/>
      <c r="PQU58" s="76"/>
      <c r="PQV58" s="76"/>
      <c r="PQW58" s="76"/>
      <c r="PQX58" s="76"/>
      <c r="PQY58" s="76"/>
      <c r="PQZ58" s="76"/>
      <c r="PRA58" s="76"/>
      <c r="PRB58" s="76"/>
      <c r="PRC58" s="76"/>
      <c r="PRD58" s="76"/>
      <c r="PRE58" s="76"/>
      <c r="PRF58" s="76"/>
      <c r="PRG58" s="76"/>
      <c r="PRH58" s="76"/>
      <c r="PRI58" s="76"/>
      <c r="PRJ58" s="76"/>
      <c r="PRK58" s="76"/>
      <c r="PRL58" s="76"/>
      <c r="PRM58" s="76"/>
      <c r="PRN58" s="76"/>
      <c r="PRO58" s="76"/>
      <c r="PRP58" s="76"/>
      <c r="PRQ58" s="76"/>
      <c r="PRR58" s="76"/>
      <c r="PRS58" s="76"/>
      <c r="PRT58" s="76"/>
      <c r="PRU58" s="76"/>
      <c r="PRV58" s="76"/>
      <c r="PRW58" s="76"/>
      <c r="PRX58" s="76"/>
      <c r="PRY58" s="76"/>
      <c r="PRZ58" s="76"/>
      <c r="PSA58" s="76"/>
      <c r="PSB58" s="76"/>
      <c r="PSC58" s="76"/>
      <c r="PSD58" s="76"/>
      <c r="PSE58" s="76"/>
      <c r="PSF58" s="76"/>
      <c r="PSG58" s="76"/>
      <c r="PSH58" s="76"/>
      <c r="PSI58" s="76"/>
      <c r="PSJ58" s="76"/>
      <c r="PSK58" s="76"/>
      <c r="PSL58" s="76"/>
      <c r="PSM58" s="76"/>
      <c r="PSN58" s="76"/>
      <c r="PSO58" s="76"/>
      <c r="PSP58" s="76"/>
      <c r="PSQ58" s="76"/>
      <c r="PSR58" s="76"/>
      <c r="PSS58" s="76"/>
      <c r="PST58" s="76"/>
      <c r="PSU58" s="76"/>
      <c r="PSV58" s="76"/>
      <c r="PSW58" s="76"/>
      <c r="PSX58" s="76"/>
      <c r="PSY58" s="76"/>
      <c r="PSZ58" s="76"/>
      <c r="PTA58" s="76"/>
      <c r="PTB58" s="76"/>
      <c r="PTC58" s="76"/>
      <c r="PTD58" s="76"/>
      <c r="PTE58" s="76"/>
      <c r="PTF58" s="76"/>
      <c r="PTG58" s="76"/>
      <c r="PTH58" s="76"/>
      <c r="PTI58" s="76"/>
      <c r="PTJ58" s="76"/>
      <c r="PTK58" s="76"/>
      <c r="PTL58" s="76"/>
      <c r="PTM58" s="76"/>
      <c r="PTN58" s="76"/>
      <c r="PTO58" s="76"/>
      <c r="PTP58" s="76"/>
      <c r="PTQ58" s="76"/>
      <c r="PTR58" s="76"/>
      <c r="PTS58" s="76"/>
      <c r="PTT58" s="76"/>
      <c r="PTU58" s="76"/>
      <c r="PTV58" s="76"/>
      <c r="PTW58" s="76"/>
      <c r="PTX58" s="76"/>
      <c r="PTY58" s="76"/>
      <c r="PTZ58" s="76"/>
      <c r="PUA58" s="76"/>
      <c r="PUB58" s="76"/>
      <c r="PUC58" s="76"/>
      <c r="PUD58" s="76"/>
      <c r="PUE58" s="76"/>
      <c r="PUF58" s="76"/>
      <c r="PUG58" s="76"/>
      <c r="PUH58" s="76"/>
      <c r="PUI58" s="76"/>
      <c r="PUJ58" s="76"/>
      <c r="PUK58" s="76"/>
      <c r="PUL58" s="76"/>
      <c r="PUM58" s="76"/>
      <c r="PUN58" s="76"/>
      <c r="PUO58" s="76"/>
      <c r="PUP58" s="76"/>
      <c r="PUQ58" s="76"/>
      <c r="PUR58" s="76"/>
      <c r="PUS58" s="76"/>
      <c r="PUT58" s="76"/>
      <c r="PUU58" s="76"/>
      <c r="PUV58" s="76"/>
      <c r="PUW58" s="76"/>
      <c r="PUX58" s="76"/>
      <c r="PUY58" s="76"/>
      <c r="PUZ58" s="76"/>
      <c r="PVA58" s="76"/>
      <c r="PVB58" s="76"/>
      <c r="PVC58" s="76"/>
      <c r="PVD58" s="76"/>
      <c r="PVE58" s="76"/>
      <c r="PVF58" s="76"/>
      <c r="PVG58" s="76"/>
      <c r="PVH58" s="76"/>
      <c r="PVI58" s="76"/>
      <c r="PVJ58" s="76"/>
      <c r="PVK58" s="76"/>
      <c r="PVL58" s="76"/>
      <c r="PVM58" s="76"/>
      <c r="PVN58" s="76"/>
      <c r="PVO58" s="76"/>
      <c r="PVP58" s="76"/>
      <c r="PVQ58" s="76"/>
      <c r="PVR58" s="76"/>
      <c r="PVS58" s="76"/>
      <c r="PVT58" s="76"/>
      <c r="PVU58" s="76"/>
      <c r="PVV58" s="76"/>
      <c r="PVW58" s="76"/>
      <c r="PVX58" s="76"/>
      <c r="PVY58" s="76"/>
      <c r="PVZ58" s="76"/>
      <c r="PWA58" s="76"/>
      <c r="PWB58" s="76"/>
      <c r="PWC58" s="76"/>
      <c r="PWD58" s="76"/>
      <c r="PWE58" s="76"/>
      <c r="PWF58" s="76"/>
      <c r="PWG58" s="76"/>
      <c r="PWH58" s="76"/>
      <c r="PWI58" s="76"/>
      <c r="PWJ58" s="76"/>
      <c r="PWK58" s="76"/>
      <c r="PWL58" s="76"/>
      <c r="PWM58" s="76"/>
      <c r="PWN58" s="76"/>
      <c r="PWO58" s="76"/>
      <c r="PWP58" s="76"/>
      <c r="PWQ58" s="76"/>
      <c r="PWR58" s="76"/>
      <c r="PWS58" s="76"/>
      <c r="PWT58" s="76"/>
      <c r="PWU58" s="76"/>
      <c r="PWV58" s="76"/>
      <c r="PWW58" s="76"/>
      <c r="PWX58" s="76"/>
      <c r="PWY58" s="76"/>
      <c r="PWZ58" s="76"/>
      <c r="PXA58" s="76"/>
      <c r="PXB58" s="76"/>
      <c r="PXC58" s="76"/>
      <c r="PXD58" s="76"/>
      <c r="PXE58" s="76"/>
      <c r="PXF58" s="76"/>
      <c r="PXG58" s="76"/>
      <c r="PXH58" s="76"/>
      <c r="PXI58" s="76"/>
      <c r="PXJ58" s="76"/>
      <c r="PXK58" s="76"/>
      <c r="PXL58" s="76"/>
      <c r="PXM58" s="76"/>
      <c r="PXN58" s="76"/>
      <c r="PXO58" s="76"/>
      <c r="PXP58" s="76"/>
      <c r="PXQ58" s="76"/>
      <c r="PXR58" s="76"/>
      <c r="PXS58" s="76"/>
      <c r="PXT58" s="76"/>
      <c r="PXU58" s="76"/>
      <c r="PXV58" s="76"/>
      <c r="PXW58" s="76"/>
      <c r="PXX58" s="76"/>
      <c r="PXY58" s="76"/>
      <c r="PXZ58" s="76"/>
      <c r="PYA58" s="76"/>
      <c r="PYB58" s="76"/>
      <c r="PYC58" s="76"/>
      <c r="PYD58" s="76"/>
      <c r="PYE58" s="76"/>
      <c r="PYF58" s="76"/>
      <c r="PYG58" s="76"/>
      <c r="PYH58" s="76"/>
      <c r="PYI58" s="76"/>
      <c r="PYJ58" s="76"/>
      <c r="PYK58" s="76"/>
      <c r="PYL58" s="76"/>
      <c r="PYM58" s="76"/>
      <c r="PYN58" s="76"/>
      <c r="PYO58" s="76"/>
      <c r="PYP58" s="76"/>
      <c r="PYQ58" s="76"/>
      <c r="PYR58" s="76"/>
      <c r="PYS58" s="76"/>
      <c r="PYT58" s="76"/>
      <c r="PYU58" s="76"/>
      <c r="PYV58" s="76"/>
      <c r="PYW58" s="76"/>
      <c r="PYX58" s="76"/>
      <c r="PYY58" s="76"/>
      <c r="PYZ58" s="76"/>
      <c r="PZA58" s="76"/>
      <c r="PZB58" s="76"/>
      <c r="PZC58" s="76"/>
      <c r="PZD58" s="76"/>
      <c r="PZE58" s="76"/>
      <c r="PZF58" s="76"/>
      <c r="PZG58" s="76"/>
      <c r="PZH58" s="76"/>
      <c r="PZI58" s="76"/>
      <c r="PZJ58" s="76"/>
      <c r="PZK58" s="76"/>
      <c r="PZL58" s="76"/>
      <c r="PZM58" s="76"/>
      <c r="PZN58" s="76"/>
      <c r="PZO58" s="76"/>
      <c r="PZP58" s="76"/>
      <c r="PZQ58" s="76"/>
      <c r="PZR58" s="76"/>
      <c r="PZS58" s="76"/>
      <c r="PZT58" s="76"/>
      <c r="PZU58" s="76"/>
      <c r="PZV58" s="76"/>
      <c r="PZW58" s="76"/>
      <c r="PZX58" s="76"/>
      <c r="PZY58" s="76"/>
      <c r="PZZ58" s="76"/>
      <c r="QAA58" s="76"/>
      <c r="QAB58" s="76"/>
      <c r="QAC58" s="76"/>
      <c r="QAD58" s="76"/>
      <c r="QAE58" s="76"/>
      <c r="QAF58" s="76"/>
      <c r="QAG58" s="76"/>
      <c r="QAH58" s="76"/>
      <c r="QAI58" s="76"/>
      <c r="QAJ58" s="76"/>
      <c r="QAK58" s="76"/>
      <c r="QAL58" s="76"/>
      <c r="QAM58" s="76"/>
      <c r="QAN58" s="76"/>
      <c r="QAO58" s="76"/>
      <c r="QAP58" s="76"/>
      <c r="QAQ58" s="76"/>
      <c r="QAR58" s="76"/>
      <c r="QAS58" s="76"/>
      <c r="QAT58" s="76"/>
      <c r="QAU58" s="76"/>
      <c r="QAV58" s="76"/>
      <c r="QAW58" s="76"/>
      <c r="QAX58" s="76"/>
      <c r="QAY58" s="76"/>
      <c r="QAZ58" s="76"/>
      <c r="QBA58" s="76"/>
      <c r="QBB58" s="76"/>
      <c r="QBC58" s="76"/>
      <c r="QBD58" s="76"/>
      <c r="QBE58" s="76"/>
      <c r="QBF58" s="76"/>
      <c r="QBG58" s="76"/>
      <c r="QBH58" s="76"/>
      <c r="QBI58" s="76"/>
      <c r="QBJ58" s="76"/>
      <c r="QBK58" s="76"/>
      <c r="QBL58" s="76"/>
      <c r="QBM58" s="76"/>
      <c r="QBN58" s="76"/>
      <c r="QBO58" s="76"/>
      <c r="QBP58" s="76"/>
      <c r="QBQ58" s="76"/>
      <c r="QBR58" s="76"/>
      <c r="QBS58" s="76"/>
      <c r="QBT58" s="76"/>
      <c r="QBU58" s="76"/>
      <c r="QBV58" s="76"/>
      <c r="QBW58" s="76"/>
      <c r="QBX58" s="76"/>
      <c r="QBY58" s="76"/>
      <c r="QBZ58" s="76"/>
      <c r="QCA58" s="76"/>
      <c r="QCB58" s="76"/>
      <c r="QCC58" s="76"/>
      <c r="QCD58" s="76"/>
      <c r="QCE58" s="76"/>
      <c r="QCF58" s="76"/>
      <c r="QCG58" s="76"/>
      <c r="QCH58" s="76"/>
      <c r="QCI58" s="76"/>
      <c r="QCJ58" s="76"/>
      <c r="QCK58" s="76"/>
      <c r="QCL58" s="76"/>
      <c r="QCM58" s="76"/>
      <c r="QCN58" s="76"/>
      <c r="QCO58" s="76"/>
      <c r="QCP58" s="76"/>
      <c r="QCQ58" s="76"/>
      <c r="QCR58" s="76"/>
      <c r="QCS58" s="76"/>
      <c r="QCT58" s="76"/>
      <c r="QCU58" s="76"/>
      <c r="QCV58" s="76"/>
      <c r="QCW58" s="76"/>
      <c r="QCX58" s="76"/>
      <c r="QCY58" s="76"/>
      <c r="QCZ58" s="76"/>
      <c r="QDA58" s="76"/>
      <c r="QDB58" s="76"/>
      <c r="QDC58" s="76"/>
      <c r="QDD58" s="76"/>
      <c r="QDE58" s="76"/>
      <c r="QDF58" s="76"/>
      <c r="QDG58" s="76"/>
      <c r="QDH58" s="76"/>
      <c r="QDI58" s="76"/>
      <c r="QDJ58" s="76"/>
      <c r="QDK58" s="76"/>
      <c r="QDL58" s="76"/>
      <c r="QDM58" s="76"/>
      <c r="QDN58" s="76"/>
      <c r="QDO58" s="76"/>
      <c r="QDP58" s="76"/>
      <c r="QDQ58" s="76"/>
      <c r="QDR58" s="76"/>
      <c r="QDS58" s="76"/>
      <c r="QDT58" s="76"/>
      <c r="QDU58" s="76"/>
      <c r="QDV58" s="76"/>
      <c r="QDW58" s="76"/>
      <c r="QDX58" s="76"/>
      <c r="QDY58" s="76"/>
      <c r="QDZ58" s="76"/>
      <c r="QEA58" s="76"/>
      <c r="QEB58" s="76"/>
      <c r="QEC58" s="76"/>
      <c r="QED58" s="76"/>
      <c r="QEE58" s="76"/>
      <c r="QEF58" s="76"/>
      <c r="QEG58" s="76"/>
      <c r="QEH58" s="76"/>
      <c r="QEI58" s="76"/>
      <c r="QEJ58" s="76"/>
      <c r="QEK58" s="76"/>
      <c r="QEL58" s="76"/>
      <c r="QEM58" s="76"/>
      <c r="QEN58" s="76"/>
      <c r="QEO58" s="76"/>
      <c r="QEP58" s="76"/>
      <c r="QEQ58" s="76"/>
      <c r="QER58" s="76"/>
      <c r="QES58" s="76"/>
      <c r="QET58" s="76"/>
      <c r="QEU58" s="76"/>
      <c r="QEV58" s="76"/>
      <c r="QEW58" s="76"/>
      <c r="QEX58" s="76"/>
      <c r="QEY58" s="76"/>
      <c r="QEZ58" s="76"/>
      <c r="QFA58" s="76"/>
      <c r="QFB58" s="76"/>
      <c r="QFC58" s="76"/>
      <c r="QFD58" s="76"/>
      <c r="QFE58" s="76"/>
      <c r="QFF58" s="76"/>
      <c r="QFG58" s="76"/>
      <c r="QFH58" s="76"/>
      <c r="QFI58" s="76"/>
      <c r="QFJ58" s="76"/>
      <c r="QFK58" s="76"/>
      <c r="QFL58" s="76"/>
      <c r="QFM58" s="76"/>
      <c r="QFN58" s="76"/>
      <c r="QFO58" s="76"/>
      <c r="QFP58" s="76"/>
      <c r="QFQ58" s="76"/>
      <c r="QFR58" s="76"/>
      <c r="QFS58" s="76"/>
      <c r="QFT58" s="76"/>
      <c r="QFU58" s="76"/>
      <c r="QFV58" s="76"/>
      <c r="QFW58" s="76"/>
      <c r="QFX58" s="76"/>
      <c r="QFY58" s="76"/>
      <c r="QFZ58" s="76"/>
      <c r="QGA58" s="76"/>
      <c r="QGB58" s="76"/>
      <c r="QGC58" s="76"/>
      <c r="QGD58" s="76"/>
      <c r="QGE58" s="76"/>
      <c r="QGF58" s="76"/>
      <c r="QGG58" s="76"/>
      <c r="QGH58" s="76"/>
      <c r="QGI58" s="76"/>
      <c r="QGJ58" s="76"/>
      <c r="QGK58" s="76"/>
      <c r="QGL58" s="76"/>
      <c r="QGM58" s="76"/>
      <c r="QGN58" s="76"/>
      <c r="QGO58" s="76"/>
      <c r="QGP58" s="76"/>
      <c r="QGQ58" s="76"/>
      <c r="QGR58" s="76"/>
      <c r="QGS58" s="76"/>
      <c r="QGT58" s="76"/>
      <c r="QGU58" s="76"/>
      <c r="QGV58" s="76"/>
      <c r="QGW58" s="76"/>
      <c r="QGX58" s="76"/>
      <c r="QGY58" s="76"/>
      <c r="QGZ58" s="76"/>
      <c r="QHA58" s="76"/>
      <c r="QHB58" s="76"/>
      <c r="QHC58" s="76"/>
      <c r="QHD58" s="76"/>
      <c r="QHE58" s="76"/>
      <c r="QHF58" s="76"/>
      <c r="QHG58" s="76"/>
      <c r="QHH58" s="76"/>
      <c r="QHI58" s="76"/>
      <c r="QHJ58" s="76"/>
      <c r="QHK58" s="76"/>
      <c r="QHL58" s="76"/>
      <c r="QHM58" s="76"/>
      <c r="QHN58" s="76"/>
      <c r="QHO58" s="76"/>
      <c r="QHP58" s="76"/>
      <c r="QHQ58" s="76"/>
      <c r="QHR58" s="76"/>
      <c r="QHS58" s="76"/>
      <c r="QHT58" s="76"/>
      <c r="QHU58" s="76"/>
      <c r="QHV58" s="76"/>
      <c r="QHW58" s="76"/>
      <c r="QHX58" s="76"/>
      <c r="QHY58" s="76"/>
      <c r="QHZ58" s="76"/>
      <c r="QIA58" s="76"/>
      <c r="QIB58" s="76"/>
      <c r="QIC58" s="76"/>
      <c r="QID58" s="76"/>
      <c r="QIE58" s="76"/>
      <c r="QIF58" s="76"/>
      <c r="QIG58" s="76"/>
      <c r="QIH58" s="76"/>
      <c r="QII58" s="76"/>
      <c r="QIJ58" s="76"/>
      <c r="QIK58" s="76"/>
      <c r="QIL58" s="76"/>
      <c r="QIM58" s="76"/>
      <c r="QIN58" s="76"/>
      <c r="QIO58" s="76"/>
      <c r="QIP58" s="76"/>
      <c r="QIQ58" s="76"/>
      <c r="QIR58" s="76"/>
      <c r="QIS58" s="76"/>
      <c r="QIT58" s="76"/>
      <c r="QIU58" s="76"/>
      <c r="QIV58" s="76"/>
      <c r="QIW58" s="76"/>
      <c r="QIX58" s="76"/>
      <c r="QIY58" s="76"/>
      <c r="QIZ58" s="76"/>
      <c r="QJA58" s="76"/>
      <c r="QJB58" s="76"/>
      <c r="QJC58" s="76"/>
      <c r="QJD58" s="76"/>
      <c r="QJE58" s="76"/>
      <c r="QJF58" s="76"/>
      <c r="QJG58" s="76"/>
      <c r="QJH58" s="76"/>
      <c r="QJI58" s="76"/>
      <c r="QJJ58" s="76"/>
      <c r="QJK58" s="76"/>
      <c r="QJL58" s="76"/>
      <c r="QJM58" s="76"/>
      <c r="QJN58" s="76"/>
      <c r="QJO58" s="76"/>
      <c r="QJP58" s="76"/>
      <c r="QJQ58" s="76"/>
      <c r="QJR58" s="76"/>
      <c r="QJS58" s="76"/>
      <c r="QJT58" s="76"/>
      <c r="QJU58" s="76"/>
      <c r="QJV58" s="76"/>
      <c r="QJW58" s="76"/>
      <c r="QJX58" s="76"/>
      <c r="QJY58" s="76"/>
      <c r="QJZ58" s="76"/>
      <c r="QKA58" s="76"/>
      <c r="QKB58" s="76"/>
      <c r="QKC58" s="76"/>
      <c r="QKD58" s="76"/>
      <c r="QKE58" s="76"/>
      <c r="QKF58" s="76"/>
      <c r="QKG58" s="76"/>
      <c r="QKH58" s="76"/>
      <c r="QKI58" s="76"/>
      <c r="QKJ58" s="76"/>
      <c r="QKK58" s="76"/>
      <c r="QKL58" s="76"/>
      <c r="QKM58" s="76"/>
      <c r="QKN58" s="76"/>
      <c r="QKO58" s="76"/>
      <c r="QKP58" s="76"/>
      <c r="QKQ58" s="76"/>
      <c r="QKR58" s="76"/>
      <c r="QKS58" s="76"/>
      <c r="QKT58" s="76"/>
      <c r="QKU58" s="76"/>
      <c r="QKV58" s="76"/>
      <c r="QKW58" s="76"/>
      <c r="QKX58" s="76"/>
      <c r="QKY58" s="76"/>
      <c r="QKZ58" s="76"/>
      <c r="QLA58" s="76"/>
      <c r="QLB58" s="76"/>
      <c r="QLC58" s="76"/>
      <c r="QLD58" s="76"/>
      <c r="QLE58" s="76"/>
      <c r="QLF58" s="76"/>
      <c r="QLG58" s="76"/>
      <c r="QLH58" s="76"/>
      <c r="QLI58" s="76"/>
      <c r="QLJ58" s="76"/>
      <c r="QLK58" s="76"/>
      <c r="QLL58" s="76"/>
      <c r="QLM58" s="76"/>
      <c r="QLN58" s="76"/>
      <c r="QLO58" s="76"/>
      <c r="QLP58" s="76"/>
      <c r="QLQ58" s="76"/>
      <c r="QLR58" s="76"/>
      <c r="QLS58" s="76"/>
      <c r="QLT58" s="76"/>
      <c r="QLU58" s="76"/>
      <c r="QLV58" s="76"/>
      <c r="QLW58" s="76"/>
      <c r="QLX58" s="76"/>
      <c r="QLY58" s="76"/>
      <c r="QLZ58" s="76"/>
      <c r="QMA58" s="76"/>
      <c r="QMB58" s="76"/>
      <c r="QMC58" s="76"/>
      <c r="QMD58" s="76"/>
      <c r="QME58" s="76"/>
      <c r="QMF58" s="76"/>
      <c r="QMG58" s="76"/>
      <c r="QMH58" s="76"/>
      <c r="QMI58" s="76"/>
      <c r="QMJ58" s="76"/>
      <c r="QMK58" s="76"/>
      <c r="QML58" s="76"/>
      <c r="QMM58" s="76"/>
      <c r="QMN58" s="76"/>
      <c r="QMO58" s="76"/>
      <c r="QMP58" s="76"/>
      <c r="QMQ58" s="76"/>
      <c r="QMR58" s="76"/>
      <c r="QMS58" s="76"/>
      <c r="QMT58" s="76"/>
      <c r="QMU58" s="76"/>
      <c r="QMV58" s="76"/>
      <c r="QMW58" s="76"/>
      <c r="QMX58" s="76"/>
      <c r="QMY58" s="76"/>
      <c r="QMZ58" s="76"/>
      <c r="QNA58" s="76"/>
      <c r="QNB58" s="76"/>
      <c r="QNC58" s="76"/>
      <c r="QND58" s="76"/>
      <c r="QNE58" s="76"/>
      <c r="QNF58" s="76"/>
      <c r="QNG58" s="76"/>
      <c r="QNH58" s="76"/>
      <c r="QNI58" s="76"/>
      <c r="QNJ58" s="76"/>
      <c r="QNK58" s="76"/>
      <c r="QNL58" s="76"/>
      <c r="QNM58" s="76"/>
      <c r="QNN58" s="76"/>
      <c r="QNO58" s="76"/>
      <c r="QNP58" s="76"/>
      <c r="QNQ58" s="76"/>
      <c r="QNR58" s="76"/>
      <c r="QNS58" s="76"/>
      <c r="QNT58" s="76"/>
      <c r="QNU58" s="76"/>
      <c r="QNV58" s="76"/>
      <c r="QNW58" s="76"/>
      <c r="QNX58" s="76"/>
      <c r="QNY58" s="76"/>
      <c r="QNZ58" s="76"/>
      <c r="QOA58" s="76"/>
      <c r="QOB58" s="76"/>
      <c r="QOC58" s="76"/>
      <c r="QOD58" s="76"/>
      <c r="QOE58" s="76"/>
      <c r="QOF58" s="76"/>
      <c r="QOG58" s="76"/>
      <c r="QOH58" s="76"/>
      <c r="QOI58" s="76"/>
      <c r="QOJ58" s="76"/>
      <c r="QOK58" s="76"/>
      <c r="QOL58" s="76"/>
      <c r="QOM58" s="76"/>
      <c r="QON58" s="76"/>
      <c r="QOO58" s="76"/>
      <c r="QOP58" s="76"/>
      <c r="QOQ58" s="76"/>
      <c r="QOR58" s="76"/>
      <c r="QOS58" s="76"/>
      <c r="QOT58" s="76"/>
      <c r="QOU58" s="76"/>
      <c r="QOV58" s="76"/>
      <c r="QOW58" s="76"/>
      <c r="QOX58" s="76"/>
      <c r="QOY58" s="76"/>
      <c r="QOZ58" s="76"/>
      <c r="QPA58" s="76"/>
      <c r="QPB58" s="76"/>
      <c r="QPC58" s="76"/>
      <c r="QPD58" s="76"/>
      <c r="QPE58" s="76"/>
      <c r="QPF58" s="76"/>
      <c r="QPG58" s="76"/>
      <c r="QPH58" s="76"/>
      <c r="QPI58" s="76"/>
      <c r="QPJ58" s="76"/>
      <c r="QPK58" s="76"/>
      <c r="QPL58" s="76"/>
      <c r="QPM58" s="76"/>
      <c r="QPN58" s="76"/>
      <c r="QPO58" s="76"/>
      <c r="QPP58" s="76"/>
      <c r="QPQ58" s="76"/>
      <c r="QPR58" s="76"/>
      <c r="QPS58" s="76"/>
      <c r="QPT58" s="76"/>
      <c r="QPU58" s="76"/>
      <c r="QPV58" s="76"/>
      <c r="QPW58" s="76"/>
      <c r="QPX58" s="76"/>
      <c r="QPY58" s="76"/>
      <c r="QPZ58" s="76"/>
      <c r="QQA58" s="76"/>
      <c r="QQB58" s="76"/>
      <c r="QQC58" s="76"/>
      <c r="QQD58" s="76"/>
      <c r="QQE58" s="76"/>
      <c r="QQF58" s="76"/>
      <c r="QQG58" s="76"/>
      <c r="QQH58" s="76"/>
      <c r="QQI58" s="76"/>
      <c r="QQJ58" s="76"/>
      <c r="QQK58" s="76"/>
      <c r="QQL58" s="76"/>
      <c r="QQM58" s="76"/>
      <c r="QQN58" s="76"/>
      <c r="QQO58" s="76"/>
      <c r="QQP58" s="76"/>
      <c r="QQQ58" s="76"/>
      <c r="QQR58" s="76"/>
      <c r="QQS58" s="76"/>
      <c r="QQT58" s="76"/>
      <c r="QQU58" s="76"/>
      <c r="QQV58" s="76"/>
      <c r="QQW58" s="76"/>
      <c r="QQX58" s="76"/>
      <c r="QQY58" s="76"/>
      <c r="QQZ58" s="76"/>
      <c r="QRA58" s="76"/>
      <c r="QRB58" s="76"/>
      <c r="QRC58" s="76"/>
      <c r="QRD58" s="76"/>
      <c r="QRE58" s="76"/>
      <c r="QRF58" s="76"/>
      <c r="QRG58" s="76"/>
      <c r="QRH58" s="76"/>
      <c r="QRI58" s="76"/>
      <c r="QRJ58" s="76"/>
      <c r="QRK58" s="76"/>
      <c r="QRL58" s="76"/>
      <c r="QRM58" s="76"/>
      <c r="QRN58" s="76"/>
      <c r="QRO58" s="76"/>
      <c r="QRP58" s="76"/>
      <c r="QRQ58" s="76"/>
      <c r="QRR58" s="76"/>
      <c r="QRS58" s="76"/>
      <c r="QRT58" s="76"/>
      <c r="QRU58" s="76"/>
      <c r="QRV58" s="76"/>
      <c r="QRW58" s="76"/>
      <c r="QRX58" s="76"/>
      <c r="QRY58" s="76"/>
      <c r="QRZ58" s="76"/>
      <c r="QSA58" s="76"/>
      <c r="QSB58" s="76"/>
      <c r="QSC58" s="76"/>
      <c r="QSD58" s="76"/>
      <c r="QSE58" s="76"/>
      <c r="QSF58" s="76"/>
      <c r="QSG58" s="76"/>
      <c r="QSH58" s="76"/>
      <c r="QSI58" s="76"/>
      <c r="QSJ58" s="76"/>
      <c r="QSK58" s="76"/>
      <c r="QSL58" s="76"/>
      <c r="QSM58" s="76"/>
      <c r="QSN58" s="76"/>
      <c r="QSO58" s="76"/>
      <c r="QSP58" s="76"/>
      <c r="QSQ58" s="76"/>
      <c r="QSR58" s="76"/>
      <c r="QSS58" s="76"/>
      <c r="QST58" s="76"/>
      <c r="QSU58" s="76"/>
      <c r="QSV58" s="76"/>
      <c r="QSW58" s="76"/>
      <c r="QSX58" s="76"/>
      <c r="QSY58" s="76"/>
      <c r="QSZ58" s="76"/>
      <c r="QTA58" s="76"/>
      <c r="QTB58" s="76"/>
      <c r="QTC58" s="76"/>
      <c r="QTD58" s="76"/>
      <c r="QTE58" s="76"/>
      <c r="QTF58" s="76"/>
      <c r="QTG58" s="76"/>
      <c r="QTH58" s="76"/>
      <c r="QTI58" s="76"/>
      <c r="QTJ58" s="76"/>
      <c r="QTK58" s="76"/>
      <c r="QTL58" s="76"/>
      <c r="QTM58" s="76"/>
      <c r="QTN58" s="76"/>
      <c r="QTO58" s="76"/>
      <c r="QTP58" s="76"/>
      <c r="QTQ58" s="76"/>
      <c r="QTR58" s="76"/>
      <c r="QTS58" s="76"/>
      <c r="QTT58" s="76"/>
      <c r="QTU58" s="76"/>
      <c r="QTV58" s="76"/>
      <c r="QTW58" s="76"/>
      <c r="QTX58" s="76"/>
      <c r="QTY58" s="76"/>
      <c r="QTZ58" s="76"/>
      <c r="QUA58" s="76"/>
      <c r="QUB58" s="76"/>
      <c r="QUC58" s="76"/>
      <c r="QUD58" s="76"/>
      <c r="QUE58" s="76"/>
      <c r="QUF58" s="76"/>
      <c r="QUG58" s="76"/>
      <c r="QUH58" s="76"/>
      <c r="QUI58" s="76"/>
      <c r="QUJ58" s="76"/>
      <c r="QUK58" s="76"/>
      <c r="QUL58" s="76"/>
      <c r="QUM58" s="76"/>
      <c r="QUN58" s="76"/>
      <c r="QUO58" s="76"/>
      <c r="QUP58" s="76"/>
      <c r="QUQ58" s="76"/>
      <c r="QUR58" s="76"/>
      <c r="QUS58" s="76"/>
      <c r="QUT58" s="76"/>
      <c r="QUU58" s="76"/>
      <c r="QUV58" s="76"/>
      <c r="QUW58" s="76"/>
      <c r="QUX58" s="76"/>
      <c r="QUY58" s="76"/>
      <c r="QUZ58" s="76"/>
      <c r="QVA58" s="76"/>
      <c r="QVB58" s="76"/>
      <c r="QVC58" s="76"/>
      <c r="QVD58" s="76"/>
      <c r="QVE58" s="76"/>
      <c r="QVF58" s="76"/>
      <c r="QVG58" s="76"/>
      <c r="QVH58" s="76"/>
      <c r="QVI58" s="76"/>
      <c r="QVJ58" s="76"/>
      <c r="QVK58" s="76"/>
      <c r="QVL58" s="76"/>
      <c r="QVM58" s="76"/>
      <c r="QVN58" s="76"/>
      <c r="QVO58" s="76"/>
      <c r="QVP58" s="76"/>
      <c r="QVQ58" s="76"/>
      <c r="QVR58" s="76"/>
      <c r="QVS58" s="76"/>
      <c r="QVT58" s="76"/>
      <c r="QVU58" s="76"/>
      <c r="QVV58" s="76"/>
      <c r="QVW58" s="76"/>
      <c r="QVX58" s="76"/>
      <c r="QVY58" s="76"/>
      <c r="QVZ58" s="76"/>
      <c r="QWA58" s="76"/>
      <c r="QWB58" s="76"/>
      <c r="QWC58" s="76"/>
      <c r="QWD58" s="76"/>
      <c r="QWE58" s="76"/>
      <c r="QWF58" s="76"/>
      <c r="QWG58" s="76"/>
      <c r="QWH58" s="76"/>
      <c r="QWI58" s="76"/>
      <c r="QWJ58" s="76"/>
      <c r="QWK58" s="76"/>
      <c r="QWL58" s="76"/>
      <c r="QWM58" s="76"/>
      <c r="QWN58" s="76"/>
      <c r="QWO58" s="76"/>
      <c r="QWP58" s="76"/>
      <c r="QWQ58" s="76"/>
      <c r="QWR58" s="76"/>
      <c r="QWS58" s="76"/>
      <c r="QWT58" s="76"/>
      <c r="QWU58" s="76"/>
      <c r="QWV58" s="76"/>
      <c r="QWW58" s="76"/>
      <c r="QWX58" s="76"/>
      <c r="QWY58" s="76"/>
      <c r="QWZ58" s="76"/>
      <c r="QXA58" s="76"/>
      <c r="QXB58" s="76"/>
      <c r="QXC58" s="76"/>
      <c r="QXD58" s="76"/>
      <c r="QXE58" s="76"/>
      <c r="QXF58" s="76"/>
      <c r="QXG58" s="76"/>
      <c r="QXH58" s="76"/>
      <c r="QXI58" s="76"/>
      <c r="QXJ58" s="76"/>
      <c r="QXK58" s="76"/>
      <c r="QXL58" s="76"/>
      <c r="QXM58" s="76"/>
      <c r="QXN58" s="76"/>
      <c r="QXO58" s="76"/>
      <c r="QXP58" s="76"/>
      <c r="QXQ58" s="76"/>
      <c r="QXR58" s="76"/>
      <c r="QXS58" s="76"/>
      <c r="QXT58" s="76"/>
      <c r="QXU58" s="76"/>
      <c r="QXV58" s="76"/>
      <c r="QXW58" s="76"/>
      <c r="QXX58" s="76"/>
      <c r="QXY58" s="76"/>
      <c r="QXZ58" s="76"/>
      <c r="QYA58" s="76"/>
      <c r="QYB58" s="76"/>
      <c r="QYC58" s="76"/>
      <c r="QYD58" s="76"/>
      <c r="QYE58" s="76"/>
      <c r="QYF58" s="76"/>
      <c r="QYG58" s="76"/>
      <c r="QYH58" s="76"/>
      <c r="QYI58" s="76"/>
      <c r="QYJ58" s="76"/>
      <c r="QYK58" s="76"/>
      <c r="QYL58" s="76"/>
      <c r="QYM58" s="76"/>
      <c r="QYN58" s="76"/>
      <c r="QYO58" s="76"/>
      <c r="QYP58" s="76"/>
      <c r="QYQ58" s="76"/>
      <c r="QYR58" s="76"/>
      <c r="QYS58" s="76"/>
      <c r="QYT58" s="76"/>
      <c r="QYU58" s="76"/>
      <c r="QYV58" s="76"/>
      <c r="QYW58" s="76"/>
      <c r="QYX58" s="76"/>
      <c r="QYY58" s="76"/>
      <c r="QYZ58" s="76"/>
      <c r="QZA58" s="76"/>
      <c r="QZB58" s="76"/>
      <c r="QZC58" s="76"/>
      <c r="QZD58" s="76"/>
      <c r="QZE58" s="76"/>
      <c r="QZF58" s="76"/>
      <c r="QZG58" s="76"/>
      <c r="QZH58" s="76"/>
      <c r="QZI58" s="76"/>
      <c r="QZJ58" s="76"/>
      <c r="QZK58" s="76"/>
      <c r="QZL58" s="76"/>
      <c r="QZM58" s="76"/>
      <c r="QZN58" s="76"/>
      <c r="QZO58" s="76"/>
      <c r="QZP58" s="76"/>
      <c r="QZQ58" s="76"/>
      <c r="QZR58" s="76"/>
      <c r="QZS58" s="76"/>
      <c r="QZT58" s="76"/>
      <c r="QZU58" s="76"/>
      <c r="QZV58" s="76"/>
      <c r="QZW58" s="76"/>
      <c r="QZX58" s="76"/>
      <c r="QZY58" s="76"/>
      <c r="QZZ58" s="76"/>
      <c r="RAA58" s="76"/>
      <c r="RAB58" s="76"/>
      <c r="RAC58" s="76"/>
      <c r="RAD58" s="76"/>
      <c r="RAE58" s="76"/>
      <c r="RAF58" s="76"/>
      <c r="RAG58" s="76"/>
      <c r="RAH58" s="76"/>
      <c r="RAI58" s="76"/>
      <c r="RAJ58" s="76"/>
      <c r="RAK58" s="76"/>
      <c r="RAL58" s="76"/>
      <c r="RAM58" s="76"/>
      <c r="RAN58" s="76"/>
      <c r="RAO58" s="76"/>
      <c r="RAP58" s="76"/>
      <c r="RAQ58" s="76"/>
      <c r="RAR58" s="76"/>
      <c r="RAS58" s="76"/>
      <c r="RAT58" s="76"/>
      <c r="RAU58" s="76"/>
      <c r="RAV58" s="76"/>
      <c r="RAW58" s="76"/>
      <c r="RAX58" s="76"/>
      <c r="RAY58" s="76"/>
      <c r="RAZ58" s="76"/>
      <c r="RBA58" s="76"/>
      <c r="RBB58" s="76"/>
      <c r="RBC58" s="76"/>
      <c r="RBD58" s="76"/>
      <c r="RBE58" s="76"/>
      <c r="RBF58" s="76"/>
      <c r="RBG58" s="76"/>
      <c r="RBH58" s="76"/>
      <c r="RBI58" s="76"/>
      <c r="RBJ58" s="76"/>
      <c r="RBK58" s="76"/>
      <c r="RBL58" s="76"/>
      <c r="RBM58" s="76"/>
      <c r="RBN58" s="76"/>
      <c r="RBO58" s="76"/>
      <c r="RBP58" s="76"/>
      <c r="RBQ58" s="76"/>
      <c r="RBR58" s="76"/>
      <c r="RBS58" s="76"/>
      <c r="RBT58" s="76"/>
      <c r="RBU58" s="76"/>
      <c r="RBV58" s="76"/>
      <c r="RBW58" s="76"/>
      <c r="RBX58" s="76"/>
      <c r="RBY58" s="76"/>
      <c r="RBZ58" s="76"/>
      <c r="RCA58" s="76"/>
      <c r="RCB58" s="76"/>
      <c r="RCC58" s="76"/>
      <c r="RCD58" s="76"/>
      <c r="RCE58" s="76"/>
      <c r="RCF58" s="76"/>
      <c r="RCG58" s="76"/>
      <c r="RCH58" s="76"/>
      <c r="RCI58" s="76"/>
      <c r="RCJ58" s="76"/>
      <c r="RCK58" s="76"/>
      <c r="RCL58" s="76"/>
      <c r="RCM58" s="76"/>
      <c r="RCN58" s="76"/>
      <c r="RCO58" s="76"/>
      <c r="RCP58" s="76"/>
      <c r="RCQ58" s="76"/>
      <c r="RCR58" s="76"/>
      <c r="RCS58" s="76"/>
      <c r="RCT58" s="76"/>
      <c r="RCU58" s="76"/>
      <c r="RCV58" s="76"/>
      <c r="RCW58" s="76"/>
      <c r="RCX58" s="76"/>
      <c r="RCY58" s="76"/>
      <c r="RCZ58" s="76"/>
      <c r="RDA58" s="76"/>
      <c r="RDB58" s="76"/>
      <c r="RDC58" s="76"/>
      <c r="RDD58" s="76"/>
      <c r="RDE58" s="76"/>
      <c r="RDF58" s="76"/>
      <c r="RDG58" s="76"/>
      <c r="RDH58" s="76"/>
      <c r="RDI58" s="76"/>
      <c r="RDJ58" s="76"/>
      <c r="RDK58" s="76"/>
      <c r="RDL58" s="76"/>
      <c r="RDM58" s="76"/>
      <c r="RDN58" s="76"/>
      <c r="RDO58" s="76"/>
      <c r="RDP58" s="76"/>
      <c r="RDQ58" s="76"/>
      <c r="RDR58" s="76"/>
      <c r="RDS58" s="76"/>
      <c r="RDT58" s="76"/>
      <c r="RDU58" s="76"/>
      <c r="RDV58" s="76"/>
      <c r="RDW58" s="76"/>
      <c r="RDX58" s="76"/>
      <c r="RDY58" s="76"/>
      <c r="RDZ58" s="76"/>
      <c r="REA58" s="76"/>
      <c r="REB58" s="76"/>
      <c r="REC58" s="76"/>
      <c r="RED58" s="76"/>
      <c r="REE58" s="76"/>
      <c r="REF58" s="76"/>
      <c r="REG58" s="76"/>
      <c r="REH58" s="76"/>
      <c r="REI58" s="76"/>
      <c r="REJ58" s="76"/>
      <c r="REK58" s="76"/>
      <c r="REL58" s="76"/>
      <c r="REM58" s="76"/>
      <c r="REN58" s="76"/>
      <c r="REO58" s="76"/>
      <c r="REP58" s="76"/>
      <c r="REQ58" s="76"/>
      <c r="RER58" s="76"/>
      <c r="RES58" s="76"/>
      <c r="RET58" s="76"/>
      <c r="REU58" s="76"/>
      <c r="REV58" s="76"/>
      <c r="REW58" s="76"/>
      <c r="REX58" s="76"/>
      <c r="REY58" s="76"/>
      <c r="REZ58" s="76"/>
      <c r="RFA58" s="76"/>
      <c r="RFB58" s="76"/>
      <c r="RFC58" s="76"/>
      <c r="RFD58" s="76"/>
      <c r="RFE58" s="76"/>
      <c r="RFF58" s="76"/>
      <c r="RFG58" s="76"/>
      <c r="RFH58" s="76"/>
      <c r="RFI58" s="76"/>
      <c r="RFJ58" s="76"/>
      <c r="RFK58" s="76"/>
      <c r="RFL58" s="76"/>
      <c r="RFM58" s="76"/>
      <c r="RFN58" s="76"/>
      <c r="RFO58" s="76"/>
      <c r="RFP58" s="76"/>
      <c r="RFQ58" s="76"/>
      <c r="RFR58" s="76"/>
      <c r="RFS58" s="76"/>
      <c r="RFT58" s="76"/>
      <c r="RFU58" s="76"/>
      <c r="RFV58" s="76"/>
      <c r="RFW58" s="76"/>
      <c r="RFX58" s="76"/>
      <c r="RFY58" s="76"/>
      <c r="RFZ58" s="76"/>
      <c r="RGA58" s="76"/>
      <c r="RGB58" s="76"/>
      <c r="RGC58" s="76"/>
      <c r="RGD58" s="76"/>
      <c r="RGE58" s="76"/>
      <c r="RGF58" s="76"/>
      <c r="RGG58" s="76"/>
      <c r="RGH58" s="76"/>
      <c r="RGI58" s="76"/>
      <c r="RGJ58" s="76"/>
      <c r="RGK58" s="76"/>
      <c r="RGL58" s="76"/>
      <c r="RGM58" s="76"/>
      <c r="RGN58" s="76"/>
      <c r="RGO58" s="76"/>
      <c r="RGP58" s="76"/>
      <c r="RGQ58" s="76"/>
      <c r="RGR58" s="76"/>
      <c r="RGS58" s="76"/>
      <c r="RGT58" s="76"/>
      <c r="RGU58" s="76"/>
      <c r="RGV58" s="76"/>
      <c r="RGW58" s="76"/>
      <c r="RGX58" s="76"/>
      <c r="RGY58" s="76"/>
      <c r="RGZ58" s="76"/>
      <c r="RHA58" s="76"/>
      <c r="RHB58" s="76"/>
      <c r="RHC58" s="76"/>
      <c r="RHD58" s="76"/>
      <c r="RHE58" s="76"/>
      <c r="RHF58" s="76"/>
      <c r="RHG58" s="76"/>
      <c r="RHH58" s="76"/>
      <c r="RHI58" s="76"/>
      <c r="RHJ58" s="76"/>
      <c r="RHK58" s="76"/>
      <c r="RHL58" s="76"/>
      <c r="RHM58" s="76"/>
      <c r="RHN58" s="76"/>
      <c r="RHO58" s="76"/>
      <c r="RHP58" s="76"/>
      <c r="RHQ58" s="76"/>
      <c r="RHR58" s="76"/>
      <c r="RHS58" s="76"/>
      <c r="RHT58" s="76"/>
      <c r="RHU58" s="76"/>
      <c r="RHV58" s="76"/>
      <c r="RHW58" s="76"/>
      <c r="RHX58" s="76"/>
      <c r="RHY58" s="76"/>
      <c r="RHZ58" s="76"/>
      <c r="RIA58" s="76"/>
      <c r="RIB58" s="76"/>
      <c r="RIC58" s="76"/>
      <c r="RID58" s="76"/>
      <c r="RIE58" s="76"/>
      <c r="RIF58" s="76"/>
      <c r="RIG58" s="76"/>
      <c r="RIH58" s="76"/>
      <c r="RII58" s="76"/>
      <c r="RIJ58" s="76"/>
      <c r="RIK58" s="76"/>
      <c r="RIL58" s="76"/>
      <c r="RIM58" s="76"/>
      <c r="RIN58" s="76"/>
      <c r="RIO58" s="76"/>
      <c r="RIP58" s="76"/>
      <c r="RIQ58" s="76"/>
      <c r="RIR58" s="76"/>
      <c r="RIS58" s="76"/>
      <c r="RIT58" s="76"/>
      <c r="RIU58" s="76"/>
      <c r="RIV58" s="76"/>
      <c r="RIW58" s="76"/>
      <c r="RIX58" s="76"/>
      <c r="RIY58" s="76"/>
      <c r="RIZ58" s="76"/>
      <c r="RJA58" s="76"/>
      <c r="RJB58" s="76"/>
      <c r="RJC58" s="76"/>
      <c r="RJD58" s="76"/>
      <c r="RJE58" s="76"/>
      <c r="RJF58" s="76"/>
      <c r="RJG58" s="76"/>
      <c r="RJH58" s="76"/>
      <c r="RJI58" s="76"/>
      <c r="RJJ58" s="76"/>
      <c r="RJK58" s="76"/>
      <c r="RJL58" s="76"/>
      <c r="RJM58" s="76"/>
      <c r="RJN58" s="76"/>
      <c r="RJO58" s="76"/>
      <c r="RJP58" s="76"/>
      <c r="RJQ58" s="76"/>
      <c r="RJR58" s="76"/>
      <c r="RJS58" s="76"/>
      <c r="RJT58" s="76"/>
      <c r="RJU58" s="76"/>
      <c r="RJV58" s="76"/>
      <c r="RJW58" s="76"/>
      <c r="RJX58" s="76"/>
      <c r="RJY58" s="76"/>
      <c r="RJZ58" s="76"/>
      <c r="RKA58" s="76"/>
      <c r="RKB58" s="76"/>
      <c r="RKC58" s="76"/>
      <c r="RKD58" s="76"/>
      <c r="RKE58" s="76"/>
      <c r="RKF58" s="76"/>
      <c r="RKG58" s="76"/>
      <c r="RKH58" s="76"/>
      <c r="RKI58" s="76"/>
      <c r="RKJ58" s="76"/>
      <c r="RKK58" s="76"/>
      <c r="RKL58" s="76"/>
      <c r="RKM58" s="76"/>
      <c r="RKN58" s="76"/>
      <c r="RKO58" s="76"/>
      <c r="RKP58" s="76"/>
      <c r="RKQ58" s="76"/>
      <c r="RKR58" s="76"/>
      <c r="RKS58" s="76"/>
      <c r="RKT58" s="76"/>
      <c r="RKU58" s="76"/>
      <c r="RKV58" s="76"/>
      <c r="RKW58" s="76"/>
      <c r="RKX58" s="76"/>
      <c r="RKY58" s="76"/>
      <c r="RKZ58" s="76"/>
      <c r="RLA58" s="76"/>
      <c r="RLB58" s="76"/>
      <c r="RLC58" s="76"/>
      <c r="RLD58" s="76"/>
      <c r="RLE58" s="76"/>
      <c r="RLF58" s="76"/>
      <c r="RLG58" s="76"/>
      <c r="RLH58" s="76"/>
      <c r="RLI58" s="76"/>
      <c r="RLJ58" s="76"/>
      <c r="RLK58" s="76"/>
      <c r="RLL58" s="76"/>
      <c r="RLM58" s="76"/>
      <c r="RLN58" s="76"/>
      <c r="RLO58" s="76"/>
      <c r="RLP58" s="76"/>
      <c r="RLQ58" s="76"/>
      <c r="RLR58" s="76"/>
      <c r="RLS58" s="76"/>
      <c r="RLT58" s="76"/>
      <c r="RLU58" s="76"/>
      <c r="RLV58" s="76"/>
      <c r="RLW58" s="76"/>
      <c r="RLX58" s="76"/>
      <c r="RLY58" s="76"/>
      <c r="RLZ58" s="76"/>
      <c r="RMA58" s="76"/>
      <c r="RMB58" s="76"/>
      <c r="RMC58" s="76"/>
      <c r="RMD58" s="76"/>
      <c r="RME58" s="76"/>
      <c r="RMF58" s="76"/>
      <c r="RMG58" s="76"/>
      <c r="RMH58" s="76"/>
      <c r="RMI58" s="76"/>
      <c r="RMJ58" s="76"/>
      <c r="RMK58" s="76"/>
      <c r="RML58" s="76"/>
      <c r="RMM58" s="76"/>
      <c r="RMN58" s="76"/>
      <c r="RMO58" s="76"/>
      <c r="RMP58" s="76"/>
      <c r="RMQ58" s="76"/>
      <c r="RMR58" s="76"/>
      <c r="RMS58" s="76"/>
      <c r="RMT58" s="76"/>
      <c r="RMU58" s="76"/>
      <c r="RMV58" s="76"/>
      <c r="RMW58" s="76"/>
      <c r="RMX58" s="76"/>
      <c r="RMY58" s="76"/>
      <c r="RMZ58" s="76"/>
      <c r="RNA58" s="76"/>
      <c r="RNB58" s="76"/>
      <c r="RNC58" s="76"/>
      <c r="RND58" s="76"/>
      <c r="RNE58" s="76"/>
      <c r="RNF58" s="76"/>
      <c r="RNG58" s="76"/>
      <c r="RNH58" s="76"/>
      <c r="RNI58" s="76"/>
      <c r="RNJ58" s="76"/>
      <c r="RNK58" s="76"/>
      <c r="RNL58" s="76"/>
      <c r="RNM58" s="76"/>
      <c r="RNN58" s="76"/>
      <c r="RNO58" s="76"/>
      <c r="RNP58" s="76"/>
      <c r="RNQ58" s="76"/>
      <c r="RNR58" s="76"/>
      <c r="RNS58" s="76"/>
      <c r="RNT58" s="76"/>
      <c r="RNU58" s="76"/>
      <c r="RNV58" s="76"/>
      <c r="RNW58" s="76"/>
      <c r="RNX58" s="76"/>
      <c r="RNY58" s="76"/>
      <c r="RNZ58" s="76"/>
      <c r="ROA58" s="76"/>
      <c r="ROB58" s="76"/>
      <c r="ROC58" s="76"/>
      <c r="ROD58" s="76"/>
      <c r="ROE58" s="76"/>
      <c r="ROF58" s="76"/>
      <c r="ROG58" s="76"/>
      <c r="ROH58" s="76"/>
      <c r="ROI58" s="76"/>
      <c r="ROJ58" s="76"/>
      <c r="ROK58" s="76"/>
      <c r="ROL58" s="76"/>
      <c r="ROM58" s="76"/>
      <c r="RON58" s="76"/>
      <c r="ROO58" s="76"/>
      <c r="ROP58" s="76"/>
      <c r="ROQ58" s="76"/>
      <c r="ROR58" s="76"/>
      <c r="ROS58" s="76"/>
      <c r="ROT58" s="76"/>
      <c r="ROU58" s="76"/>
      <c r="ROV58" s="76"/>
      <c r="ROW58" s="76"/>
      <c r="ROX58" s="76"/>
      <c r="ROY58" s="76"/>
      <c r="ROZ58" s="76"/>
      <c r="RPA58" s="76"/>
      <c r="RPB58" s="76"/>
      <c r="RPC58" s="76"/>
      <c r="RPD58" s="76"/>
      <c r="RPE58" s="76"/>
      <c r="RPF58" s="76"/>
      <c r="RPG58" s="76"/>
      <c r="RPH58" s="76"/>
      <c r="RPI58" s="76"/>
      <c r="RPJ58" s="76"/>
      <c r="RPK58" s="76"/>
      <c r="RPL58" s="76"/>
      <c r="RPM58" s="76"/>
      <c r="RPN58" s="76"/>
      <c r="RPO58" s="76"/>
      <c r="RPP58" s="76"/>
      <c r="RPQ58" s="76"/>
      <c r="RPR58" s="76"/>
      <c r="RPS58" s="76"/>
      <c r="RPT58" s="76"/>
      <c r="RPU58" s="76"/>
      <c r="RPV58" s="76"/>
      <c r="RPW58" s="76"/>
      <c r="RPX58" s="76"/>
      <c r="RPY58" s="76"/>
      <c r="RPZ58" s="76"/>
      <c r="RQA58" s="76"/>
      <c r="RQB58" s="76"/>
      <c r="RQC58" s="76"/>
      <c r="RQD58" s="76"/>
      <c r="RQE58" s="76"/>
      <c r="RQF58" s="76"/>
      <c r="RQG58" s="76"/>
      <c r="RQH58" s="76"/>
      <c r="RQI58" s="76"/>
      <c r="RQJ58" s="76"/>
      <c r="RQK58" s="76"/>
      <c r="RQL58" s="76"/>
      <c r="RQM58" s="76"/>
      <c r="RQN58" s="76"/>
      <c r="RQO58" s="76"/>
      <c r="RQP58" s="76"/>
      <c r="RQQ58" s="76"/>
      <c r="RQR58" s="76"/>
      <c r="RQS58" s="76"/>
      <c r="RQT58" s="76"/>
      <c r="RQU58" s="76"/>
      <c r="RQV58" s="76"/>
      <c r="RQW58" s="76"/>
      <c r="RQX58" s="76"/>
      <c r="RQY58" s="76"/>
      <c r="RQZ58" s="76"/>
      <c r="RRA58" s="76"/>
      <c r="RRB58" s="76"/>
      <c r="RRC58" s="76"/>
      <c r="RRD58" s="76"/>
      <c r="RRE58" s="76"/>
      <c r="RRF58" s="76"/>
      <c r="RRG58" s="76"/>
      <c r="RRH58" s="76"/>
      <c r="RRI58" s="76"/>
      <c r="RRJ58" s="76"/>
      <c r="RRK58" s="76"/>
      <c r="RRL58" s="76"/>
      <c r="RRM58" s="76"/>
      <c r="RRN58" s="76"/>
      <c r="RRO58" s="76"/>
      <c r="RRP58" s="76"/>
      <c r="RRQ58" s="76"/>
      <c r="RRR58" s="76"/>
      <c r="RRS58" s="76"/>
      <c r="RRT58" s="76"/>
      <c r="RRU58" s="76"/>
      <c r="RRV58" s="76"/>
      <c r="RRW58" s="76"/>
      <c r="RRX58" s="76"/>
      <c r="RRY58" s="76"/>
      <c r="RRZ58" s="76"/>
      <c r="RSA58" s="76"/>
      <c r="RSB58" s="76"/>
      <c r="RSC58" s="76"/>
      <c r="RSD58" s="76"/>
      <c r="RSE58" s="76"/>
      <c r="RSF58" s="76"/>
      <c r="RSG58" s="76"/>
      <c r="RSH58" s="76"/>
      <c r="RSI58" s="76"/>
      <c r="RSJ58" s="76"/>
      <c r="RSK58" s="76"/>
      <c r="RSL58" s="76"/>
      <c r="RSM58" s="76"/>
      <c r="RSN58" s="76"/>
      <c r="RSO58" s="76"/>
      <c r="RSP58" s="76"/>
      <c r="RSQ58" s="76"/>
      <c r="RSR58" s="76"/>
      <c r="RSS58" s="76"/>
      <c r="RST58" s="76"/>
      <c r="RSU58" s="76"/>
      <c r="RSV58" s="76"/>
      <c r="RSW58" s="76"/>
      <c r="RSX58" s="76"/>
      <c r="RSY58" s="76"/>
      <c r="RSZ58" s="76"/>
      <c r="RTA58" s="76"/>
      <c r="RTB58" s="76"/>
      <c r="RTC58" s="76"/>
      <c r="RTD58" s="76"/>
      <c r="RTE58" s="76"/>
      <c r="RTF58" s="76"/>
      <c r="RTG58" s="76"/>
      <c r="RTH58" s="76"/>
      <c r="RTI58" s="76"/>
      <c r="RTJ58" s="76"/>
      <c r="RTK58" s="76"/>
      <c r="RTL58" s="76"/>
      <c r="RTM58" s="76"/>
      <c r="RTN58" s="76"/>
      <c r="RTO58" s="76"/>
      <c r="RTP58" s="76"/>
      <c r="RTQ58" s="76"/>
      <c r="RTR58" s="76"/>
      <c r="RTS58" s="76"/>
      <c r="RTT58" s="76"/>
      <c r="RTU58" s="76"/>
      <c r="RTV58" s="76"/>
      <c r="RTW58" s="76"/>
      <c r="RTX58" s="76"/>
      <c r="RTY58" s="76"/>
      <c r="RTZ58" s="76"/>
      <c r="RUA58" s="76"/>
      <c r="RUB58" s="76"/>
      <c r="RUC58" s="76"/>
      <c r="RUD58" s="76"/>
      <c r="RUE58" s="76"/>
      <c r="RUF58" s="76"/>
      <c r="RUG58" s="76"/>
      <c r="RUH58" s="76"/>
      <c r="RUI58" s="76"/>
      <c r="RUJ58" s="76"/>
      <c r="RUK58" s="76"/>
      <c r="RUL58" s="76"/>
      <c r="RUM58" s="76"/>
      <c r="RUN58" s="76"/>
      <c r="RUO58" s="76"/>
      <c r="RUP58" s="76"/>
      <c r="RUQ58" s="76"/>
      <c r="RUR58" s="76"/>
      <c r="RUS58" s="76"/>
      <c r="RUT58" s="76"/>
      <c r="RUU58" s="76"/>
      <c r="RUV58" s="76"/>
      <c r="RUW58" s="76"/>
      <c r="RUX58" s="76"/>
      <c r="RUY58" s="76"/>
      <c r="RUZ58" s="76"/>
      <c r="RVA58" s="76"/>
      <c r="RVB58" s="76"/>
      <c r="RVC58" s="76"/>
      <c r="RVD58" s="76"/>
      <c r="RVE58" s="76"/>
      <c r="RVF58" s="76"/>
      <c r="RVG58" s="76"/>
      <c r="RVH58" s="76"/>
      <c r="RVI58" s="76"/>
      <c r="RVJ58" s="76"/>
      <c r="RVK58" s="76"/>
      <c r="RVL58" s="76"/>
      <c r="RVM58" s="76"/>
      <c r="RVN58" s="76"/>
      <c r="RVO58" s="76"/>
      <c r="RVP58" s="76"/>
      <c r="RVQ58" s="76"/>
      <c r="RVR58" s="76"/>
      <c r="RVS58" s="76"/>
      <c r="RVT58" s="76"/>
      <c r="RVU58" s="76"/>
      <c r="RVV58" s="76"/>
      <c r="RVW58" s="76"/>
      <c r="RVX58" s="76"/>
      <c r="RVY58" s="76"/>
      <c r="RVZ58" s="76"/>
      <c r="RWA58" s="76"/>
      <c r="RWB58" s="76"/>
      <c r="RWC58" s="76"/>
      <c r="RWD58" s="76"/>
      <c r="RWE58" s="76"/>
      <c r="RWF58" s="76"/>
      <c r="RWG58" s="76"/>
      <c r="RWH58" s="76"/>
      <c r="RWI58" s="76"/>
      <c r="RWJ58" s="76"/>
      <c r="RWK58" s="76"/>
      <c r="RWL58" s="76"/>
      <c r="RWM58" s="76"/>
      <c r="RWN58" s="76"/>
      <c r="RWO58" s="76"/>
      <c r="RWP58" s="76"/>
      <c r="RWQ58" s="76"/>
      <c r="RWR58" s="76"/>
      <c r="RWS58" s="76"/>
      <c r="RWT58" s="76"/>
      <c r="RWU58" s="76"/>
      <c r="RWV58" s="76"/>
      <c r="RWW58" s="76"/>
      <c r="RWX58" s="76"/>
      <c r="RWY58" s="76"/>
      <c r="RWZ58" s="76"/>
      <c r="RXA58" s="76"/>
      <c r="RXB58" s="76"/>
      <c r="RXC58" s="76"/>
      <c r="RXD58" s="76"/>
      <c r="RXE58" s="76"/>
      <c r="RXF58" s="76"/>
      <c r="RXG58" s="76"/>
      <c r="RXH58" s="76"/>
      <c r="RXI58" s="76"/>
      <c r="RXJ58" s="76"/>
      <c r="RXK58" s="76"/>
      <c r="RXL58" s="76"/>
      <c r="RXM58" s="76"/>
      <c r="RXN58" s="76"/>
      <c r="RXO58" s="76"/>
      <c r="RXP58" s="76"/>
      <c r="RXQ58" s="76"/>
      <c r="RXR58" s="76"/>
      <c r="RXS58" s="76"/>
      <c r="RXT58" s="76"/>
      <c r="RXU58" s="76"/>
      <c r="RXV58" s="76"/>
      <c r="RXW58" s="76"/>
      <c r="RXX58" s="76"/>
      <c r="RXY58" s="76"/>
      <c r="RXZ58" s="76"/>
      <c r="RYA58" s="76"/>
      <c r="RYB58" s="76"/>
      <c r="RYC58" s="76"/>
      <c r="RYD58" s="76"/>
      <c r="RYE58" s="76"/>
      <c r="RYF58" s="76"/>
      <c r="RYG58" s="76"/>
      <c r="RYH58" s="76"/>
      <c r="RYI58" s="76"/>
      <c r="RYJ58" s="76"/>
      <c r="RYK58" s="76"/>
      <c r="RYL58" s="76"/>
      <c r="RYM58" s="76"/>
      <c r="RYN58" s="76"/>
      <c r="RYO58" s="76"/>
      <c r="RYP58" s="76"/>
      <c r="RYQ58" s="76"/>
      <c r="RYR58" s="76"/>
      <c r="RYS58" s="76"/>
      <c r="RYT58" s="76"/>
      <c r="RYU58" s="76"/>
      <c r="RYV58" s="76"/>
      <c r="RYW58" s="76"/>
      <c r="RYX58" s="76"/>
      <c r="RYY58" s="76"/>
      <c r="RYZ58" s="76"/>
      <c r="RZA58" s="76"/>
      <c r="RZB58" s="76"/>
      <c r="RZC58" s="76"/>
      <c r="RZD58" s="76"/>
      <c r="RZE58" s="76"/>
      <c r="RZF58" s="76"/>
      <c r="RZG58" s="76"/>
      <c r="RZH58" s="76"/>
      <c r="RZI58" s="76"/>
      <c r="RZJ58" s="76"/>
      <c r="RZK58" s="76"/>
      <c r="RZL58" s="76"/>
      <c r="RZM58" s="76"/>
      <c r="RZN58" s="76"/>
      <c r="RZO58" s="76"/>
      <c r="RZP58" s="76"/>
      <c r="RZQ58" s="76"/>
      <c r="RZR58" s="76"/>
      <c r="RZS58" s="76"/>
      <c r="RZT58" s="76"/>
      <c r="RZU58" s="76"/>
      <c r="RZV58" s="76"/>
      <c r="RZW58" s="76"/>
      <c r="RZX58" s="76"/>
      <c r="RZY58" s="76"/>
      <c r="RZZ58" s="76"/>
      <c r="SAA58" s="76"/>
      <c r="SAB58" s="76"/>
      <c r="SAC58" s="76"/>
      <c r="SAD58" s="76"/>
      <c r="SAE58" s="76"/>
      <c r="SAF58" s="76"/>
      <c r="SAG58" s="76"/>
      <c r="SAH58" s="76"/>
      <c r="SAI58" s="76"/>
      <c r="SAJ58" s="76"/>
      <c r="SAK58" s="76"/>
      <c r="SAL58" s="76"/>
      <c r="SAM58" s="76"/>
      <c r="SAN58" s="76"/>
      <c r="SAO58" s="76"/>
      <c r="SAP58" s="76"/>
      <c r="SAQ58" s="76"/>
      <c r="SAR58" s="76"/>
      <c r="SAS58" s="76"/>
      <c r="SAT58" s="76"/>
      <c r="SAU58" s="76"/>
      <c r="SAV58" s="76"/>
      <c r="SAW58" s="76"/>
      <c r="SAX58" s="76"/>
      <c r="SAY58" s="76"/>
      <c r="SAZ58" s="76"/>
      <c r="SBA58" s="76"/>
      <c r="SBB58" s="76"/>
      <c r="SBC58" s="76"/>
      <c r="SBD58" s="76"/>
      <c r="SBE58" s="76"/>
      <c r="SBF58" s="76"/>
      <c r="SBG58" s="76"/>
      <c r="SBH58" s="76"/>
      <c r="SBI58" s="76"/>
      <c r="SBJ58" s="76"/>
      <c r="SBK58" s="76"/>
      <c r="SBL58" s="76"/>
      <c r="SBM58" s="76"/>
      <c r="SBN58" s="76"/>
      <c r="SBO58" s="76"/>
      <c r="SBP58" s="76"/>
      <c r="SBQ58" s="76"/>
      <c r="SBR58" s="76"/>
      <c r="SBS58" s="76"/>
      <c r="SBT58" s="76"/>
      <c r="SBU58" s="76"/>
      <c r="SBV58" s="76"/>
      <c r="SBW58" s="76"/>
      <c r="SBX58" s="76"/>
      <c r="SBY58" s="76"/>
      <c r="SBZ58" s="76"/>
      <c r="SCA58" s="76"/>
      <c r="SCB58" s="76"/>
      <c r="SCC58" s="76"/>
      <c r="SCD58" s="76"/>
      <c r="SCE58" s="76"/>
      <c r="SCF58" s="76"/>
      <c r="SCG58" s="76"/>
      <c r="SCH58" s="76"/>
      <c r="SCI58" s="76"/>
      <c r="SCJ58" s="76"/>
      <c r="SCK58" s="76"/>
      <c r="SCL58" s="76"/>
      <c r="SCM58" s="76"/>
      <c r="SCN58" s="76"/>
      <c r="SCO58" s="76"/>
      <c r="SCP58" s="76"/>
      <c r="SCQ58" s="76"/>
      <c r="SCR58" s="76"/>
      <c r="SCS58" s="76"/>
      <c r="SCT58" s="76"/>
      <c r="SCU58" s="76"/>
      <c r="SCV58" s="76"/>
      <c r="SCW58" s="76"/>
      <c r="SCX58" s="76"/>
      <c r="SCY58" s="76"/>
      <c r="SCZ58" s="76"/>
      <c r="SDA58" s="76"/>
      <c r="SDB58" s="76"/>
      <c r="SDC58" s="76"/>
      <c r="SDD58" s="76"/>
      <c r="SDE58" s="76"/>
      <c r="SDF58" s="76"/>
      <c r="SDG58" s="76"/>
      <c r="SDH58" s="76"/>
      <c r="SDI58" s="76"/>
      <c r="SDJ58" s="76"/>
      <c r="SDK58" s="76"/>
      <c r="SDL58" s="76"/>
      <c r="SDM58" s="76"/>
      <c r="SDN58" s="76"/>
      <c r="SDO58" s="76"/>
      <c r="SDP58" s="76"/>
      <c r="SDQ58" s="76"/>
      <c r="SDR58" s="76"/>
      <c r="SDS58" s="76"/>
      <c r="SDT58" s="76"/>
      <c r="SDU58" s="76"/>
      <c r="SDV58" s="76"/>
      <c r="SDW58" s="76"/>
      <c r="SDX58" s="76"/>
      <c r="SDY58" s="76"/>
      <c r="SDZ58" s="76"/>
      <c r="SEA58" s="76"/>
      <c r="SEB58" s="76"/>
      <c r="SEC58" s="76"/>
      <c r="SED58" s="76"/>
      <c r="SEE58" s="76"/>
      <c r="SEF58" s="76"/>
      <c r="SEG58" s="76"/>
      <c r="SEH58" s="76"/>
      <c r="SEI58" s="76"/>
      <c r="SEJ58" s="76"/>
      <c r="SEK58" s="76"/>
      <c r="SEL58" s="76"/>
      <c r="SEM58" s="76"/>
      <c r="SEN58" s="76"/>
      <c r="SEO58" s="76"/>
      <c r="SEP58" s="76"/>
      <c r="SEQ58" s="76"/>
      <c r="SER58" s="76"/>
      <c r="SES58" s="76"/>
      <c r="SET58" s="76"/>
      <c r="SEU58" s="76"/>
      <c r="SEV58" s="76"/>
      <c r="SEW58" s="76"/>
      <c r="SEX58" s="76"/>
      <c r="SEY58" s="76"/>
      <c r="SEZ58" s="76"/>
      <c r="SFA58" s="76"/>
      <c r="SFB58" s="76"/>
      <c r="SFC58" s="76"/>
      <c r="SFD58" s="76"/>
      <c r="SFE58" s="76"/>
      <c r="SFF58" s="76"/>
      <c r="SFG58" s="76"/>
      <c r="SFH58" s="76"/>
      <c r="SFI58" s="76"/>
      <c r="SFJ58" s="76"/>
      <c r="SFK58" s="76"/>
      <c r="SFL58" s="76"/>
      <c r="SFM58" s="76"/>
      <c r="SFN58" s="76"/>
      <c r="SFO58" s="76"/>
      <c r="SFP58" s="76"/>
      <c r="SFQ58" s="76"/>
      <c r="SFR58" s="76"/>
      <c r="SFS58" s="76"/>
      <c r="SFT58" s="76"/>
      <c r="SFU58" s="76"/>
      <c r="SFV58" s="76"/>
      <c r="SFW58" s="76"/>
      <c r="SFX58" s="76"/>
      <c r="SFY58" s="76"/>
      <c r="SFZ58" s="76"/>
      <c r="SGA58" s="76"/>
      <c r="SGB58" s="76"/>
      <c r="SGC58" s="76"/>
      <c r="SGD58" s="76"/>
      <c r="SGE58" s="76"/>
      <c r="SGF58" s="76"/>
      <c r="SGG58" s="76"/>
      <c r="SGH58" s="76"/>
      <c r="SGI58" s="76"/>
      <c r="SGJ58" s="76"/>
      <c r="SGK58" s="76"/>
      <c r="SGL58" s="76"/>
      <c r="SGM58" s="76"/>
      <c r="SGN58" s="76"/>
      <c r="SGO58" s="76"/>
      <c r="SGP58" s="76"/>
      <c r="SGQ58" s="76"/>
      <c r="SGR58" s="76"/>
      <c r="SGS58" s="76"/>
      <c r="SGT58" s="76"/>
      <c r="SGU58" s="76"/>
      <c r="SGV58" s="76"/>
      <c r="SGW58" s="76"/>
      <c r="SGX58" s="76"/>
      <c r="SGY58" s="76"/>
      <c r="SGZ58" s="76"/>
      <c r="SHA58" s="76"/>
      <c r="SHB58" s="76"/>
      <c r="SHC58" s="76"/>
      <c r="SHD58" s="76"/>
      <c r="SHE58" s="76"/>
      <c r="SHF58" s="76"/>
      <c r="SHG58" s="76"/>
      <c r="SHH58" s="76"/>
      <c r="SHI58" s="76"/>
      <c r="SHJ58" s="76"/>
      <c r="SHK58" s="76"/>
      <c r="SHL58" s="76"/>
      <c r="SHM58" s="76"/>
      <c r="SHN58" s="76"/>
      <c r="SHO58" s="76"/>
      <c r="SHP58" s="76"/>
      <c r="SHQ58" s="76"/>
      <c r="SHR58" s="76"/>
      <c r="SHS58" s="76"/>
      <c r="SHT58" s="76"/>
      <c r="SHU58" s="76"/>
      <c r="SHV58" s="76"/>
      <c r="SHW58" s="76"/>
      <c r="SHX58" s="76"/>
      <c r="SHY58" s="76"/>
      <c r="SHZ58" s="76"/>
      <c r="SIA58" s="76"/>
      <c r="SIB58" s="76"/>
      <c r="SIC58" s="76"/>
      <c r="SID58" s="76"/>
      <c r="SIE58" s="76"/>
      <c r="SIF58" s="76"/>
      <c r="SIG58" s="76"/>
      <c r="SIH58" s="76"/>
      <c r="SII58" s="76"/>
      <c r="SIJ58" s="76"/>
      <c r="SIK58" s="76"/>
      <c r="SIL58" s="76"/>
      <c r="SIM58" s="76"/>
      <c r="SIN58" s="76"/>
      <c r="SIO58" s="76"/>
      <c r="SIP58" s="76"/>
      <c r="SIQ58" s="76"/>
      <c r="SIR58" s="76"/>
      <c r="SIS58" s="76"/>
      <c r="SIT58" s="76"/>
      <c r="SIU58" s="76"/>
      <c r="SIV58" s="76"/>
      <c r="SIW58" s="76"/>
      <c r="SIX58" s="76"/>
      <c r="SIY58" s="76"/>
      <c r="SIZ58" s="76"/>
      <c r="SJA58" s="76"/>
      <c r="SJB58" s="76"/>
      <c r="SJC58" s="76"/>
      <c r="SJD58" s="76"/>
      <c r="SJE58" s="76"/>
      <c r="SJF58" s="76"/>
      <c r="SJG58" s="76"/>
      <c r="SJH58" s="76"/>
      <c r="SJI58" s="76"/>
      <c r="SJJ58" s="76"/>
      <c r="SJK58" s="76"/>
      <c r="SJL58" s="76"/>
      <c r="SJM58" s="76"/>
      <c r="SJN58" s="76"/>
      <c r="SJO58" s="76"/>
      <c r="SJP58" s="76"/>
      <c r="SJQ58" s="76"/>
      <c r="SJR58" s="76"/>
      <c r="SJS58" s="76"/>
      <c r="SJT58" s="76"/>
      <c r="SJU58" s="76"/>
      <c r="SJV58" s="76"/>
      <c r="SJW58" s="76"/>
      <c r="SJX58" s="76"/>
      <c r="SJY58" s="76"/>
      <c r="SJZ58" s="76"/>
      <c r="SKA58" s="76"/>
      <c r="SKB58" s="76"/>
      <c r="SKC58" s="76"/>
      <c r="SKD58" s="76"/>
      <c r="SKE58" s="76"/>
      <c r="SKF58" s="76"/>
      <c r="SKG58" s="76"/>
      <c r="SKH58" s="76"/>
      <c r="SKI58" s="76"/>
      <c r="SKJ58" s="76"/>
      <c r="SKK58" s="76"/>
      <c r="SKL58" s="76"/>
      <c r="SKM58" s="76"/>
      <c r="SKN58" s="76"/>
      <c r="SKO58" s="76"/>
      <c r="SKP58" s="76"/>
      <c r="SKQ58" s="76"/>
      <c r="SKR58" s="76"/>
      <c r="SKS58" s="76"/>
      <c r="SKT58" s="76"/>
      <c r="SKU58" s="76"/>
      <c r="SKV58" s="76"/>
      <c r="SKW58" s="76"/>
      <c r="SKX58" s="76"/>
      <c r="SKY58" s="76"/>
      <c r="SKZ58" s="76"/>
      <c r="SLA58" s="76"/>
      <c r="SLB58" s="76"/>
      <c r="SLC58" s="76"/>
      <c r="SLD58" s="76"/>
      <c r="SLE58" s="76"/>
      <c r="SLF58" s="76"/>
      <c r="SLG58" s="76"/>
      <c r="SLH58" s="76"/>
      <c r="SLI58" s="76"/>
      <c r="SLJ58" s="76"/>
      <c r="SLK58" s="76"/>
      <c r="SLL58" s="76"/>
      <c r="SLM58" s="76"/>
      <c r="SLN58" s="76"/>
      <c r="SLO58" s="76"/>
      <c r="SLP58" s="76"/>
      <c r="SLQ58" s="76"/>
      <c r="SLR58" s="76"/>
      <c r="SLS58" s="76"/>
      <c r="SLT58" s="76"/>
      <c r="SLU58" s="76"/>
      <c r="SLV58" s="76"/>
      <c r="SLW58" s="76"/>
      <c r="SLX58" s="76"/>
      <c r="SLY58" s="76"/>
      <c r="SLZ58" s="76"/>
      <c r="SMA58" s="76"/>
      <c r="SMB58" s="76"/>
      <c r="SMC58" s="76"/>
      <c r="SMD58" s="76"/>
      <c r="SME58" s="76"/>
      <c r="SMF58" s="76"/>
      <c r="SMG58" s="76"/>
      <c r="SMH58" s="76"/>
      <c r="SMI58" s="76"/>
      <c r="SMJ58" s="76"/>
      <c r="SMK58" s="76"/>
      <c r="SML58" s="76"/>
      <c r="SMM58" s="76"/>
      <c r="SMN58" s="76"/>
      <c r="SMO58" s="76"/>
      <c r="SMP58" s="76"/>
      <c r="SMQ58" s="76"/>
      <c r="SMR58" s="76"/>
      <c r="SMS58" s="76"/>
      <c r="SMT58" s="76"/>
      <c r="SMU58" s="76"/>
      <c r="SMV58" s="76"/>
      <c r="SMW58" s="76"/>
      <c r="SMX58" s="76"/>
      <c r="SMY58" s="76"/>
      <c r="SMZ58" s="76"/>
      <c r="SNA58" s="76"/>
      <c r="SNB58" s="76"/>
      <c r="SNC58" s="76"/>
      <c r="SND58" s="76"/>
      <c r="SNE58" s="76"/>
      <c r="SNF58" s="76"/>
      <c r="SNG58" s="76"/>
      <c r="SNH58" s="76"/>
      <c r="SNI58" s="76"/>
      <c r="SNJ58" s="76"/>
      <c r="SNK58" s="76"/>
      <c r="SNL58" s="76"/>
      <c r="SNM58" s="76"/>
      <c r="SNN58" s="76"/>
      <c r="SNO58" s="76"/>
      <c r="SNP58" s="76"/>
      <c r="SNQ58" s="76"/>
      <c r="SNR58" s="76"/>
      <c r="SNS58" s="76"/>
      <c r="SNT58" s="76"/>
      <c r="SNU58" s="76"/>
      <c r="SNV58" s="76"/>
      <c r="SNW58" s="76"/>
      <c r="SNX58" s="76"/>
      <c r="SNY58" s="76"/>
      <c r="SNZ58" s="76"/>
      <c r="SOA58" s="76"/>
      <c r="SOB58" s="76"/>
      <c r="SOC58" s="76"/>
      <c r="SOD58" s="76"/>
      <c r="SOE58" s="76"/>
      <c r="SOF58" s="76"/>
      <c r="SOG58" s="76"/>
      <c r="SOH58" s="76"/>
      <c r="SOI58" s="76"/>
      <c r="SOJ58" s="76"/>
      <c r="SOK58" s="76"/>
      <c r="SOL58" s="76"/>
      <c r="SOM58" s="76"/>
      <c r="SON58" s="76"/>
      <c r="SOO58" s="76"/>
      <c r="SOP58" s="76"/>
      <c r="SOQ58" s="76"/>
      <c r="SOR58" s="76"/>
      <c r="SOS58" s="76"/>
      <c r="SOT58" s="76"/>
      <c r="SOU58" s="76"/>
      <c r="SOV58" s="76"/>
      <c r="SOW58" s="76"/>
      <c r="SOX58" s="76"/>
      <c r="SOY58" s="76"/>
      <c r="SOZ58" s="76"/>
      <c r="SPA58" s="76"/>
      <c r="SPB58" s="76"/>
      <c r="SPC58" s="76"/>
      <c r="SPD58" s="76"/>
      <c r="SPE58" s="76"/>
      <c r="SPF58" s="76"/>
      <c r="SPG58" s="76"/>
      <c r="SPH58" s="76"/>
      <c r="SPI58" s="76"/>
      <c r="SPJ58" s="76"/>
      <c r="SPK58" s="76"/>
      <c r="SPL58" s="76"/>
      <c r="SPM58" s="76"/>
      <c r="SPN58" s="76"/>
      <c r="SPO58" s="76"/>
      <c r="SPP58" s="76"/>
      <c r="SPQ58" s="76"/>
      <c r="SPR58" s="76"/>
      <c r="SPS58" s="76"/>
      <c r="SPT58" s="76"/>
      <c r="SPU58" s="76"/>
      <c r="SPV58" s="76"/>
      <c r="SPW58" s="76"/>
      <c r="SPX58" s="76"/>
      <c r="SPY58" s="76"/>
      <c r="SPZ58" s="76"/>
      <c r="SQA58" s="76"/>
      <c r="SQB58" s="76"/>
      <c r="SQC58" s="76"/>
      <c r="SQD58" s="76"/>
      <c r="SQE58" s="76"/>
      <c r="SQF58" s="76"/>
      <c r="SQG58" s="76"/>
      <c r="SQH58" s="76"/>
      <c r="SQI58" s="76"/>
      <c r="SQJ58" s="76"/>
      <c r="SQK58" s="76"/>
      <c r="SQL58" s="76"/>
      <c r="SQM58" s="76"/>
      <c r="SQN58" s="76"/>
      <c r="SQO58" s="76"/>
      <c r="SQP58" s="76"/>
      <c r="SQQ58" s="76"/>
      <c r="SQR58" s="76"/>
      <c r="SQS58" s="76"/>
      <c r="SQT58" s="76"/>
      <c r="SQU58" s="76"/>
      <c r="SQV58" s="76"/>
      <c r="SQW58" s="76"/>
      <c r="SQX58" s="76"/>
      <c r="SQY58" s="76"/>
      <c r="SQZ58" s="76"/>
      <c r="SRA58" s="76"/>
      <c r="SRB58" s="76"/>
      <c r="SRC58" s="76"/>
      <c r="SRD58" s="76"/>
      <c r="SRE58" s="76"/>
      <c r="SRF58" s="76"/>
      <c r="SRG58" s="76"/>
      <c r="SRH58" s="76"/>
      <c r="SRI58" s="76"/>
      <c r="SRJ58" s="76"/>
      <c r="SRK58" s="76"/>
      <c r="SRL58" s="76"/>
      <c r="SRM58" s="76"/>
      <c r="SRN58" s="76"/>
      <c r="SRO58" s="76"/>
      <c r="SRP58" s="76"/>
      <c r="SRQ58" s="76"/>
      <c r="SRR58" s="76"/>
      <c r="SRS58" s="76"/>
      <c r="SRT58" s="76"/>
      <c r="SRU58" s="76"/>
      <c r="SRV58" s="76"/>
      <c r="SRW58" s="76"/>
      <c r="SRX58" s="76"/>
      <c r="SRY58" s="76"/>
      <c r="SRZ58" s="76"/>
      <c r="SSA58" s="76"/>
      <c r="SSB58" s="76"/>
      <c r="SSC58" s="76"/>
      <c r="SSD58" s="76"/>
      <c r="SSE58" s="76"/>
      <c r="SSF58" s="76"/>
      <c r="SSG58" s="76"/>
      <c r="SSH58" s="76"/>
      <c r="SSI58" s="76"/>
      <c r="SSJ58" s="76"/>
      <c r="SSK58" s="76"/>
      <c r="SSL58" s="76"/>
      <c r="SSM58" s="76"/>
      <c r="SSN58" s="76"/>
      <c r="SSO58" s="76"/>
      <c r="SSP58" s="76"/>
      <c r="SSQ58" s="76"/>
      <c r="SSR58" s="76"/>
      <c r="SSS58" s="76"/>
      <c r="SST58" s="76"/>
      <c r="SSU58" s="76"/>
      <c r="SSV58" s="76"/>
      <c r="SSW58" s="76"/>
      <c r="SSX58" s="76"/>
      <c r="SSY58" s="76"/>
      <c r="SSZ58" s="76"/>
      <c r="STA58" s="76"/>
      <c r="STB58" s="76"/>
      <c r="STC58" s="76"/>
      <c r="STD58" s="76"/>
      <c r="STE58" s="76"/>
      <c r="STF58" s="76"/>
      <c r="STG58" s="76"/>
      <c r="STH58" s="76"/>
      <c r="STI58" s="76"/>
      <c r="STJ58" s="76"/>
      <c r="STK58" s="76"/>
      <c r="STL58" s="76"/>
      <c r="STM58" s="76"/>
      <c r="STN58" s="76"/>
      <c r="STO58" s="76"/>
      <c r="STP58" s="76"/>
      <c r="STQ58" s="76"/>
      <c r="STR58" s="76"/>
      <c r="STS58" s="76"/>
      <c r="STT58" s="76"/>
      <c r="STU58" s="76"/>
      <c r="STV58" s="76"/>
      <c r="STW58" s="76"/>
      <c r="STX58" s="76"/>
      <c r="STY58" s="76"/>
      <c r="STZ58" s="76"/>
      <c r="SUA58" s="76"/>
      <c r="SUB58" s="76"/>
      <c r="SUC58" s="76"/>
      <c r="SUD58" s="76"/>
      <c r="SUE58" s="76"/>
      <c r="SUF58" s="76"/>
      <c r="SUG58" s="76"/>
      <c r="SUH58" s="76"/>
      <c r="SUI58" s="76"/>
      <c r="SUJ58" s="76"/>
      <c r="SUK58" s="76"/>
      <c r="SUL58" s="76"/>
      <c r="SUM58" s="76"/>
      <c r="SUN58" s="76"/>
      <c r="SUO58" s="76"/>
      <c r="SUP58" s="76"/>
      <c r="SUQ58" s="76"/>
      <c r="SUR58" s="76"/>
      <c r="SUS58" s="76"/>
      <c r="SUT58" s="76"/>
      <c r="SUU58" s="76"/>
      <c r="SUV58" s="76"/>
      <c r="SUW58" s="76"/>
      <c r="SUX58" s="76"/>
      <c r="SUY58" s="76"/>
      <c r="SUZ58" s="76"/>
      <c r="SVA58" s="76"/>
      <c r="SVB58" s="76"/>
      <c r="SVC58" s="76"/>
      <c r="SVD58" s="76"/>
      <c r="SVE58" s="76"/>
      <c r="SVF58" s="76"/>
      <c r="SVG58" s="76"/>
      <c r="SVH58" s="76"/>
      <c r="SVI58" s="76"/>
      <c r="SVJ58" s="76"/>
      <c r="SVK58" s="76"/>
      <c r="SVL58" s="76"/>
      <c r="SVM58" s="76"/>
      <c r="SVN58" s="76"/>
      <c r="SVO58" s="76"/>
      <c r="SVP58" s="76"/>
      <c r="SVQ58" s="76"/>
      <c r="SVR58" s="76"/>
      <c r="SVS58" s="76"/>
      <c r="SVT58" s="76"/>
      <c r="SVU58" s="76"/>
      <c r="SVV58" s="76"/>
      <c r="SVW58" s="76"/>
      <c r="SVX58" s="76"/>
      <c r="SVY58" s="76"/>
      <c r="SVZ58" s="76"/>
      <c r="SWA58" s="76"/>
      <c r="SWB58" s="76"/>
      <c r="SWC58" s="76"/>
      <c r="SWD58" s="76"/>
      <c r="SWE58" s="76"/>
      <c r="SWF58" s="76"/>
      <c r="SWG58" s="76"/>
      <c r="SWH58" s="76"/>
      <c r="SWI58" s="76"/>
      <c r="SWJ58" s="76"/>
      <c r="SWK58" s="76"/>
      <c r="SWL58" s="76"/>
      <c r="SWM58" s="76"/>
      <c r="SWN58" s="76"/>
      <c r="SWO58" s="76"/>
      <c r="SWP58" s="76"/>
      <c r="SWQ58" s="76"/>
      <c r="SWR58" s="76"/>
      <c r="SWS58" s="76"/>
      <c r="SWT58" s="76"/>
      <c r="SWU58" s="76"/>
      <c r="SWV58" s="76"/>
      <c r="SWW58" s="76"/>
      <c r="SWX58" s="76"/>
      <c r="SWY58" s="76"/>
      <c r="SWZ58" s="76"/>
      <c r="SXA58" s="76"/>
      <c r="SXB58" s="76"/>
      <c r="SXC58" s="76"/>
      <c r="SXD58" s="76"/>
      <c r="SXE58" s="76"/>
      <c r="SXF58" s="76"/>
      <c r="SXG58" s="76"/>
      <c r="SXH58" s="76"/>
      <c r="SXI58" s="76"/>
      <c r="SXJ58" s="76"/>
      <c r="SXK58" s="76"/>
      <c r="SXL58" s="76"/>
      <c r="SXM58" s="76"/>
      <c r="SXN58" s="76"/>
      <c r="SXO58" s="76"/>
      <c r="SXP58" s="76"/>
      <c r="SXQ58" s="76"/>
      <c r="SXR58" s="76"/>
      <c r="SXS58" s="76"/>
      <c r="SXT58" s="76"/>
      <c r="SXU58" s="76"/>
      <c r="SXV58" s="76"/>
      <c r="SXW58" s="76"/>
      <c r="SXX58" s="76"/>
      <c r="SXY58" s="76"/>
      <c r="SXZ58" s="76"/>
      <c r="SYA58" s="76"/>
      <c r="SYB58" s="76"/>
      <c r="SYC58" s="76"/>
      <c r="SYD58" s="76"/>
      <c r="SYE58" s="76"/>
      <c r="SYF58" s="76"/>
      <c r="SYG58" s="76"/>
      <c r="SYH58" s="76"/>
      <c r="SYI58" s="76"/>
      <c r="SYJ58" s="76"/>
      <c r="SYK58" s="76"/>
      <c r="SYL58" s="76"/>
      <c r="SYM58" s="76"/>
      <c r="SYN58" s="76"/>
      <c r="SYO58" s="76"/>
      <c r="SYP58" s="76"/>
      <c r="SYQ58" s="76"/>
      <c r="SYR58" s="76"/>
      <c r="SYS58" s="76"/>
      <c r="SYT58" s="76"/>
      <c r="SYU58" s="76"/>
      <c r="SYV58" s="76"/>
      <c r="SYW58" s="76"/>
      <c r="SYX58" s="76"/>
      <c r="SYY58" s="76"/>
      <c r="SYZ58" s="76"/>
      <c r="SZA58" s="76"/>
      <c r="SZB58" s="76"/>
      <c r="SZC58" s="76"/>
      <c r="SZD58" s="76"/>
      <c r="SZE58" s="76"/>
      <c r="SZF58" s="76"/>
      <c r="SZG58" s="76"/>
      <c r="SZH58" s="76"/>
      <c r="SZI58" s="76"/>
      <c r="SZJ58" s="76"/>
      <c r="SZK58" s="76"/>
      <c r="SZL58" s="76"/>
      <c r="SZM58" s="76"/>
      <c r="SZN58" s="76"/>
      <c r="SZO58" s="76"/>
      <c r="SZP58" s="76"/>
      <c r="SZQ58" s="76"/>
      <c r="SZR58" s="76"/>
      <c r="SZS58" s="76"/>
      <c r="SZT58" s="76"/>
      <c r="SZU58" s="76"/>
      <c r="SZV58" s="76"/>
      <c r="SZW58" s="76"/>
      <c r="SZX58" s="76"/>
      <c r="SZY58" s="76"/>
      <c r="SZZ58" s="76"/>
      <c r="TAA58" s="76"/>
      <c r="TAB58" s="76"/>
      <c r="TAC58" s="76"/>
      <c r="TAD58" s="76"/>
      <c r="TAE58" s="76"/>
      <c r="TAF58" s="76"/>
      <c r="TAG58" s="76"/>
      <c r="TAH58" s="76"/>
      <c r="TAI58" s="76"/>
      <c r="TAJ58" s="76"/>
      <c r="TAK58" s="76"/>
      <c r="TAL58" s="76"/>
      <c r="TAM58" s="76"/>
      <c r="TAN58" s="76"/>
      <c r="TAO58" s="76"/>
      <c r="TAP58" s="76"/>
      <c r="TAQ58" s="76"/>
      <c r="TAR58" s="76"/>
      <c r="TAS58" s="76"/>
      <c r="TAT58" s="76"/>
      <c r="TAU58" s="76"/>
      <c r="TAV58" s="76"/>
      <c r="TAW58" s="76"/>
      <c r="TAX58" s="76"/>
      <c r="TAY58" s="76"/>
      <c r="TAZ58" s="76"/>
      <c r="TBA58" s="76"/>
      <c r="TBB58" s="76"/>
      <c r="TBC58" s="76"/>
      <c r="TBD58" s="76"/>
      <c r="TBE58" s="76"/>
      <c r="TBF58" s="76"/>
      <c r="TBG58" s="76"/>
      <c r="TBH58" s="76"/>
      <c r="TBI58" s="76"/>
      <c r="TBJ58" s="76"/>
      <c r="TBK58" s="76"/>
      <c r="TBL58" s="76"/>
      <c r="TBM58" s="76"/>
      <c r="TBN58" s="76"/>
      <c r="TBO58" s="76"/>
      <c r="TBP58" s="76"/>
      <c r="TBQ58" s="76"/>
      <c r="TBR58" s="76"/>
      <c r="TBS58" s="76"/>
      <c r="TBT58" s="76"/>
      <c r="TBU58" s="76"/>
      <c r="TBV58" s="76"/>
      <c r="TBW58" s="76"/>
      <c r="TBX58" s="76"/>
      <c r="TBY58" s="76"/>
      <c r="TBZ58" s="76"/>
      <c r="TCA58" s="76"/>
      <c r="TCB58" s="76"/>
      <c r="TCC58" s="76"/>
      <c r="TCD58" s="76"/>
      <c r="TCE58" s="76"/>
      <c r="TCF58" s="76"/>
      <c r="TCG58" s="76"/>
      <c r="TCH58" s="76"/>
      <c r="TCI58" s="76"/>
      <c r="TCJ58" s="76"/>
      <c r="TCK58" s="76"/>
      <c r="TCL58" s="76"/>
      <c r="TCM58" s="76"/>
      <c r="TCN58" s="76"/>
      <c r="TCO58" s="76"/>
      <c r="TCP58" s="76"/>
      <c r="TCQ58" s="76"/>
      <c r="TCR58" s="76"/>
      <c r="TCS58" s="76"/>
      <c r="TCT58" s="76"/>
      <c r="TCU58" s="76"/>
      <c r="TCV58" s="76"/>
      <c r="TCW58" s="76"/>
      <c r="TCX58" s="76"/>
      <c r="TCY58" s="76"/>
      <c r="TCZ58" s="76"/>
      <c r="TDA58" s="76"/>
      <c r="TDB58" s="76"/>
      <c r="TDC58" s="76"/>
      <c r="TDD58" s="76"/>
      <c r="TDE58" s="76"/>
      <c r="TDF58" s="76"/>
      <c r="TDG58" s="76"/>
      <c r="TDH58" s="76"/>
      <c r="TDI58" s="76"/>
      <c r="TDJ58" s="76"/>
      <c r="TDK58" s="76"/>
      <c r="TDL58" s="76"/>
      <c r="TDM58" s="76"/>
      <c r="TDN58" s="76"/>
      <c r="TDO58" s="76"/>
      <c r="TDP58" s="76"/>
      <c r="TDQ58" s="76"/>
      <c r="TDR58" s="76"/>
      <c r="TDS58" s="76"/>
      <c r="TDT58" s="76"/>
      <c r="TDU58" s="76"/>
      <c r="TDV58" s="76"/>
      <c r="TDW58" s="76"/>
      <c r="TDX58" s="76"/>
      <c r="TDY58" s="76"/>
      <c r="TDZ58" s="76"/>
      <c r="TEA58" s="76"/>
      <c r="TEB58" s="76"/>
      <c r="TEC58" s="76"/>
      <c r="TED58" s="76"/>
      <c r="TEE58" s="76"/>
      <c r="TEF58" s="76"/>
      <c r="TEG58" s="76"/>
      <c r="TEH58" s="76"/>
      <c r="TEI58" s="76"/>
      <c r="TEJ58" s="76"/>
      <c r="TEK58" s="76"/>
      <c r="TEL58" s="76"/>
      <c r="TEM58" s="76"/>
      <c r="TEN58" s="76"/>
      <c r="TEO58" s="76"/>
      <c r="TEP58" s="76"/>
      <c r="TEQ58" s="76"/>
      <c r="TER58" s="76"/>
      <c r="TES58" s="76"/>
      <c r="TET58" s="76"/>
      <c r="TEU58" s="76"/>
      <c r="TEV58" s="76"/>
      <c r="TEW58" s="76"/>
      <c r="TEX58" s="76"/>
      <c r="TEY58" s="76"/>
      <c r="TEZ58" s="76"/>
      <c r="TFA58" s="76"/>
      <c r="TFB58" s="76"/>
      <c r="TFC58" s="76"/>
      <c r="TFD58" s="76"/>
      <c r="TFE58" s="76"/>
      <c r="TFF58" s="76"/>
      <c r="TFG58" s="76"/>
      <c r="TFH58" s="76"/>
      <c r="TFI58" s="76"/>
      <c r="TFJ58" s="76"/>
      <c r="TFK58" s="76"/>
      <c r="TFL58" s="76"/>
      <c r="TFM58" s="76"/>
      <c r="TFN58" s="76"/>
      <c r="TFO58" s="76"/>
      <c r="TFP58" s="76"/>
      <c r="TFQ58" s="76"/>
      <c r="TFR58" s="76"/>
      <c r="TFS58" s="76"/>
      <c r="TFT58" s="76"/>
      <c r="TFU58" s="76"/>
      <c r="TFV58" s="76"/>
      <c r="TFW58" s="76"/>
      <c r="TFX58" s="76"/>
      <c r="TFY58" s="76"/>
      <c r="TFZ58" s="76"/>
      <c r="TGA58" s="76"/>
      <c r="TGB58" s="76"/>
      <c r="TGC58" s="76"/>
      <c r="TGD58" s="76"/>
      <c r="TGE58" s="76"/>
      <c r="TGF58" s="76"/>
      <c r="TGG58" s="76"/>
      <c r="TGH58" s="76"/>
      <c r="TGI58" s="76"/>
      <c r="TGJ58" s="76"/>
      <c r="TGK58" s="76"/>
      <c r="TGL58" s="76"/>
      <c r="TGM58" s="76"/>
      <c r="TGN58" s="76"/>
      <c r="TGO58" s="76"/>
      <c r="TGP58" s="76"/>
      <c r="TGQ58" s="76"/>
      <c r="TGR58" s="76"/>
      <c r="TGS58" s="76"/>
      <c r="TGT58" s="76"/>
      <c r="TGU58" s="76"/>
      <c r="TGV58" s="76"/>
      <c r="TGW58" s="76"/>
      <c r="TGX58" s="76"/>
      <c r="TGY58" s="76"/>
      <c r="TGZ58" s="76"/>
      <c r="THA58" s="76"/>
      <c r="THB58" s="76"/>
      <c r="THC58" s="76"/>
      <c r="THD58" s="76"/>
      <c r="THE58" s="76"/>
      <c r="THF58" s="76"/>
      <c r="THG58" s="76"/>
      <c r="THH58" s="76"/>
      <c r="THI58" s="76"/>
      <c r="THJ58" s="76"/>
      <c r="THK58" s="76"/>
      <c r="THL58" s="76"/>
      <c r="THM58" s="76"/>
      <c r="THN58" s="76"/>
      <c r="THO58" s="76"/>
      <c r="THP58" s="76"/>
      <c r="THQ58" s="76"/>
      <c r="THR58" s="76"/>
      <c r="THS58" s="76"/>
      <c r="THT58" s="76"/>
      <c r="THU58" s="76"/>
      <c r="THV58" s="76"/>
      <c r="THW58" s="76"/>
      <c r="THX58" s="76"/>
      <c r="THY58" s="76"/>
      <c r="THZ58" s="76"/>
      <c r="TIA58" s="76"/>
      <c r="TIB58" s="76"/>
      <c r="TIC58" s="76"/>
      <c r="TID58" s="76"/>
      <c r="TIE58" s="76"/>
      <c r="TIF58" s="76"/>
      <c r="TIG58" s="76"/>
      <c r="TIH58" s="76"/>
      <c r="TII58" s="76"/>
      <c r="TIJ58" s="76"/>
      <c r="TIK58" s="76"/>
      <c r="TIL58" s="76"/>
      <c r="TIM58" s="76"/>
      <c r="TIN58" s="76"/>
      <c r="TIO58" s="76"/>
      <c r="TIP58" s="76"/>
      <c r="TIQ58" s="76"/>
      <c r="TIR58" s="76"/>
      <c r="TIS58" s="76"/>
      <c r="TIT58" s="76"/>
      <c r="TIU58" s="76"/>
      <c r="TIV58" s="76"/>
      <c r="TIW58" s="76"/>
      <c r="TIX58" s="76"/>
      <c r="TIY58" s="76"/>
      <c r="TIZ58" s="76"/>
      <c r="TJA58" s="76"/>
      <c r="TJB58" s="76"/>
      <c r="TJC58" s="76"/>
      <c r="TJD58" s="76"/>
      <c r="TJE58" s="76"/>
      <c r="TJF58" s="76"/>
      <c r="TJG58" s="76"/>
      <c r="TJH58" s="76"/>
      <c r="TJI58" s="76"/>
      <c r="TJJ58" s="76"/>
      <c r="TJK58" s="76"/>
      <c r="TJL58" s="76"/>
      <c r="TJM58" s="76"/>
      <c r="TJN58" s="76"/>
      <c r="TJO58" s="76"/>
      <c r="TJP58" s="76"/>
      <c r="TJQ58" s="76"/>
      <c r="TJR58" s="76"/>
      <c r="TJS58" s="76"/>
      <c r="TJT58" s="76"/>
      <c r="TJU58" s="76"/>
      <c r="TJV58" s="76"/>
      <c r="TJW58" s="76"/>
      <c r="TJX58" s="76"/>
      <c r="TJY58" s="76"/>
      <c r="TJZ58" s="76"/>
      <c r="TKA58" s="76"/>
      <c r="TKB58" s="76"/>
      <c r="TKC58" s="76"/>
      <c r="TKD58" s="76"/>
      <c r="TKE58" s="76"/>
      <c r="TKF58" s="76"/>
      <c r="TKG58" s="76"/>
      <c r="TKH58" s="76"/>
      <c r="TKI58" s="76"/>
      <c r="TKJ58" s="76"/>
      <c r="TKK58" s="76"/>
      <c r="TKL58" s="76"/>
      <c r="TKM58" s="76"/>
      <c r="TKN58" s="76"/>
      <c r="TKO58" s="76"/>
      <c r="TKP58" s="76"/>
      <c r="TKQ58" s="76"/>
      <c r="TKR58" s="76"/>
      <c r="TKS58" s="76"/>
      <c r="TKT58" s="76"/>
      <c r="TKU58" s="76"/>
      <c r="TKV58" s="76"/>
      <c r="TKW58" s="76"/>
      <c r="TKX58" s="76"/>
      <c r="TKY58" s="76"/>
      <c r="TKZ58" s="76"/>
      <c r="TLA58" s="76"/>
      <c r="TLB58" s="76"/>
      <c r="TLC58" s="76"/>
      <c r="TLD58" s="76"/>
      <c r="TLE58" s="76"/>
      <c r="TLF58" s="76"/>
      <c r="TLG58" s="76"/>
      <c r="TLH58" s="76"/>
      <c r="TLI58" s="76"/>
      <c r="TLJ58" s="76"/>
      <c r="TLK58" s="76"/>
      <c r="TLL58" s="76"/>
      <c r="TLM58" s="76"/>
      <c r="TLN58" s="76"/>
      <c r="TLO58" s="76"/>
      <c r="TLP58" s="76"/>
      <c r="TLQ58" s="76"/>
      <c r="TLR58" s="76"/>
      <c r="TLS58" s="76"/>
      <c r="TLT58" s="76"/>
      <c r="TLU58" s="76"/>
      <c r="TLV58" s="76"/>
      <c r="TLW58" s="76"/>
      <c r="TLX58" s="76"/>
      <c r="TLY58" s="76"/>
      <c r="TLZ58" s="76"/>
      <c r="TMA58" s="76"/>
      <c r="TMB58" s="76"/>
      <c r="TMC58" s="76"/>
      <c r="TMD58" s="76"/>
      <c r="TME58" s="76"/>
      <c r="TMF58" s="76"/>
      <c r="TMG58" s="76"/>
      <c r="TMH58" s="76"/>
      <c r="TMI58" s="76"/>
      <c r="TMJ58" s="76"/>
      <c r="TMK58" s="76"/>
      <c r="TML58" s="76"/>
      <c r="TMM58" s="76"/>
      <c r="TMN58" s="76"/>
      <c r="TMO58" s="76"/>
      <c r="TMP58" s="76"/>
      <c r="TMQ58" s="76"/>
      <c r="TMR58" s="76"/>
      <c r="TMS58" s="76"/>
      <c r="TMT58" s="76"/>
      <c r="TMU58" s="76"/>
      <c r="TMV58" s="76"/>
      <c r="TMW58" s="76"/>
      <c r="TMX58" s="76"/>
      <c r="TMY58" s="76"/>
      <c r="TMZ58" s="76"/>
      <c r="TNA58" s="76"/>
      <c r="TNB58" s="76"/>
      <c r="TNC58" s="76"/>
      <c r="TND58" s="76"/>
      <c r="TNE58" s="76"/>
      <c r="TNF58" s="76"/>
      <c r="TNG58" s="76"/>
      <c r="TNH58" s="76"/>
      <c r="TNI58" s="76"/>
      <c r="TNJ58" s="76"/>
      <c r="TNK58" s="76"/>
      <c r="TNL58" s="76"/>
      <c r="TNM58" s="76"/>
      <c r="TNN58" s="76"/>
      <c r="TNO58" s="76"/>
      <c r="TNP58" s="76"/>
      <c r="TNQ58" s="76"/>
      <c r="TNR58" s="76"/>
      <c r="TNS58" s="76"/>
      <c r="TNT58" s="76"/>
      <c r="TNU58" s="76"/>
      <c r="TNV58" s="76"/>
      <c r="TNW58" s="76"/>
      <c r="TNX58" s="76"/>
      <c r="TNY58" s="76"/>
      <c r="TNZ58" s="76"/>
      <c r="TOA58" s="76"/>
      <c r="TOB58" s="76"/>
      <c r="TOC58" s="76"/>
      <c r="TOD58" s="76"/>
      <c r="TOE58" s="76"/>
      <c r="TOF58" s="76"/>
      <c r="TOG58" s="76"/>
      <c r="TOH58" s="76"/>
      <c r="TOI58" s="76"/>
      <c r="TOJ58" s="76"/>
      <c r="TOK58" s="76"/>
      <c r="TOL58" s="76"/>
      <c r="TOM58" s="76"/>
      <c r="TON58" s="76"/>
      <c r="TOO58" s="76"/>
      <c r="TOP58" s="76"/>
      <c r="TOQ58" s="76"/>
      <c r="TOR58" s="76"/>
      <c r="TOS58" s="76"/>
      <c r="TOT58" s="76"/>
      <c r="TOU58" s="76"/>
      <c r="TOV58" s="76"/>
      <c r="TOW58" s="76"/>
      <c r="TOX58" s="76"/>
      <c r="TOY58" s="76"/>
      <c r="TOZ58" s="76"/>
      <c r="TPA58" s="76"/>
      <c r="TPB58" s="76"/>
      <c r="TPC58" s="76"/>
      <c r="TPD58" s="76"/>
      <c r="TPE58" s="76"/>
      <c r="TPF58" s="76"/>
      <c r="TPG58" s="76"/>
      <c r="TPH58" s="76"/>
      <c r="TPI58" s="76"/>
      <c r="TPJ58" s="76"/>
      <c r="TPK58" s="76"/>
      <c r="TPL58" s="76"/>
      <c r="TPM58" s="76"/>
      <c r="TPN58" s="76"/>
      <c r="TPO58" s="76"/>
      <c r="TPP58" s="76"/>
      <c r="TPQ58" s="76"/>
      <c r="TPR58" s="76"/>
      <c r="TPS58" s="76"/>
      <c r="TPT58" s="76"/>
      <c r="TPU58" s="76"/>
      <c r="TPV58" s="76"/>
      <c r="TPW58" s="76"/>
      <c r="TPX58" s="76"/>
      <c r="TPY58" s="76"/>
      <c r="TPZ58" s="76"/>
      <c r="TQA58" s="76"/>
      <c r="TQB58" s="76"/>
      <c r="TQC58" s="76"/>
      <c r="TQD58" s="76"/>
      <c r="TQE58" s="76"/>
      <c r="TQF58" s="76"/>
      <c r="TQG58" s="76"/>
      <c r="TQH58" s="76"/>
      <c r="TQI58" s="76"/>
      <c r="TQJ58" s="76"/>
      <c r="TQK58" s="76"/>
      <c r="TQL58" s="76"/>
      <c r="TQM58" s="76"/>
      <c r="TQN58" s="76"/>
      <c r="TQO58" s="76"/>
      <c r="TQP58" s="76"/>
      <c r="TQQ58" s="76"/>
      <c r="TQR58" s="76"/>
      <c r="TQS58" s="76"/>
      <c r="TQT58" s="76"/>
      <c r="TQU58" s="76"/>
      <c r="TQV58" s="76"/>
      <c r="TQW58" s="76"/>
      <c r="TQX58" s="76"/>
      <c r="TQY58" s="76"/>
      <c r="TQZ58" s="76"/>
      <c r="TRA58" s="76"/>
      <c r="TRB58" s="76"/>
      <c r="TRC58" s="76"/>
      <c r="TRD58" s="76"/>
      <c r="TRE58" s="76"/>
      <c r="TRF58" s="76"/>
      <c r="TRG58" s="76"/>
      <c r="TRH58" s="76"/>
      <c r="TRI58" s="76"/>
      <c r="TRJ58" s="76"/>
      <c r="TRK58" s="76"/>
      <c r="TRL58" s="76"/>
      <c r="TRM58" s="76"/>
      <c r="TRN58" s="76"/>
      <c r="TRO58" s="76"/>
      <c r="TRP58" s="76"/>
      <c r="TRQ58" s="76"/>
      <c r="TRR58" s="76"/>
      <c r="TRS58" s="76"/>
      <c r="TRT58" s="76"/>
      <c r="TRU58" s="76"/>
      <c r="TRV58" s="76"/>
      <c r="TRW58" s="76"/>
      <c r="TRX58" s="76"/>
      <c r="TRY58" s="76"/>
      <c r="TRZ58" s="76"/>
      <c r="TSA58" s="76"/>
      <c r="TSB58" s="76"/>
      <c r="TSC58" s="76"/>
      <c r="TSD58" s="76"/>
      <c r="TSE58" s="76"/>
      <c r="TSF58" s="76"/>
      <c r="TSG58" s="76"/>
      <c r="TSH58" s="76"/>
      <c r="TSI58" s="76"/>
      <c r="TSJ58" s="76"/>
      <c r="TSK58" s="76"/>
      <c r="TSL58" s="76"/>
      <c r="TSM58" s="76"/>
      <c r="TSN58" s="76"/>
      <c r="TSO58" s="76"/>
      <c r="TSP58" s="76"/>
      <c r="TSQ58" s="76"/>
      <c r="TSR58" s="76"/>
      <c r="TSS58" s="76"/>
      <c r="TST58" s="76"/>
      <c r="TSU58" s="76"/>
      <c r="TSV58" s="76"/>
      <c r="TSW58" s="76"/>
      <c r="TSX58" s="76"/>
      <c r="TSY58" s="76"/>
      <c r="TSZ58" s="76"/>
      <c r="TTA58" s="76"/>
      <c r="TTB58" s="76"/>
      <c r="TTC58" s="76"/>
      <c r="TTD58" s="76"/>
      <c r="TTE58" s="76"/>
      <c r="TTF58" s="76"/>
      <c r="TTG58" s="76"/>
      <c r="TTH58" s="76"/>
      <c r="TTI58" s="76"/>
      <c r="TTJ58" s="76"/>
      <c r="TTK58" s="76"/>
      <c r="TTL58" s="76"/>
      <c r="TTM58" s="76"/>
      <c r="TTN58" s="76"/>
      <c r="TTO58" s="76"/>
      <c r="TTP58" s="76"/>
      <c r="TTQ58" s="76"/>
      <c r="TTR58" s="76"/>
      <c r="TTS58" s="76"/>
      <c r="TTT58" s="76"/>
      <c r="TTU58" s="76"/>
      <c r="TTV58" s="76"/>
      <c r="TTW58" s="76"/>
      <c r="TTX58" s="76"/>
      <c r="TTY58" s="76"/>
      <c r="TTZ58" s="76"/>
      <c r="TUA58" s="76"/>
      <c r="TUB58" s="76"/>
      <c r="TUC58" s="76"/>
      <c r="TUD58" s="76"/>
      <c r="TUE58" s="76"/>
      <c r="TUF58" s="76"/>
      <c r="TUG58" s="76"/>
      <c r="TUH58" s="76"/>
      <c r="TUI58" s="76"/>
      <c r="TUJ58" s="76"/>
      <c r="TUK58" s="76"/>
      <c r="TUL58" s="76"/>
      <c r="TUM58" s="76"/>
      <c r="TUN58" s="76"/>
      <c r="TUO58" s="76"/>
      <c r="TUP58" s="76"/>
      <c r="TUQ58" s="76"/>
      <c r="TUR58" s="76"/>
      <c r="TUS58" s="76"/>
      <c r="TUT58" s="76"/>
      <c r="TUU58" s="76"/>
      <c r="TUV58" s="76"/>
      <c r="TUW58" s="76"/>
      <c r="TUX58" s="76"/>
      <c r="TUY58" s="76"/>
      <c r="TUZ58" s="76"/>
      <c r="TVA58" s="76"/>
      <c r="TVB58" s="76"/>
      <c r="TVC58" s="76"/>
      <c r="TVD58" s="76"/>
      <c r="TVE58" s="76"/>
      <c r="TVF58" s="76"/>
      <c r="TVG58" s="76"/>
      <c r="TVH58" s="76"/>
      <c r="TVI58" s="76"/>
      <c r="TVJ58" s="76"/>
      <c r="TVK58" s="76"/>
      <c r="TVL58" s="76"/>
      <c r="TVM58" s="76"/>
      <c r="TVN58" s="76"/>
      <c r="TVO58" s="76"/>
      <c r="TVP58" s="76"/>
      <c r="TVQ58" s="76"/>
      <c r="TVR58" s="76"/>
      <c r="TVS58" s="76"/>
      <c r="TVT58" s="76"/>
      <c r="TVU58" s="76"/>
      <c r="TVV58" s="76"/>
      <c r="TVW58" s="76"/>
      <c r="TVX58" s="76"/>
      <c r="TVY58" s="76"/>
      <c r="TVZ58" s="76"/>
      <c r="TWA58" s="76"/>
      <c r="TWB58" s="76"/>
      <c r="TWC58" s="76"/>
      <c r="TWD58" s="76"/>
      <c r="TWE58" s="76"/>
      <c r="TWF58" s="76"/>
      <c r="TWG58" s="76"/>
      <c r="TWH58" s="76"/>
      <c r="TWI58" s="76"/>
      <c r="TWJ58" s="76"/>
      <c r="TWK58" s="76"/>
      <c r="TWL58" s="76"/>
      <c r="TWM58" s="76"/>
      <c r="TWN58" s="76"/>
      <c r="TWO58" s="76"/>
      <c r="TWP58" s="76"/>
      <c r="TWQ58" s="76"/>
      <c r="TWR58" s="76"/>
      <c r="TWS58" s="76"/>
      <c r="TWT58" s="76"/>
      <c r="TWU58" s="76"/>
      <c r="TWV58" s="76"/>
      <c r="TWW58" s="76"/>
      <c r="TWX58" s="76"/>
      <c r="TWY58" s="76"/>
      <c r="TWZ58" s="76"/>
      <c r="TXA58" s="76"/>
      <c r="TXB58" s="76"/>
      <c r="TXC58" s="76"/>
      <c r="TXD58" s="76"/>
      <c r="TXE58" s="76"/>
      <c r="TXF58" s="76"/>
      <c r="TXG58" s="76"/>
      <c r="TXH58" s="76"/>
      <c r="TXI58" s="76"/>
      <c r="TXJ58" s="76"/>
      <c r="TXK58" s="76"/>
      <c r="TXL58" s="76"/>
      <c r="TXM58" s="76"/>
      <c r="TXN58" s="76"/>
      <c r="TXO58" s="76"/>
      <c r="TXP58" s="76"/>
      <c r="TXQ58" s="76"/>
      <c r="TXR58" s="76"/>
      <c r="TXS58" s="76"/>
      <c r="TXT58" s="76"/>
      <c r="TXU58" s="76"/>
      <c r="TXV58" s="76"/>
      <c r="TXW58" s="76"/>
      <c r="TXX58" s="76"/>
      <c r="TXY58" s="76"/>
      <c r="TXZ58" s="76"/>
      <c r="TYA58" s="76"/>
      <c r="TYB58" s="76"/>
      <c r="TYC58" s="76"/>
      <c r="TYD58" s="76"/>
      <c r="TYE58" s="76"/>
      <c r="TYF58" s="76"/>
      <c r="TYG58" s="76"/>
      <c r="TYH58" s="76"/>
      <c r="TYI58" s="76"/>
      <c r="TYJ58" s="76"/>
      <c r="TYK58" s="76"/>
      <c r="TYL58" s="76"/>
      <c r="TYM58" s="76"/>
      <c r="TYN58" s="76"/>
      <c r="TYO58" s="76"/>
      <c r="TYP58" s="76"/>
      <c r="TYQ58" s="76"/>
      <c r="TYR58" s="76"/>
      <c r="TYS58" s="76"/>
      <c r="TYT58" s="76"/>
      <c r="TYU58" s="76"/>
      <c r="TYV58" s="76"/>
      <c r="TYW58" s="76"/>
      <c r="TYX58" s="76"/>
      <c r="TYY58" s="76"/>
      <c r="TYZ58" s="76"/>
      <c r="TZA58" s="76"/>
      <c r="TZB58" s="76"/>
      <c r="TZC58" s="76"/>
      <c r="TZD58" s="76"/>
      <c r="TZE58" s="76"/>
      <c r="TZF58" s="76"/>
      <c r="TZG58" s="76"/>
      <c r="TZH58" s="76"/>
      <c r="TZI58" s="76"/>
      <c r="TZJ58" s="76"/>
      <c r="TZK58" s="76"/>
      <c r="TZL58" s="76"/>
      <c r="TZM58" s="76"/>
      <c r="TZN58" s="76"/>
      <c r="TZO58" s="76"/>
      <c r="TZP58" s="76"/>
      <c r="TZQ58" s="76"/>
      <c r="TZR58" s="76"/>
      <c r="TZS58" s="76"/>
      <c r="TZT58" s="76"/>
      <c r="TZU58" s="76"/>
      <c r="TZV58" s="76"/>
      <c r="TZW58" s="76"/>
      <c r="TZX58" s="76"/>
      <c r="TZY58" s="76"/>
      <c r="TZZ58" s="76"/>
      <c r="UAA58" s="76"/>
      <c r="UAB58" s="76"/>
      <c r="UAC58" s="76"/>
      <c r="UAD58" s="76"/>
      <c r="UAE58" s="76"/>
      <c r="UAF58" s="76"/>
      <c r="UAG58" s="76"/>
      <c r="UAH58" s="76"/>
      <c r="UAI58" s="76"/>
      <c r="UAJ58" s="76"/>
      <c r="UAK58" s="76"/>
      <c r="UAL58" s="76"/>
      <c r="UAM58" s="76"/>
      <c r="UAN58" s="76"/>
      <c r="UAO58" s="76"/>
      <c r="UAP58" s="76"/>
      <c r="UAQ58" s="76"/>
      <c r="UAR58" s="76"/>
      <c r="UAS58" s="76"/>
      <c r="UAT58" s="76"/>
      <c r="UAU58" s="76"/>
      <c r="UAV58" s="76"/>
      <c r="UAW58" s="76"/>
      <c r="UAX58" s="76"/>
      <c r="UAY58" s="76"/>
      <c r="UAZ58" s="76"/>
      <c r="UBA58" s="76"/>
      <c r="UBB58" s="76"/>
      <c r="UBC58" s="76"/>
      <c r="UBD58" s="76"/>
      <c r="UBE58" s="76"/>
      <c r="UBF58" s="76"/>
      <c r="UBG58" s="76"/>
      <c r="UBH58" s="76"/>
      <c r="UBI58" s="76"/>
      <c r="UBJ58" s="76"/>
      <c r="UBK58" s="76"/>
      <c r="UBL58" s="76"/>
      <c r="UBM58" s="76"/>
      <c r="UBN58" s="76"/>
      <c r="UBO58" s="76"/>
      <c r="UBP58" s="76"/>
      <c r="UBQ58" s="76"/>
      <c r="UBR58" s="76"/>
      <c r="UBS58" s="76"/>
      <c r="UBT58" s="76"/>
      <c r="UBU58" s="76"/>
      <c r="UBV58" s="76"/>
      <c r="UBW58" s="76"/>
      <c r="UBX58" s="76"/>
      <c r="UBY58" s="76"/>
      <c r="UBZ58" s="76"/>
      <c r="UCA58" s="76"/>
      <c r="UCB58" s="76"/>
      <c r="UCC58" s="76"/>
      <c r="UCD58" s="76"/>
      <c r="UCE58" s="76"/>
      <c r="UCF58" s="76"/>
      <c r="UCG58" s="76"/>
      <c r="UCH58" s="76"/>
      <c r="UCI58" s="76"/>
      <c r="UCJ58" s="76"/>
      <c r="UCK58" s="76"/>
      <c r="UCL58" s="76"/>
      <c r="UCM58" s="76"/>
      <c r="UCN58" s="76"/>
      <c r="UCO58" s="76"/>
      <c r="UCP58" s="76"/>
      <c r="UCQ58" s="76"/>
      <c r="UCR58" s="76"/>
      <c r="UCS58" s="76"/>
      <c r="UCT58" s="76"/>
      <c r="UCU58" s="76"/>
      <c r="UCV58" s="76"/>
      <c r="UCW58" s="76"/>
      <c r="UCX58" s="76"/>
      <c r="UCY58" s="76"/>
      <c r="UCZ58" s="76"/>
      <c r="UDA58" s="76"/>
      <c r="UDB58" s="76"/>
      <c r="UDC58" s="76"/>
      <c r="UDD58" s="76"/>
      <c r="UDE58" s="76"/>
      <c r="UDF58" s="76"/>
      <c r="UDG58" s="76"/>
      <c r="UDH58" s="76"/>
      <c r="UDI58" s="76"/>
      <c r="UDJ58" s="76"/>
      <c r="UDK58" s="76"/>
      <c r="UDL58" s="76"/>
      <c r="UDM58" s="76"/>
      <c r="UDN58" s="76"/>
      <c r="UDO58" s="76"/>
      <c r="UDP58" s="76"/>
      <c r="UDQ58" s="76"/>
      <c r="UDR58" s="76"/>
      <c r="UDS58" s="76"/>
      <c r="UDT58" s="76"/>
      <c r="UDU58" s="76"/>
      <c r="UDV58" s="76"/>
      <c r="UDW58" s="76"/>
      <c r="UDX58" s="76"/>
      <c r="UDY58" s="76"/>
      <c r="UDZ58" s="76"/>
      <c r="UEA58" s="76"/>
      <c r="UEB58" s="76"/>
      <c r="UEC58" s="76"/>
      <c r="UED58" s="76"/>
      <c r="UEE58" s="76"/>
      <c r="UEF58" s="76"/>
      <c r="UEG58" s="76"/>
      <c r="UEH58" s="76"/>
      <c r="UEI58" s="76"/>
      <c r="UEJ58" s="76"/>
      <c r="UEK58" s="76"/>
      <c r="UEL58" s="76"/>
      <c r="UEM58" s="76"/>
      <c r="UEN58" s="76"/>
      <c r="UEO58" s="76"/>
      <c r="UEP58" s="76"/>
      <c r="UEQ58" s="76"/>
      <c r="UER58" s="76"/>
      <c r="UES58" s="76"/>
      <c r="UET58" s="76"/>
      <c r="UEU58" s="76"/>
      <c r="UEV58" s="76"/>
      <c r="UEW58" s="76"/>
      <c r="UEX58" s="76"/>
      <c r="UEY58" s="76"/>
      <c r="UEZ58" s="76"/>
      <c r="UFA58" s="76"/>
      <c r="UFB58" s="76"/>
      <c r="UFC58" s="76"/>
      <c r="UFD58" s="76"/>
      <c r="UFE58" s="76"/>
      <c r="UFF58" s="76"/>
      <c r="UFG58" s="76"/>
      <c r="UFH58" s="76"/>
      <c r="UFI58" s="76"/>
      <c r="UFJ58" s="76"/>
      <c r="UFK58" s="76"/>
      <c r="UFL58" s="76"/>
      <c r="UFM58" s="76"/>
      <c r="UFN58" s="76"/>
      <c r="UFO58" s="76"/>
      <c r="UFP58" s="76"/>
      <c r="UFQ58" s="76"/>
      <c r="UFR58" s="76"/>
      <c r="UFS58" s="76"/>
      <c r="UFT58" s="76"/>
      <c r="UFU58" s="76"/>
      <c r="UFV58" s="76"/>
      <c r="UFW58" s="76"/>
      <c r="UFX58" s="76"/>
      <c r="UFY58" s="76"/>
      <c r="UFZ58" s="76"/>
      <c r="UGA58" s="76"/>
      <c r="UGB58" s="76"/>
      <c r="UGC58" s="76"/>
      <c r="UGD58" s="76"/>
      <c r="UGE58" s="76"/>
      <c r="UGF58" s="76"/>
      <c r="UGG58" s="76"/>
      <c r="UGH58" s="76"/>
      <c r="UGI58" s="76"/>
      <c r="UGJ58" s="76"/>
      <c r="UGK58" s="76"/>
      <c r="UGL58" s="76"/>
      <c r="UGM58" s="76"/>
      <c r="UGN58" s="76"/>
      <c r="UGO58" s="76"/>
      <c r="UGP58" s="76"/>
      <c r="UGQ58" s="76"/>
      <c r="UGR58" s="76"/>
      <c r="UGS58" s="76"/>
      <c r="UGT58" s="76"/>
      <c r="UGU58" s="76"/>
      <c r="UGV58" s="76"/>
      <c r="UGW58" s="76"/>
      <c r="UGX58" s="76"/>
      <c r="UGY58" s="76"/>
      <c r="UGZ58" s="76"/>
      <c r="UHA58" s="76"/>
      <c r="UHB58" s="76"/>
      <c r="UHC58" s="76"/>
      <c r="UHD58" s="76"/>
      <c r="UHE58" s="76"/>
      <c r="UHF58" s="76"/>
      <c r="UHG58" s="76"/>
      <c r="UHH58" s="76"/>
      <c r="UHI58" s="76"/>
      <c r="UHJ58" s="76"/>
      <c r="UHK58" s="76"/>
      <c r="UHL58" s="76"/>
      <c r="UHM58" s="76"/>
      <c r="UHN58" s="76"/>
      <c r="UHO58" s="76"/>
      <c r="UHP58" s="76"/>
      <c r="UHQ58" s="76"/>
      <c r="UHR58" s="76"/>
      <c r="UHS58" s="76"/>
      <c r="UHT58" s="76"/>
      <c r="UHU58" s="76"/>
      <c r="UHV58" s="76"/>
      <c r="UHW58" s="76"/>
      <c r="UHX58" s="76"/>
      <c r="UHY58" s="76"/>
      <c r="UHZ58" s="76"/>
      <c r="UIA58" s="76"/>
      <c r="UIB58" s="76"/>
      <c r="UIC58" s="76"/>
      <c r="UID58" s="76"/>
      <c r="UIE58" s="76"/>
      <c r="UIF58" s="76"/>
      <c r="UIG58" s="76"/>
      <c r="UIH58" s="76"/>
      <c r="UII58" s="76"/>
      <c r="UIJ58" s="76"/>
      <c r="UIK58" s="76"/>
      <c r="UIL58" s="76"/>
      <c r="UIM58" s="76"/>
      <c r="UIN58" s="76"/>
      <c r="UIO58" s="76"/>
      <c r="UIP58" s="76"/>
      <c r="UIQ58" s="76"/>
      <c r="UIR58" s="76"/>
      <c r="UIS58" s="76"/>
      <c r="UIT58" s="76"/>
      <c r="UIU58" s="76"/>
      <c r="UIV58" s="76"/>
      <c r="UIW58" s="76"/>
      <c r="UIX58" s="76"/>
      <c r="UIY58" s="76"/>
      <c r="UIZ58" s="76"/>
      <c r="UJA58" s="76"/>
      <c r="UJB58" s="76"/>
      <c r="UJC58" s="76"/>
      <c r="UJD58" s="76"/>
      <c r="UJE58" s="76"/>
      <c r="UJF58" s="76"/>
      <c r="UJG58" s="76"/>
      <c r="UJH58" s="76"/>
      <c r="UJI58" s="76"/>
      <c r="UJJ58" s="76"/>
      <c r="UJK58" s="76"/>
      <c r="UJL58" s="76"/>
      <c r="UJM58" s="76"/>
      <c r="UJN58" s="76"/>
      <c r="UJO58" s="76"/>
      <c r="UJP58" s="76"/>
      <c r="UJQ58" s="76"/>
      <c r="UJR58" s="76"/>
      <c r="UJS58" s="76"/>
      <c r="UJT58" s="76"/>
      <c r="UJU58" s="76"/>
      <c r="UJV58" s="76"/>
      <c r="UJW58" s="76"/>
      <c r="UJX58" s="76"/>
      <c r="UJY58" s="76"/>
      <c r="UJZ58" s="76"/>
      <c r="UKA58" s="76"/>
      <c r="UKB58" s="76"/>
      <c r="UKC58" s="76"/>
      <c r="UKD58" s="76"/>
      <c r="UKE58" s="76"/>
      <c r="UKF58" s="76"/>
      <c r="UKG58" s="76"/>
      <c r="UKH58" s="76"/>
      <c r="UKI58" s="76"/>
      <c r="UKJ58" s="76"/>
      <c r="UKK58" s="76"/>
      <c r="UKL58" s="76"/>
      <c r="UKM58" s="76"/>
      <c r="UKN58" s="76"/>
      <c r="UKO58" s="76"/>
      <c r="UKP58" s="76"/>
      <c r="UKQ58" s="76"/>
      <c r="UKR58" s="76"/>
      <c r="UKS58" s="76"/>
      <c r="UKT58" s="76"/>
      <c r="UKU58" s="76"/>
      <c r="UKV58" s="76"/>
      <c r="UKW58" s="76"/>
      <c r="UKX58" s="76"/>
      <c r="UKY58" s="76"/>
      <c r="UKZ58" s="76"/>
      <c r="ULA58" s="76"/>
      <c r="ULB58" s="76"/>
      <c r="ULC58" s="76"/>
      <c r="ULD58" s="76"/>
      <c r="ULE58" s="76"/>
      <c r="ULF58" s="76"/>
      <c r="ULG58" s="76"/>
      <c r="ULH58" s="76"/>
      <c r="ULI58" s="76"/>
      <c r="ULJ58" s="76"/>
      <c r="ULK58" s="76"/>
      <c r="ULL58" s="76"/>
      <c r="ULM58" s="76"/>
      <c r="ULN58" s="76"/>
      <c r="ULO58" s="76"/>
      <c r="ULP58" s="76"/>
      <c r="ULQ58" s="76"/>
      <c r="ULR58" s="76"/>
      <c r="ULS58" s="76"/>
      <c r="ULT58" s="76"/>
      <c r="ULU58" s="76"/>
      <c r="ULV58" s="76"/>
      <c r="ULW58" s="76"/>
      <c r="ULX58" s="76"/>
      <c r="ULY58" s="76"/>
      <c r="ULZ58" s="76"/>
      <c r="UMA58" s="76"/>
      <c r="UMB58" s="76"/>
      <c r="UMC58" s="76"/>
      <c r="UMD58" s="76"/>
      <c r="UME58" s="76"/>
      <c r="UMF58" s="76"/>
      <c r="UMG58" s="76"/>
      <c r="UMH58" s="76"/>
      <c r="UMI58" s="76"/>
      <c r="UMJ58" s="76"/>
      <c r="UMK58" s="76"/>
      <c r="UML58" s="76"/>
      <c r="UMM58" s="76"/>
      <c r="UMN58" s="76"/>
      <c r="UMO58" s="76"/>
      <c r="UMP58" s="76"/>
      <c r="UMQ58" s="76"/>
      <c r="UMR58" s="76"/>
      <c r="UMS58" s="76"/>
      <c r="UMT58" s="76"/>
      <c r="UMU58" s="76"/>
      <c r="UMV58" s="76"/>
      <c r="UMW58" s="76"/>
      <c r="UMX58" s="76"/>
      <c r="UMY58" s="76"/>
      <c r="UMZ58" s="76"/>
      <c r="UNA58" s="76"/>
      <c r="UNB58" s="76"/>
      <c r="UNC58" s="76"/>
      <c r="UND58" s="76"/>
      <c r="UNE58" s="76"/>
      <c r="UNF58" s="76"/>
      <c r="UNG58" s="76"/>
      <c r="UNH58" s="76"/>
      <c r="UNI58" s="76"/>
      <c r="UNJ58" s="76"/>
      <c r="UNK58" s="76"/>
      <c r="UNL58" s="76"/>
      <c r="UNM58" s="76"/>
      <c r="UNN58" s="76"/>
      <c r="UNO58" s="76"/>
      <c r="UNP58" s="76"/>
      <c r="UNQ58" s="76"/>
      <c r="UNR58" s="76"/>
      <c r="UNS58" s="76"/>
      <c r="UNT58" s="76"/>
      <c r="UNU58" s="76"/>
      <c r="UNV58" s="76"/>
      <c r="UNW58" s="76"/>
      <c r="UNX58" s="76"/>
      <c r="UNY58" s="76"/>
      <c r="UNZ58" s="76"/>
      <c r="UOA58" s="76"/>
      <c r="UOB58" s="76"/>
      <c r="UOC58" s="76"/>
      <c r="UOD58" s="76"/>
      <c r="UOE58" s="76"/>
      <c r="UOF58" s="76"/>
      <c r="UOG58" s="76"/>
      <c r="UOH58" s="76"/>
      <c r="UOI58" s="76"/>
      <c r="UOJ58" s="76"/>
      <c r="UOK58" s="76"/>
      <c r="UOL58" s="76"/>
      <c r="UOM58" s="76"/>
      <c r="UON58" s="76"/>
      <c r="UOO58" s="76"/>
      <c r="UOP58" s="76"/>
      <c r="UOQ58" s="76"/>
      <c r="UOR58" s="76"/>
      <c r="UOS58" s="76"/>
      <c r="UOT58" s="76"/>
      <c r="UOU58" s="76"/>
      <c r="UOV58" s="76"/>
      <c r="UOW58" s="76"/>
      <c r="UOX58" s="76"/>
      <c r="UOY58" s="76"/>
      <c r="UOZ58" s="76"/>
      <c r="UPA58" s="76"/>
      <c r="UPB58" s="76"/>
      <c r="UPC58" s="76"/>
      <c r="UPD58" s="76"/>
      <c r="UPE58" s="76"/>
      <c r="UPF58" s="76"/>
      <c r="UPG58" s="76"/>
      <c r="UPH58" s="76"/>
      <c r="UPI58" s="76"/>
      <c r="UPJ58" s="76"/>
      <c r="UPK58" s="76"/>
      <c r="UPL58" s="76"/>
      <c r="UPM58" s="76"/>
      <c r="UPN58" s="76"/>
      <c r="UPO58" s="76"/>
      <c r="UPP58" s="76"/>
      <c r="UPQ58" s="76"/>
      <c r="UPR58" s="76"/>
      <c r="UPS58" s="76"/>
      <c r="UPT58" s="76"/>
      <c r="UPU58" s="76"/>
      <c r="UPV58" s="76"/>
      <c r="UPW58" s="76"/>
      <c r="UPX58" s="76"/>
      <c r="UPY58" s="76"/>
      <c r="UPZ58" s="76"/>
      <c r="UQA58" s="76"/>
      <c r="UQB58" s="76"/>
      <c r="UQC58" s="76"/>
      <c r="UQD58" s="76"/>
      <c r="UQE58" s="76"/>
      <c r="UQF58" s="76"/>
      <c r="UQG58" s="76"/>
      <c r="UQH58" s="76"/>
      <c r="UQI58" s="76"/>
      <c r="UQJ58" s="76"/>
      <c r="UQK58" s="76"/>
      <c r="UQL58" s="76"/>
      <c r="UQM58" s="76"/>
      <c r="UQN58" s="76"/>
      <c r="UQO58" s="76"/>
      <c r="UQP58" s="76"/>
      <c r="UQQ58" s="76"/>
      <c r="UQR58" s="76"/>
      <c r="UQS58" s="76"/>
      <c r="UQT58" s="76"/>
      <c r="UQU58" s="76"/>
      <c r="UQV58" s="76"/>
      <c r="UQW58" s="76"/>
      <c r="UQX58" s="76"/>
      <c r="UQY58" s="76"/>
      <c r="UQZ58" s="76"/>
      <c r="URA58" s="76"/>
      <c r="URB58" s="76"/>
      <c r="URC58" s="76"/>
      <c r="URD58" s="76"/>
      <c r="URE58" s="76"/>
      <c r="URF58" s="76"/>
      <c r="URG58" s="76"/>
      <c r="URH58" s="76"/>
      <c r="URI58" s="76"/>
      <c r="URJ58" s="76"/>
      <c r="URK58" s="76"/>
      <c r="URL58" s="76"/>
      <c r="URM58" s="76"/>
      <c r="URN58" s="76"/>
      <c r="URO58" s="76"/>
      <c r="URP58" s="76"/>
      <c r="URQ58" s="76"/>
      <c r="URR58" s="76"/>
      <c r="URS58" s="76"/>
      <c r="URT58" s="76"/>
      <c r="URU58" s="76"/>
      <c r="URV58" s="76"/>
      <c r="URW58" s="76"/>
      <c r="URX58" s="76"/>
      <c r="URY58" s="76"/>
      <c r="URZ58" s="76"/>
      <c r="USA58" s="76"/>
      <c r="USB58" s="76"/>
      <c r="USC58" s="76"/>
      <c r="USD58" s="76"/>
      <c r="USE58" s="76"/>
      <c r="USF58" s="76"/>
      <c r="USG58" s="76"/>
      <c r="USH58" s="76"/>
      <c r="USI58" s="76"/>
      <c r="USJ58" s="76"/>
      <c r="USK58" s="76"/>
      <c r="USL58" s="76"/>
      <c r="USM58" s="76"/>
      <c r="USN58" s="76"/>
      <c r="USO58" s="76"/>
      <c r="USP58" s="76"/>
      <c r="USQ58" s="76"/>
      <c r="USR58" s="76"/>
      <c r="USS58" s="76"/>
      <c r="UST58" s="76"/>
      <c r="USU58" s="76"/>
      <c r="USV58" s="76"/>
      <c r="USW58" s="76"/>
      <c r="USX58" s="76"/>
      <c r="USY58" s="76"/>
      <c r="USZ58" s="76"/>
      <c r="UTA58" s="76"/>
      <c r="UTB58" s="76"/>
      <c r="UTC58" s="76"/>
      <c r="UTD58" s="76"/>
      <c r="UTE58" s="76"/>
      <c r="UTF58" s="76"/>
      <c r="UTG58" s="76"/>
      <c r="UTH58" s="76"/>
      <c r="UTI58" s="76"/>
      <c r="UTJ58" s="76"/>
      <c r="UTK58" s="76"/>
      <c r="UTL58" s="76"/>
      <c r="UTM58" s="76"/>
      <c r="UTN58" s="76"/>
      <c r="UTO58" s="76"/>
      <c r="UTP58" s="76"/>
      <c r="UTQ58" s="76"/>
      <c r="UTR58" s="76"/>
      <c r="UTS58" s="76"/>
      <c r="UTT58" s="76"/>
      <c r="UTU58" s="76"/>
      <c r="UTV58" s="76"/>
      <c r="UTW58" s="76"/>
      <c r="UTX58" s="76"/>
      <c r="UTY58" s="76"/>
      <c r="UTZ58" s="76"/>
      <c r="UUA58" s="76"/>
      <c r="UUB58" s="76"/>
      <c r="UUC58" s="76"/>
      <c r="UUD58" s="76"/>
      <c r="UUE58" s="76"/>
      <c r="UUF58" s="76"/>
      <c r="UUG58" s="76"/>
      <c r="UUH58" s="76"/>
      <c r="UUI58" s="76"/>
      <c r="UUJ58" s="76"/>
      <c r="UUK58" s="76"/>
      <c r="UUL58" s="76"/>
      <c r="UUM58" s="76"/>
      <c r="UUN58" s="76"/>
      <c r="UUO58" s="76"/>
      <c r="UUP58" s="76"/>
      <c r="UUQ58" s="76"/>
      <c r="UUR58" s="76"/>
      <c r="UUS58" s="76"/>
      <c r="UUT58" s="76"/>
      <c r="UUU58" s="76"/>
      <c r="UUV58" s="76"/>
      <c r="UUW58" s="76"/>
      <c r="UUX58" s="76"/>
      <c r="UUY58" s="76"/>
      <c r="UUZ58" s="76"/>
      <c r="UVA58" s="76"/>
      <c r="UVB58" s="76"/>
      <c r="UVC58" s="76"/>
      <c r="UVD58" s="76"/>
      <c r="UVE58" s="76"/>
      <c r="UVF58" s="76"/>
      <c r="UVG58" s="76"/>
      <c r="UVH58" s="76"/>
      <c r="UVI58" s="76"/>
      <c r="UVJ58" s="76"/>
      <c r="UVK58" s="76"/>
      <c r="UVL58" s="76"/>
      <c r="UVM58" s="76"/>
      <c r="UVN58" s="76"/>
      <c r="UVO58" s="76"/>
      <c r="UVP58" s="76"/>
      <c r="UVQ58" s="76"/>
      <c r="UVR58" s="76"/>
      <c r="UVS58" s="76"/>
      <c r="UVT58" s="76"/>
      <c r="UVU58" s="76"/>
      <c r="UVV58" s="76"/>
      <c r="UVW58" s="76"/>
      <c r="UVX58" s="76"/>
      <c r="UVY58" s="76"/>
      <c r="UVZ58" s="76"/>
      <c r="UWA58" s="76"/>
      <c r="UWB58" s="76"/>
      <c r="UWC58" s="76"/>
      <c r="UWD58" s="76"/>
      <c r="UWE58" s="76"/>
      <c r="UWF58" s="76"/>
      <c r="UWG58" s="76"/>
      <c r="UWH58" s="76"/>
      <c r="UWI58" s="76"/>
      <c r="UWJ58" s="76"/>
      <c r="UWK58" s="76"/>
      <c r="UWL58" s="76"/>
      <c r="UWM58" s="76"/>
      <c r="UWN58" s="76"/>
      <c r="UWO58" s="76"/>
      <c r="UWP58" s="76"/>
      <c r="UWQ58" s="76"/>
      <c r="UWR58" s="76"/>
      <c r="UWS58" s="76"/>
      <c r="UWT58" s="76"/>
      <c r="UWU58" s="76"/>
      <c r="UWV58" s="76"/>
      <c r="UWW58" s="76"/>
      <c r="UWX58" s="76"/>
      <c r="UWY58" s="76"/>
      <c r="UWZ58" s="76"/>
      <c r="UXA58" s="76"/>
      <c r="UXB58" s="76"/>
      <c r="UXC58" s="76"/>
      <c r="UXD58" s="76"/>
      <c r="UXE58" s="76"/>
      <c r="UXF58" s="76"/>
      <c r="UXG58" s="76"/>
      <c r="UXH58" s="76"/>
      <c r="UXI58" s="76"/>
      <c r="UXJ58" s="76"/>
      <c r="UXK58" s="76"/>
      <c r="UXL58" s="76"/>
      <c r="UXM58" s="76"/>
      <c r="UXN58" s="76"/>
      <c r="UXO58" s="76"/>
      <c r="UXP58" s="76"/>
      <c r="UXQ58" s="76"/>
      <c r="UXR58" s="76"/>
      <c r="UXS58" s="76"/>
      <c r="UXT58" s="76"/>
      <c r="UXU58" s="76"/>
      <c r="UXV58" s="76"/>
      <c r="UXW58" s="76"/>
      <c r="UXX58" s="76"/>
      <c r="UXY58" s="76"/>
      <c r="UXZ58" s="76"/>
      <c r="UYA58" s="76"/>
      <c r="UYB58" s="76"/>
      <c r="UYC58" s="76"/>
      <c r="UYD58" s="76"/>
      <c r="UYE58" s="76"/>
      <c r="UYF58" s="76"/>
      <c r="UYG58" s="76"/>
      <c r="UYH58" s="76"/>
      <c r="UYI58" s="76"/>
      <c r="UYJ58" s="76"/>
      <c r="UYK58" s="76"/>
      <c r="UYL58" s="76"/>
      <c r="UYM58" s="76"/>
      <c r="UYN58" s="76"/>
      <c r="UYO58" s="76"/>
      <c r="UYP58" s="76"/>
      <c r="UYQ58" s="76"/>
      <c r="UYR58" s="76"/>
      <c r="UYS58" s="76"/>
      <c r="UYT58" s="76"/>
      <c r="UYU58" s="76"/>
      <c r="UYV58" s="76"/>
      <c r="UYW58" s="76"/>
      <c r="UYX58" s="76"/>
      <c r="UYY58" s="76"/>
      <c r="UYZ58" s="76"/>
      <c r="UZA58" s="76"/>
      <c r="UZB58" s="76"/>
      <c r="UZC58" s="76"/>
      <c r="UZD58" s="76"/>
      <c r="UZE58" s="76"/>
      <c r="UZF58" s="76"/>
      <c r="UZG58" s="76"/>
      <c r="UZH58" s="76"/>
      <c r="UZI58" s="76"/>
      <c r="UZJ58" s="76"/>
      <c r="UZK58" s="76"/>
      <c r="UZL58" s="76"/>
      <c r="UZM58" s="76"/>
      <c r="UZN58" s="76"/>
      <c r="UZO58" s="76"/>
      <c r="UZP58" s="76"/>
      <c r="UZQ58" s="76"/>
      <c r="UZR58" s="76"/>
      <c r="UZS58" s="76"/>
      <c r="UZT58" s="76"/>
      <c r="UZU58" s="76"/>
      <c r="UZV58" s="76"/>
      <c r="UZW58" s="76"/>
      <c r="UZX58" s="76"/>
      <c r="UZY58" s="76"/>
      <c r="UZZ58" s="76"/>
      <c r="VAA58" s="76"/>
      <c r="VAB58" s="76"/>
      <c r="VAC58" s="76"/>
      <c r="VAD58" s="76"/>
      <c r="VAE58" s="76"/>
      <c r="VAF58" s="76"/>
      <c r="VAG58" s="76"/>
      <c r="VAH58" s="76"/>
      <c r="VAI58" s="76"/>
      <c r="VAJ58" s="76"/>
      <c r="VAK58" s="76"/>
      <c r="VAL58" s="76"/>
      <c r="VAM58" s="76"/>
      <c r="VAN58" s="76"/>
      <c r="VAO58" s="76"/>
      <c r="VAP58" s="76"/>
      <c r="VAQ58" s="76"/>
      <c r="VAR58" s="76"/>
      <c r="VAS58" s="76"/>
      <c r="VAT58" s="76"/>
      <c r="VAU58" s="76"/>
      <c r="VAV58" s="76"/>
      <c r="VAW58" s="76"/>
      <c r="VAX58" s="76"/>
      <c r="VAY58" s="76"/>
      <c r="VAZ58" s="76"/>
      <c r="VBA58" s="76"/>
      <c r="VBB58" s="76"/>
      <c r="VBC58" s="76"/>
      <c r="VBD58" s="76"/>
      <c r="VBE58" s="76"/>
      <c r="VBF58" s="76"/>
      <c r="VBG58" s="76"/>
      <c r="VBH58" s="76"/>
      <c r="VBI58" s="76"/>
      <c r="VBJ58" s="76"/>
      <c r="VBK58" s="76"/>
      <c r="VBL58" s="76"/>
      <c r="VBM58" s="76"/>
      <c r="VBN58" s="76"/>
      <c r="VBO58" s="76"/>
      <c r="VBP58" s="76"/>
      <c r="VBQ58" s="76"/>
      <c r="VBR58" s="76"/>
      <c r="VBS58" s="76"/>
      <c r="VBT58" s="76"/>
      <c r="VBU58" s="76"/>
      <c r="VBV58" s="76"/>
      <c r="VBW58" s="76"/>
      <c r="VBX58" s="76"/>
      <c r="VBY58" s="76"/>
      <c r="VBZ58" s="76"/>
      <c r="VCA58" s="76"/>
      <c r="VCB58" s="76"/>
      <c r="VCC58" s="76"/>
      <c r="VCD58" s="76"/>
      <c r="VCE58" s="76"/>
      <c r="VCF58" s="76"/>
      <c r="VCG58" s="76"/>
      <c r="VCH58" s="76"/>
      <c r="VCI58" s="76"/>
      <c r="VCJ58" s="76"/>
      <c r="VCK58" s="76"/>
      <c r="VCL58" s="76"/>
      <c r="VCM58" s="76"/>
      <c r="VCN58" s="76"/>
      <c r="VCO58" s="76"/>
      <c r="VCP58" s="76"/>
      <c r="VCQ58" s="76"/>
      <c r="VCR58" s="76"/>
      <c r="VCS58" s="76"/>
      <c r="VCT58" s="76"/>
      <c r="VCU58" s="76"/>
      <c r="VCV58" s="76"/>
      <c r="VCW58" s="76"/>
      <c r="VCX58" s="76"/>
      <c r="VCY58" s="76"/>
      <c r="VCZ58" s="76"/>
      <c r="VDA58" s="76"/>
      <c r="VDB58" s="76"/>
      <c r="VDC58" s="76"/>
      <c r="VDD58" s="76"/>
      <c r="VDE58" s="76"/>
      <c r="VDF58" s="76"/>
      <c r="VDG58" s="76"/>
      <c r="VDH58" s="76"/>
      <c r="VDI58" s="76"/>
      <c r="VDJ58" s="76"/>
      <c r="VDK58" s="76"/>
      <c r="VDL58" s="76"/>
      <c r="VDM58" s="76"/>
      <c r="VDN58" s="76"/>
      <c r="VDO58" s="76"/>
      <c r="VDP58" s="76"/>
      <c r="VDQ58" s="76"/>
      <c r="VDR58" s="76"/>
      <c r="VDS58" s="76"/>
      <c r="VDT58" s="76"/>
      <c r="VDU58" s="76"/>
      <c r="VDV58" s="76"/>
      <c r="VDW58" s="76"/>
      <c r="VDX58" s="76"/>
      <c r="VDY58" s="76"/>
      <c r="VDZ58" s="76"/>
      <c r="VEA58" s="76"/>
      <c r="VEB58" s="76"/>
      <c r="VEC58" s="76"/>
      <c r="VED58" s="76"/>
      <c r="VEE58" s="76"/>
      <c r="VEF58" s="76"/>
      <c r="VEG58" s="76"/>
      <c r="VEH58" s="76"/>
      <c r="VEI58" s="76"/>
      <c r="VEJ58" s="76"/>
      <c r="VEK58" s="76"/>
      <c r="VEL58" s="76"/>
      <c r="VEM58" s="76"/>
      <c r="VEN58" s="76"/>
      <c r="VEO58" s="76"/>
      <c r="VEP58" s="76"/>
      <c r="VEQ58" s="76"/>
      <c r="VER58" s="76"/>
      <c r="VES58" s="76"/>
      <c r="VET58" s="76"/>
      <c r="VEU58" s="76"/>
      <c r="VEV58" s="76"/>
      <c r="VEW58" s="76"/>
      <c r="VEX58" s="76"/>
      <c r="VEY58" s="76"/>
      <c r="VEZ58" s="76"/>
      <c r="VFA58" s="76"/>
      <c r="VFB58" s="76"/>
      <c r="VFC58" s="76"/>
      <c r="VFD58" s="76"/>
      <c r="VFE58" s="76"/>
      <c r="VFF58" s="76"/>
      <c r="VFG58" s="76"/>
      <c r="VFH58" s="76"/>
      <c r="VFI58" s="76"/>
      <c r="VFJ58" s="76"/>
      <c r="VFK58" s="76"/>
      <c r="VFL58" s="76"/>
      <c r="VFM58" s="76"/>
      <c r="VFN58" s="76"/>
      <c r="VFO58" s="76"/>
      <c r="VFP58" s="76"/>
      <c r="VFQ58" s="76"/>
      <c r="VFR58" s="76"/>
      <c r="VFS58" s="76"/>
      <c r="VFT58" s="76"/>
      <c r="VFU58" s="76"/>
      <c r="VFV58" s="76"/>
      <c r="VFW58" s="76"/>
      <c r="VFX58" s="76"/>
      <c r="VFY58" s="76"/>
      <c r="VFZ58" s="76"/>
      <c r="VGA58" s="76"/>
      <c r="VGB58" s="76"/>
      <c r="VGC58" s="76"/>
      <c r="VGD58" s="76"/>
      <c r="VGE58" s="76"/>
      <c r="VGF58" s="76"/>
      <c r="VGG58" s="76"/>
      <c r="VGH58" s="76"/>
      <c r="VGI58" s="76"/>
      <c r="VGJ58" s="76"/>
      <c r="VGK58" s="76"/>
      <c r="VGL58" s="76"/>
      <c r="VGM58" s="76"/>
      <c r="VGN58" s="76"/>
      <c r="VGO58" s="76"/>
      <c r="VGP58" s="76"/>
      <c r="VGQ58" s="76"/>
      <c r="VGR58" s="76"/>
      <c r="VGS58" s="76"/>
      <c r="VGT58" s="76"/>
      <c r="VGU58" s="76"/>
      <c r="VGV58" s="76"/>
      <c r="VGW58" s="76"/>
      <c r="VGX58" s="76"/>
      <c r="VGY58" s="76"/>
      <c r="VGZ58" s="76"/>
      <c r="VHA58" s="76"/>
      <c r="VHB58" s="76"/>
      <c r="VHC58" s="76"/>
      <c r="VHD58" s="76"/>
      <c r="VHE58" s="76"/>
      <c r="VHF58" s="76"/>
      <c r="VHG58" s="76"/>
      <c r="VHH58" s="76"/>
      <c r="VHI58" s="76"/>
      <c r="VHJ58" s="76"/>
      <c r="VHK58" s="76"/>
      <c r="VHL58" s="76"/>
      <c r="VHM58" s="76"/>
      <c r="VHN58" s="76"/>
      <c r="VHO58" s="76"/>
      <c r="VHP58" s="76"/>
      <c r="VHQ58" s="76"/>
      <c r="VHR58" s="76"/>
      <c r="VHS58" s="76"/>
      <c r="VHT58" s="76"/>
      <c r="VHU58" s="76"/>
      <c r="VHV58" s="76"/>
      <c r="VHW58" s="76"/>
      <c r="VHX58" s="76"/>
      <c r="VHY58" s="76"/>
      <c r="VHZ58" s="76"/>
      <c r="VIA58" s="76"/>
      <c r="VIB58" s="76"/>
      <c r="VIC58" s="76"/>
      <c r="VID58" s="76"/>
      <c r="VIE58" s="76"/>
      <c r="VIF58" s="76"/>
      <c r="VIG58" s="76"/>
      <c r="VIH58" s="76"/>
      <c r="VII58" s="76"/>
      <c r="VIJ58" s="76"/>
      <c r="VIK58" s="76"/>
      <c r="VIL58" s="76"/>
      <c r="VIM58" s="76"/>
      <c r="VIN58" s="76"/>
      <c r="VIO58" s="76"/>
      <c r="VIP58" s="76"/>
      <c r="VIQ58" s="76"/>
      <c r="VIR58" s="76"/>
      <c r="VIS58" s="76"/>
      <c r="VIT58" s="76"/>
      <c r="VIU58" s="76"/>
      <c r="VIV58" s="76"/>
      <c r="VIW58" s="76"/>
      <c r="VIX58" s="76"/>
      <c r="VIY58" s="76"/>
      <c r="VIZ58" s="76"/>
      <c r="VJA58" s="76"/>
      <c r="VJB58" s="76"/>
      <c r="VJC58" s="76"/>
      <c r="VJD58" s="76"/>
      <c r="VJE58" s="76"/>
      <c r="VJF58" s="76"/>
      <c r="VJG58" s="76"/>
      <c r="VJH58" s="76"/>
      <c r="VJI58" s="76"/>
      <c r="VJJ58" s="76"/>
      <c r="VJK58" s="76"/>
      <c r="VJL58" s="76"/>
      <c r="VJM58" s="76"/>
      <c r="VJN58" s="76"/>
      <c r="VJO58" s="76"/>
      <c r="VJP58" s="76"/>
      <c r="VJQ58" s="76"/>
      <c r="VJR58" s="76"/>
      <c r="VJS58" s="76"/>
      <c r="VJT58" s="76"/>
      <c r="VJU58" s="76"/>
      <c r="VJV58" s="76"/>
      <c r="VJW58" s="76"/>
      <c r="VJX58" s="76"/>
      <c r="VJY58" s="76"/>
      <c r="VJZ58" s="76"/>
      <c r="VKA58" s="76"/>
      <c r="VKB58" s="76"/>
      <c r="VKC58" s="76"/>
      <c r="VKD58" s="76"/>
      <c r="VKE58" s="76"/>
      <c r="VKF58" s="76"/>
      <c r="VKG58" s="76"/>
      <c r="VKH58" s="76"/>
      <c r="VKI58" s="76"/>
      <c r="VKJ58" s="76"/>
      <c r="VKK58" s="76"/>
      <c r="VKL58" s="76"/>
      <c r="VKM58" s="76"/>
      <c r="VKN58" s="76"/>
      <c r="VKO58" s="76"/>
      <c r="VKP58" s="76"/>
      <c r="VKQ58" s="76"/>
      <c r="VKR58" s="76"/>
      <c r="VKS58" s="76"/>
      <c r="VKT58" s="76"/>
      <c r="VKU58" s="76"/>
      <c r="VKV58" s="76"/>
      <c r="VKW58" s="76"/>
      <c r="VKX58" s="76"/>
      <c r="VKY58" s="76"/>
      <c r="VKZ58" s="76"/>
      <c r="VLA58" s="76"/>
      <c r="VLB58" s="76"/>
      <c r="VLC58" s="76"/>
      <c r="VLD58" s="76"/>
      <c r="VLE58" s="76"/>
      <c r="VLF58" s="76"/>
      <c r="VLG58" s="76"/>
      <c r="VLH58" s="76"/>
      <c r="VLI58" s="76"/>
      <c r="VLJ58" s="76"/>
      <c r="VLK58" s="76"/>
      <c r="VLL58" s="76"/>
      <c r="VLM58" s="76"/>
      <c r="VLN58" s="76"/>
      <c r="VLO58" s="76"/>
      <c r="VLP58" s="76"/>
      <c r="VLQ58" s="76"/>
      <c r="VLR58" s="76"/>
      <c r="VLS58" s="76"/>
      <c r="VLT58" s="76"/>
      <c r="VLU58" s="76"/>
      <c r="VLV58" s="76"/>
      <c r="VLW58" s="76"/>
      <c r="VLX58" s="76"/>
      <c r="VLY58" s="76"/>
      <c r="VLZ58" s="76"/>
      <c r="VMA58" s="76"/>
      <c r="VMB58" s="76"/>
      <c r="VMC58" s="76"/>
      <c r="VMD58" s="76"/>
      <c r="VME58" s="76"/>
      <c r="VMF58" s="76"/>
      <c r="VMG58" s="76"/>
      <c r="VMH58" s="76"/>
      <c r="VMI58" s="76"/>
      <c r="VMJ58" s="76"/>
      <c r="VMK58" s="76"/>
      <c r="VML58" s="76"/>
      <c r="VMM58" s="76"/>
      <c r="VMN58" s="76"/>
      <c r="VMO58" s="76"/>
      <c r="VMP58" s="76"/>
      <c r="VMQ58" s="76"/>
      <c r="VMR58" s="76"/>
      <c r="VMS58" s="76"/>
      <c r="VMT58" s="76"/>
      <c r="VMU58" s="76"/>
      <c r="VMV58" s="76"/>
      <c r="VMW58" s="76"/>
      <c r="VMX58" s="76"/>
      <c r="VMY58" s="76"/>
      <c r="VMZ58" s="76"/>
      <c r="VNA58" s="76"/>
      <c r="VNB58" s="76"/>
      <c r="VNC58" s="76"/>
      <c r="VND58" s="76"/>
      <c r="VNE58" s="76"/>
      <c r="VNF58" s="76"/>
      <c r="VNG58" s="76"/>
      <c r="VNH58" s="76"/>
      <c r="VNI58" s="76"/>
      <c r="VNJ58" s="76"/>
      <c r="VNK58" s="76"/>
      <c r="VNL58" s="76"/>
      <c r="VNM58" s="76"/>
      <c r="VNN58" s="76"/>
      <c r="VNO58" s="76"/>
      <c r="VNP58" s="76"/>
      <c r="VNQ58" s="76"/>
      <c r="VNR58" s="76"/>
      <c r="VNS58" s="76"/>
      <c r="VNT58" s="76"/>
      <c r="VNU58" s="76"/>
      <c r="VNV58" s="76"/>
      <c r="VNW58" s="76"/>
      <c r="VNX58" s="76"/>
      <c r="VNY58" s="76"/>
      <c r="VNZ58" s="76"/>
      <c r="VOA58" s="76"/>
      <c r="VOB58" s="76"/>
      <c r="VOC58" s="76"/>
      <c r="VOD58" s="76"/>
      <c r="VOE58" s="76"/>
      <c r="VOF58" s="76"/>
      <c r="VOG58" s="76"/>
      <c r="VOH58" s="76"/>
      <c r="VOI58" s="76"/>
      <c r="VOJ58" s="76"/>
      <c r="VOK58" s="76"/>
      <c r="VOL58" s="76"/>
      <c r="VOM58" s="76"/>
      <c r="VON58" s="76"/>
      <c r="VOO58" s="76"/>
      <c r="VOP58" s="76"/>
      <c r="VOQ58" s="76"/>
      <c r="VOR58" s="76"/>
      <c r="VOS58" s="76"/>
      <c r="VOT58" s="76"/>
      <c r="VOU58" s="76"/>
      <c r="VOV58" s="76"/>
      <c r="VOW58" s="76"/>
      <c r="VOX58" s="76"/>
      <c r="VOY58" s="76"/>
      <c r="VOZ58" s="76"/>
      <c r="VPA58" s="76"/>
      <c r="VPB58" s="76"/>
      <c r="VPC58" s="76"/>
      <c r="VPD58" s="76"/>
      <c r="VPE58" s="76"/>
      <c r="VPF58" s="76"/>
      <c r="VPG58" s="76"/>
      <c r="VPH58" s="76"/>
      <c r="VPI58" s="76"/>
      <c r="VPJ58" s="76"/>
      <c r="VPK58" s="76"/>
      <c r="VPL58" s="76"/>
      <c r="VPM58" s="76"/>
      <c r="VPN58" s="76"/>
      <c r="VPO58" s="76"/>
      <c r="VPP58" s="76"/>
      <c r="VPQ58" s="76"/>
      <c r="VPR58" s="76"/>
      <c r="VPS58" s="76"/>
      <c r="VPT58" s="76"/>
      <c r="VPU58" s="76"/>
      <c r="VPV58" s="76"/>
      <c r="VPW58" s="76"/>
      <c r="VPX58" s="76"/>
      <c r="VPY58" s="76"/>
      <c r="VPZ58" s="76"/>
      <c r="VQA58" s="76"/>
      <c r="VQB58" s="76"/>
      <c r="VQC58" s="76"/>
      <c r="VQD58" s="76"/>
      <c r="VQE58" s="76"/>
      <c r="VQF58" s="76"/>
      <c r="VQG58" s="76"/>
      <c r="VQH58" s="76"/>
      <c r="VQI58" s="76"/>
      <c r="VQJ58" s="76"/>
      <c r="VQK58" s="76"/>
      <c r="VQL58" s="76"/>
      <c r="VQM58" s="76"/>
      <c r="VQN58" s="76"/>
      <c r="VQO58" s="76"/>
      <c r="VQP58" s="76"/>
      <c r="VQQ58" s="76"/>
      <c r="VQR58" s="76"/>
      <c r="VQS58" s="76"/>
      <c r="VQT58" s="76"/>
      <c r="VQU58" s="76"/>
      <c r="VQV58" s="76"/>
      <c r="VQW58" s="76"/>
      <c r="VQX58" s="76"/>
      <c r="VQY58" s="76"/>
      <c r="VQZ58" s="76"/>
      <c r="VRA58" s="76"/>
      <c r="VRB58" s="76"/>
      <c r="VRC58" s="76"/>
      <c r="VRD58" s="76"/>
      <c r="VRE58" s="76"/>
      <c r="VRF58" s="76"/>
      <c r="VRG58" s="76"/>
      <c r="VRH58" s="76"/>
      <c r="VRI58" s="76"/>
      <c r="VRJ58" s="76"/>
      <c r="VRK58" s="76"/>
      <c r="VRL58" s="76"/>
      <c r="VRM58" s="76"/>
      <c r="VRN58" s="76"/>
      <c r="VRO58" s="76"/>
      <c r="VRP58" s="76"/>
      <c r="VRQ58" s="76"/>
      <c r="VRR58" s="76"/>
      <c r="VRS58" s="76"/>
      <c r="VRT58" s="76"/>
      <c r="VRU58" s="76"/>
      <c r="VRV58" s="76"/>
      <c r="VRW58" s="76"/>
      <c r="VRX58" s="76"/>
      <c r="VRY58" s="76"/>
      <c r="VRZ58" s="76"/>
      <c r="VSA58" s="76"/>
      <c r="VSB58" s="76"/>
      <c r="VSC58" s="76"/>
      <c r="VSD58" s="76"/>
      <c r="VSE58" s="76"/>
      <c r="VSF58" s="76"/>
      <c r="VSG58" s="76"/>
      <c r="VSH58" s="76"/>
      <c r="VSI58" s="76"/>
      <c r="VSJ58" s="76"/>
      <c r="VSK58" s="76"/>
      <c r="VSL58" s="76"/>
      <c r="VSM58" s="76"/>
      <c r="VSN58" s="76"/>
      <c r="VSO58" s="76"/>
      <c r="VSP58" s="76"/>
      <c r="VSQ58" s="76"/>
      <c r="VSR58" s="76"/>
      <c r="VSS58" s="76"/>
      <c r="VST58" s="76"/>
      <c r="VSU58" s="76"/>
      <c r="VSV58" s="76"/>
      <c r="VSW58" s="76"/>
      <c r="VSX58" s="76"/>
      <c r="VSY58" s="76"/>
      <c r="VSZ58" s="76"/>
      <c r="VTA58" s="76"/>
      <c r="VTB58" s="76"/>
      <c r="VTC58" s="76"/>
      <c r="VTD58" s="76"/>
      <c r="VTE58" s="76"/>
      <c r="VTF58" s="76"/>
      <c r="VTG58" s="76"/>
      <c r="VTH58" s="76"/>
      <c r="VTI58" s="76"/>
      <c r="VTJ58" s="76"/>
      <c r="VTK58" s="76"/>
      <c r="VTL58" s="76"/>
      <c r="VTM58" s="76"/>
      <c r="VTN58" s="76"/>
      <c r="VTO58" s="76"/>
      <c r="VTP58" s="76"/>
      <c r="VTQ58" s="76"/>
      <c r="VTR58" s="76"/>
      <c r="VTS58" s="76"/>
      <c r="VTT58" s="76"/>
      <c r="VTU58" s="76"/>
      <c r="VTV58" s="76"/>
      <c r="VTW58" s="76"/>
      <c r="VTX58" s="76"/>
      <c r="VTY58" s="76"/>
      <c r="VTZ58" s="76"/>
      <c r="VUA58" s="76"/>
      <c r="VUB58" s="76"/>
      <c r="VUC58" s="76"/>
      <c r="VUD58" s="76"/>
      <c r="VUE58" s="76"/>
      <c r="VUF58" s="76"/>
      <c r="VUG58" s="76"/>
      <c r="VUH58" s="76"/>
      <c r="VUI58" s="76"/>
      <c r="VUJ58" s="76"/>
      <c r="VUK58" s="76"/>
      <c r="VUL58" s="76"/>
      <c r="VUM58" s="76"/>
      <c r="VUN58" s="76"/>
      <c r="VUO58" s="76"/>
      <c r="VUP58" s="76"/>
      <c r="VUQ58" s="76"/>
      <c r="VUR58" s="76"/>
      <c r="VUS58" s="76"/>
      <c r="VUT58" s="76"/>
      <c r="VUU58" s="76"/>
      <c r="VUV58" s="76"/>
      <c r="VUW58" s="76"/>
      <c r="VUX58" s="76"/>
      <c r="VUY58" s="76"/>
      <c r="VUZ58" s="76"/>
      <c r="VVA58" s="76"/>
      <c r="VVB58" s="76"/>
      <c r="VVC58" s="76"/>
      <c r="VVD58" s="76"/>
      <c r="VVE58" s="76"/>
      <c r="VVF58" s="76"/>
      <c r="VVG58" s="76"/>
      <c r="VVH58" s="76"/>
      <c r="VVI58" s="76"/>
      <c r="VVJ58" s="76"/>
      <c r="VVK58" s="76"/>
      <c r="VVL58" s="76"/>
      <c r="VVM58" s="76"/>
      <c r="VVN58" s="76"/>
      <c r="VVO58" s="76"/>
      <c r="VVP58" s="76"/>
      <c r="VVQ58" s="76"/>
      <c r="VVR58" s="76"/>
      <c r="VVS58" s="76"/>
      <c r="VVT58" s="76"/>
      <c r="VVU58" s="76"/>
      <c r="VVV58" s="76"/>
      <c r="VVW58" s="76"/>
      <c r="VVX58" s="76"/>
      <c r="VVY58" s="76"/>
      <c r="VVZ58" s="76"/>
      <c r="VWA58" s="76"/>
      <c r="VWB58" s="76"/>
      <c r="VWC58" s="76"/>
      <c r="VWD58" s="76"/>
      <c r="VWE58" s="76"/>
      <c r="VWF58" s="76"/>
      <c r="VWG58" s="76"/>
      <c r="VWH58" s="76"/>
      <c r="VWI58" s="76"/>
      <c r="VWJ58" s="76"/>
      <c r="VWK58" s="76"/>
      <c r="VWL58" s="76"/>
      <c r="VWM58" s="76"/>
      <c r="VWN58" s="76"/>
      <c r="VWO58" s="76"/>
      <c r="VWP58" s="76"/>
      <c r="VWQ58" s="76"/>
      <c r="VWR58" s="76"/>
      <c r="VWS58" s="76"/>
      <c r="VWT58" s="76"/>
      <c r="VWU58" s="76"/>
      <c r="VWV58" s="76"/>
      <c r="VWW58" s="76"/>
      <c r="VWX58" s="76"/>
      <c r="VWY58" s="76"/>
      <c r="VWZ58" s="76"/>
      <c r="VXA58" s="76"/>
      <c r="VXB58" s="76"/>
      <c r="VXC58" s="76"/>
      <c r="VXD58" s="76"/>
      <c r="VXE58" s="76"/>
      <c r="VXF58" s="76"/>
      <c r="VXG58" s="76"/>
      <c r="VXH58" s="76"/>
      <c r="VXI58" s="76"/>
      <c r="VXJ58" s="76"/>
      <c r="VXK58" s="76"/>
      <c r="VXL58" s="76"/>
      <c r="VXM58" s="76"/>
      <c r="VXN58" s="76"/>
      <c r="VXO58" s="76"/>
      <c r="VXP58" s="76"/>
      <c r="VXQ58" s="76"/>
      <c r="VXR58" s="76"/>
      <c r="VXS58" s="76"/>
      <c r="VXT58" s="76"/>
      <c r="VXU58" s="76"/>
      <c r="VXV58" s="76"/>
      <c r="VXW58" s="76"/>
      <c r="VXX58" s="76"/>
      <c r="VXY58" s="76"/>
      <c r="VXZ58" s="76"/>
      <c r="VYA58" s="76"/>
      <c r="VYB58" s="76"/>
      <c r="VYC58" s="76"/>
      <c r="VYD58" s="76"/>
      <c r="VYE58" s="76"/>
      <c r="VYF58" s="76"/>
      <c r="VYG58" s="76"/>
      <c r="VYH58" s="76"/>
      <c r="VYI58" s="76"/>
      <c r="VYJ58" s="76"/>
      <c r="VYK58" s="76"/>
      <c r="VYL58" s="76"/>
      <c r="VYM58" s="76"/>
      <c r="VYN58" s="76"/>
      <c r="VYO58" s="76"/>
      <c r="VYP58" s="76"/>
      <c r="VYQ58" s="76"/>
      <c r="VYR58" s="76"/>
      <c r="VYS58" s="76"/>
      <c r="VYT58" s="76"/>
      <c r="VYU58" s="76"/>
      <c r="VYV58" s="76"/>
      <c r="VYW58" s="76"/>
      <c r="VYX58" s="76"/>
      <c r="VYY58" s="76"/>
      <c r="VYZ58" s="76"/>
      <c r="VZA58" s="76"/>
      <c r="VZB58" s="76"/>
      <c r="VZC58" s="76"/>
      <c r="VZD58" s="76"/>
      <c r="VZE58" s="76"/>
      <c r="VZF58" s="76"/>
      <c r="VZG58" s="76"/>
      <c r="VZH58" s="76"/>
      <c r="VZI58" s="76"/>
      <c r="VZJ58" s="76"/>
      <c r="VZK58" s="76"/>
      <c r="VZL58" s="76"/>
      <c r="VZM58" s="76"/>
      <c r="VZN58" s="76"/>
      <c r="VZO58" s="76"/>
      <c r="VZP58" s="76"/>
      <c r="VZQ58" s="76"/>
      <c r="VZR58" s="76"/>
      <c r="VZS58" s="76"/>
      <c r="VZT58" s="76"/>
      <c r="VZU58" s="76"/>
      <c r="VZV58" s="76"/>
      <c r="VZW58" s="76"/>
      <c r="VZX58" s="76"/>
      <c r="VZY58" s="76"/>
      <c r="VZZ58" s="76"/>
      <c r="WAA58" s="76"/>
      <c r="WAB58" s="76"/>
      <c r="WAC58" s="76"/>
      <c r="WAD58" s="76"/>
      <c r="WAE58" s="76"/>
      <c r="WAF58" s="76"/>
      <c r="WAG58" s="76"/>
      <c r="WAH58" s="76"/>
      <c r="WAI58" s="76"/>
      <c r="WAJ58" s="76"/>
      <c r="WAK58" s="76"/>
      <c r="WAL58" s="76"/>
      <c r="WAM58" s="76"/>
      <c r="WAN58" s="76"/>
      <c r="WAO58" s="76"/>
      <c r="WAP58" s="76"/>
      <c r="WAQ58" s="76"/>
      <c r="WAR58" s="76"/>
      <c r="WAS58" s="76"/>
      <c r="WAT58" s="76"/>
      <c r="WAU58" s="76"/>
      <c r="WAV58" s="76"/>
      <c r="WAW58" s="76"/>
      <c r="WAX58" s="76"/>
      <c r="WAY58" s="76"/>
      <c r="WAZ58" s="76"/>
      <c r="WBA58" s="76"/>
      <c r="WBB58" s="76"/>
      <c r="WBC58" s="76"/>
      <c r="WBD58" s="76"/>
      <c r="WBE58" s="76"/>
      <c r="WBF58" s="76"/>
      <c r="WBG58" s="76"/>
      <c r="WBH58" s="76"/>
      <c r="WBI58" s="76"/>
      <c r="WBJ58" s="76"/>
      <c r="WBK58" s="76"/>
      <c r="WBL58" s="76"/>
      <c r="WBM58" s="76"/>
      <c r="WBN58" s="76"/>
      <c r="WBO58" s="76"/>
      <c r="WBP58" s="76"/>
      <c r="WBQ58" s="76"/>
      <c r="WBR58" s="76"/>
      <c r="WBS58" s="76"/>
      <c r="WBT58" s="76"/>
      <c r="WBU58" s="76"/>
      <c r="WBV58" s="76"/>
      <c r="WBW58" s="76"/>
      <c r="WBX58" s="76"/>
      <c r="WBY58" s="76"/>
      <c r="WBZ58" s="76"/>
      <c r="WCA58" s="76"/>
      <c r="WCB58" s="76"/>
      <c r="WCC58" s="76"/>
      <c r="WCD58" s="76"/>
      <c r="WCE58" s="76"/>
      <c r="WCF58" s="76"/>
      <c r="WCG58" s="76"/>
      <c r="WCH58" s="76"/>
      <c r="WCI58" s="76"/>
      <c r="WCJ58" s="76"/>
      <c r="WCK58" s="76"/>
      <c r="WCL58" s="76"/>
      <c r="WCM58" s="76"/>
      <c r="WCN58" s="76"/>
      <c r="WCO58" s="76"/>
      <c r="WCP58" s="76"/>
      <c r="WCQ58" s="76"/>
      <c r="WCR58" s="76"/>
      <c r="WCS58" s="76"/>
      <c r="WCT58" s="76"/>
      <c r="WCU58" s="76"/>
      <c r="WCV58" s="76"/>
      <c r="WCW58" s="76"/>
      <c r="WCX58" s="76"/>
      <c r="WCY58" s="76"/>
      <c r="WCZ58" s="76"/>
      <c r="WDA58" s="76"/>
      <c r="WDB58" s="76"/>
      <c r="WDC58" s="76"/>
      <c r="WDD58" s="76"/>
      <c r="WDE58" s="76"/>
      <c r="WDF58" s="76"/>
      <c r="WDG58" s="76"/>
      <c r="WDH58" s="76"/>
      <c r="WDI58" s="76"/>
      <c r="WDJ58" s="76"/>
      <c r="WDK58" s="76"/>
      <c r="WDL58" s="76"/>
      <c r="WDM58" s="76"/>
      <c r="WDN58" s="76"/>
      <c r="WDO58" s="76"/>
      <c r="WDP58" s="76"/>
      <c r="WDQ58" s="76"/>
      <c r="WDR58" s="76"/>
      <c r="WDS58" s="76"/>
      <c r="WDT58" s="76"/>
      <c r="WDU58" s="76"/>
      <c r="WDV58" s="76"/>
      <c r="WDW58" s="76"/>
      <c r="WDX58" s="76"/>
      <c r="WDY58" s="76"/>
      <c r="WDZ58" s="76"/>
      <c r="WEA58" s="76"/>
      <c r="WEB58" s="76"/>
      <c r="WEC58" s="76"/>
      <c r="WED58" s="76"/>
      <c r="WEE58" s="76"/>
      <c r="WEF58" s="76"/>
      <c r="WEG58" s="76"/>
      <c r="WEH58" s="76"/>
      <c r="WEI58" s="76"/>
      <c r="WEJ58" s="76"/>
      <c r="WEK58" s="76"/>
      <c r="WEL58" s="76"/>
      <c r="WEM58" s="76"/>
      <c r="WEN58" s="76"/>
      <c r="WEO58" s="76"/>
      <c r="WEP58" s="76"/>
      <c r="WEQ58" s="76"/>
      <c r="WER58" s="76"/>
      <c r="WES58" s="76"/>
      <c r="WET58" s="76"/>
      <c r="WEU58" s="76"/>
      <c r="WEV58" s="76"/>
      <c r="WEW58" s="76"/>
      <c r="WEX58" s="76"/>
      <c r="WEY58" s="76"/>
      <c r="WEZ58" s="76"/>
      <c r="WFA58" s="76"/>
      <c r="WFB58" s="76"/>
      <c r="WFC58" s="76"/>
      <c r="WFD58" s="76"/>
      <c r="WFE58" s="76"/>
      <c r="WFF58" s="76"/>
      <c r="WFG58" s="76"/>
      <c r="WFH58" s="76"/>
      <c r="WFI58" s="76"/>
      <c r="WFJ58" s="76"/>
      <c r="WFK58" s="76"/>
      <c r="WFL58" s="76"/>
      <c r="WFM58" s="76"/>
      <c r="WFN58" s="76"/>
      <c r="WFO58" s="76"/>
      <c r="WFP58" s="76"/>
      <c r="WFQ58" s="76"/>
      <c r="WFR58" s="76"/>
      <c r="WFS58" s="76"/>
      <c r="WFT58" s="76"/>
      <c r="WFU58" s="76"/>
      <c r="WFV58" s="76"/>
      <c r="WFW58" s="76"/>
      <c r="WFX58" s="76"/>
      <c r="WFY58" s="76"/>
      <c r="WFZ58" s="76"/>
      <c r="WGA58" s="76"/>
      <c r="WGB58" s="76"/>
      <c r="WGC58" s="76"/>
      <c r="WGD58" s="76"/>
      <c r="WGE58" s="76"/>
      <c r="WGF58" s="76"/>
      <c r="WGG58" s="76"/>
      <c r="WGH58" s="76"/>
      <c r="WGI58" s="76"/>
      <c r="WGJ58" s="76"/>
      <c r="WGK58" s="76"/>
      <c r="WGL58" s="76"/>
      <c r="WGM58" s="76"/>
      <c r="WGN58" s="76"/>
      <c r="WGO58" s="76"/>
      <c r="WGP58" s="76"/>
      <c r="WGQ58" s="76"/>
      <c r="WGR58" s="76"/>
      <c r="WGS58" s="76"/>
      <c r="WGT58" s="76"/>
      <c r="WGU58" s="76"/>
      <c r="WGV58" s="76"/>
      <c r="WGW58" s="76"/>
      <c r="WGX58" s="76"/>
      <c r="WGY58" s="76"/>
      <c r="WGZ58" s="76"/>
      <c r="WHA58" s="76"/>
      <c r="WHB58" s="76"/>
      <c r="WHC58" s="76"/>
      <c r="WHD58" s="76"/>
      <c r="WHE58" s="76"/>
      <c r="WHF58" s="76"/>
      <c r="WHG58" s="76"/>
      <c r="WHH58" s="76"/>
      <c r="WHI58" s="76"/>
      <c r="WHJ58" s="76"/>
      <c r="WHK58" s="76"/>
      <c r="WHL58" s="76"/>
      <c r="WHM58" s="76"/>
      <c r="WHN58" s="76"/>
      <c r="WHO58" s="76"/>
      <c r="WHP58" s="76"/>
      <c r="WHQ58" s="76"/>
      <c r="WHR58" s="76"/>
      <c r="WHS58" s="76"/>
      <c r="WHT58" s="76"/>
      <c r="WHU58" s="76"/>
      <c r="WHV58" s="76"/>
      <c r="WHW58" s="76"/>
      <c r="WHX58" s="76"/>
      <c r="WHY58" s="76"/>
      <c r="WHZ58" s="76"/>
      <c r="WIA58" s="76"/>
      <c r="WIB58" s="76"/>
      <c r="WIC58" s="76"/>
      <c r="WID58" s="76"/>
      <c r="WIE58" s="76"/>
      <c r="WIF58" s="76"/>
      <c r="WIG58" s="76"/>
      <c r="WIH58" s="76"/>
      <c r="WII58" s="76"/>
      <c r="WIJ58" s="76"/>
      <c r="WIK58" s="76"/>
      <c r="WIL58" s="76"/>
      <c r="WIM58" s="76"/>
      <c r="WIN58" s="76"/>
      <c r="WIO58" s="76"/>
      <c r="WIP58" s="76"/>
      <c r="WIQ58" s="76"/>
      <c r="WIR58" s="76"/>
      <c r="WIS58" s="76"/>
      <c r="WIT58" s="76"/>
      <c r="WIU58" s="76"/>
      <c r="WIV58" s="76"/>
      <c r="WIW58" s="76"/>
      <c r="WIX58" s="76"/>
      <c r="WIY58" s="76"/>
      <c r="WIZ58" s="76"/>
      <c r="WJA58" s="76"/>
      <c r="WJB58" s="76"/>
      <c r="WJC58" s="76"/>
      <c r="WJD58" s="76"/>
      <c r="WJE58" s="76"/>
      <c r="WJF58" s="76"/>
      <c r="WJG58" s="76"/>
      <c r="WJH58" s="76"/>
      <c r="WJI58" s="76"/>
      <c r="WJJ58" s="76"/>
      <c r="WJK58" s="76"/>
      <c r="WJL58" s="76"/>
      <c r="WJM58" s="76"/>
      <c r="WJN58" s="76"/>
      <c r="WJO58" s="76"/>
      <c r="WJP58" s="76"/>
      <c r="WJQ58" s="76"/>
      <c r="WJR58" s="76"/>
      <c r="WJS58" s="76"/>
      <c r="WJT58" s="76"/>
      <c r="WJU58" s="76"/>
      <c r="WJV58" s="76"/>
      <c r="WJW58" s="76"/>
      <c r="WJX58" s="76"/>
      <c r="WJY58" s="76"/>
      <c r="WJZ58" s="76"/>
      <c r="WKA58" s="76"/>
      <c r="WKB58" s="76"/>
      <c r="WKC58" s="76"/>
      <c r="WKD58" s="76"/>
      <c r="WKE58" s="76"/>
      <c r="WKF58" s="76"/>
      <c r="WKG58" s="76"/>
      <c r="WKH58" s="76"/>
      <c r="WKI58" s="76"/>
      <c r="WKJ58" s="76"/>
      <c r="WKK58" s="76"/>
      <c r="WKL58" s="76"/>
      <c r="WKM58" s="76"/>
      <c r="WKN58" s="76"/>
      <c r="WKO58" s="76"/>
      <c r="WKP58" s="76"/>
      <c r="WKQ58" s="76"/>
      <c r="WKR58" s="76"/>
      <c r="WKS58" s="76"/>
      <c r="WKT58" s="76"/>
      <c r="WKU58" s="76"/>
      <c r="WKV58" s="76"/>
      <c r="WKW58" s="76"/>
      <c r="WKX58" s="76"/>
      <c r="WKY58" s="76"/>
      <c r="WKZ58" s="76"/>
      <c r="WLA58" s="76"/>
      <c r="WLB58" s="76"/>
      <c r="WLC58" s="76"/>
      <c r="WLD58" s="76"/>
      <c r="WLE58" s="76"/>
      <c r="WLF58" s="76"/>
      <c r="WLG58" s="76"/>
      <c r="WLH58" s="76"/>
      <c r="WLI58" s="76"/>
      <c r="WLJ58" s="76"/>
      <c r="WLK58" s="76"/>
      <c r="WLL58" s="76"/>
      <c r="WLM58" s="76"/>
      <c r="WLN58" s="76"/>
      <c r="WLO58" s="76"/>
      <c r="WLP58" s="76"/>
      <c r="WLQ58" s="76"/>
      <c r="WLR58" s="76"/>
      <c r="WLS58" s="76"/>
      <c r="WLT58" s="76"/>
      <c r="WLU58" s="76"/>
      <c r="WLV58" s="76"/>
      <c r="WLW58" s="76"/>
      <c r="WLX58" s="76"/>
      <c r="WLY58" s="76"/>
      <c r="WLZ58" s="76"/>
      <c r="WMA58" s="76"/>
      <c r="WMB58" s="76"/>
      <c r="WMC58" s="76"/>
      <c r="WMD58" s="76"/>
      <c r="WME58" s="76"/>
      <c r="WMF58" s="76"/>
      <c r="WMG58" s="76"/>
      <c r="WMH58" s="76"/>
      <c r="WMI58" s="76"/>
      <c r="WMJ58" s="76"/>
      <c r="WMK58" s="76"/>
      <c r="WML58" s="76"/>
      <c r="WMM58" s="76"/>
      <c r="WMN58" s="76"/>
      <c r="WMO58" s="76"/>
      <c r="WMP58" s="76"/>
      <c r="WMQ58" s="76"/>
      <c r="WMR58" s="76"/>
      <c r="WMS58" s="76"/>
      <c r="WMT58" s="76"/>
      <c r="WMU58" s="76"/>
      <c r="WMV58" s="76"/>
      <c r="WMW58" s="76"/>
      <c r="WMX58" s="76"/>
      <c r="WMY58" s="76"/>
      <c r="WMZ58" s="76"/>
      <c r="WNA58" s="76"/>
      <c r="WNB58" s="76"/>
      <c r="WNC58" s="76"/>
      <c r="WND58" s="76"/>
      <c r="WNE58" s="76"/>
      <c r="WNF58" s="76"/>
      <c r="WNG58" s="76"/>
      <c r="WNH58" s="76"/>
      <c r="WNI58" s="76"/>
      <c r="WNJ58" s="76"/>
      <c r="WNK58" s="76"/>
      <c r="WNL58" s="76"/>
      <c r="WNM58" s="76"/>
      <c r="WNN58" s="76"/>
      <c r="WNO58" s="76"/>
      <c r="WNP58" s="76"/>
      <c r="WNQ58" s="76"/>
      <c r="WNR58" s="76"/>
      <c r="WNS58" s="76"/>
      <c r="WNT58" s="76"/>
      <c r="WNU58" s="76"/>
      <c r="WNV58" s="76"/>
      <c r="WNW58" s="76"/>
      <c r="WNX58" s="76"/>
      <c r="WNY58" s="76"/>
      <c r="WNZ58" s="76"/>
      <c r="WOA58" s="76"/>
      <c r="WOB58" s="76"/>
      <c r="WOC58" s="76"/>
      <c r="WOD58" s="76"/>
      <c r="WOE58" s="76"/>
      <c r="WOF58" s="76"/>
      <c r="WOG58" s="76"/>
      <c r="WOH58" s="76"/>
      <c r="WOI58" s="76"/>
      <c r="WOJ58" s="76"/>
      <c r="WOK58" s="76"/>
      <c r="WOL58" s="76"/>
      <c r="WOM58" s="76"/>
      <c r="WON58" s="76"/>
      <c r="WOO58" s="76"/>
      <c r="WOP58" s="76"/>
      <c r="WOQ58" s="76"/>
      <c r="WOR58" s="76"/>
      <c r="WOS58" s="76"/>
      <c r="WOT58" s="76"/>
      <c r="WOU58" s="76"/>
      <c r="WOV58" s="76"/>
      <c r="WOW58" s="76"/>
      <c r="WOX58" s="76"/>
      <c r="WOY58" s="76"/>
      <c r="WOZ58" s="76"/>
      <c r="WPA58" s="76"/>
      <c r="WPB58" s="76"/>
      <c r="WPC58" s="76"/>
      <c r="WPD58" s="76"/>
      <c r="WPE58" s="76"/>
      <c r="WPF58" s="76"/>
      <c r="WPG58" s="76"/>
      <c r="WPH58" s="76"/>
      <c r="WPI58" s="76"/>
      <c r="WPJ58" s="76"/>
      <c r="WPK58" s="76"/>
      <c r="WPL58" s="76"/>
      <c r="WPM58" s="76"/>
      <c r="WPN58" s="76"/>
      <c r="WPO58" s="76"/>
      <c r="WPP58" s="76"/>
      <c r="WPQ58" s="76"/>
      <c r="WPR58" s="76"/>
      <c r="WPS58" s="76"/>
      <c r="WPT58" s="76"/>
      <c r="WPU58" s="76"/>
      <c r="WPV58" s="76"/>
      <c r="WPW58" s="76"/>
      <c r="WPX58" s="76"/>
      <c r="WPY58" s="76"/>
      <c r="WPZ58" s="76"/>
      <c r="WQA58" s="76"/>
      <c r="WQB58" s="76"/>
      <c r="WQC58" s="76"/>
      <c r="WQD58" s="76"/>
      <c r="WQE58" s="76"/>
      <c r="WQF58" s="76"/>
      <c r="WQG58" s="76"/>
      <c r="WQH58" s="76"/>
      <c r="WQI58" s="76"/>
      <c r="WQJ58" s="76"/>
      <c r="WQK58" s="76"/>
      <c r="WQL58" s="76"/>
      <c r="WQM58" s="76"/>
      <c r="WQN58" s="76"/>
      <c r="WQO58" s="76"/>
      <c r="WQP58" s="76"/>
      <c r="WQQ58" s="76"/>
      <c r="WQR58" s="76"/>
      <c r="WQS58" s="76"/>
      <c r="WQT58" s="76"/>
      <c r="WQU58" s="76"/>
      <c r="WQV58" s="76"/>
      <c r="WQW58" s="76"/>
      <c r="WQX58" s="76"/>
      <c r="WQY58" s="76"/>
      <c r="WQZ58" s="76"/>
      <c r="WRA58" s="76"/>
      <c r="WRB58" s="76"/>
      <c r="WRC58" s="76"/>
      <c r="WRD58" s="76"/>
      <c r="WRE58" s="76"/>
      <c r="WRF58" s="76"/>
      <c r="WRG58" s="76"/>
      <c r="WRH58" s="76"/>
      <c r="WRI58" s="76"/>
      <c r="WRJ58" s="76"/>
      <c r="WRK58" s="76"/>
      <c r="WRL58" s="76"/>
      <c r="WRM58" s="76"/>
      <c r="WRN58" s="76"/>
      <c r="WRO58" s="76"/>
      <c r="WRP58" s="76"/>
      <c r="WRQ58" s="76"/>
      <c r="WRR58" s="76"/>
      <c r="WRS58" s="76"/>
      <c r="WRT58" s="76"/>
      <c r="WRU58" s="76"/>
      <c r="WRV58" s="76"/>
      <c r="WRW58" s="76"/>
      <c r="WRX58" s="76"/>
      <c r="WRY58" s="76"/>
      <c r="WRZ58" s="76"/>
      <c r="WSA58" s="76"/>
      <c r="WSB58" s="76"/>
      <c r="WSC58" s="76"/>
      <c r="WSD58" s="76"/>
      <c r="WSE58" s="76"/>
      <c r="WSF58" s="76"/>
      <c r="WSG58" s="76"/>
      <c r="WSH58" s="76"/>
      <c r="WSI58" s="76"/>
      <c r="WSJ58" s="76"/>
      <c r="WSK58" s="76"/>
      <c r="WSL58" s="76"/>
      <c r="WSM58" s="76"/>
      <c r="WSN58" s="76"/>
      <c r="WSO58" s="76"/>
      <c r="WSP58" s="76"/>
      <c r="WSQ58" s="76"/>
      <c r="WSR58" s="76"/>
      <c r="WSS58" s="76"/>
      <c r="WST58" s="76"/>
      <c r="WSU58" s="76"/>
      <c r="WSV58" s="76"/>
      <c r="WSW58" s="76"/>
      <c r="WSX58" s="76"/>
      <c r="WSY58" s="76"/>
      <c r="WSZ58" s="76"/>
      <c r="WTA58" s="76"/>
      <c r="WTB58" s="76"/>
      <c r="WTC58" s="76"/>
      <c r="WTD58" s="76"/>
      <c r="WTE58" s="76"/>
      <c r="WTF58" s="76"/>
      <c r="WTG58" s="76"/>
      <c r="WTH58" s="76"/>
      <c r="WTI58" s="76"/>
      <c r="WTJ58" s="76"/>
      <c r="WTK58" s="76"/>
      <c r="WTL58" s="76"/>
      <c r="WTM58" s="76"/>
      <c r="WTN58" s="76"/>
      <c r="WTO58" s="76"/>
      <c r="WTP58" s="76"/>
      <c r="WTQ58" s="76"/>
      <c r="WTR58" s="76"/>
      <c r="WTS58" s="76"/>
      <c r="WTT58" s="76"/>
      <c r="WTU58" s="76"/>
      <c r="WTV58" s="76"/>
      <c r="WTW58" s="76"/>
      <c r="WTX58" s="76"/>
      <c r="WTY58" s="76"/>
      <c r="WTZ58" s="76"/>
      <c r="WUA58" s="76"/>
      <c r="WUB58" s="76"/>
      <c r="WUC58" s="76"/>
      <c r="WUD58" s="76"/>
      <c r="WUE58" s="76"/>
      <c r="WUF58" s="76"/>
      <c r="WUG58" s="76"/>
      <c r="WUH58" s="76"/>
      <c r="WUI58" s="76"/>
      <c r="WUJ58" s="76"/>
      <c r="WUK58" s="76"/>
      <c r="WUL58" s="76"/>
      <c r="WUM58" s="76"/>
      <c r="WUN58" s="76"/>
      <c r="WUO58" s="76"/>
      <c r="WUP58" s="76"/>
      <c r="WUQ58" s="76"/>
      <c r="WUR58" s="76"/>
      <c r="WUS58" s="76"/>
      <c r="WUT58" s="76"/>
      <c r="WUU58" s="76"/>
      <c r="WUV58" s="76"/>
      <c r="WUW58" s="76"/>
      <c r="WUX58" s="76"/>
      <c r="WUY58" s="76"/>
      <c r="WUZ58" s="76"/>
      <c r="WVA58" s="76"/>
      <c r="WVB58" s="76"/>
      <c r="WVC58" s="76"/>
      <c r="WVD58" s="76"/>
      <c r="WVE58" s="76"/>
      <c r="WVF58" s="76"/>
      <c r="WVG58" s="76"/>
      <c r="WVH58" s="76"/>
      <c r="WVI58" s="76"/>
      <c r="WVJ58" s="76"/>
      <c r="WVK58" s="76"/>
      <c r="WVL58" s="76"/>
      <c r="WVM58" s="76"/>
      <c r="WVN58" s="76"/>
      <c r="WVO58" s="76"/>
      <c r="WVP58" s="76"/>
      <c r="WVQ58" s="76"/>
      <c r="WVR58" s="76"/>
      <c r="WVS58" s="76"/>
      <c r="WVT58" s="76"/>
      <c r="WVU58" s="76"/>
      <c r="WVV58" s="76"/>
      <c r="WVW58" s="76"/>
      <c r="WVX58" s="76"/>
      <c r="WVY58" s="76"/>
      <c r="WVZ58" s="76"/>
      <c r="WWA58" s="76"/>
      <c r="WWB58" s="76"/>
      <c r="WWC58" s="76"/>
      <c r="WWD58" s="76"/>
      <c r="WWE58" s="76"/>
      <c r="WWF58" s="76"/>
      <c r="WWG58" s="76"/>
      <c r="WWH58" s="76"/>
      <c r="WWI58" s="76"/>
      <c r="WWJ58" s="76"/>
      <c r="WWK58" s="76"/>
      <c r="WWL58" s="76"/>
      <c r="WWM58" s="76"/>
      <c r="WWN58" s="76"/>
      <c r="WWO58" s="76"/>
      <c r="WWP58" s="76"/>
      <c r="WWQ58" s="76"/>
      <c r="WWR58" s="76"/>
      <c r="WWS58" s="76"/>
      <c r="WWT58" s="76"/>
      <c r="WWU58" s="76"/>
      <c r="WWV58" s="76"/>
      <c r="WWW58" s="76"/>
      <c r="WWX58" s="76"/>
      <c r="WWY58" s="76"/>
      <c r="WWZ58" s="76"/>
      <c r="WXA58" s="76"/>
    </row>
    <row r="59" spans="1:16173" s="77" customFormat="1" ht="34" customHeight="1" x14ac:dyDescent="0.55000000000000004">
      <c r="A59" s="76"/>
      <c r="B59" s="76"/>
      <c r="C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  <c r="CC59" s="76"/>
      <c r="CD59" s="76"/>
      <c r="CE59" s="76"/>
      <c r="CF59" s="76"/>
      <c r="CG59" s="76"/>
      <c r="CH59" s="76"/>
      <c r="CI59" s="76"/>
      <c r="CJ59" s="76"/>
      <c r="CK59" s="76"/>
      <c r="CL59" s="76"/>
      <c r="CM59" s="76"/>
      <c r="CN59" s="76"/>
      <c r="CO59" s="76"/>
      <c r="CP59" s="76"/>
      <c r="CQ59" s="76"/>
      <c r="CR59" s="76"/>
      <c r="CS59" s="76"/>
      <c r="CT59" s="76"/>
      <c r="CU59" s="76"/>
      <c r="CV59" s="76"/>
      <c r="CW59" s="76"/>
      <c r="CX59" s="76"/>
      <c r="CY59" s="76"/>
      <c r="CZ59" s="76"/>
      <c r="DA59" s="76"/>
      <c r="DB59" s="76"/>
      <c r="DC59" s="76"/>
      <c r="DD59" s="76"/>
      <c r="DE59" s="76"/>
      <c r="DF59" s="76"/>
      <c r="DG59" s="76"/>
      <c r="DH59" s="76"/>
      <c r="DI59" s="76"/>
      <c r="DJ59" s="76"/>
      <c r="DK59" s="76"/>
      <c r="DL59" s="76"/>
      <c r="DM59" s="76"/>
      <c r="DN59" s="76"/>
      <c r="DO59" s="76"/>
      <c r="DP59" s="76"/>
      <c r="DQ59" s="76"/>
      <c r="DR59" s="76"/>
      <c r="DS59" s="76"/>
      <c r="DT59" s="76"/>
      <c r="DU59" s="76"/>
      <c r="DV59" s="76"/>
      <c r="DW59" s="76"/>
      <c r="DX59" s="76"/>
      <c r="DY59" s="76"/>
      <c r="DZ59" s="76"/>
      <c r="EA59" s="76"/>
      <c r="EB59" s="76"/>
      <c r="EC59" s="76"/>
      <c r="ED59" s="76"/>
      <c r="EE59" s="76"/>
      <c r="EF59" s="76"/>
      <c r="EG59" s="76"/>
      <c r="EH59" s="76"/>
      <c r="EI59" s="76"/>
      <c r="EJ59" s="76"/>
      <c r="EK59" s="76"/>
      <c r="EL59" s="76"/>
      <c r="EM59" s="76"/>
      <c r="EN59" s="76"/>
      <c r="EO59" s="76"/>
      <c r="EP59" s="76"/>
      <c r="EQ59" s="76"/>
      <c r="ER59" s="76"/>
      <c r="ES59" s="76"/>
      <c r="ET59" s="76"/>
      <c r="EU59" s="76"/>
      <c r="EV59" s="76"/>
      <c r="EW59" s="76"/>
      <c r="EX59" s="76"/>
      <c r="EY59" s="76"/>
      <c r="EZ59" s="76"/>
      <c r="FA59" s="76"/>
      <c r="FB59" s="76"/>
      <c r="FC59" s="76"/>
      <c r="FD59" s="76"/>
      <c r="FE59" s="76"/>
      <c r="FF59" s="76"/>
      <c r="FG59" s="76"/>
      <c r="FH59" s="76"/>
      <c r="FI59" s="76"/>
      <c r="FJ59" s="76"/>
      <c r="FK59" s="76"/>
      <c r="FL59" s="76"/>
      <c r="FM59" s="76"/>
      <c r="FN59" s="76"/>
      <c r="FO59" s="76"/>
      <c r="FP59" s="76"/>
      <c r="FQ59" s="76"/>
      <c r="FR59" s="76"/>
      <c r="FS59" s="76"/>
      <c r="FT59" s="76"/>
      <c r="FU59" s="76"/>
      <c r="FV59" s="76"/>
      <c r="FW59" s="76"/>
      <c r="FX59" s="76"/>
      <c r="FY59" s="76"/>
      <c r="FZ59" s="76"/>
      <c r="GA59" s="76"/>
      <c r="GB59" s="76"/>
      <c r="GC59" s="76"/>
      <c r="GD59" s="76"/>
      <c r="GE59" s="76"/>
      <c r="GF59" s="76"/>
      <c r="GG59" s="76"/>
      <c r="GH59" s="76"/>
      <c r="GI59" s="76"/>
      <c r="GJ59" s="76"/>
      <c r="GK59" s="76"/>
      <c r="GL59" s="76"/>
      <c r="GM59" s="76"/>
      <c r="GN59" s="76"/>
      <c r="GO59" s="76"/>
      <c r="GP59" s="76"/>
      <c r="GQ59" s="76"/>
      <c r="GR59" s="76"/>
      <c r="GS59" s="76"/>
      <c r="GT59" s="76"/>
      <c r="GU59" s="76"/>
      <c r="GV59" s="76"/>
      <c r="GW59" s="76"/>
      <c r="GX59" s="76"/>
      <c r="GY59" s="76"/>
      <c r="GZ59" s="76"/>
      <c r="HA59" s="76"/>
      <c r="HB59" s="76"/>
      <c r="HC59" s="76"/>
      <c r="HD59" s="76"/>
      <c r="HE59" s="76"/>
      <c r="HF59" s="76"/>
      <c r="HG59" s="76"/>
      <c r="HH59" s="76"/>
      <c r="HI59" s="76"/>
      <c r="HJ59" s="76"/>
      <c r="HK59" s="76"/>
      <c r="HL59" s="76"/>
      <c r="HM59" s="76"/>
      <c r="HN59" s="76"/>
      <c r="HO59" s="76"/>
      <c r="HP59" s="76"/>
      <c r="HQ59" s="76"/>
      <c r="HR59" s="76"/>
      <c r="HS59" s="76"/>
      <c r="HT59" s="76"/>
      <c r="HU59" s="76"/>
      <c r="HV59" s="76"/>
      <c r="HW59" s="76"/>
      <c r="HX59" s="76"/>
      <c r="HY59" s="76"/>
      <c r="HZ59" s="76"/>
      <c r="IA59" s="76"/>
      <c r="IB59" s="76"/>
      <c r="IC59" s="76"/>
      <c r="ID59" s="76"/>
      <c r="IE59" s="76"/>
      <c r="IF59" s="76"/>
      <c r="IG59" s="76"/>
      <c r="IH59" s="76"/>
      <c r="II59" s="76"/>
      <c r="IJ59" s="76"/>
      <c r="IK59" s="76"/>
      <c r="IL59" s="76"/>
      <c r="IM59" s="76"/>
      <c r="IN59" s="76"/>
      <c r="IO59" s="76"/>
      <c r="IP59" s="76"/>
      <c r="IQ59" s="76"/>
      <c r="IR59" s="76"/>
      <c r="IS59" s="76"/>
      <c r="IT59" s="76"/>
      <c r="IU59" s="76"/>
      <c r="IV59" s="76"/>
      <c r="IW59" s="76"/>
      <c r="IX59" s="76"/>
      <c r="IY59" s="76"/>
      <c r="IZ59" s="76"/>
      <c r="JA59" s="76"/>
      <c r="JB59" s="76"/>
      <c r="JC59" s="76"/>
      <c r="JD59" s="76"/>
      <c r="JE59" s="76"/>
      <c r="JF59" s="76"/>
      <c r="JG59" s="76"/>
      <c r="JH59" s="76"/>
      <c r="JI59" s="76"/>
      <c r="JJ59" s="76"/>
      <c r="JK59" s="76"/>
      <c r="JL59" s="76"/>
      <c r="JM59" s="76"/>
      <c r="JN59" s="76"/>
      <c r="JO59" s="76"/>
      <c r="JP59" s="76"/>
      <c r="JQ59" s="76"/>
      <c r="JR59" s="76"/>
      <c r="JS59" s="76"/>
      <c r="JT59" s="76"/>
      <c r="JU59" s="76"/>
      <c r="JV59" s="76"/>
      <c r="JW59" s="76"/>
      <c r="JX59" s="76"/>
      <c r="JY59" s="76"/>
      <c r="JZ59" s="76"/>
      <c r="KA59" s="76"/>
      <c r="KB59" s="76"/>
      <c r="KC59" s="76"/>
      <c r="KD59" s="76"/>
      <c r="KE59" s="76"/>
      <c r="KF59" s="76"/>
      <c r="KG59" s="76"/>
      <c r="KH59" s="76"/>
      <c r="KI59" s="76"/>
      <c r="KJ59" s="76"/>
      <c r="KK59" s="76"/>
      <c r="KL59" s="76"/>
      <c r="KM59" s="76"/>
      <c r="KN59" s="76"/>
      <c r="KO59" s="76"/>
      <c r="KP59" s="76"/>
      <c r="KQ59" s="76"/>
      <c r="KR59" s="76"/>
      <c r="KS59" s="76"/>
      <c r="KT59" s="76"/>
      <c r="KU59" s="76"/>
      <c r="KV59" s="76"/>
      <c r="KW59" s="76"/>
      <c r="KX59" s="76"/>
      <c r="KY59" s="76"/>
      <c r="KZ59" s="76"/>
      <c r="LA59" s="76"/>
      <c r="LB59" s="76"/>
      <c r="LC59" s="76"/>
      <c r="LD59" s="76"/>
      <c r="LE59" s="76"/>
      <c r="LF59" s="76"/>
      <c r="LG59" s="76"/>
      <c r="LH59" s="76"/>
      <c r="LI59" s="76"/>
      <c r="LJ59" s="76"/>
      <c r="LK59" s="76"/>
      <c r="LL59" s="76"/>
      <c r="LM59" s="76"/>
      <c r="LN59" s="76"/>
      <c r="LO59" s="76"/>
      <c r="LP59" s="76"/>
      <c r="LQ59" s="76"/>
      <c r="LR59" s="76"/>
      <c r="LS59" s="76"/>
      <c r="LT59" s="76"/>
      <c r="LU59" s="76"/>
      <c r="LV59" s="76"/>
      <c r="LW59" s="76"/>
      <c r="LX59" s="76"/>
      <c r="LY59" s="76"/>
      <c r="LZ59" s="76"/>
      <c r="MA59" s="76"/>
      <c r="MB59" s="76"/>
      <c r="MC59" s="76"/>
      <c r="MD59" s="76"/>
      <c r="ME59" s="76"/>
      <c r="MF59" s="76"/>
      <c r="MG59" s="76"/>
      <c r="MH59" s="76"/>
      <c r="MI59" s="76"/>
      <c r="MJ59" s="76"/>
      <c r="MK59" s="76"/>
      <c r="ML59" s="76"/>
      <c r="MM59" s="76"/>
      <c r="MN59" s="76"/>
      <c r="MO59" s="76"/>
      <c r="MP59" s="76"/>
      <c r="MQ59" s="76"/>
      <c r="MR59" s="76"/>
      <c r="MS59" s="76"/>
      <c r="MT59" s="76"/>
      <c r="MU59" s="76"/>
      <c r="MV59" s="76"/>
      <c r="MW59" s="76"/>
      <c r="MX59" s="76"/>
      <c r="MY59" s="76"/>
      <c r="MZ59" s="76"/>
      <c r="NA59" s="76"/>
      <c r="NB59" s="76"/>
      <c r="NC59" s="76"/>
      <c r="ND59" s="76"/>
      <c r="NE59" s="76"/>
      <c r="NF59" s="76"/>
      <c r="NG59" s="76"/>
      <c r="NH59" s="76"/>
      <c r="NI59" s="76"/>
      <c r="NJ59" s="76"/>
      <c r="NK59" s="76"/>
      <c r="NL59" s="76"/>
      <c r="NM59" s="76"/>
      <c r="NN59" s="76"/>
      <c r="NO59" s="76"/>
      <c r="NP59" s="76"/>
      <c r="NQ59" s="76"/>
      <c r="NR59" s="76"/>
      <c r="NS59" s="76"/>
      <c r="NT59" s="76"/>
      <c r="NU59" s="76"/>
      <c r="NV59" s="76"/>
      <c r="NW59" s="76"/>
      <c r="NX59" s="76"/>
      <c r="NY59" s="76"/>
      <c r="NZ59" s="76"/>
      <c r="OA59" s="76"/>
      <c r="OB59" s="76"/>
      <c r="OC59" s="76"/>
      <c r="OD59" s="76"/>
      <c r="OE59" s="76"/>
      <c r="OF59" s="76"/>
      <c r="OG59" s="76"/>
      <c r="OH59" s="76"/>
      <c r="OI59" s="76"/>
      <c r="OJ59" s="76"/>
      <c r="OK59" s="76"/>
      <c r="OL59" s="76"/>
      <c r="OM59" s="76"/>
      <c r="ON59" s="76"/>
      <c r="OO59" s="76"/>
      <c r="OP59" s="76"/>
      <c r="OQ59" s="76"/>
      <c r="OR59" s="76"/>
      <c r="OS59" s="76"/>
      <c r="OT59" s="76"/>
      <c r="OU59" s="76"/>
      <c r="OV59" s="76"/>
      <c r="OW59" s="76"/>
      <c r="OX59" s="76"/>
      <c r="OY59" s="76"/>
      <c r="OZ59" s="76"/>
      <c r="PA59" s="76"/>
      <c r="PB59" s="76"/>
      <c r="PC59" s="76"/>
      <c r="PD59" s="76"/>
      <c r="PE59" s="76"/>
      <c r="PF59" s="76"/>
      <c r="PG59" s="76"/>
      <c r="PH59" s="76"/>
      <c r="PI59" s="76"/>
      <c r="PJ59" s="76"/>
      <c r="PK59" s="76"/>
      <c r="PL59" s="76"/>
      <c r="PM59" s="76"/>
      <c r="PN59" s="76"/>
      <c r="PO59" s="76"/>
      <c r="PP59" s="76"/>
      <c r="PQ59" s="76"/>
      <c r="PR59" s="76"/>
      <c r="PS59" s="76"/>
      <c r="PT59" s="76"/>
      <c r="PU59" s="76"/>
      <c r="PV59" s="76"/>
      <c r="PW59" s="76"/>
      <c r="PX59" s="76"/>
      <c r="PY59" s="76"/>
      <c r="PZ59" s="76"/>
      <c r="QA59" s="76"/>
      <c r="QB59" s="76"/>
      <c r="QC59" s="76"/>
      <c r="QD59" s="76"/>
      <c r="QE59" s="76"/>
      <c r="QF59" s="76"/>
      <c r="QG59" s="76"/>
      <c r="QH59" s="76"/>
      <c r="QI59" s="76"/>
      <c r="QJ59" s="76"/>
      <c r="QK59" s="76"/>
      <c r="QL59" s="76"/>
      <c r="QM59" s="76"/>
      <c r="QN59" s="76"/>
      <c r="QO59" s="76"/>
      <c r="QP59" s="76"/>
      <c r="QQ59" s="76"/>
      <c r="QR59" s="76"/>
      <c r="QS59" s="76"/>
      <c r="QT59" s="76"/>
      <c r="QU59" s="76"/>
      <c r="QV59" s="76"/>
      <c r="QW59" s="76"/>
      <c r="QX59" s="76"/>
      <c r="QY59" s="76"/>
      <c r="QZ59" s="76"/>
      <c r="RA59" s="76"/>
      <c r="RB59" s="76"/>
      <c r="RC59" s="76"/>
      <c r="RD59" s="76"/>
      <c r="RE59" s="76"/>
      <c r="RF59" s="76"/>
      <c r="RG59" s="76"/>
      <c r="RH59" s="76"/>
      <c r="RI59" s="76"/>
      <c r="RJ59" s="76"/>
      <c r="RK59" s="76"/>
      <c r="RL59" s="76"/>
      <c r="RM59" s="76"/>
      <c r="RN59" s="76"/>
      <c r="RO59" s="76"/>
      <c r="RP59" s="76"/>
      <c r="RQ59" s="76"/>
      <c r="RR59" s="76"/>
      <c r="RS59" s="76"/>
      <c r="RT59" s="76"/>
      <c r="RU59" s="76"/>
      <c r="RV59" s="76"/>
      <c r="RW59" s="76"/>
      <c r="RX59" s="76"/>
      <c r="RY59" s="76"/>
      <c r="RZ59" s="76"/>
      <c r="SA59" s="76"/>
      <c r="SB59" s="76"/>
      <c r="SC59" s="76"/>
      <c r="SD59" s="76"/>
      <c r="SE59" s="76"/>
      <c r="SF59" s="76"/>
      <c r="SG59" s="76"/>
      <c r="SH59" s="76"/>
      <c r="SI59" s="76"/>
      <c r="SJ59" s="76"/>
      <c r="SK59" s="76"/>
      <c r="SL59" s="76"/>
      <c r="SM59" s="76"/>
      <c r="SN59" s="76"/>
      <c r="SO59" s="76"/>
      <c r="SP59" s="76"/>
      <c r="SQ59" s="76"/>
      <c r="SR59" s="76"/>
      <c r="SS59" s="76"/>
      <c r="ST59" s="76"/>
      <c r="SU59" s="76"/>
      <c r="SV59" s="76"/>
      <c r="SW59" s="76"/>
      <c r="SX59" s="76"/>
      <c r="SY59" s="76"/>
      <c r="SZ59" s="76"/>
      <c r="TA59" s="76"/>
      <c r="TB59" s="76"/>
      <c r="TC59" s="76"/>
      <c r="TD59" s="76"/>
      <c r="TE59" s="76"/>
      <c r="TF59" s="76"/>
      <c r="TG59" s="76"/>
      <c r="TH59" s="76"/>
      <c r="TI59" s="76"/>
      <c r="TJ59" s="76"/>
      <c r="TK59" s="76"/>
      <c r="TL59" s="76"/>
      <c r="TM59" s="76"/>
      <c r="TN59" s="76"/>
      <c r="TO59" s="76"/>
      <c r="TP59" s="76"/>
      <c r="TQ59" s="76"/>
      <c r="TR59" s="76"/>
      <c r="TS59" s="76"/>
      <c r="TT59" s="76"/>
      <c r="TU59" s="76"/>
      <c r="TV59" s="76"/>
      <c r="TW59" s="76"/>
      <c r="TX59" s="76"/>
      <c r="TY59" s="76"/>
      <c r="TZ59" s="76"/>
      <c r="UA59" s="76"/>
      <c r="UB59" s="76"/>
      <c r="UC59" s="76"/>
      <c r="UD59" s="76"/>
      <c r="UE59" s="76"/>
      <c r="UF59" s="76"/>
      <c r="UG59" s="76"/>
      <c r="UH59" s="76"/>
      <c r="UI59" s="76"/>
      <c r="UJ59" s="76"/>
      <c r="UK59" s="76"/>
      <c r="UL59" s="76"/>
      <c r="UM59" s="76"/>
      <c r="UN59" s="76"/>
      <c r="UO59" s="76"/>
      <c r="UP59" s="76"/>
      <c r="UQ59" s="76"/>
      <c r="UR59" s="76"/>
      <c r="US59" s="76"/>
      <c r="UT59" s="76"/>
      <c r="UU59" s="76"/>
      <c r="UV59" s="76"/>
      <c r="UW59" s="76"/>
      <c r="UX59" s="76"/>
      <c r="UY59" s="76"/>
      <c r="UZ59" s="76"/>
      <c r="VA59" s="76"/>
      <c r="VB59" s="76"/>
      <c r="VC59" s="76"/>
      <c r="VD59" s="76"/>
      <c r="VE59" s="76"/>
      <c r="VF59" s="76"/>
      <c r="VG59" s="76"/>
      <c r="VH59" s="76"/>
      <c r="VI59" s="76"/>
      <c r="VJ59" s="76"/>
      <c r="VK59" s="76"/>
      <c r="VL59" s="76"/>
      <c r="VM59" s="76"/>
      <c r="VN59" s="76"/>
      <c r="VO59" s="76"/>
      <c r="VP59" s="76"/>
      <c r="VQ59" s="76"/>
      <c r="VR59" s="76"/>
      <c r="VS59" s="76"/>
      <c r="VT59" s="76"/>
      <c r="VU59" s="76"/>
      <c r="VV59" s="76"/>
      <c r="VW59" s="76"/>
      <c r="VX59" s="76"/>
      <c r="VY59" s="76"/>
      <c r="VZ59" s="76"/>
      <c r="WA59" s="76"/>
      <c r="WB59" s="76"/>
      <c r="WC59" s="76"/>
      <c r="WD59" s="76"/>
      <c r="WE59" s="76"/>
      <c r="WF59" s="76"/>
      <c r="WG59" s="76"/>
      <c r="WH59" s="76"/>
      <c r="WI59" s="76"/>
      <c r="WJ59" s="76"/>
      <c r="WK59" s="76"/>
      <c r="WL59" s="76"/>
      <c r="WM59" s="76"/>
      <c r="WN59" s="76"/>
      <c r="WO59" s="76"/>
      <c r="WP59" s="76"/>
      <c r="WQ59" s="76"/>
      <c r="WR59" s="76"/>
      <c r="WS59" s="76"/>
      <c r="WT59" s="76"/>
      <c r="WU59" s="76"/>
      <c r="WV59" s="76"/>
      <c r="WW59" s="76"/>
      <c r="WX59" s="76"/>
      <c r="WY59" s="76"/>
      <c r="WZ59" s="76"/>
      <c r="XA59" s="76"/>
      <c r="XB59" s="76"/>
      <c r="XC59" s="76"/>
      <c r="XD59" s="76"/>
      <c r="XE59" s="76"/>
      <c r="XF59" s="76"/>
      <c r="XG59" s="76"/>
      <c r="XH59" s="76"/>
      <c r="XI59" s="76"/>
      <c r="XJ59" s="76"/>
      <c r="XK59" s="76"/>
      <c r="XL59" s="76"/>
      <c r="XM59" s="76"/>
      <c r="XN59" s="76"/>
      <c r="XO59" s="76"/>
      <c r="XP59" s="76"/>
      <c r="XQ59" s="76"/>
      <c r="XR59" s="76"/>
      <c r="XS59" s="76"/>
      <c r="XT59" s="76"/>
      <c r="XU59" s="76"/>
      <c r="XV59" s="76"/>
      <c r="XW59" s="76"/>
      <c r="XX59" s="76"/>
      <c r="XY59" s="76"/>
      <c r="XZ59" s="76"/>
      <c r="YA59" s="76"/>
      <c r="YB59" s="76"/>
      <c r="YC59" s="76"/>
      <c r="YD59" s="76"/>
      <c r="YE59" s="76"/>
      <c r="YF59" s="76"/>
      <c r="YG59" s="76"/>
      <c r="YH59" s="76"/>
      <c r="YI59" s="76"/>
      <c r="YJ59" s="76"/>
      <c r="YK59" s="76"/>
      <c r="YL59" s="76"/>
      <c r="YM59" s="76"/>
      <c r="YN59" s="76"/>
      <c r="YO59" s="76"/>
      <c r="YP59" s="76"/>
      <c r="YQ59" s="76"/>
      <c r="YR59" s="76"/>
      <c r="YS59" s="76"/>
      <c r="YT59" s="76"/>
      <c r="YU59" s="76"/>
      <c r="YV59" s="76"/>
      <c r="YW59" s="76"/>
      <c r="YX59" s="76"/>
      <c r="YY59" s="76"/>
      <c r="YZ59" s="76"/>
      <c r="ZA59" s="76"/>
      <c r="ZB59" s="76"/>
      <c r="ZC59" s="76"/>
      <c r="ZD59" s="76"/>
      <c r="ZE59" s="76"/>
      <c r="ZF59" s="76"/>
      <c r="ZG59" s="76"/>
      <c r="ZH59" s="76"/>
      <c r="ZI59" s="76"/>
      <c r="ZJ59" s="76"/>
      <c r="ZK59" s="76"/>
      <c r="ZL59" s="76"/>
      <c r="ZM59" s="76"/>
      <c r="ZN59" s="76"/>
      <c r="ZO59" s="76"/>
      <c r="ZP59" s="76"/>
      <c r="ZQ59" s="76"/>
      <c r="ZR59" s="76"/>
      <c r="ZS59" s="76"/>
      <c r="ZT59" s="76"/>
      <c r="ZU59" s="76"/>
      <c r="ZV59" s="76"/>
      <c r="ZW59" s="76"/>
      <c r="ZX59" s="76"/>
      <c r="ZY59" s="76"/>
      <c r="ZZ59" s="76"/>
      <c r="AAA59" s="76"/>
      <c r="AAB59" s="76"/>
      <c r="AAC59" s="76"/>
      <c r="AAD59" s="76"/>
      <c r="AAE59" s="76"/>
      <c r="AAF59" s="76"/>
      <c r="AAG59" s="76"/>
      <c r="AAH59" s="76"/>
      <c r="AAI59" s="76"/>
      <c r="AAJ59" s="76"/>
      <c r="AAK59" s="76"/>
      <c r="AAL59" s="76"/>
      <c r="AAM59" s="76"/>
      <c r="AAN59" s="76"/>
      <c r="AAO59" s="76"/>
      <c r="AAP59" s="76"/>
      <c r="AAQ59" s="76"/>
      <c r="AAR59" s="76"/>
      <c r="AAS59" s="76"/>
      <c r="AAT59" s="76"/>
      <c r="AAU59" s="76"/>
      <c r="AAV59" s="76"/>
      <c r="AAW59" s="76"/>
      <c r="AAX59" s="76"/>
      <c r="AAY59" s="76"/>
      <c r="AAZ59" s="76"/>
      <c r="ABA59" s="76"/>
      <c r="ABB59" s="76"/>
      <c r="ABC59" s="76"/>
      <c r="ABD59" s="76"/>
      <c r="ABE59" s="76"/>
      <c r="ABF59" s="76"/>
      <c r="ABG59" s="76"/>
      <c r="ABH59" s="76"/>
      <c r="ABI59" s="76"/>
      <c r="ABJ59" s="76"/>
      <c r="ABK59" s="76"/>
      <c r="ABL59" s="76"/>
      <c r="ABM59" s="76"/>
      <c r="ABN59" s="76"/>
      <c r="ABO59" s="76"/>
      <c r="ABP59" s="76"/>
      <c r="ABQ59" s="76"/>
      <c r="ABR59" s="76"/>
      <c r="ABS59" s="76"/>
      <c r="ABT59" s="76"/>
      <c r="ABU59" s="76"/>
      <c r="ABV59" s="76"/>
      <c r="ABW59" s="76"/>
      <c r="ABX59" s="76"/>
      <c r="ABY59" s="76"/>
      <c r="ABZ59" s="76"/>
      <c r="ACA59" s="76"/>
      <c r="ACB59" s="76"/>
      <c r="ACC59" s="76"/>
      <c r="ACD59" s="76"/>
      <c r="ACE59" s="76"/>
      <c r="ACF59" s="76"/>
      <c r="ACG59" s="76"/>
      <c r="ACH59" s="76"/>
      <c r="ACI59" s="76"/>
      <c r="ACJ59" s="76"/>
      <c r="ACK59" s="76"/>
      <c r="ACL59" s="76"/>
      <c r="ACM59" s="76"/>
      <c r="ACN59" s="76"/>
      <c r="ACO59" s="76"/>
      <c r="ACP59" s="76"/>
      <c r="ACQ59" s="76"/>
      <c r="ACR59" s="76"/>
      <c r="ACS59" s="76"/>
      <c r="ACT59" s="76"/>
      <c r="ACU59" s="76"/>
      <c r="ACV59" s="76"/>
      <c r="ACW59" s="76"/>
      <c r="ACX59" s="76"/>
      <c r="ACY59" s="76"/>
      <c r="ACZ59" s="76"/>
      <c r="ADA59" s="76"/>
      <c r="ADB59" s="76"/>
      <c r="ADC59" s="76"/>
      <c r="ADD59" s="76"/>
      <c r="ADE59" s="76"/>
      <c r="ADF59" s="76"/>
      <c r="ADG59" s="76"/>
      <c r="ADH59" s="76"/>
      <c r="ADI59" s="76"/>
      <c r="ADJ59" s="76"/>
      <c r="ADK59" s="76"/>
      <c r="ADL59" s="76"/>
      <c r="ADM59" s="76"/>
      <c r="ADN59" s="76"/>
      <c r="ADO59" s="76"/>
      <c r="ADP59" s="76"/>
      <c r="ADQ59" s="76"/>
      <c r="ADR59" s="76"/>
      <c r="ADS59" s="76"/>
      <c r="ADT59" s="76"/>
      <c r="ADU59" s="76"/>
      <c r="ADV59" s="76"/>
      <c r="ADW59" s="76"/>
      <c r="ADX59" s="76"/>
      <c r="ADY59" s="76"/>
      <c r="ADZ59" s="76"/>
      <c r="AEA59" s="76"/>
      <c r="AEB59" s="76"/>
      <c r="AEC59" s="76"/>
      <c r="AED59" s="76"/>
      <c r="AEE59" s="76"/>
      <c r="AEF59" s="76"/>
      <c r="AEG59" s="76"/>
      <c r="AEH59" s="76"/>
      <c r="AEI59" s="76"/>
      <c r="AEJ59" s="76"/>
      <c r="AEK59" s="76"/>
      <c r="AEL59" s="76"/>
      <c r="AEM59" s="76"/>
      <c r="AEN59" s="76"/>
      <c r="AEO59" s="76"/>
      <c r="AEP59" s="76"/>
      <c r="AEQ59" s="76"/>
      <c r="AER59" s="76"/>
      <c r="AES59" s="76"/>
      <c r="AET59" s="76"/>
      <c r="AEU59" s="76"/>
      <c r="AEV59" s="76"/>
      <c r="AEW59" s="76"/>
      <c r="AEX59" s="76"/>
      <c r="AEY59" s="76"/>
      <c r="AEZ59" s="76"/>
      <c r="AFA59" s="76"/>
      <c r="AFB59" s="76"/>
      <c r="AFC59" s="76"/>
      <c r="AFD59" s="76"/>
      <c r="AFE59" s="76"/>
      <c r="AFF59" s="76"/>
      <c r="AFG59" s="76"/>
      <c r="AFH59" s="76"/>
      <c r="AFI59" s="76"/>
      <c r="AFJ59" s="76"/>
      <c r="AFK59" s="76"/>
      <c r="AFL59" s="76"/>
      <c r="AFM59" s="76"/>
      <c r="AFN59" s="76"/>
      <c r="AFO59" s="76"/>
      <c r="AFP59" s="76"/>
      <c r="AFQ59" s="76"/>
      <c r="AFR59" s="76"/>
      <c r="AFS59" s="76"/>
      <c r="AFT59" s="76"/>
      <c r="AFU59" s="76"/>
      <c r="AFV59" s="76"/>
      <c r="AFW59" s="76"/>
      <c r="AFX59" s="76"/>
      <c r="AFY59" s="76"/>
      <c r="AFZ59" s="76"/>
      <c r="AGA59" s="76"/>
      <c r="AGB59" s="76"/>
      <c r="AGC59" s="76"/>
      <c r="AGD59" s="76"/>
      <c r="AGE59" s="76"/>
      <c r="AGF59" s="76"/>
      <c r="AGG59" s="76"/>
      <c r="AGH59" s="76"/>
      <c r="AGI59" s="76"/>
      <c r="AGJ59" s="76"/>
      <c r="AGK59" s="76"/>
      <c r="AGL59" s="76"/>
      <c r="AGM59" s="76"/>
      <c r="AGN59" s="76"/>
      <c r="AGO59" s="76"/>
      <c r="AGP59" s="76"/>
      <c r="AGQ59" s="76"/>
      <c r="AGR59" s="76"/>
      <c r="AGS59" s="76"/>
      <c r="AGT59" s="76"/>
      <c r="AGU59" s="76"/>
      <c r="AGV59" s="76"/>
      <c r="AGW59" s="76"/>
      <c r="AGX59" s="76"/>
      <c r="AGY59" s="76"/>
      <c r="AGZ59" s="76"/>
      <c r="AHA59" s="76"/>
      <c r="AHB59" s="76"/>
      <c r="AHC59" s="76"/>
      <c r="AHD59" s="76"/>
      <c r="AHE59" s="76"/>
      <c r="AHF59" s="76"/>
      <c r="AHG59" s="76"/>
      <c r="AHH59" s="76"/>
      <c r="AHI59" s="76"/>
      <c r="AHJ59" s="76"/>
      <c r="AHK59" s="76"/>
      <c r="AHL59" s="76"/>
      <c r="AHM59" s="76"/>
      <c r="AHN59" s="76"/>
      <c r="AHO59" s="76"/>
      <c r="AHP59" s="76"/>
      <c r="AHQ59" s="76"/>
      <c r="AHR59" s="76"/>
      <c r="AHS59" s="76"/>
      <c r="AHT59" s="76"/>
      <c r="AHU59" s="76"/>
      <c r="AHV59" s="76"/>
      <c r="AHW59" s="76"/>
      <c r="AHX59" s="76"/>
      <c r="AHY59" s="76"/>
      <c r="AHZ59" s="76"/>
      <c r="AIA59" s="76"/>
      <c r="AIB59" s="76"/>
      <c r="AIC59" s="76"/>
      <c r="AID59" s="76"/>
      <c r="AIE59" s="76"/>
      <c r="AIF59" s="76"/>
      <c r="AIG59" s="76"/>
      <c r="AIH59" s="76"/>
      <c r="AII59" s="76"/>
      <c r="AIJ59" s="76"/>
      <c r="AIK59" s="76"/>
      <c r="AIL59" s="76"/>
      <c r="AIM59" s="76"/>
      <c r="AIN59" s="76"/>
      <c r="AIO59" s="76"/>
      <c r="AIP59" s="76"/>
      <c r="AIQ59" s="76"/>
      <c r="AIR59" s="76"/>
      <c r="AIS59" s="76"/>
      <c r="AIT59" s="76"/>
      <c r="AIU59" s="76"/>
      <c r="AIV59" s="76"/>
      <c r="AIW59" s="76"/>
      <c r="AIX59" s="76"/>
      <c r="AIY59" s="76"/>
      <c r="AIZ59" s="76"/>
      <c r="AJA59" s="76"/>
      <c r="AJB59" s="76"/>
      <c r="AJC59" s="76"/>
      <c r="AJD59" s="76"/>
      <c r="AJE59" s="76"/>
      <c r="AJF59" s="76"/>
      <c r="AJG59" s="76"/>
      <c r="AJH59" s="76"/>
      <c r="AJI59" s="76"/>
      <c r="AJJ59" s="76"/>
      <c r="AJK59" s="76"/>
      <c r="AJL59" s="76"/>
      <c r="AJM59" s="76"/>
      <c r="AJN59" s="76"/>
      <c r="AJO59" s="76"/>
      <c r="AJP59" s="76"/>
      <c r="AJQ59" s="76"/>
      <c r="AJR59" s="76"/>
      <c r="AJS59" s="76"/>
      <c r="AJT59" s="76"/>
      <c r="AJU59" s="76"/>
      <c r="AJV59" s="76"/>
      <c r="AJW59" s="76"/>
      <c r="AJX59" s="76"/>
      <c r="AJY59" s="76"/>
      <c r="AJZ59" s="76"/>
      <c r="AKA59" s="76"/>
      <c r="AKB59" s="76"/>
      <c r="AKC59" s="76"/>
      <c r="AKD59" s="76"/>
      <c r="AKE59" s="76"/>
      <c r="AKF59" s="76"/>
      <c r="AKG59" s="76"/>
      <c r="AKH59" s="76"/>
      <c r="AKI59" s="76"/>
      <c r="AKJ59" s="76"/>
      <c r="AKK59" s="76"/>
      <c r="AKL59" s="76"/>
      <c r="AKM59" s="76"/>
      <c r="AKN59" s="76"/>
      <c r="AKO59" s="76"/>
      <c r="AKP59" s="76"/>
      <c r="AKQ59" s="76"/>
      <c r="AKR59" s="76"/>
      <c r="AKS59" s="76"/>
      <c r="AKT59" s="76"/>
      <c r="AKU59" s="76"/>
      <c r="AKV59" s="76"/>
      <c r="AKW59" s="76"/>
      <c r="AKX59" s="76"/>
      <c r="AKY59" s="76"/>
      <c r="AKZ59" s="76"/>
      <c r="ALA59" s="76"/>
      <c r="ALB59" s="76"/>
      <c r="ALC59" s="76"/>
      <c r="ALD59" s="76"/>
      <c r="ALE59" s="76"/>
      <c r="ALF59" s="76"/>
      <c r="ALG59" s="76"/>
      <c r="ALH59" s="76"/>
      <c r="ALI59" s="76"/>
      <c r="ALJ59" s="76"/>
      <c r="ALK59" s="76"/>
      <c r="ALL59" s="76"/>
      <c r="ALM59" s="76"/>
      <c r="ALN59" s="76"/>
      <c r="ALO59" s="76"/>
      <c r="ALP59" s="76"/>
      <c r="ALQ59" s="76"/>
      <c r="ALR59" s="76"/>
      <c r="ALS59" s="76"/>
      <c r="ALT59" s="76"/>
      <c r="ALU59" s="76"/>
      <c r="ALV59" s="76"/>
      <c r="ALW59" s="76"/>
      <c r="ALX59" s="76"/>
      <c r="ALY59" s="76"/>
      <c r="ALZ59" s="76"/>
      <c r="AMA59" s="76"/>
      <c r="AMB59" s="76"/>
      <c r="AMC59" s="76"/>
      <c r="AMD59" s="76"/>
      <c r="AME59" s="76"/>
      <c r="AMF59" s="76"/>
      <c r="AMG59" s="76"/>
      <c r="AMH59" s="76"/>
      <c r="AMI59" s="76"/>
      <c r="AMJ59" s="76"/>
      <c r="AMK59" s="76"/>
      <c r="AML59" s="76"/>
      <c r="AMM59" s="76"/>
      <c r="AMN59" s="76"/>
      <c r="AMO59" s="76"/>
      <c r="AMP59" s="76"/>
      <c r="AMQ59" s="76"/>
      <c r="AMR59" s="76"/>
      <c r="AMS59" s="76"/>
      <c r="AMT59" s="76"/>
      <c r="AMU59" s="76"/>
      <c r="AMV59" s="76"/>
      <c r="AMW59" s="76"/>
      <c r="AMX59" s="76"/>
      <c r="AMY59" s="76"/>
      <c r="AMZ59" s="76"/>
      <c r="ANA59" s="76"/>
      <c r="ANB59" s="76"/>
      <c r="ANC59" s="76"/>
      <c r="AND59" s="76"/>
      <c r="ANE59" s="76"/>
      <c r="ANF59" s="76"/>
      <c r="ANG59" s="76"/>
      <c r="ANH59" s="76"/>
      <c r="ANI59" s="76"/>
      <c r="ANJ59" s="76"/>
      <c r="ANK59" s="76"/>
      <c r="ANL59" s="76"/>
      <c r="ANM59" s="76"/>
      <c r="ANN59" s="76"/>
      <c r="ANO59" s="76"/>
      <c r="ANP59" s="76"/>
      <c r="ANQ59" s="76"/>
      <c r="ANR59" s="76"/>
      <c r="ANS59" s="76"/>
      <c r="ANT59" s="76"/>
      <c r="ANU59" s="76"/>
      <c r="ANV59" s="76"/>
      <c r="ANW59" s="76"/>
      <c r="ANX59" s="76"/>
      <c r="ANY59" s="76"/>
      <c r="ANZ59" s="76"/>
      <c r="AOA59" s="76"/>
      <c r="AOB59" s="76"/>
      <c r="AOC59" s="76"/>
      <c r="AOD59" s="76"/>
      <c r="AOE59" s="76"/>
      <c r="AOF59" s="76"/>
      <c r="AOG59" s="76"/>
      <c r="AOH59" s="76"/>
      <c r="AOI59" s="76"/>
      <c r="AOJ59" s="76"/>
      <c r="AOK59" s="76"/>
      <c r="AOL59" s="76"/>
      <c r="AOM59" s="76"/>
      <c r="AON59" s="76"/>
      <c r="AOO59" s="76"/>
      <c r="AOP59" s="76"/>
      <c r="AOQ59" s="76"/>
      <c r="AOR59" s="76"/>
      <c r="AOS59" s="76"/>
      <c r="AOT59" s="76"/>
      <c r="AOU59" s="76"/>
      <c r="AOV59" s="76"/>
      <c r="AOW59" s="76"/>
      <c r="AOX59" s="76"/>
      <c r="AOY59" s="76"/>
      <c r="AOZ59" s="76"/>
      <c r="APA59" s="76"/>
      <c r="APB59" s="76"/>
      <c r="APC59" s="76"/>
      <c r="APD59" s="76"/>
      <c r="APE59" s="76"/>
      <c r="APF59" s="76"/>
      <c r="APG59" s="76"/>
      <c r="APH59" s="76"/>
      <c r="API59" s="76"/>
      <c r="APJ59" s="76"/>
      <c r="APK59" s="76"/>
      <c r="APL59" s="76"/>
      <c r="APM59" s="76"/>
      <c r="APN59" s="76"/>
      <c r="APO59" s="76"/>
      <c r="APP59" s="76"/>
      <c r="APQ59" s="76"/>
      <c r="APR59" s="76"/>
      <c r="APS59" s="76"/>
      <c r="APT59" s="76"/>
      <c r="APU59" s="76"/>
      <c r="APV59" s="76"/>
      <c r="APW59" s="76"/>
      <c r="APX59" s="76"/>
      <c r="APY59" s="76"/>
      <c r="APZ59" s="76"/>
      <c r="AQA59" s="76"/>
      <c r="AQB59" s="76"/>
      <c r="AQC59" s="76"/>
      <c r="AQD59" s="76"/>
      <c r="AQE59" s="76"/>
      <c r="AQF59" s="76"/>
      <c r="AQG59" s="76"/>
      <c r="AQH59" s="76"/>
      <c r="AQI59" s="76"/>
      <c r="AQJ59" s="76"/>
      <c r="AQK59" s="76"/>
      <c r="AQL59" s="76"/>
      <c r="AQM59" s="76"/>
      <c r="AQN59" s="76"/>
      <c r="AQO59" s="76"/>
      <c r="AQP59" s="76"/>
      <c r="AQQ59" s="76"/>
      <c r="AQR59" s="76"/>
      <c r="AQS59" s="76"/>
      <c r="AQT59" s="76"/>
      <c r="AQU59" s="76"/>
      <c r="AQV59" s="76"/>
      <c r="AQW59" s="76"/>
      <c r="AQX59" s="76"/>
      <c r="AQY59" s="76"/>
      <c r="AQZ59" s="76"/>
      <c r="ARA59" s="76"/>
      <c r="ARB59" s="76"/>
      <c r="ARC59" s="76"/>
      <c r="ARD59" s="76"/>
      <c r="ARE59" s="76"/>
      <c r="ARF59" s="76"/>
      <c r="ARG59" s="76"/>
      <c r="ARH59" s="76"/>
      <c r="ARI59" s="76"/>
      <c r="ARJ59" s="76"/>
      <c r="ARK59" s="76"/>
      <c r="ARL59" s="76"/>
      <c r="ARM59" s="76"/>
      <c r="ARN59" s="76"/>
      <c r="ARO59" s="76"/>
      <c r="ARP59" s="76"/>
      <c r="ARQ59" s="76"/>
      <c r="ARR59" s="76"/>
      <c r="ARS59" s="76"/>
      <c r="ART59" s="76"/>
      <c r="ARU59" s="76"/>
      <c r="ARV59" s="76"/>
      <c r="ARW59" s="76"/>
      <c r="ARX59" s="76"/>
      <c r="ARY59" s="76"/>
      <c r="ARZ59" s="76"/>
      <c r="ASA59" s="76"/>
      <c r="ASB59" s="76"/>
      <c r="ASC59" s="76"/>
      <c r="ASD59" s="76"/>
      <c r="ASE59" s="76"/>
      <c r="ASF59" s="76"/>
      <c r="ASG59" s="76"/>
      <c r="ASH59" s="76"/>
      <c r="ASI59" s="76"/>
      <c r="ASJ59" s="76"/>
      <c r="ASK59" s="76"/>
      <c r="ASL59" s="76"/>
      <c r="ASM59" s="76"/>
      <c r="ASN59" s="76"/>
      <c r="ASO59" s="76"/>
      <c r="ASP59" s="76"/>
      <c r="ASQ59" s="76"/>
      <c r="ASR59" s="76"/>
      <c r="ASS59" s="76"/>
      <c r="AST59" s="76"/>
      <c r="ASU59" s="76"/>
      <c r="ASV59" s="76"/>
      <c r="ASW59" s="76"/>
      <c r="ASX59" s="76"/>
      <c r="ASY59" s="76"/>
      <c r="ASZ59" s="76"/>
      <c r="ATA59" s="76"/>
      <c r="ATB59" s="76"/>
      <c r="ATC59" s="76"/>
      <c r="ATD59" s="76"/>
      <c r="ATE59" s="76"/>
      <c r="ATF59" s="76"/>
      <c r="ATG59" s="76"/>
      <c r="ATH59" s="76"/>
      <c r="ATI59" s="76"/>
      <c r="ATJ59" s="76"/>
      <c r="ATK59" s="76"/>
      <c r="ATL59" s="76"/>
      <c r="ATM59" s="76"/>
      <c r="ATN59" s="76"/>
      <c r="ATO59" s="76"/>
      <c r="ATP59" s="76"/>
      <c r="ATQ59" s="76"/>
      <c r="ATR59" s="76"/>
      <c r="ATS59" s="76"/>
      <c r="ATT59" s="76"/>
      <c r="ATU59" s="76"/>
      <c r="ATV59" s="76"/>
      <c r="ATW59" s="76"/>
      <c r="ATX59" s="76"/>
      <c r="ATY59" s="76"/>
      <c r="ATZ59" s="76"/>
      <c r="AUA59" s="76"/>
      <c r="AUB59" s="76"/>
      <c r="AUC59" s="76"/>
      <c r="AUD59" s="76"/>
      <c r="AUE59" s="76"/>
      <c r="AUF59" s="76"/>
      <c r="AUG59" s="76"/>
      <c r="AUH59" s="76"/>
      <c r="AUI59" s="76"/>
      <c r="AUJ59" s="76"/>
      <c r="AUK59" s="76"/>
      <c r="AUL59" s="76"/>
      <c r="AUM59" s="76"/>
      <c r="AUN59" s="76"/>
      <c r="AUO59" s="76"/>
      <c r="AUP59" s="76"/>
      <c r="AUQ59" s="76"/>
      <c r="AUR59" s="76"/>
      <c r="AUS59" s="76"/>
      <c r="AUT59" s="76"/>
      <c r="AUU59" s="76"/>
      <c r="AUV59" s="76"/>
      <c r="AUW59" s="76"/>
      <c r="AUX59" s="76"/>
      <c r="AUY59" s="76"/>
      <c r="AUZ59" s="76"/>
      <c r="AVA59" s="76"/>
      <c r="AVB59" s="76"/>
      <c r="AVC59" s="76"/>
      <c r="AVD59" s="76"/>
      <c r="AVE59" s="76"/>
      <c r="AVF59" s="76"/>
      <c r="AVG59" s="76"/>
      <c r="AVH59" s="76"/>
      <c r="AVI59" s="76"/>
      <c r="AVJ59" s="76"/>
      <c r="AVK59" s="76"/>
      <c r="AVL59" s="76"/>
      <c r="AVM59" s="76"/>
      <c r="AVN59" s="76"/>
      <c r="AVO59" s="76"/>
      <c r="AVP59" s="76"/>
      <c r="AVQ59" s="76"/>
      <c r="AVR59" s="76"/>
      <c r="AVS59" s="76"/>
      <c r="AVT59" s="76"/>
      <c r="AVU59" s="76"/>
      <c r="AVV59" s="76"/>
      <c r="AVW59" s="76"/>
      <c r="AVX59" s="76"/>
      <c r="AVY59" s="76"/>
      <c r="AVZ59" s="76"/>
      <c r="AWA59" s="76"/>
      <c r="AWB59" s="76"/>
      <c r="AWC59" s="76"/>
      <c r="AWD59" s="76"/>
      <c r="AWE59" s="76"/>
      <c r="AWF59" s="76"/>
      <c r="AWG59" s="76"/>
      <c r="AWH59" s="76"/>
      <c r="AWI59" s="76"/>
      <c r="AWJ59" s="76"/>
      <c r="AWK59" s="76"/>
      <c r="AWL59" s="76"/>
      <c r="AWM59" s="76"/>
      <c r="AWN59" s="76"/>
      <c r="AWO59" s="76"/>
      <c r="AWP59" s="76"/>
      <c r="AWQ59" s="76"/>
      <c r="AWR59" s="76"/>
      <c r="AWS59" s="76"/>
      <c r="AWT59" s="76"/>
      <c r="AWU59" s="76"/>
      <c r="AWV59" s="76"/>
      <c r="AWW59" s="76"/>
      <c r="AWX59" s="76"/>
      <c r="AWY59" s="76"/>
      <c r="AWZ59" s="76"/>
      <c r="AXA59" s="76"/>
      <c r="AXB59" s="76"/>
      <c r="AXC59" s="76"/>
      <c r="AXD59" s="76"/>
      <c r="AXE59" s="76"/>
      <c r="AXF59" s="76"/>
      <c r="AXG59" s="76"/>
      <c r="AXH59" s="76"/>
      <c r="AXI59" s="76"/>
      <c r="AXJ59" s="76"/>
      <c r="AXK59" s="76"/>
      <c r="AXL59" s="76"/>
      <c r="AXM59" s="76"/>
      <c r="AXN59" s="76"/>
      <c r="AXO59" s="76"/>
      <c r="AXP59" s="76"/>
      <c r="AXQ59" s="76"/>
      <c r="AXR59" s="76"/>
      <c r="AXS59" s="76"/>
      <c r="AXT59" s="76"/>
      <c r="AXU59" s="76"/>
      <c r="AXV59" s="76"/>
      <c r="AXW59" s="76"/>
      <c r="AXX59" s="76"/>
      <c r="AXY59" s="76"/>
      <c r="AXZ59" s="76"/>
      <c r="AYA59" s="76"/>
      <c r="AYB59" s="76"/>
      <c r="AYC59" s="76"/>
      <c r="AYD59" s="76"/>
      <c r="AYE59" s="76"/>
      <c r="AYF59" s="76"/>
      <c r="AYG59" s="76"/>
      <c r="AYH59" s="76"/>
      <c r="AYI59" s="76"/>
      <c r="AYJ59" s="76"/>
      <c r="AYK59" s="76"/>
      <c r="AYL59" s="76"/>
      <c r="AYM59" s="76"/>
      <c r="AYN59" s="76"/>
      <c r="AYO59" s="76"/>
      <c r="AYP59" s="76"/>
      <c r="AYQ59" s="76"/>
      <c r="AYR59" s="76"/>
      <c r="AYS59" s="76"/>
      <c r="AYT59" s="76"/>
      <c r="AYU59" s="76"/>
      <c r="AYV59" s="76"/>
      <c r="AYW59" s="76"/>
      <c r="AYX59" s="76"/>
      <c r="AYY59" s="76"/>
      <c r="AYZ59" s="76"/>
      <c r="AZA59" s="76"/>
      <c r="AZB59" s="76"/>
      <c r="AZC59" s="76"/>
      <c r="AZD59" s="76"/>
      <c r="AZE59" s="76"/>
      <c r="AZF59" s="76"/>
      <c r="AZG59" s="76"/>
      <c r="AZH59" s="76"/>
      <c r="AZI59" s="76"/>
      <c r="AZJ59" s="76"/>
      <c r="AZK59" s="76"/>
      <c r="AZL59" s="76"/>
      <c r="AZM59" s="76"/>
      <c r="AZN59" s="76"/>
      <c r="AZO59" s="76"/>
      <c r="AZP59" s="76"/>
      <c r="AZQ59" s="76"/>
      <c r="AZR59" s="76"/>
      <c r="AZS59" s="76"/>
      <c r="AZT59" s="76"/>
      <c r="AZU59" s="76"/>
      <c r="AZV59" s="76"/>
      <c r="AZW59" s="76"/>
      <c r="AZX59" s="76"/>
      <c r="AZY59" s="76"/>
      <c r="AZZ59" s="76"/>
      <c r="BAA59" s="76"/>
      <c r="BAB59" s="76"/>
      <c r="BAC59" s="76"/>
      <c r="BAD59" s="76"/>
      <c r="BAE59" s="76"/>
      <c r="BAF59" s="76"/>
      <c r="BAG59" s="76"/>
      <c r="BAH59" s="76"/>
      <c r="BAI59" s="76"/>
      <c r="BAJ59" s="76"/>
      <c r="BAK59" s="76"/>
      <c r="BAL59" s="76"/>
      <c r="BAM59" s="76"/>
      <c r="BAN59" s="76"/>
      <c r="BAO59" s="76"/>
      <c r="BAP59" s="76"/>
      <c r="BAQ59" s="76"/>
      <c r="BAR59" s="76"/>
      <c r="BAS59" s="76"/>
      <c r="BAT59" s="76"/>
      <c r="BAU59" s="76"/>
      <c r="BAV59" s="76"/>
      <c r="BAW59" s="76"/>
      <c r="BAX59" s="76"/>
      <c r="BAY59" s="76"/>
      <c r="BAZ59" s="76"/>
      <c r="BBA59" s="76"/>
      <c r="BBB59" s="76"/>
      <c r="BBC59" s="76"/>
      <c r="BBD59" s="76"/>
      <c r="BBE59" s="76"/>
      <c r="BBF59" s="76"/>
      <c r="BBG59" s="76"/>
      <c r="BBH59" s="76"/>
      <c r="BBI59" s="76"/>
      <c r="BBJ59" s="76"/>
      <c r="BBK59" s="76"/>
      <c r="BBL59" s="76"/>
      <c r="BBM59" s="76"/>
      <c r="BBN59" s="76"/>
      <c r="BBO59" s="76"/>
      <c r="BBP59" s="76"/>
      <c r="BBQ59" s="76"/>
      <c r="BBR59" s="76"/>
      <c r="BBS59" s="76"/>
      <c r="BBT59" s="76"/>
      <c r="BBU59" s="76"/>
      <c r="BBV59" s="76"/>
      <c r="BBW59" s="76"/>
      <c r="BBX59" s="76"/>
      <c r="BBY59" s="76"/>
      <c r="BBZ59" s="76"/>
      <c r="BCA59" s="76"/>
      <c r="BCB59" s="76"/>
      <c r="BCC59" s="76"/>
      <c r="BCD59" s="76"/>
      <c r="BCE59" s="76"/>
      <c r="BCF59" s="76"/>
      <c r="BCG59" s="76"/>
      <c r="BCH59" s="76"/>
      <c r="BCI59" s="76"/>
      <c r="BCJ59" s="76"/>
      <c r="BCK59" s="76"/>
      <c r="BCL59" s="76"/>
      <c r="BCM59" s="76"/>
      <c r="BCN59" s="76"/>
      <c r="BCO59" s="76"/>
      <c r="BCP59" s="76"/>
      <c r="BCQ59" s="76"/>
      <c r="BCR59" s="76"/>
      <c r="BCS59" s="76"/>
      <c r="BCT59" s="76"/>
      <c r="BCU59" s="76"/>
      <c r="BCV59" s="76"/>
      <c r="BCW59" s="76"/>
      <c r="BCX59" s="76"/>
      <c r="BCY59" s="76"/>
      <c r="BCZ59" s="76"/>
      <c r="BDA59" s="76"/>
      <c r="BDB59" s="76"/>
      <c r="BDC59" s="76"/>
      <c r="BDD59" s="76"/>
      <c r="BDE59" s="76"/>
      <c r="BDF59" s="76"/>
      <c r="BDG59" s="76"/>
      <c r="BDH59" s="76"/>
      <c r="BDI59" s="76"/>
      <c r="BDJ59" s="76"/>
      <c r="BDK59" s="76"/>
      <c r="BDL59" s="76"/>
      <c r="BDM59" s="76"/>
      <c r="BDN59" s="76"/>
      <c r="BDO59" s="76"/>
      <c r="BDP59" s="76"/>
      <c r="BDQ59" s="76"/>
      <c r="BDR59" s="76"/>
      <c r="BDS59" s="76"/>
      <c r="BDT59" s="76"/>
      <c r="BDU59" s="76"/>
      <c r="BDV59" s="76"/>
      <c r="BDW59" s="76"/>
      <c r="BDX59" s="76"/>
      <c r="BDY59" s="76"/>
      <c r="BDZ59" s="76"/>
      <c r="BEA59" s="76"/>
      <c r="BEB59" s="76"/>
      <c r="BEC59" s="76"/>
      <c r="BED59" s="76"/>
      <c r="BEE59" s="76"/>
      <c r="BEF59" s="76"/>
      <c r="BEG59" s="76"/>
      <c r="BEH59" s="76"/>
      <c r="BEI59" s="76"/>
      <c r="BEJ59" s="76"/>
      <c r="BEK59" s="76"/>
      <c r="BEL59" s="76"/>
      <c r="BEM59" s="76"/>
      <c r="BEN59" s="76"/>
      <c r="BEO59" s="76"/>
      <c r="BEP59" s="76"/>
      <c r="BEQ59" s="76"/>
      <c r="BER59" s="76"/>
      <c r="BES59" s="76"/>
      <c r="BET59" s="76"/>
      <c r="BEU59" s="76"/>
      <c r="BEV59" s="76"/>
      <c r="BEW59" s="76"/>
      <c r="BEX59" s="76"/>
      <c r="BEY59" s="76"/>
      <c r="BEZ59" s="76"/>
      <c r="BFA59" s="76"/>
      <c r="BFB59" s="76"/>
      <c r="BFC59" s="76"/>
      <c r="BFD59" s="76"/>
      <c r="BFE59" s="76"/>
      <c r="BFF59" s="76"/>
      <c r="BFG59" s="76"/>
      <c r="BFH59" s="76"/>
      <c r="BFI59" s="76"/>
      <c r="BFJ59" s="76"/>
      <c r="BFK59" s="76"/>
      <c r="BFL59" s="76"/>
      <c r="BFM59" s="76"/>
      <c r="BFN59" s="76"/>
      <c r="BFO59" s="76"/>
      <c r="BFP59" s="76"/>
      <c r="BFQ59" s="76"/>
      <c r="BFR59" s="76"/>
      <c r="BFS59" s="76"/>
      <c r="BFT59" s="76"/>
      <c r="BFU59" s="76"/>
      <c r="BFV59" s="76"/>
      <c r="BFW59" s="76"/>
      <c r="BFX59" s="76"/>
      <c r="BFY59" s="76"/>
      <c r="BFZ59" s="76"/>
      <c r="BGA59" s="76"/>
      <c r="BGB59" s="76"/>
      <c r="BGC59" s="76"/>
      <c r="BGD59" s="76"/>
      <c r="BGE59" s="76"/>
      <c r="BGF59" s="76"/>
      <c r="BGG59" s="76"/>
      <c r="BGH59" s="76"/>
      <c r="BGI59" s="76"/>
      <c r="BGJ59" s="76"/>
      <c r="BGK59" s="76"/>
      <c r="BGL59" s="76"/>
      <c r="BGM59" s="76"/>
      <c r="BGN59" s="76"/>
      <c r="BGO59" s="76"/>
      <c r="BGP59" s="76"/>
      <c r="BGQ59" s="76"/>
      <c r="BGR59" s="76"/>
      <c r="BGS59" s="76"/>
      <c r="BGT59" s="76"/>
      <c r="BGU59" s="76"/>
      <c r="BGV59" s="76"/>
      <c r="BGW59" s="76"/>
      <c r="BGX59" s="76"/>
      <c r="BGY59" s="76"/>
      <c r="BGZ59" s="76"/>
      <c r="BHA59" s="76"/>
      <c r="BHB59" s="76"/>
      <c r="BHC59" s="76"/>
      <c r="BHD59" s="76"/>
      <c r="BHE59" s="76"/>
      <c r="BHF59" s="76"/>
      <c r="BHG59" s="76"/>
      <c r="BHH59" s="76"/>
      <c r="BHI59" s="76"/>
      <c r="BHJ59" s="76"/>
      <c r="BHK59" s="76"/>
      <c r="BHL59" s="76"/>
      <c r="BHM59" s="76"/>
      <c r="BHN59" s="76"/>
      <c r="BHO59" s="76"/>
      <c r="BHP59" s="76"/>
      <c r="BHQ59" s="76"/>
      <c r="BHR59" s="76"/>
      <c r="BHS59" s="76"/>
      <c r="BHT59" s="76"/>
      <c r="BHU59" s="76"/>
      <c r="BHV59" s="76"/>
      <c r="BHW59" s="76"/>
      <c r="BHX59" s="76"/>
      <c r="BHY59" s="76"/>
      <c r="BHZ59" s="76"/>
      <c r="BIA59" s="76"/>
      <c r="BIB59" s="76"/>
      <c r="BIC59" s="76"/>
      <c r="BID59" s="76"/>
      <c r="BIE59" s="76"/>
      <c r="BIF59" s="76"/>
      <c r="BIG59" s="76"/>
      <c r="BIH59" s="76"/>
      <c r="BII59" s="76"/>
      <c r="BIJ59" s="76"/>
      <c r="BIK59" s="76"/>
      <c r="BIL59" s="76"/>
      <c r="BIM59" s="76"/>
      <c r="BIN59" s="76"/>
      <c r="BIO59" s="76"/>
      <c r="BIP59" s="76"/>
      <c r="BIQ59" s="76"/>
      <c r="BIR59" s="76"/>
      <c r="BIS59" s="76"/>
      <c r="BIT59" s="76"/>
      <c r="BIU59" s="76"/>
      <c r="BIV59" s="76"/>
      <c r="BIW59" s="76"/>
      <c r="BIX59" s="76"/>
      <c r="BIY59" s="76"/>
      <c r="BIZ59" s="76"/>
      <c r="BJA59" s="76"/>
      <c r="BJB59" s="76"/>
      <c r="BJC59" s="76"/>
      <c r="BJD59" s="76"/>
      <c r="BJE59" s="76"/>
      <c r="BJF59" s="76"/>
      <c r="BJG59" s="76"/>
      <c r="BJH59" s="76"/>
      <c r="BJI59" s="76"/>
      <c r="BJJ59" s="76"/>
      <c r="BJK59" s="76"/>
      <c r="BJL59" s="76"/>
      <c r="BJM59" s="76"/>
      <c r="BJN59" s="76"/>
      <c r="BJO59" s="76"/>
      <c r="BJP59" s="76"/>
      <c r="BJQ59" s="76"/>
      <c r="BJR59" s="76"/>
      <c r="BJS59" s="76"/>
      <c r="BJT59" s="76"/>
      <c r="BJU59" s="76"/>
      <c r="BJV59" s="76"/>
      <c r="BJW59" s="76"/>
      <c r="BJX59" s="76"/>
      <c r="BJY59" s="76"/>
      <c r="BJZ59" s="76"/>
      <c r="BKA59" s="76"/>
      <c r="BKB59" s="76"/>
      <c r="BKC59" s="76"/>
      <c r="BKD59" s="76"/>
      <c r="BKE59" s="76"/>
      <c r="BKF59" s="76"/>
      <c r="BKG59" s="76"/>
      <c r="BKH59" s="76"/>
      <c r="BKI59" s="76"/>
      <c r="BKJ59" s="76"/>
      <c r="BKK59" s="76"/>
      <c r="BKL59" s="76"/>
      <c r="BKM59" s="76"/>
      <c r="BKN59" s="76"/>
      <c r="BKO59" s="76"/>
      <c r="BKP59" s="76"/>
      <c r="BKQ59" s="76"/>
      <c r="BKR59" s="76"/>
      <c r="BKS59" s="76"/>
      <c r="BKT59" s="76"/>
      <c r="BKU59" s="76"/>
      <c r="BKV59" s="76"/>
      <c r="BKW59" s="76"/>
      <c r="BKX59" s="76"/>
      <c r="BKY59" s="76"/>
      <c r="BKZ59" s="76"/>
      <c r="BLA59" s="76"/>
      <c r="BLB59" s="76"/>
      <c r="BLC59" s="76"/>
      <c r="BLD59" s="76"/>
      <c r="BLE59" s="76"/>
      <c r="BLF59" s="76"/>
      <c r="BLG59" s="76"/>
      <c r="BLH59" s="76"/>
      <c r="BLI59" s="76"/>
      <c r="BLJ59" s="76"/>
      <c r="BLK59" s="76"/>
      <c r="BLL59" s="76"/>
      <c r="BLM59" s="76"/>
      <c r="BLN59" s="76"/>
      <c r="BLO59" s="76"/>
      <c r="BLP59" s="76"/>
      <c r="BLQ59" s="76"/>
      <c r="BLR59" s="76"/>
      <c r="BLS59" s="76"/>
      <c r="BLT59" s="76"/>
      <c r="BLU59" s="76"/>
      <c r="BLV59" s="76"/>
      <c r="BLW59" s="76"/>
      <c r="BLX59" s="76"/>
      <c r="BLY59" s="76"/>
      <c r="BLZ59" s="76"/>
      <c r="BMA59" s="76"/>
      <c r="BMB59" s="76"/>
      <c r="BMC59" s="76"/>
      <c r="BMD59" s="76"/>
      <c r="BME59" s="76"/>
      <c r="BMF59" s="76"/>
      <c r="BMG59" s="76"/>
      <c r="BMH59" s="76"/>
      <c r="BMI59" s="76"/>
      <c r="BMJ59" s="76"/>
      <c r="BMK59" s="76"/>
      <c r="BML59" s="76"/>
      <c r="BMM59" s="76"/>
      <c r="BMN59" s="76"/>
      <c r="BMO59" s="76"/>
      <c r="BMP59" s="76"/>
      <c r="BMQ59" s="76"/>
      <c r="BMR59" s="76"/>
      <c r="BMS59" s="76"/>
      <c r="BMT59" s="76"/>
      <c r="BMU59" s="76"/>
      <c r="BMV59" s="76"/>
      <c r="BMW59" s="76"/>
      <c r="BMX59" s="76"/>
      <c r="BMY59" s="76"/>
      <c r="BMZ59" s="76"/>
      <c r="BNA59" s="76"/>
      <c r="BNB59" s="76"/>
      <c r="BNC59" s="76"/>
      <c r="BND59" s="76"/>
      <c r="BNE59" s="76"/>
      <c r="BNF59" s="76"/>
      <c r="BNG59" s="76"/>
      <c r="BNH59" s="76"/>
      <c r="BNI59" s="76"/>
      <c r="BNJ59" s="76"/>
      <c r="BNK59" s="76"/>
      <c r="BNL59" s="76"/>
      <c r="BNM59" s="76"/>
      <c r="BNN59" s="76"/>
      <c r="BNO59" s="76"/>
      <c r="BNP59" s="76"/>
      <c r="BNQ59" s="76"/>
      <c r="BNR59" s="76"/>
      <c r="BNS59" s="76"/>
      <c r="BNT59" s="76"/>
      <c r="BNU59" s="76"/>
      <c r="BNV59" s="76"/>
      <c r="BNW59" s="76"/>
      <c r="BNX59" s="76"/>
      <c r="BNY59" s="76"/>
      <c r="BNZ59" s="76"/>
      <c r="BOA59" s="76"/>
      <c r="BOB59" s="76"/>
      <c r="BOC59" s="76"/>
      <c r="BOD59" s="76"/>
      <c r="BOE59" s="76"/>
      <c r="BOF59" s="76"/>
      <c r="BOG59" s="76"/>
      <c r="BOH59" s="76"/>
      <c r="BOI59" s="76"/>
      <c r="BOJ59" s="76"/>
      <c r="BOK59" s="76"/>
      <c r="BOL59" s="76"/>
      <c r="BOM59" s="76"/>
      <c r="BON59" s="76"/>
      <c r="BOO59" s="76"/>
      <c r="BOP59" s="76"/>
      <c r="BOQ59" s="76"/>
      <c r="BOR59" s="76"/>
      <c r="BOS59" s="76"/>
      <c r="BOT59" s="76"/>
      <c r="BOU59" s="76"/>
      <c r="BOV59" s="76"/>
      <c r="BOW59" s="76"/>
      <c r="BOX59" s="76"/>
      <c r="BOY59" s="76"/>
      <c r="BOZ59" s="76"/>
      <c r="BPA59" s="76"/>
      <c r="BPB59" s="76"/>
      <c r="BPC59" s="76"/>
      <c r="BPD59" s="76"/>
      <c r="BPE59" s="76"/>
      <c r="BPF59" s="76"/>
      <c r="BPG59" s="76"/>
      <c r="BPH59" s="76"/>
      <c r="BPI59" s="76"/>
      <c r="BPJ59" s="76"/>
      <c r="BPK59" s="76"/>
      <c r="BPL59" s="76"/>
      <c r="BPM59" s="76"/>
      <c r="BPN59" s="76"/>
      <c r="BPO59" s="76"/>
      <c r="BPP59" s="76"/>
      <c r="BPQ59" s="76"/>
      <c r="BPR59" s="76"/>
      <c r="BPS59" s="76"/>
      <c r="BPT59" s="76"/>
      <c r="BPU59" s="76"/>
      <c r="BPV59" s="76"/>
      <c r="BPW59" s="76"/>
      <c r="BPX59" s="76"/>
      <c r="BPY59" s="76"/>
      <c r="BPZ59" s="76"/>
      <c r="BQA59" s="76"/>
      <c r="BQB59" s="76"/>
      <c r="BQC59" s="76"/>
      <c r="BQD59" s="76"/>
      <c r="BQE59" s="76"/>
      <c r="BQF59" s="76"/>
      <c r="BQG59" s="76"/>
      <c r="BQH59" s="76"/>
      <c r="BQI59" s="76"/>
      <c r="BQJ59" s="76"/>
      <c r="BQK59" s="76"/>
      <c r="BQL59" s="76"/>
      <c r="BQM59" s="76"/>
      <c r="BQN59" s="76"/>
      <c r="BQO59" s="76"/>
      <c r="BQP59" s="76"/>
      <c r="BQQ59" s="76"/>
      <c r="BQR59" s="76"/>
      <c r="BQS59" s="76"/>
      <c r="BQT59" s="76"/>
      <c r="BQU59" s="76"/>
      <c r="BQV59" s="76"/>
      <c r="BQW59" s="76"/>
      <c r="BQX59" s="76"/>
      <c r="BQY59" s="76"/>
      <c r="BQZ59" s="76"/>
      <c r="BRA59" s="76"/>
      <c r="BRB59" s="76"/>
      <c r="BRC59" s="76"/>
      <c r="BRD59" s="76"/>
      <c r="BRE59" s="76"/>
      <c r="BRF59" s="76"/>
      <c r="BRG59" s="76"/>
      <c r="BRH59" s="76"/>
      <c r="BRI59" s="76"/>
      <c r="BRJ59" s="76"/>
      <c r="BRK59" s="76"/>
      <c r="BRL59" s="76"/>
      <c r="BRM59" s="76"/>
      <c r="BRN59" s="76"/>
      <c r="BRO59" s="76"/>
      <c r="BRP59" s="76"/>
      <c r="BRQ59" s="76"/>
      <c r="BRR59" s="76"/>
      <c r="BRS59" s="76"/>
      <c r="BRT59" s="76"/>
      <c r="BRU59" s="76"/>
      <c r="BRV59" s="76"/>
      <c r="BRW59" s="76"/>
      <c r="BRX59" s="76"/>
      <c r="BRY59" s="76"/>
      <c r="BRZ59" s="76"/>
      <c r="BSA59" s="76"/>
      <c r="BSB59" s="76"/>
      <c r="BSC59" s="76"/>
      <c r="BSD59" s="76"/>
      <c r="BSE59" s="76"/>
      <c r="BSF59" s="76"/>
      <c r="BSG59" s="76"/>
      <c r="BSH59" s="76"/>
      <c r="BSI59" s="76"/>
      <c r="BSJ59" s="76"/>
      <c r="BSK59" s="76"/>
      <c r="BSL59" s="76"/>
      <c r="BSM59" s="76"/>
      <c r="BSN59" s="76"/>
      <c r="BSO59" s="76"/>
      <c r="BSP59" s="76"/>
      <c r="BSQ59" s="76"/>
      <c r="BSR59" s="76"/>
      <c r="BSS59" s="76"/>
      <c r="BST59" s="76"/>
      <c r="BSU59" s="76"/>
      <c r="BSV59" s="76"/>
      <c r="BSW59" s="76"/>
      <c r="BSX59" s="76"/>
      <c r="BSY59" s="76"/>
      <c r="BSZ59" s="76"/>
      <c r="BTA59" s="76"/>
      <c r="BTB59" s="76"/>
      <c r="BTC59" s="76"/>
      <c r="BTD59" s="76"/>
      <c r="BTE59" s="76"/>
      <c r="BTF59" s="76"/>
      <c r="BTG59" s="76"/>
      <c r="BTH59" s="76"/>
      <c r="BTI59" s="76"/>
      <c r="BTJ59" s="76"/>
      <c r="BTK59" s="76"/>
      <c r="BTL59" s="76"/>
      <c r="BTM59" s="76"/>
      <c r="BTN59" s="76"/>
      <c r="BTO59" s="76"/>
      <c r="BTP59" s="76"/>
      <c r="BTQ59" s="76"/>
      <c r="BTR59" s="76"/>
      <c r="BTS59" s="76"/>
      <c r="BTT59" s="76"/>
      <c r="BTU59" s="76"/>
      <c r="BTV59" s="76"/>
      <c r="BTW59" s="76"/>
      <c r="BTX59" s="76"/>
      <c r="BTY59" s="76"/>
      <c r="BTZ59" s="76"/>
      <c r="BUA59" s="76"/>
      <c r="BUB59" s="76"/>
      <c r="BUC59" s="76"/>
      <c r="BUD59" s="76"/>
      <c r="BUE59" s="76"/>
      <c r="BUF59" s="76"/>
      <c r="BUG59" s="76"/>
      <c r="BUH59" s="76"/>
      <c r="BUI59" s="76"/>
      <c r="BUJ59" s="76"/>
      <c r="BUK59" s="76"/>
      <c r="BUL59" s="76"/>
      <c r="BUM59" s="76"/>
      <c r="BUN59" s="76"/>
      <c r="BUO59" s="76"/>
      <c r="BUP59" s="76"/>
      <c r="BUQ59" s="76"/>
      <c r="BUR59" s="76"/>
      <c r="BUS59" s="76"/>
      <c r="BUT59" s="76"/>
      <c r="BUU59" s="76"/>
      <c r="BUV59" s="76"/>
      <c r="BUW59" s="76"/>
      <c r="BUX59" s="76"/>
      <c r="BUY59" s="76"/>
      <c r="BUZ59" s="76"/>
      <c r="BVA59" s="76"/>
      <c r="BVB59" s="76"/>
      <c r="BVC59" s="76"/>
      <c r="BVD59" s="76"/>
      <c r="BVE59" s="76"/>
      <c r="BVF59" s="76"/>
      <c r="BVG59" s="76"/>
      <c r="BVH59" s="76"/>
      <c r="BVI59" s="76"/>
      <c r="BVJ59" s="76"/>
      <c r="BVK59" s="76"/>
      <c r="BVL59" s="76"/>
      <c r="BVM59" s="76"/>
      <c r="BVN59" s="76"/>
      <c r="BVO59" s="76"/>
      <c r="BVP59" s="76"/>
      <c r="BVQ59" s="76"/>
      <c r="BVR59" s="76"/>
      <c r="BVS59" s="76"/>
      <c r="BVT59" s="76"/>
      <c r="BVU59" s="76"/>
      <c r="BVV59" s="76"/>
      <c r="BVW59" s="76"/>
      <c r="BVX59" s="76"/>
      <c r="BVY59" s="76"/>
      <c r="BVZ59" s="76"/>
      <c r="BWA59" s="76"/>
      <c r="BWB59" s="76"/>
      <c r="BWC59" s="76"/>
      <c r="BWD59" s="76"/>
      <c r="BWE59" s="76"/>
      <c r="BWF59" s="76"/>
      <c r="BWG59" s="76"/>
      <c r="BWH59" s="76"/>
      <c r="BWI59" s="76"/>
      <c r="BWJ59" s="76"/>
      <c r="BWK59" s="76"/>
      <c r="BWL59" s="76"/>
      <c r="BWM59" s="76"/>
      <c r="BWN59" s="76"/>
      <c r="BWO59" s="76"/>
      <c r="BWP59" s="76"/>
      <c r="BWQ59" s="76"/>
      <c r="BWR59" s="76"/>
      <c r="BWS59" s="76"/>
      <c r="BWT59" s="76"/>
      <c r="BWU59" s="76"/>
      <c r="BWV59" s="76"/>
      <c r="BWW59" s="76"/>
      <c r="BWX59" s="76"/>
      <c r="BWY59" s="76"/>
      <c r="BWZ59" s="76"/>
      <c r="BXA59" s="76"/>
      <c r="BXB59" s="76"/>
      <c r="BXC59" s="76"/>
      <c r="BXD59" s="76"/>
      <c r="BXE59" s="76"/>
      <c r="BXF59" s="76"/>
      <c r="BXG59" s="76"/>
      <c r="BXH59" s="76"/>
      <c r="BXI59" s="76"/>
      <c r="BXJ59" s="76"/>
      <c r="BXK59" s="76"/>
      <c r="BXL59" s="76"/>
      <c r="BXM59" s="76"/>
      <c r="BXN59" s="76"/>
      <c r="BXO59" s="76"/>
      <c r="BXP59" s="76"/>
      <c r="BXQ59" s="76"/>
      <c r="BXR59" s="76"/>
      <c r="BXS59" s="76"/>
      <c r="BXT59" s="76"/>
      <c r="BXU59" s="76"/>
      <c r="BXV59" s="76"/>
      <c r="BXW59" s="76"/>
      <c r="BXX59" s="76"/>
      <c r="BXY59" s="76"/>
      <c r="BXZ59" s="76"/>
      <c r="BYA59" s="76"/>
      <c r="BYB59" s="76"/>
      <c r="BYC59" s="76"/>
      <c r="BYD59" s="76"/>
      <c r="BYE59" s="76"/>
      <c r="BYF59" s="76"/>
      <c r="BYG59" s="76"/>
      <c r="BYH59" s="76"/>
      <c r="BYI59" s="76"/>
      <c r="BYJ59" s="76"/>
      <c r="BYK59" s="76"/>
      <c r="BYL59" s="76"/>
      <c r="BYM59" s="76"/>
      <c r="BYN59" s="76"/>
      <c r="BYO59" s="76"/>
      <c r="BYP59" s="76"/>
      <c r="BYQ59" s="76"/>
      <c r="BYR59" s="76"/>
      <c r="BYS59" s="76"/>
      <c r="BYT59" s="76"/>
      <c r="BYU59" s="76"/>
      <c r="BYV59" s="76"/>
      <c r="BYW59" s="76"/>
      <c r="BYX59" s="76"/>
      <c r="BYY59" s="76"/>
      <c r="BYZ59" s="76"/>
      <c r="BZA59" s="76"/>
      <c r="BZB59" s="76"/>
      <c r="BZC59" s="76"/>
      <c r="BZD59" s="76"/>
      <c r="BZE59" s="76"/>
      <c r="BZF59" s="76"/>
      <c r="BZG59" s="76"/>
      <c r="BZH59" s="76"/>
      <c r="BZI59" s="76"/>
      <c r="BZJ59" s="76"/>
      <c r="BZK59" s="76"/>
      <c r="BZL59" s="76"/>
      <c r="BZM59" s="76"/>
      <c r="BZN59" s="76"/>
      <c r="BZO59" s="76"/>
      <c r="BZP59" s="76"/>
      <c r="BZQ59" s="76"/>
      <c r="BZR59" s="76"/>
      <c r="BZS59" s="76"/>
      <c r="BZT59" s="76"/>
      <c r="BZU59" s="76"/>
      <c r="BZV59" s="76"/>
      <c r="BZW59" s="76"/>
      <c r="BZX59" s="76"/>
      <c r="BZY59" s="76"/>
      <c r="BZZ59" s="76"/>
      <c r="CAA59" s="76"/>
      <c r="CAB59" s="76"/>
      <c r="CAC59" s="76"/>
      <c r="CAD59" s="76"/>
      <c r="CAE59" s="76"/>
      <c r="CAF59" s="76"/>
      <c r="CAG59" s="76"/>
      <c r="CAH59" s="76"/>
      <c r="CAI59" s="76"/>
      <c r="CAJ59" s="76"/>
      <c r="CAK59" s="76"/>
      <c r="CAL59" s="76"/>
      <c r="CAM59" s="76"/>
      <c r="CAN59" s="76"/>
      <c r="CAO59" s="76"/>
      <c r="CAP59" s="76"/>
      <c r="CAQ59" s="76"/>
      <c r="CAR59" s="76"/>
      <c r="CAS59" s="76"/>
      <c r="CAT59" s="76"/>
      <c r="CAU59" s="76"/>
      <c r="CAV59" s="76"/>
      <c r="CAW59" s="76"/>
      <c r="CAX59" s="76"/>
      <c r="CAY59" s="76"/>
      <c r="CAZ59" s="76"/>
      <c r="CBA59" s="76"/>
      <c r="CBB59" s="76"/>
      <c r="CBC59" s="76"/>
      <c r="CBD59" s="76"/>
      <c r="CBE59" s="76"/>
      <c r="CBF59" s="76"/>
      <c r="CBG59" s="76"/>
      <c r="CBH59" s="76"/>
      <c r="CBI59" s="76"/>
      <c r="CBJ59" s="76"/>
      <c r="CBK59" s="76"/>
      <c r="CBL59" s="76"/>
      <c r="CBM59" s="76"/>
      <c r="CBN59" s="76"/>
      <c r="CBO59" s="76"/>
      <c r="CBP59" s="76"/>
      <c r="CBQ59" s="76"/>
      <c r="CBR59" s="76"/>
      <c r="CBS59" s="76"/>
      <c r="CBT59" s="76"/>
      <c r="CBU59" s="76"/>
      <c r="CBV59" s="76"/>
      <c r="CBW59" s="76"/>
      <c r="CBX59" s="76"/>
      <c r="CBY59" s="76"/>
      <c r="CBZ59" s="76"/>
      <c r="CCA59" s="76"/>
      <c r="CCB59" s="76"/>
      <c r="CCC59" s="76"/>
      <c r="CCD59" s="76"/>
      <c r="CCE59" s="76"/>
      <c r="CCF59" s="76"/>
      <c r="CCG59" s="76"/>
      <c r="CCH59" s="76"/>
      <c r="CCI59" s="76"/>
      <c r="CCJ59" s="76"/>
      <c r="CCK59" s="76"/>
      <c r="CCL59" s="76"/>
      <c r="CCM59" s="76"/>
      <c r="CCN59" s="76"/>
      <c r="CCO59" s="76"/>
      <c r="CCP59" s="76"/>
      <c r="CCQ59" s="76"/>
      <c r="CCR59" s="76"/>
      <c r="CCS59" s="76"/>
      <c r="CCT59" s="76"/>
      <c r="CCU59" s="76"/>
      <c r="CCV59" s="76"/>
      <c r="CCW59" s="76"/>
      <c r="CCX59" s="76"/>
      <c r="CCY59" s="76"/>
      <c r="CCZ59" s="76"/>
      <c r="CDA59" s="76"/>
      <c r="CDB59" s="76"/>
      <c r="CDC59" s="76"/>
      <c r="CDD59" s="76"/>
      <c r="CDE59" s="76"/>
      <c r="CDF59" s="76"/>
      <c r="CDG59" s="76"/>
      <c r="CDH59" s="76"/>
      <c r="CDI59" s="76"/>
      <c r="CDJ59" s="76"/>
      <c r="CDK59" s="76"/>
      <c r="CDL59" s="76"/>
      <c r="CDM59" s="76"/>
      <c r="CDN59" s="76"/>
      <c r="CDO59" s="76"/>
      <c r="CDP59" s="76"/>
      <c r="CDQ59" s="76"/>
      <c r="CDR59" s="76"/>
      <c r="CDS59" s="76"/>
      <c r="CDT59" s="76"/>
      <c r="CDU59" s="76"/>
      <c r="CDV59" s="76"/>
      <c r="CDW59" s="76"/>
      <c r="CDX59" s="76"/>
      <c r="CDY59" s="76"/>
      <c r="CDZ59" s="76"/>
      <c r="CEA59" s="76"/>
      <c r="CEB59" s="76"/>
      <c r="CEC59" s="76"/>
      <c r="CED59" s="76"/>
      <c r="CEE59" s="76"/>
      <c r="CEF59" s="76"/>
      <c r="CEG59" s="76"/>
      <c r="CEH59" s="76"/>
      <c r="CEI59" s="76"/>
      <c r="CEJ59" s="76"/>
      <c r="CEK59" s="76"/>
      <c r="CEL59" s="76"/>
      <c r="CEM59" s="76"/>
      <c r="CEN59" s="76"/>
      <c r="CEO59" s="76"/>
      <c r="CEP59" s="76"/>
      <c r="CEQ59" s="76"/>
      <c r="CER59" s="76"/>
      <c r="CES59" s="76"/>
      <c r="CET59" s="76"/>
      <c r="CEU59" s="76"/>
      <c r="CEV59" s="76"/>
      <c r="CEW59" s="76"/>
      <c r="CEX59" s="76"/>
      <c r="CEY59" s="76"/>
      <c r="CEZ59" s="76"/>
      <c r="CFA59" s="76"/>
      <c r="CFB59" s="76"/>
      <c r="CFC59" s="76"/>
      <c r="CFD59" s="76"/>
      <c r="CFE59" s="76"/>
      <c r="CFF59" s="76"/>
      <c r="CFG59" s="76"/>
      <c r="CFH59" s="76"/>
      <c r="CFI59" s="76"/>
      <c r="CFJ59" s="76"/>
      <c r="CFK59" s="76"/>
      <c r="CFL59" s="76"/>
      <c r="CFM59" s="76"/>
      <c r="CFN59" s="76"/>
      <c r="CFO59" s="76"/>
      <c r="CFP59" s="76"/>
      <c r="CFQ59" s="76"/>
      <c r="CFR59" s="76"/>
      <c r="CFS59" s="76"/>
      <c r="CFT59" s="76"/>
      <c r="CFU59" s="76"/>
      <c r="CFV59" s="76"/>
      <c r="CFW59" s="76"/>
      <c r="CFX59" s="76"/>
      <c r="CFY59" s="76"/>
      <c r="CFZ59" s="76"/>
      <c r="CGA59" s="76"/>
      <c r="CGB59" s="76"/>
      <c r="CGC59" s="76"/>
      <c r="CGD59" s="76"/>
      <c r="CGE59" s="76"/>
      <c r="CGF59" s="76"/>
      <c r="CGG59" s="76"/>
      <c r="CGH59" s="76"/>
      <c r="CGI59" s="76"/>
      <c r="CGJ59" s="76"/>
      <c r="CGK59" s="76"/>
      <c r="CGL59" s="76"/>
      <c r="CGM59" s="76"/>
      <c r="CGN59" s="76"/>
      <c r="CGO59" s="76"/>
      <c r="CGP59" s="76"/>
      <c r="CGQ59" s="76"/>
      <c r="CGR59" s="76"/>
      <c r="CGS59" s="76"/>
      <c r="CGT59" s="76"/>
      <c r="CGU59" s="76"/>
      <c r="CGV59" s="76"/>
      <c r="CGW59" s="76"/>
      <c r="CGX59" s="76"/>
      <c r="CGY59" s="76"/>
      <c r="CGZ59" s="76"/>
      <c r="CHA59" s="76"/>
      <c r="CHB59" s="76"/>
      <c r="CHC59" s="76"/>
      <c r="CHD59" s="76"/>
      <c r="CHE59" s="76"/>
      <c r="CHF59" s="76"/>
      <c r="CHG59" s="76"/>
      <c r="CHH59" s="76"/>
      <c r="CHI59" s="76"/>
      <c r="CHJ59" s="76"/>
      <c r="CHK59" s="76"/>
      <c r="CHL59" s="76"/>
      <c r="CHM59" s="76"/>
      <c r="CHN59" s="76"/>
      <c r="CHO59" s="76"/>
      <c r="CHP59" s="76"/>
      <c r="CHQ59" s="76"/>
      <c r="CHR59" s="76"/>
      <c r="CHS59" s="76"/>
      <c r="CHT59" s="76"/>
      <c r="CHU59" s="76"/>
      <c r="CHV59" s="76"/>
      <c r="CHW59" s="76"/>
      <c r="CHX59" s="76"/>
      <c r="CHY59" s="76"/>
      <c r="CHZ59" s="76"/>
      <c r="CIA59" s="76"/>
      <c r="CIB59" s="76"/>
      <c r="CIC59" s="76"/>
      <c r="CID59" s="76"/>
      <c r="CIE59" s="76"/>
      <c r="CIF59" s="76"/>
      <c r="CIG59" s="76"/>
      <c r="CIH59" s="76"/>
      <c r="CII59" s="76"/>
      <c r="CIJ59" s="76"/>
      <c r="CIK59" s="76"/>
      <c r="CIL59" s="76"/>
      <c r="CIM59" s="76"/>
      <c r="CIN59" s="76"/>
      <c r="CIO59" s="76"/>
      <c r="CIP59" s="76"/>
      <c r="CIQ59" s="76"/>
      <c r="CIR59" s="76"/>
      <c r="CIS59" s="76"/>
      <c r="CIT59" s="76"/>
      <c r="CIU59" s="76"/>
      <c r="CIV59" s="76"/>
      <c r="CIW59" s="76"/>
      <c r="CIX59" s="76"/>
      <c r="CIY59" s="76"/>
      <c r="CIZ59" s="76"/>
      <c r="CJA59" s="76"/>
      <c r="CJB59" s="76"/>
      <c r="CJC59" s="76"/>
      <c r="CJD59" s="76"/>
      <c r="CJE59" s="76"/>
      <c r="CJF59" s="76"/>
      <c r="CJG59" s="76"/>
      <c r="CJH59" s="76"/>
      <c r="CJI59" s="76"/>
      <c r="CJJ59" s="76"/>
      <c r="CJK59" s="76"/>
      <c r="CJL59" s="76"/>
      <c r="CJM59" s="76"/>
      <c r="CJN59" s="76"/>
      <c r="CJO59" s="76"/>
      <c r="CJP59" s="76"/>
      <c r="CJQ59" s="76"/>
      <c r="CJR59" s="76"/>
      <c r="CJS59" s="76"/>
      <c r="CJT59" s="76"/>
      <c r="CJU59" s="76"/>
      <c r="CJV59" s="76"/>
      <c r="CJW59" s="76"/>
      <c r="CJX59" s="76"/>
      <c r="CJY59" s="76"/>
      <c r="CJZ59" s="76"/>
      <c r="CKA59" s="76"/>
      <c r="CKB59" s="76"/>
      <c r="CKC59" s="76"/>
      <c r="CKD59" s="76"/>
      <c r="CKE59" s="76"/>
      <c r="CKF59" s="76"/>
      <c r="CKG59" s="76"/>
      <c r="CKH59" s="76"/>
      <c r="CKI59" s="76"/>
      <c r="CKJ59" s="76"/>
      <c r="CKK59" s="76"/>
      <c r="CKL59" s="76"/>
      <c r="CKM59" s="76"/>
      <c r="CKN59" s="76"/>
      <c r="CKO59" s="76"/>
      <c r="CKP59" s="76"/>
      <c r="CKQ59" s="76"/>
      <c r="CKR59" s="76"/>
      <c r="CKS59" s="76"/>
      <c r="CKT59" s="76"/>
      <c r="CKU59" s="76"/>
      <c r="CKV59" s="76"/>
      <c r="CKW59" s="76"/>
      <c r="CKX59" s="76"/>
      <c r="CKY59" s="76"/>
      <c r="CKZ59" s="76"/>
      <c r="CLA59" s="76"/>
      <c r="CLB59" s="76"/>
      <c r="CLC59" s="76"/>
      <c r="CLD59" s="76"/>
      <c r="CLE59" s="76"/>
      <c r="CLF59" s="76"/>
      <c r="CLG59" s="76"/>
      <c r="CLH59" s="76"/>
      <c r="CLI59" s="76"/>
      <c r="CLJ59" s="76"/>
      <c r="CLK59" s="76"/>
      <c r="CLL59" s="76"/>
      <c r="CLM59" s="76"/>
      <c r="CLN59" s="76"/>
      <c r="CLO59" s="76"/>
      <c r="CLP59" s="76"/>
      <c r="CLQ59" s="76"/>
      <c r="CLR59" s="76"/>
      <c r="CLS59" s="76"/>
      <c r="CLT59" s="76"/>
      <c r="CLU59" s="76"/>
      <c r="CLV59" s="76"/>
      <c r="CLW59" s="76"/>
      <c r="CLX59" s="76"/>
      <c r="CLY59" s="76"/>
      <c r="CLZ59" s="76"/>
      <c r="CMA59" s="76"/>
      <c r="CMB59" s="76"/>
      <c r="CMC59" s="76"/>
      <c r="CMD59" s="76"/>
      <c r="CME59" s="76"/>
      <c r="CMF59" s="76"/>
      <c r="CMG59" s="76"/>
      <c r="CMH59" s="76"/>
      <c r="CMI59" s="76"/>
      <c r="CMJ59" s="76"/>
      <c r="CMK59" s="76"/>
      <c r="CML59" s="76"/>
      <c r="CMM59" s="76"/>
      <c r="CMN59" s="76"/>
      <c r="CMO59" s="76"/>
      <c r="CMP59" s="76"/>
      <c r="CMQ59" s="76"/>
      <c r="CMR59" s="76"/>
      <c r="CMS59" s="76"/>
      <c r="CMT59" s="76"/>
      <c r="CMU59" s="76"/>
      <c r="CMV59" s="76"/>
      <c r="CMW59" s="76"/>
      <c r="CMX59" s="76"/>
      <c r="CMY59" s="76"/>
      <c r="CMZ59" s="76"/>
      <c r="CNA59" s="76"/>
      <c r="CNB59" s="76"/>
      <c r="CNC59" s="76"/>
      <c r="CND59" s="76"/>
      <c r="CNE59" s="76"/>
      <c r="CNF59" s="76"/>
      <c r="CNG59" s="76"/>
      <c r="CNH59" s="76"/>
      <c r="CNI59" s="76"/>
      <c r="CNJ59" s="76"/>
      <c r="CNK59" s="76"/>
      <c r="CNL59" s="76"/>
      <c r="CNM59" s="76"/>
      <c r="CNN59" s="76"/>
      <c r="CNO59" s="76"/>
      <c r="CNP59" s="76"/>
      <c r="CNQ59" s="76"/>
      <c r="CNR59" s="76"/>
      <c r="CNS59" s="76"/>
      <c r="CNT59" s="76"/>
      <c r="CNU59" s="76"/>
      <c r="CNV59" s="76"/>
      <c r="CNW59" s="76"/>
      <c r="CNX59" s="76"/>
      <c r="CNY59" s="76"/>
      <c r="CNZ59" s="76"/>
      <c r="COA59" s="76"/>
      <c r="COB59" s="76"/>
      <c r="COC59" s="76"/>
      <c r="COD59" s="76"/>
      <c r="COE59" s="76"/>
      <c r="COF59" s="76"/>
      <c r="COG59" s="76"/>
      <c r="COH59" s="76"/>
      <c r="COI59" s="76"/>
      <c r="COJ59" s="76"/>
      <c r="COK59" s="76"/>
      <c r="COL59" s="76"/>
      <c r="COM59" s="76"/>
      <c r="CON59" s="76"/>
      <c r="COO59" s="76"/>
      <c r="COP59" s="76"/>
      <c r="COQ59" s="76"/>
      <c r="COR59" s="76"/>
      <c r="COS59" s="76"/>
      <c r="COT59" s="76"/>
      <c r="COU59" s="76"/>
      <c r="COV59" s="76"/>
      <c r="COW59" s="76"/>
      <c r="COX59" s="76"/>
      <c r="COY59" s="76"/>
      <c r="COZ59" s="76"/>
      <c r="CPA59" s="76"/>
      <c r="CPB59" s="76"/>
      <c r="CPC59" s="76"/>
      <c r="CPD59" s="76"/>
      <c r="CPE59" s="76"/>
      <c r="CPF59" s="76"/>
      <c r="CPG59" s="76"/>
      <c r="CPH59" s="76"/>
      <c r="CPI59" s="76"/>
      <c r="CPJ59" s="76"/>
      <c r="CPK59" s="76"/>
      <c r="CPL59" s="76"/>
      <c r="CPM59" s="76"/>
      <c r="CPN59" s="76"/>
      <c r="CPO59" s="76"/>
      <c r="CPP59" s="76"/>
      <c r="CPQ59" s="76"/>
      <c r="CPR59" s="76"/>
      <c r="CPS59" s="76"/>
      <c r="CPT59" s="76"/>
      <c r="CPU59" s="76"/>
      <c r="CPV59" s="76"/>
      <c r="CPW59" s="76"/>
      <c r="CPX59" s="76"/>
      <c r="CPY59" s="76"/>
      <c r="CPZ59" s="76"/>
      <c r="CQA59" s="76"/>
      <c r="CQB59" s="76"/>
      <c r="CQC59" s="76"/>
      <c r="CQD59" s="76"/>
      <c r="CQE59" s="76"/>
      <c r="CQF59" s="76"/>
      <c r="CQG59" s="76"/>
      <c r="CQH59" s="76"/>
      <c r="CQI59" s="76"/>
      <c r="CQJ59" s="76"/>
      <c r="CQK59" s="76"/>
      <c r="CQL59" s="76"/>
      <c r="CQM59" s="76"/>
      <c r="CQN59" s="76"/>
      <c r="CQO59" s="76"/>
      <c r="CQP59" s="76"/>
      <c r="CQQ59" s="76"/>
      <c r="CQR59" s="76"/>
      <c r="CQS59" s="76"/>
      <c r="CQT59" s="76"/>
      <c r="CQU59" s="76"/>
      <c r="CQV59" s="76"/>
      <c r="CQW59" s="76"/>
      <c r="CQX59" s="76"/>
      <c r="CQY59" s="76"/>
      <c r="CQZ59" s="76"/>
      <c r="CRA59" s="76"/>
      <c r="CRB59" s="76"/>
      <c r="CRC59" s="76"/>
      <c r="CRD59" s="76"/>
      <c r="CRE59" s="76"/>
      <c r="CRF59" s="76"/>
      <c r="CRG59" s="76"/>
      <c r="CRH59" s="76"/>
      <c r="CRI59" s="76"/>
      <c r="CRJ59" s="76"/>
      <c r="CRK59" s="76"/>
      <c r="CRL59" s="76"/>
      <c r="CRM59" s="76"/>
      <c r="CRN59" s="76"/>
      <c r="CRO59" s="76"/>
      <c r="CRP59" s="76"/>
      <c r="CRQ59" s="76"/>
      <c r="CRR59" s="76"/>
      <c r="CRS59" s="76"/>
      <c r="CRT59" s="76"/>
      <c r="CRU59" s="76"/>
      <c r="CRV59" s="76"/>
      <c r="CRW59" s="76"/>
      <c r="CRX59" s="76"/>
      <c r="CRY59" s="76"/>
      <c r="CRZ59" s="76"/>
      <c r="CSA59" s="76"/>
      <c r="CSB59" s="76"/>
      <c r="CSC59" s="76"/>
      <c r="CSD59" s="76"/>
      <c r="CSE59" s="76"/>
      <c r="CSF59" s="76"/>
      <c r="CSG59" s="76"/>
      <c r="CSH59" s="76"/>
      <c r="CSI59" s="76"/>
      <c r="CSJ59" s="76"/>
      <c r="CSK59" s="76"/>
      <c r="CSL59" s="76"/>
      <c r="CSM59" s="76"/>
      <c r="CSN59" s="76"/>
      <c r="CSO59" s="76"/>
      <c r="CSP59" s="76"/>
      <c r="CSQ59" s="76"/>
      <c r="CSR59" s="76"/>
      <c r="CSS59" s="76"/>
      <c r="CST59" s="76"/>
      <c r="CSU59" s="76"/>
      <c r="CSV59" s="76"/>
      <c r="CSW59" s="76"/>
      <c r="CSX59" s="76"/>
      <c r="CSY59" s="76"/>
      <c r="CSZ59" s="76"/>
      <c r="CTA59" s="76"/>
      <c r="CTB59" s="76"/>
      <c r="CTC59" s="76"/>
      <c r="CTD59" s="76"/>
      <c r="CTE59" s="76"/>
      <c r="CTF59" s="76"/>
      <c r="CTG59" s="76"/>
      <c r="CTH59" s="76"/>
      <c r="CTI59" s="76"/>
      <c r="CTJ59" s="76"/>
      <c r="CTK59" s="76"/>
      <c r="CTL59" s="76"/>
      <c r="CTM59" s="76"/>
      <c r="CTN59" s="76"/>
      <c r="CTO59" s="76"/>
      <c r="CTP59" s="76"/>
      <c r="CTQ59" s="76"/>
      <c r="CTR59" s="76"/>
      <c r="CTS59" s="76"/>
      <c r="CTT59" s="76"/>
      <c r="CTU59" s="76"/>
      <c r="CTV59" s="76"/>
      <c r="CTW59" s="76"/>
      <c r="CTX59" s="76"/>
      <c r="CTY59" s="76"/>
      <c r="CTZ59" s="76"/>
      <c r="CUA59" s="76"/>
      <c r="CUB59" s="76"/>
      <c r="CUC59" s="76"/>
      <c r="CUD59" s="76"/>
      <c r="CUE59" s="76"/>
      <c r="CUF59" s="76"/>
      <c r="CUG59" s="76"/>
      <c r="CUH59" s="76"/>
      <c r="CUI59" s="76"/>
      <c r="CUJ59" s="76"/>
      <c r="CUK59" s="76"/>
      <c r="CUL59" s="76"/>
      <c r="CUM59" s="76"/>
      <c r="CUN59" s="76"/>
      <c r="CUO59" s="76"/>
      <c r="CUP59" s="76"/>
      <c r="CUQ59" s="76"/>
      <c r="CUR59" s="76"/>
      <c r="CUS59" s="76"/>
      <c r="CUT59" s="76"/>
      <c r="CUU59" s="76"/>
      <c r="CUV59" s="76"/>
      <c r="CUW59" s="76"/>
      <c r="CUX59" s="76"/>
      <c r="CUY59" s="76"/>
      <c r="CUZ59" s="76"/>
      <c r="CVA59" s="76"/>
      <c r="CVB59" s="76"/>
      <c r="CVC59" s="76"/>
      <c r="CVD59" s="76"/>
      <c r="CVE59" s="76"/>
      <c r="CVF59" s="76"/>
      <c r="CVG59" s="76"/>
      <c r="CVH59" s="76"/>
      <c r="CVI59" s="76"/>
      <c r="CVJ59" s="76"/>
      <c r="CVK59" s="76"/>
      <c r="CVL59" s="76"/>
      <c r="CVM59" s="76"/>
      <c r="CVN59" s="76"/>
      <c r="CVO59" s="76"/>
      <c r="CVP59" s="76"/>
      <c r="CVQ59" s="76"/>
      <c r="CVR59" s="76"/>
      <c r="CVS59" s="76"/>
      <c r="CVT59" s="76"/>
      <c r="CVU59" s="76"/>
      <c r="CVV59" s="76"/>
      <c r="CVW59" s="76"/>
      <c r="CVX59" s="76"/>
      <c r="CVY59" s="76"/>
      <c r="CVZ59" s="76"/>
      <c r="CWA59" s="76"/>
      <c r="CWB59" s="76"/>
      <c r="CWC59" s="76"/>
      <c r="CWD59" s="76"/>
      <c r="CWE59" s="76"/>
      <c r="CWF59" s="76"/>
      <c r="CWG59" s="76"/>
      <c r="CWH59" s="76"/>
      <c r="CWI59" s="76"/>
      <c r="CWJ59" s="76"/>
      <c r="CWK59" s="76"/>
      <c r="CWL59" s="76"/>
      <c r="CWM59" s="76"/>
      <c r="CWN59" s="76"/>
      <c r="CWO59" s="76"/>
      <c r="CWP59" s="76"/>
      <c r="CWQ59" s="76"/>
      <c r="CWR59" s="76"/>
      <c r="CWS59" s="76"/>
      <c r="CWT59" s="76"/>
      <c r="CWU59" s="76"/>
      <c r="CWV59" s="76"/>
      <c r="CWW59" s="76"/>
      <c r="CWX59" s="76"/>
      <c r="CWY59" s="76"/>
      <c r="CWZ59" s="76"/>
      <c r="CXA59" s="76"/>
      <c r="CXB59" s="76"/>
      <c r="CXC59" s="76"/>
      <c r="CXD59" s="76"/>
      <c r="CXE59" s="76"/>
      <c r="CXF59" s="76"/>
      <c r="CXG59" s="76"/>
      <c r="CXH59" s="76"/>
      <c r="CXI59" s="76"/>
      <c r="CXJ59" s="76"/>
      <c r="CXK59" s="76"/>
      <c r="CXL59" s="76"/>
      <c r="CXM59" s="76"/>
      <c r="CXN59" s="76"/>
      <c r="CXO59" s="76"/>
      <c r="CXP59" s="76"/>
      <c r="CXQ59" s="76"/>
      <c r="CXR59" s="76"/>
      <c r="CXS59" s="76"/>
      <c r="CXT59" s="76"/>
      <c r="CXU59" s="76"/>
      <c r="CXV59" s="76"/>
      <c r="CXW59" s="76"/>
      <c r="CXX59" s="76"/>
      <c r="CXY59" s="76"/>
      <c r="CXZ59" s="76"/>
      <c r="CYA59" s="76"/>
      <c r="CYB59" s="76"/>
      <c r="CYC59" s="76"/>
      <c r="CYD59" s="76"/>
      <c r="CYE59" s="76"/>
      <c r="CYF59" s="76"/>
      <c r="CYG59" s="76"/>
      <c r="CYH59" s="76"/>
      <c r="CYI59" s="76"/>
      <c r="CYJ59" s="76"/>
      <c r="CYK59" s="76"/>
      <c r="CYL59" s="76"/>
      <c r="CYM59" s="76"/>
      <c r="CYN59" s="76"/>
      <c r="CYO59" s="76"/>
      <c r="CYP59" s="76"/>
      <c r="CYQ59" s="76"/>
      <c r="CYR59" s="76"/>
      <c r="CYS59" s="76"/>
      <c r="CYT59" s="76"/>
      <c r="CYU59" s="76"/>
      <c r="CYV59" s="76"/>
      <c r="CYW59" s="76"/>
      <c r="CYX59" s="76"/>
      <c r="CYY59" s="76"/>
      <c r="CYZ59" s="76"/>
      <c r="CZA59" s="76"/>
      <c r="CZB59" s="76"/>
      <c r="CZC59" s="76"/>
      <c r="CZD59" s="76"/>
      <c r="CZE59" s="76"/>
      <c r="CZF59" s="76"/>
      <c r="CZG59" s="76"/>
      <c r="CZH59" s="76"/>
      <c r="CZI59" s="76"/>
      <c r="CZJ59" s="76"/>
      <c r="CZK59" s="76"/>
      <c r="CZL59" s="76"/>
      <c r="CZM59" s="76"/>
      <c r="CZN59" s="76"/>
      <c r="CZO59" s="76"/>
      <c r="CZP59" s="76"/>
      <c r="CZQ59" s="76"/>
      <c r="CZR59" s="76"/>
      <c r="CZS59" s="76"/>
      <c r="CZT59" s="76"/>
      <c r="CZU59" s="76"/>
      <c r="CZV59" s="76"/>
      <c r="CZW59" s="76"/>
      <c r="CZX59" s="76"/>
      <c r="CZY59" s="76"/>
      <c r="CZZ59" s="76"/>
      <c r="DAA59" s="76"/>
      <c r="DAB59" s="76"/>
      <c r="DAC59" s="76"/>
      <c r="DAD59" s="76"/>
      <c r="DAE59" s="76"/>
      <c r="DAF59" s="76"/>
      <c r="DAG59" s="76"/>
      <c r="DAH59" s="76"/>
      <c r="DAI59" s="76"/>
      <c r="DAJ59" s="76"/>
      <c r="DAK59" s="76"/>
      <c r="DAL59" s="76"/>
      <c r="DAM59" s="76"/>
      <c r="DAN59" s="76"/>
      <c r="DAO59" s="76"/>
      <c r="DAP59" s="76"/>
      <c r="DAQ59" s="76"/>
      <c r="DAR59" s="76"/>
      <c r="DAS59" s="76"/>
      <c r="DAT59" s="76"/>
      <c r="DAU59" s="76"/>
      <c r="DAV59" s="76"/>
      <c r="DAW59" s="76"/>
      <c r="DAX59" s="76"/>
      <c r="DAY59" s="76"/>
      <c r="DAZ59" s="76"/>
      <c r="DBA59" s="76"/>
      <c r="DBB59" s="76"/>
      <c r="DBC59" s="76"/>
      <c r="DBD59" s="76"/>
      <c r="DBE59" s="76"/>
      <c r="DBF59" s="76"/>
      <c r="DBG59" s="76"/>
      <c r="DBH59" s="76"/>
      <c r="DBI59" s="76"/>
      <c r="DBJ59" s="76"/>
      <c r="DBK59" s="76"/>
      <c r="DBL59" s="76"/>
      <c r="DBM59" s="76"/>
      <c r="DBN59" s="76"/>
      <c r="DBO59" s="76"/>
      <c r="DBP59" s="76"/>
      <c r="DBQ59" s="76"/>
      <c r="DBR59" s="76"/>
      <c r="DBS59" s="76"/>
      <c r="DBT59" s="76"/>
      <c r="DBU59" s="76"/>
      <c r="DBV59" s="76"/>
      <c r="DBW59" s="76"/>
      <c r="DBX59" s="76"/>
      <c r="DBY59" s="76"/>
      <c r="DBZ59" s="76"/>
      <c r="DCA59" s="76"/>
      <c r="DCB59" s="76"/>
      <c r="DCC59" s="76"/>
      <c r="DCD59" s="76"/>
      <c r="DCE59" s="76"/>
      <c r="DCF59" s="76"/>
      <c r="DCG59" s="76"/>
      <c r="DCH59" s="76"/>
      <c r="DCI59" s="76"/>
      <c r="DCJ59" s="76"/>
      <c r="DCK59" s="76"/>
      <c r="DCL59" s="76"/>
      <c r="DCM59" s="76"/>
      <c r="DCN59" s="76"/>
      <c r="DCO59" s="76"/>
      <c r="DCP59" s="76"/>
      <c r="DCQ59" s="76"/>
      <c r="DCR59" s="76"/>
      <c r="DCS59" s="76"/>
      <c r="DCT59" s="76"/>
      <c r="DCU59" s="76"/>
      <c r="DCV59" s="76"/>
      <c r="DCW59" s="76"/>
      <c r="DCX59" s="76"/>
      <c r="DCY59" s="76"/>
      <c r="DCZ59" s="76"/>
      <c r="DDA59" s="76"/>
      <c r="DDB59" s="76"/>
      <c r="DDC59" s="76"/>
      <c r="DDD59" s="76"/>
      <c r="DDE59" s="76"/>
      <c r="DDF59" s="76"/>
      <c r="DDG59" s="76"/>
      <c r="DDH59" s="76"/>
      <c r="DDI59" s="76"/>
      <c r="DDJ59" s="76"/>
      <c r="DDK59" s="76"/>
      <c r="DDL59" s="76"/>
      <c r="DDM59" s="76"/>
      <c r="DDN59" s="76"/>
      <c r="DDO59" s="76"/>
      <c r="DDP59" s="76"/>
      <c r="DDQ59" s="76"/>
      <c r="DDR59" s="76"/>
      <c r="DDS59" s="76"/>
      <c r="DDT59" s="76"/>
      <c r="DDU59" s="76"/>
      <c r="DDV59" s="76"/>
      <c r="DDW59" s="76"/>
      <c r="DDX59" s="76"/>
      <c r="DDY59" s="76"/>
      <c r="DDZ59" s="76"/>
      <c r="DEA59" s="76"/>
      <c r="DEB59" s="76"/>
      <c r="DEC59" s="76"/>
      <c r="DED59" s="76"/>
      <c r="DEE59" s="76"/>
      <c r="DEF59" s="76"/>
      <c r="DEG59" s="76"/>
      <c r="DEH59" s="76"/>
      <c r="DEI59" s="76"/>
      <c r="DEJ59" s="76"/>
      <c r="DEK59" s="76"/>
      <c r="DEL59" s="76"/>
      <c r="DEM59" s="76"/>
      <c r="DEN59" s="76"/>
      <c r="DEO59" s="76"/>
      <c r="DEP59" s="76"/>
      <c r="DEQ59" s="76"/>
      <c r="DER59" s="76"/>
      <c r="DES59" s="76"/>
      <c r="DET59" s="76"/>
      <c r="DEU59" s="76"/>
      <c r="DEV59" s="76"/>
      <c r="DEW59" s="76"/>
      <c r="DEX59" s="76"/>
      <c r="DEY59" s="76"/>
      <c r="DEZ59" s="76"/>
      <c r="DFA59" s="76"/>
      <c r="DFB59" s="76"/>
      <c r="DFC59" s="76"/>
      <c r="DFD59" s="76"/>
      <c r="DFE59" s="76"/>
      <c r="DFF59" s="76"/>
      <c r="DFG59" s="76"/>
      <c r="DFH59" s="76"/>
      <c r="DFI59" s="76"/>
      <c r="DFJ59" s="76"/>
      <c r="DFK59" s="76"/>
      <c r="DFL59" s="76"/>
      <c r="DFM59" s="76"/>
      <c r="DFN59" s="76"/>
      <c r="DFO59" s="76"/>
      <c r="DFP59" s="76"/>
      <c r="DFQ59" s="76"/>
      <c r="DFR59" s="76"/>
      <c r="DFS59" s="76"/>
      <c r="DFT59" s="76"/>
      <c r="DFU59" s="76"/>
      <c r="DFV59" s="76"/>
      <c r="DFW59" s="76"/>
      <c r="DFX59" s="76"/>
      <c r="DFY59" s="76"/>
      <c r="DFZ59" s="76"/>
      <c r="DGA59" s="76"/>
      <c r="DGB59" s="76"/>
      <c r="DGC59" s="76"/>
      <c r="DGD59" s="76"/>
      <c r="DGE59" s="76"/>
      <c r="DGF59" s="76"/>
      <c r="DGG59" s="76"/>
      <c r="DGH59" s="76"/>
      <c r="DGI59" s="76"/>
      <c r="DGJ59" s="76"/>
      <c r="DGK59" s="76"/>
      <c r="DGL59" s="76"/>
      <c r="DGM59" s="76"/>
      <c r="DGN59" s="76"/>
      <c r="DGO59" s="76"/>
      <c r="DGP59" s="76"/>
      <c r="DGQ59" s="76"/>
      <c r="DGR59" s="76"/>
      <c r="DGS59" s="76"/>
      <c r="DGT59" s="76"/>
      <c r="DGU59" s="76"/>
      <c r="DGV59" s="76"/>
      <c r="DGW59" s="76"/>
      <c r="DGX59" s="76"/>
      <c r="DGY59" s="76"/>
      <c r="DGZ59" s="76"/>
      <c r="DHA59" s="76"/>
      <c r="DHB59" s="76"/>
      <c r="DHC59" s="76"/>
      <c r="DHD59" s="76"/>
      <c r="DHE59" s="76"/>
      <c r="DHF59" s="76"/>
      <c r="DHG59" s="76"/>
      <c r="DHH59" s="76"/>
      <c r="DHI59" s="76"/>
      <c r="DHJ59" s="76"/>
      <c r="DHK59" s="76"/>
      <c r="DHL59" s="76"/>
      <c r="DHM59" s="76"/>
      <c r="DHN59" s="76"/>
      <c r="DHO59" s="76"/>
      <c r="DHP59" s="76"/>
      <c r="DHQ59" s="76"/>
      <c r="DHR59" s="76"/>
      <c r="DHS59" s="76"/>
      <c r="DHT59" s="76"/>
      <c r="DHU59" s="76"/>
      <c r="DHV59" s="76"/>
      <c r="DHW59" s="76"/>
      <c r="DHX59" s="76"/>
      <c r="DHY59" s="76"/>
      <c r="DHZ59" s="76"/>
      <c r="DIA59" s="76"/>
      <c r="DIB59" s="76"/>
      <c r="DIC59" s="76"/>
      <c r="DID59" s="76"/>
      <c r="DIE59" s="76"/>
      <c r="DIF59" s="76"/>
      <c r="DIG59" s="76"/>
      <c r="DIH59" s="76"/>
      <c r="DII59" s="76"/>
      <c r="DIJ59" s="76"/>
      <c r="DIK59" s="76"/>
      <c r="DIL59" s="76"/>
      <c r="DIM59" s="76"/>
      <c r="DIN59" s="76"/>
      <c r="DIO59" s="76"/>
      <c r="DIP59" s="76"/>
      <c r="DIQ59" s="76"/>
      <c r="DIR59" s="76"/>
      <c r="DIS59" s="76"/>
      <c r="DIT59" s="76"/>
      <c r="DIU59" s="76"/>
      <c r="DIV59" s="76"/>
      <c r="DIW59" s="76"/>
      <c r="DIX59" s="76"/>
      <c r="DIY59" s="76"/>
      <c r="DIZ59" s="76"/>
      <c r="DJA59" s="76"/>
      <c r="DJB59" s="76"/>
      <c r="DJC59" s="76"/>
      <c r="DJD59" s="76"/>
      <c r="DJE59" s="76"/>
      <c r="DJF59" s="76"/>
      <c r="DJG59" s="76"/>
      <c r="DJH59" s="76"/>
      <c r="DJI59" s="76"/>
      <c r="DJJ59" s="76"/>
      <c r="DJK59" s="76"/>
      <c r="DJL59" s="76"/>
      <c r="DJM59" s="76"/>
      <c r="DJN59" s="76"/>
      <c r="DJO59" s="76"/>
      <c r="DJP59" s="76"/>
      <c r="DJQ59" s="76"/>
      <c r="DJR59" s="76"/>
      <c r="DJS59" s="76"/>
      <c r="DJT59" s="76"/>
      <c r="DJU59" s="76"/>
      <c r="DJV59" s="76"/>
      <c r="DJW59" s="76"/>
      <c r="DJX59" s="76"/>
      <c r="DJY59" s="76"/>
      <c r="DJZ59" s="76"/>
      <c r="DKA59" s="76"/>
      <c r="DKB59" s="76"/>
      <c r="DKC59" s="76"/>
      <c r="DKD59" s="76"/>
      <c r="DKE59" s="76"/>
      <c r="DKF59" s="76"/>
      <c r="DKG59" s="76"/>
      <c r="DKH59" s="76"/>
      <c r="DKI59" s="76"/>
      <c r="DKJ59" s="76"/>
      <c r="DKK59" s="76"/>
      <c r="DKL59" s="76"/>
      <c r="DKM59" s="76"/>
      <c r="DKN59" s="76"/>
      <c r="DKO59" s="76"/>
      <c r="DKP59" s="76"/>
      <c r="DKQ59" s="76"/>
      <c r="DKR59" s="76"/>
      <c r="DKS59" s="76"/>
      <c r="DKT59" s="76"/>
      <c r="DKU59" s="76"/>
      <c r="DKV59" s="76"/>
      <c r="DKW59" s="76"/>
      <c r="DKX59" s="76"/>
      <c r="DKY59" s="76"/>
      <c r="DKZ59" s="76"/>
      <c r="DLA59" s="76"/>
      <c r="DLB59" s="76"/>
      <c r="DLC59" s="76"/>
      <c r="DLD59" s="76"/>
      <c r="DLE59" s="76"/>
      <c r="DLF59" s="76"/>
      <c r="DLG59" s="76"/>
      <c r="DLH59" s="76"/>
      <c r="DLI59" s="76"/>
      <c r="DLJ59" s="76"/>
      <c r="DLK59" s="76"/>
      <c r="DLL59" s="76"/>
      <c r="DLM59" s="76"/>
      <c r="DLN59" s="76"/>
      <c r="DLO59" s="76"/>
      <c r="DLP59" s="76"/>
      <c r="DLQ59" s="76"/>
      <c r="DLR59" s="76"/>
      <c r="DLS59" s="76"/>
      <c r="DLT59" s="76"/>
      <c r="DLU59" s="76"/>
      <c r="DLV59" s="76"/>
      <c r="DLW59" s="76"/>
      <c r="DLX59" s="76"/>
      <c r="DLY59" s="76"/>
      <c r="DLZ59" s="76"/>
      <c r="DMA59" s="76"/>
      <c r="DMB59" s="76"/>
      <c r="DMC59" s="76"/>
      <c r="DMD59" s="76"/>
      <c r="DME59" s="76"/>
      <c r="DMF59" s="76"/>
      <c r="DMG59" s="76"/>
      <c r="DMH59" s="76"/>
      <c r="DMI59" s="76"/>
      <c r="DMJ59" s="76"/>
      <c r="DMK59" s="76"/>
      <c r="DML59" s="76"/>
      <c r="DMM59" s="76"/>
      <c r="DMN59" s="76"/>
      <c r="DMO59" s="76"/>
      <c r="DMP59" s="76"/>
      <c r="DMQ59" s="76"/>
      <c r="DMR59" s="76"/>
      <c r="DMS59" s="76"/>
      <c r="DMT59" s="76"/>
      <c r="DMU59" s="76"/>
      <c r="DMV59" s="76"/>
      <c r="DMW59" s="76"/>
      <c r="DMX59" s="76"/>
      <c r="DMY59" s="76"/>
      <c r="DMZ59" s="76"/>
      <c r="DNA59" s="76"/>
      <c r="DNB59" s="76"/>
      <c r="DNC59" s="76"/>
      <c r="DND59" s="76"/>
      <c r="DNE59" s="76"/>
      <c r="DNF59" s="76"/>
      <c r="DNG59" s="76"/>
      <c r="DNH59" s="76"/>
      <c r="DNI59" s="76"/>
      <c r="DNJ59" s="76"/>
      <c r="DNK59" s="76"/>
      <c r="DNL59" s="76"/>
      <c r="DNM59" s="76"/>
      <c r="DNN59" s="76"/>
      <c r="DNO59" s="76"/>
      <c r="DNP59" s="76"/>
      <c r="DNQ59" s="76"/>
      <c r="DNR59" s="76"/>
      <c r="DNS59" s="76"/>
      <c r="DNT59" s="76"/>
      <c r="DNU59" s="76"/>
      <c r="DNV59" s="76"/>
      <c r="DNW59" s="76"/>
      <c r="DNX59" s="76"/>
      <c r="DNY59" s="76"/>
      <c r="DNZ59" s="76"/>
      <c r="DOA59" s="76"/>
      <c r="DOB59" s="76"/>
      <c r="DOC59" s="76"/>
      <c r="DOD59" s="76"/>
      <c r="DOE59" s="76"/>
      <c r="DOF59" s="76"/>
      <c r="DOG59" s="76"/>
      <c r="DOH59" s="76"/>
      <c r="DOI59" s="76"/>
      <c r="DOJ59" s="76"/>
      <c r="DOK59" s="76"/>
      <c r="DOL59" s="76"/>
      <c r="DOM59" s="76"/>
      <c r="DON59" s="76"/>
      <c r="DOO59" s="76"/>
      <c r="DOP59" s="76"/>
      <c r="DOQ59" s="76"/>
      <c r="DOR59" s="76"/>
      <c r="DOS59" s="76"/>
      <c r="DOT59" s="76"/>
      <c r="DOU59" s="76"/>
      <c r="DOV59" s="76"/>
      <c r="DOW59" s="76"/>
      <c r="DOX59" s="76"/>
      <c r="DOY59" s="76"/>
      <c r="DOZ59" s="76"/>
      <c r="DPA59" s="76"/>
      <c r="DPB59" s="76"/>
      <c r="DPC59" s="76"/>
      <c r="DPD59" s="76"/>
      <c r="DPE59" s="76"/>
      <c r="DPF59" s="76"/>
      <c r="DPG59" s="76"/>
      <c r="DPH59" s="76"/>
      <c r="DPI59" s="76"/>
      <c r="DPJ59" s="76"/>
      <c r="DPK59" s="76"/>
      <c r="DPL59" s="76"/>
      <c r="DPM59" s="76"/>
      <c r="DPN59" s="76"/>
      <c r="DPO59" s="76"/>
      <c r="DPP59" s="76"/>
      <c r="DPQ59" s="76"/>
      <c r="DPR59" s="76"/>
      <c r="DPS59" s="76"/>
      <c r="DPT59" s="76"/>
      <c r="DPU59" s="76"/>
      <c r="DPV59" s="76"/>
      <c r="DPW59" s="76"/>
      <c r="DPX59" s="76"/>
      <c r="DPY59" s="76"/>
      <c r="DPZ59" s="76"/>
      <c r="DQA59" s="76"/>
      <c r="DQB59" s="76"/>
      <c r="DQC59" s="76"/>
      <c r="DQD59" s="76"/>
      <c r="DQE59" s="76"/>
      <c r="DQF59" s="76"/>
      <c r="DQG59" s="76"/>
      <c r="DQH59" s="76"/>
      <c r="DQI59" s="76"/>
      <c r="DQJ59" s="76"/>
      <c r="DQK59" s="76"/>
      <c r="DQL59" s="76"/>
      <c r="DQM59" s="76"/>
      <c r="DQN59" s="76"/>
      <c r="DQO59" s="76"/>
      <c r="DQP59" s="76"/>
      <c r="DQQ59" s="76"/>
      <c r="DQR59" s="76"/>
      <c r="DQS59" s="76"/>
      <c r="DQT59" s="76"/>
      <c r="DQU59" s="76"/>
      <c r="DQV59" s="76"/>
      <c r="DQW59" s="76"/>
      <c r="DQX59" s="76"/>
      <c r="DQY59" s="76"/>
      <c r="DQZ59" s="76"/>
      <c r="DRA59" s="76"/>
      <c r="DRB59" s="76"/>
      <c r="DRC59" s="76"/>
      <c r="DRD59" s="76"/>
      <c r="DRE59" s="76"/>
      <c r="DRF59" s="76"/>
      <c r="DRG59" s="76"/>
      <c r="DRH59" s="76"/>
      <c r="DRI59" s="76"/>
      <c r="DRJ59" s="76"/>
      <c r="DRK59" s="76"/>
      <c r="DRL59" s="76"/>
      <c r="DRM59" s="76"/>
      <c r="DRN59" s="76"/>
      <c r="DRO59" s="76"/>
      <c r="DRP59" s="76"/>
      <c r="DRQ59" s="76"/>
      <c r="DRR59" s="76"/>
      <c r="DRS59" s="76"/>
      <c r="DRT59" s="76"/>
      <c r="DRU59" s="76"/>
      <c r="DRV59" s="76"/>
      <c r="DRW59" s="76"/>
      <c r="DRX59" s="76"/>
      <c r="DRY59" s="76"/>
      <c r="DRZ59" s="76"/>
      <c r="DSA59" s="76"/>
      <c r="DSB59" s="76"/>
      <c r="DSC59" s="76"/>
      <c r="DSD59" s="76"/>
      <c r="DSE59" s="76"/>
      <c r="DSF59" s="76"/>
      <c r="DSG59" s="76"/>
      <c r="DSH59" s="76"/>
      <c r="DSI59" s="76"/>
      <c r="DSJ59" s="76"/>
      <c r="DSK59" s="76"/>
      <c r="DSL59" s="76"/>
      <c r="DSM59" s="76"/>
      <c r="DSN59" s="76"/>
      <c r="DSO59" s="76"/>
      <c r="DSP59" s="76"/>
      <c r="DSQ59" s="76"/>
      <c r="DSR59" s="76"/>
      <c r="DSS59" s="76"/>
      <c r="DST59" s="76"/>
      <c r="DSU59" s="76"/>
      <c r="DSV59" s="76"/>
      <c r="DSW59" s="76"/>
      <c r="DSX59" s="76"/>
      <c r="DSY59" s="76"/>
      <c r="DSZ59" s="76"/>
      <c r="DTA59" s="76"/>
      <c r="DTB59" s="76"/>
      <c r="DTC59" s="76"/>
      <c r="DTD59" s="76"/>
      <c r="DTE59" s="76"/>
      <c r="DTF59" s="76"/>
      <c r="DTG59" s="76"/>
      <c r="DTH59" s="76"/>
      <c r="DTI59" s="76"/>
      <c r="DTJ59" s="76"/>
      <c r="DTK59" s="76"/>
      <c r="DTL59" s="76"/>
      <c r="DTM59" s="76"/>
      <c r="DTN59" s="76"/>
      <c r="DTO59" s="76"/>
      <c r="DTP59" s="76"/>
      <c r="DTQ59" s="76"/>
      <c r="DTR59" s="76"/>
      <c r="DTS59" s="76"/>
      <c r="DTT59" s="76"/>
      <c r="DTU59" s="76"/>
      <c r="DTV59" s="76"/>
      <c r="DTW59" s="76"/>
      <c r="DTX59" s="76"/>
      <c r="DTY59" s="76"/>
      <c r="DTZ59" s="76"/>
      <c r="DUA59" s="76"/>
      <c r="DUB59" s="76"/>
      <c r="DUC59" s="76"/>
      <c r="DUD59" s="76"/>
      <c r="DUE59" s="76"/>
      <c r="DUF59" s="76"/>
      <c r="DUG59" s="76"/>
      <c r="DUH59" s="76"/>
      <c r="DUI59" s="76"/>
      <c r="DUJ59" s="76"/>
      <c r="DUK59" s="76"/>
      <c r="DUL59" s="76"/>
      <c r="DUM59" s="76"/>
      <c r="DUN59" s="76"/>
      <c r="DUO59" s="76"/>
      <c r="DUP59" s="76"/>
      <c r="DUQ59" s="76"/>
      <c r="DUR59" s="76"/>
      <c r="DUS59" s="76"/>
      <c r="DUT59" s="76"/>
      <c r="DUU59" s="76"/>
      <c r="DUV59" s="76"/>
      <c r="DUW59" s="76"/>
      <c r="DUX59" s="76"/>
      <c r="DUY59" s="76"/>
      <c r="DUZ59" s="76"/>
      <c r="DVA59" s="76"/>
      <c r="DVB59" s="76"/>
      <c r="DVC59" s="76"/>
      <c r="DVD59" s="76"/>
      <c r="DVE59" s="76"/>
      <c r="DVF59" s="76"/>
      <c r="DVG59" s="76"/>
      <c r="DVH59" s="76"/>
      <c r="DVI59" s="76"/>
      <c r="DVJ59" s="76"/>
      <c r="DVK59" s="76"/>
      <c r="DVL59" s="76"/>
      <c r="DVM59" s="76"/>
      <c r="DVN59" s="76"/>
      <c r="DVO59" s="76"/>
      <c r="DVP59" s="76"/>
      <c r="DVQ59" s="76"/>
      <c r="DVR59" s="76"/>
      <c r="DVS59" s="76"/>
      <c r="DVT59" s="76"/>
      <c r="DVU59" s="76"/>
      <c r="DVV59" s="76"/>
      <c r="DVW59" s="76"/>
      <c r="DVX59" s="76"/>
      <c r="DVY59" s="76"/>
      <c r="DVZ59" s="76"/>
      <c r="DWA59" s="76"/>
      <c r="DWB59" s="76"/>
      <c r="DWC59" s="76"/>
      <c r="DWD59" s="76"/>
      <c r="DWE59" s="76"/>
      <c r="DWF59" s="76"/>
      <c r="DWG59" s="76"/>
      <c r="DWH59" s="76"/>
      <c r="DWI59" s="76"/>
      <c r="DWJ59" s="76"/>
      <c r="DWK59" s="76"/>
      <c r="DWL59" s="76"/>
      <c r="DWM59" s="76"/>
      <c r="DWN59" s="76"/>
      <c r="DWO59" s="76"/>
      <c r="DWP59" s="76"/>
      <c r="DWQ59" s="76"/>
      <c r="DWR59" s="76"/>
      <c r="DWS59" s="76"/>
      <c r="DWT59" s="76"/>
      <c r="DWU59" s="76"/>
      <c r="DWV59" s="76"/>
      <c r="DWW59" s="76"/>
      <c r="DWX59" s="76"/>
      <c r="DWY59" s="76"/>
      <c r="DWZ59" s="76"/>
      <c r="DXA59" s="76"/>
      <c r="DXB59" s="76"/>
      <c r="DXC59" s="76"/>
      <c r="DXD59" s="76"/>
      <c r="DXE59" s="76"/>
      <c r="DXF59" s="76"/>
      <c r="DXG59" s="76"/>
      <c r="DXH59" s="76"/>
      <c r="DXI59" s="76"/>
      <c r="DXJ59" s="76"/>
      <c r="DXK59" s="76"/>
      <c r="DXL59" s="76"/>
      <c r="DXM59" s="76"/>
      <c r="DXN59" s="76"/>
      <c r="DXO59" s="76"/>
      <c r="DXP59" s="76"/>
      <c r="DXQ59" s="76"/>
      <c r="DXR59" s="76"/>
      <c r="DXS59" s="76"/>
      <c r="DXT59" s="76"/>
      <c r="DXU59" s="76"/>
      <c r="DXV59" s="76"/>
      <c r="DXW59" s="76"/>
      <c r="DXX59" s="76"/>
      <c r="DXY59" s="76"/>
      <c r="DXZ59" s="76"/>
      <c r="DYA59" s="76"/>
      <c r="DYB59" s="76"/>
      <c r="DYC59" s="76"/>
      <c r="DYD59" s="76"/>
      <c r="DYE59" s="76"/>
      <c r="DYF59" s="76"/>
      <c r="DYG59" s="76"/>
      <c r="DYH59" s="76"/>
      <c r="DYI59" s="76"/>
      <c r="DYJ59" s="76"/>
      <c r="DYK59" s="76"/>
      <c r="DYL59" s="76"/>
      <c r="DYM59" s="76"/>
      <c r="DYN59" s="76"/>
      <c r="DYO59" s="76"/>
      <c r="DYP59" s="76"/>
      <c r="DYQ59" s="76"/>
      <c r="DYR59" s="76"/>
      <c r="DYS59" s="76"/>
      <c r="DYT59" s="76"/>
      <c r="DYU59" s="76"/>
      <c r="DYV59" s="76"/>
      <c r="DYW59" s="76"/>
      <c r="DYX59" s="76"/>
      <c r="DYY59" s="76"/>
      <c r="DYZ59" s="76"/>
      <c r="DZA59" s="76"/>
      <c r="DZB59" s="76"/>
      <c r="DZC59" s="76"/>
      <c r="DZD59" s="76"/>
      <c r="DZE59" s="76"/>
      <c r="DZF59" s="76"/>
      <c r="DZG59" s="76"/>
      <c r="DZH59" s="76"/>
      <c r="DZI59" s="76"/>
      <c r="DZJ59" s="76"/>
      <c r="DZK59" s="76"/>
      <c r="DZL59" s="76"/>
      <c r="DZM59" s="76"/>
      <c r="DZN59" s="76"/>
      <c r="DZO59" s="76"/>
      <c r="DZP59" s="76"/>
      <c r="DZQ59" s="76"/>
      <c r="DZR59" s="76"/>
      <c r="DZS59" s="76"/>
      <c r="DZT59" s="76"/>
      <c r="DZU59" s="76"/>
      <c r="DZV59" s="76"/>
      <c r="DZW59" s="76"/>
      <c r="DZX59" s="76"/>
      <c r="DZY59" s="76"/>
      <c r="DZZ59" s="76"/>
      <c r="EAA59" s="76"/>
      <c r="EAB59" s="76"/>
      <c r="EAC59" s="76"/>
      <c r="EAD59" s="76"/>
      <c r="EAE59" s="76"/>
      <c r="EAF59" s="76"/>
      <c r="EAG59" s="76"/>
      <c r="EAH59" s="76"/>
      <c r="EAI59" s="76"/>
      <c r="EAJ59" s="76"/>
      <c r="EAK59" s="76"/>
      <c r="EAL59" s="76"/>
      <c r="EAM59" s="76"/>
      <c r="EAN59" s="76"/>
      <c r="EAO59" s="76"/>
      <c r="EAP59" s="76"/>
      <c r="EAQ59" s="76"/>
      <c r="EAR59" s="76"/>
      <c r="EAS59" s="76"/>
      <c r="EAT59" s="76"/>
      <c r="EAU59" s="76"/>
      <c r="EAV59" s="76"/>
      <c r="EAW59" s="76"/>
      <c r="EAX59" s="76"/>
      <c r="EAY59" s="76"/>
      <c r="EAZ59" s="76"/>
      <c r="EBA59" s="76"/>
      <c r="EBB59" s="76"/>
      <c r="EBC59" s="76"/>
      <c r="EBD59" s="76"/>
      <c r="EBE59" s="76"/>
      <c r="EBF59" s="76"/>
      <c r="EBG59" s="76"/>
      <c r="EBH59" s="76"/>
      <c r="EBI59" s="76"/>
      <c r="EBJ59" s="76"/>
      <c r="EBK59" s="76"/>
      <c r="EBL59" s="76"/>
      <c r="EBM59" s="76"/>
      <c r="EBN59" s="76"/>
      <c r="EBO59" s="76"/>
      <c r="EBP59" s="76"/>
      <c r="EBQ59" s="76"/>
      <c r="EBR59" s="76"/>
      <c r="EBS59" s="76"/>
      <c r="EBT59" s="76"/>
      <c r="EBU59" s="76"/>
      <c r="EBV59" s="76"/>
      <c r="EBW59" s="76"/>
      <c r="EBX59" s="76"/>
      <c r="EBY59" s="76"/>
      <c r="EBZ59" s="76"/>
      <c r="ECA59" s="76"/>
      <c r="ECB59" s="76"/>
      <c r="ECC59" s="76"/>
      <c r="ECD59" s="76"/>
      <c r="ECE59" s="76"/>
      <c r="ECF59" s="76"/>
      <c r="ECG59" s="76"/>
      <c r="ECH59" s="76"/>
      <c r="ECI59" s="76"/>
      <c r="ECJ59" s="76"/>
      <c r="ECK59" s="76"/>
      <c r="ECL59" s="76"/>
      <c r="ECM59" s="76"/>
      <c r="ECN59" s="76"/>
      <c r="ECO59" s="76"/>
      <c r="ECP59" s="76"/>
      <c r="ECQ59" s="76"/>
      <c r="ECR59" s="76"/>
      <c r="ECS59" s="76"/>
      <c r="ECT59" s="76"/>
      <c r="ECU59" s="76"/>
      <c r="ECV59" s="76"/>
      <c r="ECW59" s="76"/>
      <c r="ECX59" s="76"/>
      <c r="ECY59" s="76"/>
      <c r="ECZ59" s="76"/>
      <c r="EDA59" s="76"/>
      <c r="EDB59" s="76"/>
      <c r="EDC59" s="76"/>
      <c r="EDD59" s="76"/>
      <c r="EDE59" s="76"/>
      <c r="EDF59" s="76"/>
      <c r="EDG59" s="76"/>
      <c r="EDH59" s="76"/>
      <c r="EDI59" s="76"/>
      <c r="EDJ59" s="76"/>
      <c r="EDK59" s="76"/>
      <c r="EDL59" s="76"/>
      <c r="EDM59" s="76"/>
      <c r="EDN59" s="76"/>
      <c r="EDO59" s="76"/>
      <c r="EDP59" s="76"/>
      <c r="EDQ59" s="76"/>
      <c r="EDR59" s="76"/>
      <c r="EDS59" s="76"/>
      <c r="EDT59" s="76"/>
      <c r="EDU59" s="76"/>
      <c r="EDV59" s="76"/>
      <c r="EDW59" s="76"/>
      <c r="EDX59" s="76"/>
      <c r="EDY59" s="76"/>
      <c r="EDZ59" s="76"/>
      <c r="EEA59" s="76"/>
      <c r="EEB59" s="76"/>
      <c r="EEC59" s="76"/>
      <c r="EED59" s="76"/>
      <c r="EEE59" s="76"/>
      <c r="EEF59" s="76"/>
      <c r="EEG59" s="76"/>
      <c r="EEH59" s="76"/>
      <c r="EEI59" s="76"/>
      <c r="EEJ59" s="76"/>
      <c r="EEK59" s="76"/>
      <c r="EEL59" s="76"/>
      <c r="EEM59" s="76"/>
      <c r="EEN59" s="76"/>
      <c r="EEO59" s="76"/>
      <c r="EEP59" s="76"/>
      <c r="EEQ59" s="76"/>
      <c r="EER59" s="76"/>
      <c r="EES59" s="76"/>
      <c r="EET59" s="76"/>
      <c r="EEU59" s="76"/>
      <c r="EEV59" s="76"/>
      <c r="EEW59" s="76"/>
      <c r="EEX59" s="76"/>
      <c r="EEY59" s="76"/>
      <c r="EEZ59" s="76"/>
      <c r="EFA59" s="76"/>
      <c r="EFB59" s="76"/>
      <c r="EFC59" s="76"/>
      <c r="EFD59" s="76"/>
      <c r="EFE59" s="76"/>
      <c r="EFF59" s="76"/>
      <c r="EFG59" s="76"/>
      <c r="EFH59" s="76"/>
      <c r="EFI59" s="76"/>
      <c r="EFJ59" s="76"/>
      <c r="EFK59" s="76"/>
      <c r="EFL59" s="76"/>
      <c r="EFM59" s="76"/>
      <c r="EFN59" s="76"/>
      <c r="EFO59" s="76"/>
      <c r="EFP59" s="76"/>
      <c r="EFQ59" s="76"/>
      <c r="EFR59" s="76"/>
      <c r="EFS59" s="76"/>
      <c r="EFT59" s="76"/>
      <c r="EFU59" s="76"/>
      <c r="EFV59" s="76"/>
      <c r="EFW59" s="76"/>
      <c r="EFX59" s="76"/>
      <c r="EFY59" s="76"/>
      <c r="EFZ59" s="76"/>
      <c r="EGA59" s="76"/>
      <c r="EGB59" s="76"/>
      <c r="EGC59" s="76"/>
      <c r="EGD59" s="76"/>
      <c r="EGE59" s="76"/>
      <c r="EGF59" s="76"/>
      <c r="EGG59" s="76"/>
      <c r="EGH59" s="76"/>
      <c r="EGI59" s="76"/>
      <c r="EGJ59" s="76"/>
      <c r="EGK59" s="76"/>
      <c r="EGL59" s="76"/>
      <c r="EGM59" s="76"/>
      <c r="EGN59" s="76"/>
      <c r="EGO59" s="76"/>
      <c r="EGP59" s="76"/>
      <c r="EGQ59" s="76"/>
      <c r="EGR59" s="76"/>
      <c r="EGS59" s="76"/>
      <c r="EGT59" s="76"/>
      <c r="EGU59" s="76"/>
      <c r="EGV59" s="76"/>
      <c r="EGW59" s="76"/>
      <c r="EGX59" s="76"/>
      <c r="EGY59" s="76"/>
      <c r="EGZ59" s="76"/>
      <c r="EHA59" s="76"/>
      <c r="EHB59" s="76"/>
      <c r="EHC59" s="76"/>
      <c r="EHD59" s="76"/>
      <c r="EHE59" s="76"/>
      <c r="EHF59" s="76"/>
      <c r="EHG59" s="76"/>
      <c r="EHH59" s="76"/>
      <c r="EHI59" s="76"/>
      <c r="EHJ59" s="76"/>
      <c r="EHK59" s="76"/>
      <c r="EHL59" s="76"/>
      <c r="EHM59" s="76"/>
      <c r="EHN59" s="76"/>
      <c r="EHO59" s="76"/>
      <c r="EHP59" s="76"/>
      <c r="EHQ59" s="76"/>
      <c r="EHR59" s="76"/>
      <c r="EHS59" s="76"/>
      <c r="EHT59" s="76"/>
      <c r="EHU59" s="76"/>
      <c r="EHV59" s="76"/>
      <c r="EHW59" s="76"/>
      <c r="EHX59" s="76"/>
      <c r="EHY59" s="76"/>
      <c r="EHZ59" s="76"/>
      <c r="EIA59" s="76"/>
      <c r="EIB59" s="76"/>
      <c r="EIC59" s="76"/>
      <c r="EID59" s="76"/>
      <c r="EIE59" s="76"/>
      <c r="EIF59" s="76"/>
      <c r="EIG59" s="76"/>
      <c r="EIH59" s="76"/>
      <c r="EII59" s="76"/>
      <c r="EIJ59" s="76"/>
      <c r="EIK59" s="76"/>
      <c r="EIL59" s="76"/>
      <c r="EIM59" s="76"/>
      <c r="EIN59" s="76"/>
      <c r="EIO59" s="76"/>
      <c r="EIP59" s="76"/>
      <c r="EIQ59" s="76"/>
      <c r="EIR59" s="76"/>
      <c r="EIS59" s="76"/>
      <c r="EIT59" s="76"/>
      <c r="EIU59" s="76"/>
      <c r="EIV59" s="76"/>
      <c r="EIW59" s="76"/>
      <c r="EIX59" s="76"/>
      <c r="EIY59" s="76"/>
      <c r="EIZ59" s="76"/>
      <c r="EJA59" s="76"/>
      <c r="EJB59" s="76"/>
      <c r="EJC59" s="76"/>
      <c r="EJD59" s="76"/>
      <c r="EJE59" s="76"/>
      <c r="EJF59" s="76"/>
      <c r="EJG59" s="76"/>
      <c r="EJH59" s="76"/>
      <c r="EJI59" s="76"/>
      <c r="EJJ59" s="76"/>
      <c r="EJK59" s="76"/>
      <c r="EJL59" s="76"/>
      <c r="EJM59" s="76"/>
      <c r="EJN59" s="76"/>
      <c r="EJO59" s="76"/>
      <c r="EJP59" s="76"/>
      <c r="EJQ59" s="76"/>
      <c r="EJR59" s="76"/>
      <c r="EJS59" s="76"/>
      <c r="EJT59" s="76"/>
      <c r="EJU59" s="76"/>
      <c r="EJV59" s="76"/>
      <c r="EJW59" s="76"/>
      <c r="EJX59" s="76"/>
      <c r="EJY59" s="76"/>
      <c r="EJZ59" s="76"/>
      <c r="EKA59" s="76"/>
      <c r="EKB59" s="76"/>
      <c r="EKC59" s="76"/>
      <c r="EKD59" s="76"/>
      <c r="EKE59" s="76"/>
      <c r="EKF59" s="76"/>
      <c r="EKG59" s="76"/>
      <c r="EKH59" s="76"/>
      <c r="EKI59" s="76"/>
      <c r="EKJ59" s="76"/>
      <c r="EKK59" s="76"/>
      <c r="EKL59" s="76"/>
      <c r="EKM59" s="76"/>
      <c r="EKN59" s="76"/>
      <c r="EKO59" s="76"/>
      <c r="EKP59" s="76"/>
      <c r="EKQ59" s="76"/>
      <c r="EKR59" s="76"/>
      <c r="EKS59" s="76"/>
      <c r="EKT59" s="76"/>
      <c r="EKU59" s="76"/>
      <c r="EKV59" s="76"/>
      <c r="EKW59" s="76"/>
      <c r="EKX59" s="76"/>
      <c r="EKY59" s="76"/>
      <c r="EKZ59" s="76"/>
      <c r="ELA59" s="76"/>
      <c r="ELB59" s="76"/>
      <c r="ELC59" s="76"/>
      <c r="ELD59" s="76"/>
      <c r="ELE59" s="76"/>
      <c r="ELF59" s="76"/>
      <c r="ELG59" s="76"/>
      <c r="ELH59" s="76"/>
      <c r="ELI59" s="76"/>
      <c r="ELJ59" s="76"/>
      <c r="ELK59" s="76"/>
      <c r="ELL59" s="76"/>
      <c r="ELM59" s="76"/>
      <c r="ELN59" s="76"/>
      <c r="ELO59" s="76"/>
      <c r="ELP59" s="76"/>
      <c r="ELQ59" s="76"/>
      <c r="ELR59" s="76"/>
      <c r="ELS59" s="76"/>
      <c r="ELT59" s="76"/>
      <c r="ELU59" s="76"/>
      <c r="ELV59" s="76"/>
      <c r="ELW59" s="76"/>
      <c r="ELX59" s="76"/>
      <c r="ELY59" s="76"/>
      <c r="ELZ59" s="76"/>
      <c r="EMA59" s="76"/>
      <c r="EMB59" s="76"/>
      <c r="EMC59" s="76"/>
      <c r="EMD59" s="76"/>
      <c r="EME59" s="76"/>
      <c r="EMF59" s="76"/>
      <c r="EMG59" s="76"/>
      <c r="EMH59" s="76"/>
      <c r="EMI59" s="76"/>
      <c r="EMJ59" s="76"/>
      <c r="EMK59" s="76"/>
      <c r="EML59" s="76"/>
      <c r="EMM59" s="76"/>
      <c r="EMN59" s="76"/>
      <c r="EMO59" s="76"/>
      <c r="EMP59" s="76"/>
      <c r="EMQ59" s="76"/>
      <c r="EMR59" s="76"/>
      <c r="EMS59" s="76"/>
      <c r="EMT59" s="76"/>
      <c r="EMU59" s="76"/>
      <c r="EMV59" s="76"/>
      <c r="EMW59" s="76"/>
      <c r="EMX59" s="76"/>
      <c r="EMY59" s="76"/>
      <c r="EMZ59" s="76"/>
      <c r="ENA59" s="76"/>
      <c r="ENB59" s="76"/>
      <c r="ENC59" s="76"/>
      <c r="END59" s="76"/>
      <c r="ENE59" s="76"/>
      <c r="ENF59" s="76"/>
      <c r="ENG59" s="76"/>
      <c r="ENH59" s="76"/>
      <c r="ENI59" s="76"/>
      <c r="ENJ59" s="76"/>
      <c r="ENK59" s="76"/>
      <c r="ENL59" s="76"/>
      <c r="ENM59" s="76"/>
      <c r="ENN59" s="76"/>
      <c r="ENO59" s="76"/>
      <c r="ENP59" s="76"/>
      <c r="ENQ59" s="76"/>
      <c r="ENR59" s="76"/>
      <c r="ENS59" s="76"/>
      <c r="ENT59" s="76"/>
      <c r="ENU59" s="76"/>
      <c r="ENV59" s="76"/>
      <c r="ENW59" s="76"/>
      <c r="ENX59" s="76"/>
      <c r="ENY59" s="76"/>
      <c r="ENZ59" s="76"/>
      <c r="EOA59" s="76"/>
      <c r="EOB59" s="76"/>
      <c r="EOC59" s="76"/>
      <c r="EOD59" s="76"/>
      <c r="EOE59" s="76"/>
      <c r="EOF59" s="76"/>
      <c r="EOG59" s="76"/>
      <c r="EOH59" s="76"/>
      <c r="EOI59" s="76"/>
      <c r="EOJ59" s="76"/>
      <c r="EOK59" s="76"/>
      <c r="EOL59" s="76"/>
      <c r="EOM59" s="76"/>
      <c r="EON59" s="76"/>
      <c r="EOO59" s="76"/>
      <c r="EOP59" s="76"/>
      <c r="EOQ59" s="76"/>
      <c r="EOR59" s="76"/>
      <c r="EOS59" s="76"/>
      <c r="EOT59" s="76"/>
      <c r="EOU59" s="76"/>
      <c r="EOV59" s="76"/>
      <c r="EOW59" s="76"/>
      <c r="EOX59" s="76"/>
      <c r="EOY59" s="76"/>
      <c r="EOZ59" s="76"/>
      <c r="EPA59" s="76"/>
      <c r="EPB59" s="76"/>
      <c r="EPC59" s="76"/>
      <c r="EPD59" s="76"/>
      <c r="EPE59" s="76"/>
      <c r="EPF59" s="76"/>
      <c r="EPG59" s="76"/>
      <c r="EPH59" s="76"/>
      <c r="EPI59" s="76"/>
      <c r="EPJ59" s="76"/>
      <c r="EPK59" s="76"/>
      <c r="EPL59" s="76"/>
      <c r="EPM59" s="76"/>
      <c r="EPN59" s="76"/>
      <c r="EPO59" s="76"/>
      <c r="EPP59" s="76"/>
      <c r="EPQ59" s="76"/>
      <c r="EPR59" s="76"/>
      <c r="EPS59" s="76"/>
      <c r="EPT59" s="76"/>
      <c r="EPU59" s="76"/>
      <c r="EPV59" s="76"/>
      <c r="EPW59" s="76"/>
      <c r="EPX59" s="76"/>
      <c r="EPY59" s="76"/>
      <c r="EPZ59" s="76"/>
      <c r="EQA59" s="76"/>
      <c r="EQB59" s="76"/>
      <c r="EQC59" s="76"/>
      <c r="EQD59" s="76"/>
      <c r="EQE59" s="76"/>
      <c r="EQF59" s="76"/>
      <c r="EQG59" s="76"/>
      <c r="EQH59" s="76"/>
      <c r="EQI59" s="76"/>
      <c r="EQJ59" s="76"/>
      <c r="EQK59" s="76"/>
      <c r="EQL59" s="76"/>
      <c r="EQM59" s="76"/>
      <c r="EQN59" s="76"/>
      <c r="EQO59" s="76"/>
      <c r="EQP59" s="76"/>
      <c r="EQQ59" s="76"/>
      <c r="EQR59" s="76"/>
      <c r="EQS59" s="76"/>
      <c r="EQT59" s="76"/>
      <c r="EQU59" s="76"/>
      <c r="EQV59" s="76"/>
      <c r="EQW59" s="76"/>
      <c r="EQX59" s="76"/>
      <c r="EQY59" s="76"/>
      <c r="EQZ59" s="76"/>
      <c r="ERA59" s="76"/>
      <c r="ERB59" s="76"/>
      <c r="ERC59" s="76"/>
      <c r="ERD59" s="76"/>
      <c r="ERE59" s="76"/>
      <c r="ERF59" s="76"/>
      <c r="ERG59" s="76"/>
      <c r="ERH59" s="76"/>
      <c r="ERI59" s="76"/>
      <c r="ERJ59" s="76"/>
      <c r="ERK59" s="76"/>
      <c r="ERL59" s="76"/>
      <c r="ERM59" s="76"/>
      <c r="ERN59" s="76"/>
      <c r="ERO59" s="76"/>
      <c r="ERP59" s="76"/>
      <c r="ERQ59" s="76"/>
      <c r="ERR59" s="76"/>
      <c r="ERS59" s="76"/>
      <c r="ERT59" s="76"/>
      <c r="ERU59" s="76"/>
      <c r="ERV59" s="76"/>
      <c r="ERW59" s="76"/>
      <c r="ERX59" s="76"/>
      <c r="ERY59" s="76"/>
      <c r="ERZ59" s="76"/>
      <c r="ESA59" s="76"/>
      <c r="ESB59" s="76"/>
      <c r="ESC59" s="76"/>
      <c r="ESD59" s="76"/>
      <c r="ESE59" s="76"/>
      <c r="ESF59" s="76"/>
      <c r="ESG59" s="76"/>
      <c r="ESH59" s="76"/>
      <c r="ESI59" s="76"/>
      <c r="ESJ59" s="76"/>
      <c r="ESK59" s="76"/>
      <c r="ESL59" s="76"/>
      <c r="ESM59" s="76"/>
      <c r="ESN59" s="76"/>
      <c r="ESO59" s="76"/>
      <c r="ESP59" s="76"/>
      <c r="ESQ59" s="76"/>
      <c r="ESR59" s="76"/>
      <c r="ESS59" s="76"/>
      <c r="EST59" s="76"/>
      <c r="ESU59" s="76"/>
      <c r="ESV59" s="76"/>
      <c r="ESW59" s="76"/>
      <c r="ESX59" s="76"/>
      <c r="ESY59" s="76"/>
      <c r="ESZ59" s="76"/>
      <c r="ETA59" s="76"/>
      <c r="ETB59" s="76"/>
      <c r="ETC59" s="76"/>
      <c r="ETD59" s="76"/>
      <c r="ETE59" s="76"/>
      <c r="ETF59" s="76"/>
      <c r="ETG59" s="76"/>
      <c r="ETH59" s="76"/>
      <c r="ETI59" s="76"/>
      <c r="ETJ59" s="76"/>
      <c r="ETK59" s="76"/>
      <c r="ETL59" s="76"/>
      <c r="ETM59" s="76"/>
      <c r="ETN59" s="76"/>
      <c r="ETO59" s="76"/>
      <c r="ETP59" s="76"/>
      <c r="ETQ59" s="76"/>
      <c r="ETR59" s="76"/>
      <c r="ETS59" s="76"/>
      <c r="ETT59" s="76"/>
      <c r="ETU59" s="76"/>
      <c r="ETV59" s="76"/>
      <c r="ETW59" s="76"/>
      <c r="ETX59" s="76"/>
      <c r="ETY59" s="76"/>
      <c r="ETZ59" s="76"/>
      <c r="EUA59" s="76"/>
      <c r="EUB59" s="76"/>
      <c r="EUC59" s="76"/>
      <c r="EUD59" s="76"/>
      <c r="EUE59" s="76"/>
      <c r="EUF59" s="76"/>
      <c r="EUG59" s="76"/>
      <c r="EUH59" s="76"/>
      <c r="EUI59" s="76"/>
      <c r="EUJ59" s="76"/>
      <c r="EUK59" s="76"/>
      <c r="EUL59" s="76"/>
      <c r="EUM59" s="76"/>
      <c r="EUN59" s="76"/>
      <c r="EUO59" s="76"/>
      <c r="EUP59" s="76"/>
      <c r="EUQ59" s="76"/>
      <c r="EUR59" s="76"/>
      <c r="EUS59" s="76"/>
      <c r="EUT59" s="76"/>
      <c r="EUU59" s="76"/>
      <c r="EUV59" s="76"/>
      <c r="EUW59" s="76"/>
      <c r="EUX59" s="76"/>
      <c r="EUY59" s="76"/>
      <c r="EUZ59" s="76"/>
      <c r="EVA59" s="76"/>
      <c r="EVB59" s="76"/>
      <c r="EVC59" s="76"/>
      <c r="EVD59" s="76"/>
      <c r="EVE59" s="76"/>
      <c r="EVF59" s="76"/>
      <c r="EVG59" s="76"/>
      <c r="EVH59" s="76"/>
      <c r="EVI59" s="76"/>
      <c r="EVJ59" s="76"/>
      <c r="EVK59" s="76"/>
      <c r="EVL59" s="76"/>
      <c r="EVM59" s="76"/>
      <c r="EVN59" s="76"/>
      <c r="EVO59" s="76"/>
      <c r="EVP59" s="76"/>
      <c r="EVQ59" s="76"/>
      <c r="EVR59" s="76"/>
      <c r="EVS59" s="76"/>
      <c r="EVT59" s="76"/>
      <c r="EVU59" s="76"/>
      <c r="EVV59" s="76"/>
      <c r="EVW59" s="76"/>
      <c r="EVX59" s="76"/>
      <c r="EVY59" s="76"/>
      <c r="EVZ59" s="76"/>
      <c r="EWA59" s="76"/>
      <c r="EWB59" s="76"/>
      <c r="EWC59" s="76"/>
      <c r="EWD59" s="76"/>
      <c r="EWE59" s="76"/>
      <c r="EWF59" s="76"/>
      <c r="EWG59" s="76"/>
      <c r="EWH59" s="76"/>
      <c r="EWI59" s="76"/>
      <c r="EWJ59" s="76"/>
      <c r="EWK59" s="76"/>
      <c r="EWL59" s="76"/>
      <c r="EWM59" s="76"/>
      <c r="EWN59" s="76"/>
      <c r="EWO59" s="76"/>
      <c r="EWP59" s="76"/>
      <c r="EWQ59" s="76"/>
      <c r="EWR59" s="76"/>
      <c r="EWS59" s="76"/>
      <c r="EWT59" s="76"/>
      <c r="EWU59" s="76"/>
      <c r="EWV59" s="76"/>
      <c r="EWW59" s="76"/>
      <c r="EWX59" s="76"/>
      <c r="EWY59" s="76"/>
      <c r="EWZ59" s="76"/>
      <c r="EXA59" s="76"/>
      <c r="EXB59" s="76"/>
      <c r="EXC59" s="76"/>
      <c r="EXD59" s="76"/>
      <c r="EXE59" s="76"/>
      <c r="EXF59" s="76"/>
      <c r="EXG59" s="76"/>
      <c r="EXH59" s="76"/>
      <c r="EXI59" s="76"/>
      <c r="EXJ59" s="76"/>
      <c r="EXK59" s="76"/>
      <c r="EXL59" s="76"/>
      <c r="EXM59" s="76"/>
      <c r="EXN59" s="76"/>
      <c r="EXO59" s="76"/>
      <c r="EXP59" s="76"/>
      <c r="EXQ59" s="76"/>
      <c r="EXR59" s="76"/>
      <c r="EXS59" s="76"/>
      <c r="EXT59" s="76"/>
      <c r="EXU59" s="76"/>
      <c r="EXV59" s="76"/>
      <c r="EXW59" s="76"/>
      <c r="EXX59" s="76"/>
      <c r="EXY59" s="76"/>
      <c r="EXZ59" s="76"/>
      <c r="EYA59" s="76"/>
      <c r="EYB59" s="76"/>
      <c r="EYC59" s="76"/>
      <c r="EYD59" s="76"/>
      <c r="EYE59" s="76"/>
      <c r="EYF59" s="76"/>
      <c r="EYG59" s="76"/>
      <c r="EYH59" s="76"/>
      <c r="EYI59" s="76"/>
      <c r="EYJ59" s="76"/>
      <c r="EYK59" s="76"/>
      <c r="EYL59" s="76"/>
      <c r="EYM59" s="76"/>
      <c r="EYN59" s="76"/>
      <c r="EYO59" s="76"/>
      <c r="EYP59" s="76"/>
      <c r="EYQ59" s="76"/>
      <c r="EYR59" s="76"/>
      <c r="EYS59" s="76"/>
      <c r="EYT59" s="76"/>
      <c r="EYU59" s="76"/>
      <c r="EYV59" s="76"/>
      <c r="EYW59" s="76"/>
      <c r="EYX59" s="76"/>
      <c r="EYY59" s="76"/>
      <c r="EYZ59" s="76"/>
      <c r="EZA59" s="76"/>
      <c r="EZB59" s="76"/>
      <c r="EZC59" s="76"/>
      <c r="EZD59" s="76"/>
      <c r="EZE59" s="76"/>
      <c r="EZF59" s="76"/>
      <c r="EZG59" s="76"/>
      <c r="EZH59" s="76"/>
      <c r="EZI59" s="76"/>
      <c r="EZJ59" s="76"/>
      <c r="EZK59" s="76"/>
      <c r="EZL59" s="76"/>
      <c r="EZM59" s="76"/>
      <c r="EZN59" s="76"/>
      <c r="EZO59" s="76"/>
      <c r="EZP59" s="76"/>
      <c r="EZQ59" s="76"/>
      <c r="EZR59" s="76"/>
      <c r="EZS59" s="76"/>
      <c r="EZT59" s="76"/>
      <c r="EZU59" s="76"/>
      <c r="EZV59" s="76"/>
      <c r="EZW59" s="76"/>
      <c r="EZX59" s="76"/>
      <c r="EZY59" s="76"/>
      <c r="EZZ59" s="76"/>
      <c r="FAA59" s="76"/>
      <c r="FAB59" s="76"/>
      <c r="FAC59" s="76"/>
      <c r="FAD59" s="76"/>
      <c r="FAE59" s="76"/>
      <c r="FAF59" s="76"/>
      <c r="FAG59" s="76"/>
      <c r="FAH59" s="76"/>
      <c r="FAI59" s="76"/>
      <c r="FAJ59" s="76"/>
      <c r="FAK59" s="76"/>
      <c r="FAL59" s="76"/>
      <c r="FAM59" s="76"/>
      <c r="FAN59" s="76"/>
      <c r="FAO59" s="76"/>
      <c r="FAP59" s="76"/>
      <c r="FAQ59" s="76"/>
      <c r="FAR59" s="76"/>
      <c r="FAS59" s="76"/>
      <c r="FAT59" s="76"/>
      <c r="FAU59" s="76"/>
      <c r="FAV59" s="76"/>
      <c r="FAW59" s="76"/>
      <c r="FAX59" s="76"/>
      <c r="FAY59" s="76"/>
      <c r="FAZ59" s="76"/>
      <c r="FBA59" s="76"/>
      <c r="FBB59" s="76"/>
      <c r="FBC59" s="76"/>
      <c r="FBD59" s="76"/>
      <c r="FBE59" s="76"/>
      <c r="FBF59" s="76"/>
      <c r="FBG59" s="76"/>
      <c r="FBH59" s="76"/>
      <c r="FBI59" s="76"/>
      <c r="FBJ59" s="76"/>
      <c r="FBK59" s="76"/>
      <c r="FBL59" s="76"/>
      <c r="FBM59" s="76"/>
      <c r="FBN59" s="76"/>
      <c r="FBO59" s="76"/>
      <c r="FBP59" s="76"/>
      <c r="FBQ59" s="76"/>
      <c r="FBR59" s="76"/>
      <c r="FBS59" s="76"/>
      <c r="FBT59" s="76"/>
      <c r="FBU59" s="76"/>
      <c r="FBV59" s="76"/>
      <c r="FBW59" s="76"/>
      <c r="FBX59" s="76"/>
      <c r="FBY59" s="76"/>
      <c r="FBZ59" s="76"/>
      <c r="FCA59" s="76"/>
      <c r="FCB59" s="76"/>
      <c r="FCC59" s="76"/>
      <c r="FCD59" s="76"/>
      <c r="FCE59" s="76"/>
      <c r="FCF59" s="76"/>
      <c r="FCG59" s="76"/>
      <c r="FCH59" s="76"/>
      <c r="FCI59" s="76"/>
      <c r="FCJ59" s="76"/>
      <c r="FCK59" s="76"/>
      <c r="FCL59" s="76"/>
      <c r="FCM59" s="76"/>
      <c r="FCN59" s="76"/>
      <c r="FCO59" s="76"/>
      <c r="FCP59" s="76"/>
      <c r="FCQ59" s="76"/>
      <c r="FCR59" s="76"/>
      <c r="FCS59" s="76"/>
      <c r="FCT59" s="76"/>
      <c r="FCU59" s="76"/>
      <c r="FCV59" s="76"/>
      <c r="FCW59" s="76"/>
      <c r="FCX59" s="76"/>
      <c r="FCY59" s="76"/>
      <c r="FCZ59" s="76"/>
      <c r="FDA59" s="76"/>
      <c r="FDB59" s="76"/>
      <c r="FDC59" s="76"/>
      <c r="FDD59" s="76"/>
      <c r="FDE59" s="76"/>
      <c r="FDF59" s="76"/>
      <c r="FDG59" s="76"/>
      <c r="FDH59" s="76"/>
      <c r="FDI59" s="76"/>
      <c r="FDJ59" s="76"/>
      <c r="FDK59" s="76"/>
      <c r="FDL59" s="76"/>
      <c r="FDM59" s="76"/>
      <c r="FDN59" s="76"/>
      <c r="FDO59" s="76"/>
      <c r="FDP59" s="76"/>
      <c r="FDQ59" s="76"/>
      <c r="FDR59" s="76"/>
      <c r="FDS59" s="76"/>
      <c r="FDT59" s="76"/>
      <c r="FDU59" s="76"/>
      <c r="FDV59" s="76"/>
      <c r="FDW59" s="76"/>
      <c r="FDX59" s="76"/>
      <c r="FDY59" s="76"/>
      <c r="FDZ59" s="76"/>
      <c r="FEA59" s="76"/>
      <c r="FEB59" s="76"/>
      <c r="FEC59" s="76"/>
      <c r="FED59" s="76"/>
      <c r="FEE59" s="76"/>
      <c r="FEF59" s="76"/>
      <c r="FEG59" s="76"/>
      <c r="FEH59" s="76"/>
      <c r="FEI59" s="76"/>
      <c r="FEJ59" s="76"/>
      <c r="FEK59" s="76"/>
      <c r="FEL59" s="76"/>
      <c r="FEM59" s="76"/>
      <c r="FEN59" s="76"/>
      <c r="FEO59" s="76"/>
      <c r="FEP59" s="76"/>
      <c r="FEQ59" s="76"/>
      <c r="FER59" s="76"/>
      <c r="FES59" s="76"/>
      <c r="FET59" s="76"/>
      <c r="FEU59" s="76"/>
      <c r="FEV59" s="76"/>
      <c r="FEW59" s="76"/>
      <c r="FEX59" s="76"/>
      <c r="FEY59" s="76"/>
      <c r="FEZ59" s="76"/>
      <c r="FFA59" s="76"/>
      <c r="FFB59" s="76"/>
      <c r="FFC59" s="76"/>
      <c r="FFD59" s="76"/>
      <c r="FFE59" s="76"/>
      <c r="FFF59" s="76"/>
      <c r="FFG59" s="76"/>
      <c r="FFH59" s="76"/>
      <c r="FFI59" s="76"/>
      <c r="FFJ59" s="76"/>
      <c r="FFK59" s="76"/>
      <c r="FFL59" s="76"/>
      <c r="FFM59" s="76"/>
      <c r="FFN59" s="76"/>
      <c r="FFO59" s="76"/>
      <c r="FFP59" s="76"/>
      <c r="FFQ59" s="76"/>
      <c r="FFR59" s="76"/>
      <c r="FFS59" s="76"/>
      <c r="FFT59" s="76"/>
      <c r="FFU59" s="76"/>
      <c r="FFV59" s="76"/>
      <c r="FFW59" s="76"/>
      <c r="FFX59" s="76"/>
      <c r="FFY59" s="76"/>
      <c r="FFZ59" s="76"/>
      <c r="FGA59" s="76"/>
      <c r="FGB59" s="76"/>
      <c r="FGC59" s="76"/>
      <c r="FGD59" s="76"/>
      <c r="FGE59" s="76"/>
      <c r="FGF59" s="76"/>
      <c r="FGG59" s="76"/>
      <c r="FGH59" s="76"/>
      <c r="FGI59" s="76"/>
      <c r="FGJ59" s="76"/>
      <c r="FGK59" s="76"/>
      <c r="FGL59" s="76"/>
      <c r="FGM59" s="76"/>
      <c r="FGN59" s="76"/>
      <c r="FGO59" s="76"/>
      <c r="FGP59" s="76"/>
      <c r="FGQ59" s="76"/>
      <c r="FGR59" s="76"/>
      <c r="FGS59" s="76"/>
      <c r="FGT59" s="76"/>
      <c r="FGU59" s="76"/>
      <c r="FGV59" s="76"/>
      <c r="FGW59" s="76"/>
      <c r="FGX59" s="76"/>
      <c r="FGY59" s="76"/>
      <c r="FGZ59" s="76"/>
      <c r="FHA59" s="76"/>
      <c r="FHB59" s="76"/>
      <c r="FHC59" s="76"/>
      <c r="FHD59" s="76"/>
      <c r="FHE59" s="76"/>
      <c r="FHF59" s="76"/>
      <c r="FHG59" s="76"/>
      <c r="FHH59" s="76"/>
      <c r="FHI59" s="76"/>
      <c r="FHJ59" s="76"/>
      <c r="FHK59" s="76"/>
      <c r="FHL59" s="76"/>
      <c r="FHM59" s="76"/>
      <c r="FHN59" s="76"/>
      <c r="FHO59" s="76"/>
      <c r="FHP59" s="76"/>
      <c r="FHQ59" s="76"/>
      <c r="FHR59" s="76"/>
      <c r="FHS59" s="76"/>
      <c r="FHT59" s="76"/>
      <c r="FHU59" s="76"/>
      <c r="FHV59" s="76"/>
      <c r="FHW59" s="76"/>
      <c r="FHX59" s="76"/>
      <c r="FHY59" s="76"/>
      <c r="FHZ59" s="76"/>
      <c r="FIA59" s="76"/>
      <c r="FIB59" s="76"/>
      <c r="FIC59" s="76"/>
      <c r="FID59" s="76"/>
      <c r="FIE59" s="76"/>
      <c r="FIF59" s="76"/>
      <c r="FIG59" s="76"/>
      <c r="FIH59" s="76"/>
      <c r="FII59" s="76"/>
      <c r="FIJ59" s="76"/>
      <c r="FIK59" s="76"/>
      <c r="FIL59" s="76"/>
      <c r="FIM59" s="76"/>
      <c r="FIN59" s="76"/>
      <c r="FIO59" s="76"/>
      <c r="FIP59" s="76"/>
      <c r="FIQ59" s="76"/>
      <c r="FIR59" s="76"/>
      <c r="FIS59" s="76"/>
      <c r="FIT59" s="76"/>
      <c r="FIU59" s="76"/>
      <c r="FIV59" s="76"/>
      <c r="FIW59" s="76"/>
      <c r="FIX59" s="76"/>
      <c r="FIY59" s="76"/>
      <c r="FIZ59" s="76"/>
      <c r="FJA59" s="76"/>
      <c r="FJB59" s="76"/>
      <c r="FJC59" s="76"/>
      <c r="FJD59" s="76"/>
      <c r="FJE59" s="76"/>
      <c r="FJF59" s="76"/>
      <c r="FJG59" s="76"/>
      <c r="FJH59" s="76"/>
      <c r="FJI59" s="76"/>
      <c r="FJJ59" s="76"/>
      <c r="FJK59" s="76"/>
      <c r="FJL59" s="76"/>
      <c r="FJM59" s="76"/>
      <c r="FJN59" s="76"/>
      <c r="FJO59" s="76"/>
      <c r="FJP59" s="76"/>
      <c r="FJQ59" s="76"/>
      <c r="FJR59" s="76"/>
      <c r="FJS59" s="76"/>
      <c r="FJT59" s="76"/>
      <c r="FJU59" s="76"/>
      <c r="FJV59" s="76"/>
      <c r="FJW59" s="76"/>
      <c r="FJX59" s="76"/>
      <c r="FJY59" s="76"/>
      <c r="FJZ59" s="76"/>
      <c r="FKA59" s="76"/>
      <c r="FKB59" s="76"/>
      <c r="FKC59" s="76"/>
      <c r="FKD59" s="76"/>
      <c r="FKE59" s="76"/>
      <c r="FKF59" s="76"/>
      <c r="FKG59" s="76"/>
      <c r="FKH59" s="76"/>
      <c r="FKI59" s="76"/>
      <c r="FKJ59" s="76"/>
      <c r="FKK59" s="76"/>
      <c r="FKL59" s="76"/>
      <c r="FKM59" s="76"/>
      <c r="FKN59" s="76"/>
      <c r="FKO59" s="76"/>
      <c r="FKP59" s="76"/>
      <c r="FKQ59" s="76"/>
      <c r="FKR59" s="76"/>
      <c r="FKS59" s="76"/>
      <c r="FKT59" s="76"/>
      <c r="FKU59" s="76"/>
      <c r="FKV59" s="76"/>
      <c r="FKW59" s="76"/>
      <c r="FKX59" s="76"/>
      <c r="FKY59" s="76"/>
      <c r="FKZ59" s="76"/>
      <c r="FLA59" s="76"/>
      <c r="FLB59" s="76"/>
      <c r="FLC59" s="76"/>
      <c r="FLD59" s="76"/>
      <c r="FLE59" s="76"/>
      <c r="FLF59" s="76"/>
      <c r="FLG59" s="76"/>
      <c r="FLH59" s="76"/>
      <c r="FLI59" s="76"/>
      <c r="FLJ59" s="76"/>
      <c r="FLK59" s="76"/>
      <c r="FLL59" s="76"/>
      <c r="FLM59" s="76"/>
      <c r="FLN59" s="76"/>
      <c r="FLO59" s="76"/>
      <c r="FLP59" s="76"/>
      <c r="FLQ59" s="76"/>
      <c r="FLR59" s="76"/>
      <c r="FLS59" s="76"/>
      <c r="FLT59" s="76"/>
      <c r="FLU59" s="76"/>
      <c r="FLV59" s="76"/>
      <c r="FLW59" s="76"/>
      <c r="FLX59" s="76"/>
      <c r="FLY59" s="76"/>
      <c r="FLZ59" s="76"/>
      <c r="FMA59" s="76"/>
      <c r="FMB59" s="76"/>
      <c r="FMC59" s="76"/>
      <c r="FMD59" s="76"/>
      <c r="FME59" s="76"/>
      <c r="FMF59" s="76"/>
      <c r="FMG59" s="76"/>
      <c r="FMH59" s="76"/>
      <c r="FMI59" s="76"/>
      <c r="FMJ59" s="76"/>
      <c r="FMK59" s="76"/>
      <c r="FML59" s="76"/>
      <c r="FMM59" s="76"/>
      <c r="FMN59" s="76"/>
      <c r="FMO59" s="76"/>
      <c r="FMP59" s="76"/>
      <c r="FMQ59" s="76"/>
      <c r="FMR59" s="76"/>
      <c r="FMS59" s="76"/>
      <c r="FMT59" s="76"/>
      <c r="FMU59" s="76"/>
      <c r="FMV59" s="76"/>
      <c r="FMW59" s="76"/>
      <c r="FMX59" s="76"/>
      <c r="FMY59" s="76"/>
      <c r="FMZ59" s="76"/>
      <c r="FNA59" s="76"/>
      <c r="FNB59" s="76"/>
      <c r="FNC59" s="76"/>
      <c r="FND59" s="76"/>
      <c r="FNE59" s="76"/>
      <c r="FNF59" s="76"/>
      <c r="FNG59" s="76"/>
      <c r="FNH59" s="76"/>
      <c r="FNI59" s="76"/>
      <c r="FNJ59" s="76"/>
      <c r="FNK59" s="76"/>
      <c r="FNL59" s="76"/>
      <c r="FNM59" s="76"/>
      <c r="FNN59" s="76"/>
      <c r="FNO59" s="76"/>
      <c r="FNP59" s="76"/>
      <c r="FNQ59" s="76"/>
      <c r="FNR59" s="76"/>
      <c r="FNS59" s="76"/>
      <c r="FNT59" s="76"/>
      <c r="FNU59" s="76"/>
      <c r="FNV59" s="76"/>
      <c r="FNW59" s="76"/>
      <c r="FNX59" s="76"/>
      <c r="FNY59" s="76"/>
      <c r="FNZ59" s="76"/>
      <c r="FOA59" s="76"/>
      <c r="FOB59" s="76"/>
      <c r="FOC59" s="76"/>
      <c r="FOD59" s="76"/>
      <c r="FOE59" s="76"/>
      <c r="FOF59" s="76"/>
      <c r="FOG59" s="76"/>
      <c r="FOH59" s="76"/>
      <c r="FOI59" s="76"/>
      <c r="FOJ59" s="76"/>
      <c r="FOK59" s="76"/>
      <c r="FOL59" s="76"/>
      <c r="FOM59" s="76"/>
      <c r="FON59" s="76"/>
      <c r="FOO59" s="76"/>
      <c r="FOP59" s="76"/>
      <c r="FOQ59" s="76"/>
      <c r="FOR59" s="76"/>
      <c r="FOS59" s="76"/>
      <c r="FOT59" s="76"/>
      <c r="FOU59" s="76"/>
      <c r="FOV59" s="76"/>
      <c r="FOW59" s="76"/>
      <c r="FOX59" s="76"/>
      <c r="FOY59" s="76"/>
      <c r="FOZ59" s="76"/>
      <c r="FPA59" s="76"/>
      <c r="FPB59" s="76"/>
      <c r="FPC59" s="76"/>
      <c r="FPD59" s="76"/>
      <c r="FPE59" s="76"/>
      <c r="FPF59" s="76"/>
      <c r="FPG59" s="76"/>
      <c r="FPH59" s="76"/>
      <c r="FPI59" s="76"/>
      <c r="FPJ59" s="76"/>
      <c r="FPK59" s="76"/>
      <c r="FPL59" s="76"/>
      <c r="FPM59" s="76"/>
      <c r="FPN59" s="76"/>
      <c r="FPO59" s="76"/>
      <c r="FPP59" s="76"/>
      <c r="FPQ59" s="76"/>
      <c r="FPR59" s="76"/>
      <c r="FPS59" s="76"/>
      <c r="FPT59" s="76"/>
      <c r="FPU59" s="76"/>
      <c r="FPV59" s="76"/>
      <c r="FPW59" s="76"/>
      <c r="FPX59" s="76"/>
      <c r="FPY59" s="76"/>
      <c r="FPZ59" s="76"/>
      <c r="FQA59" s="76"/>
      <c r="FQB59" s="76"/>
      <c r="FQC59" s="76"/>
      <c r="FQD59" s="76"/>
      <c r="FQE59" s="76"/>
      <c r="FQF59" s="76"/>
      <c r="FQG59" s="76"/>
      <c r="FQH59" s="76"/>
      <c r="FQI59" s="76"/>
      <c r="FQJ59" s="76"/>
      <c r="FQK59" s="76"/>
      <c r="FQL59" s="76"/>
      <c r="FQM59" s="76"/>
      <c r="FQN59" s="76"/>
      <c r="FQO59" s="76"/>
      <c r="FQP59" s="76"/>
      <c r="FQQ59" s="76"/>
      <c r="FQR59" s="76"/>
      <c r="FQS59" s="76"/>
      <c r="FQT59" s="76"/>
      <c r="FQU59" s="76"/>
      <c r="FQV59" s="76"/>
      <c r="FQW59" s="76"/>
      <c r="FQX59" s="76"/>
      <c r="FQY59" s="76"/>
      <c r="FQZ59" s="76"/>
      <c r="FRA59" s="76"/>
      <c r="FRB59" s="76"/>
      <c r="FRC59" s="76"/>
      <c r="FRD59" s="76"/>
      <c r="FRE59" s="76"/>
      <c r="FRF59" s="76"/>
      <c r="FRG59" s="76"/>
      <c r="FRH59" s="76"/>
      <c r="FRI59" s="76"/>
      <c r="FRJ59" s="76"/>
      <c r="FRK59" s="76"/>
      <c r="FRL59" s="76"/>
      <c r="FRM59" s="76"/>
      <c r="FRN59" s="76"/>
      <c r="FRO59" s="76"/>
      <c r="FRP59" s="76"/>
      <c r="FRQ59" s="76"/>
      <c r="FRR59" s="76"/>
      <c r="FRS59" s="76"/>
      <c r="FRT59" s="76"/>
      <c r="FRU59" s="76"/>
      <c r="FRV59" s="76"/>
      <c r="FRW59" s="76"/>
      <c r="FRX59" s="76"/>
      <c r="FRY59" s="76"/>
      <c r="FRZ59" s="76"/>
      <c r="FSA59" s="76"/>
      <c r="FSB59" s="76"/>
      <c r="FSC59" s="76"/>
      <c r="FSD59" s="76"/>
      <c r="FSE59" s="76"/>
      <c r="FSF59" s="76"/>
      <c r="FSG59" s="76"/>
      <c r="FSH59" s="76"/>
      <c r="FSI59" s="76"/>
      <c r="FSJ59" s="76"/>
      <c r="FSK59" s="76"/>
      <c r="FSL59" s="76"/>
      <c r="FSM59" s="76"/>
      <c r="FSN59" s="76"/>
      <c r="FSO59" s="76"/>
      <c r="FSP59" s="76"/>
      <c r="FSQ59" s="76"/>
      <c r="FSR59" s="76"/>
      <c r="FSS59" s="76"/>
      <c r="FST59" s="76"/>
      <c r="FSU59" s="76"/>
      <c r="FSV59" s="76"/>
      <c r="FSW59" s="76"/>
      <c r="FSX59" s="76"/>
      <c r="FSY59" s="76"/>
      <c r="FSZ59" s="76"/>
      <c r="FTA59" s="76"/>
      <c r="FTB59" s="76"/>
      <c r="FTC59" s="76"/>
      <c r="FTD59" s="76"/>
      <c r="FTE59" s="76"/>
      <c r="FTF59" s="76"/>
      <c r="FTG59" s="76"/>
      <c r="FTH59" s="76"/>
      <c r="FTI59" s="76"/>
      <c r="FTJ59" s="76"/>
      <c r="FTK59" s="76"/>
      <c r="FTL59" s="76"/>
      <c r="FTM59" s="76"/>
      <c r="FTN59" s="76"/>
      <c r="FTO59" s="76"/>
      <c r="FTP59" s="76"/>
      <c r="FTQ59" s="76"/>
      <c r="FTR59" s="76"/>
      <c r="FTS59" s="76"/>
      <c r="FTT59" s="76"/>
      <c r="FTU59" s="76"/>
      <c r="FTV59" s="76"/>
      <c r="FTW59" s="76"/>
      <c r="FTX59" s="76"/>
      <c r="FTY59" s="76"/>
      <c r="FTZ59" s="76"/>
      <c r="FUA59" s="76"/>
      <c r="FUB59" s="76"/>
      <c r="FUC59" s="76"/>
      <c r="FUD59" s="76"/>
      <c r="FUE59" s="76"/>
      <c r="FUF59" s="76"/>
      <c r="FUG59" s="76"/>
      <c r="FUH59" s="76"/>
      <c r="FUI59" s="76"/>
      <c r="FUJ59" s="76"/>
      <c r="FUK59" s="76"/>
      <c r="FUL59" s="76"/>
      <c r="FUM59" s="76"/>
      <c r="FUN59" s="76"/>
      <c r="FUO59" s="76"/>
      <c r="FUP59" s="76"/>
      <c r="FUQ59" s="76"/>
      <c r="FUR59" s="76"/>
      <c r="FUS59" s="76"/>
      <c r="FUT59" s="76"/>
      <c r="FUU59" s="76"/>
      <c r="FUV59" s="76"/>
      <c r="FUW59" s="76"/>
      <c r="FUX59" s="76"/>
      <c r="FUY59" s="76"/>
      <c r="FUZ59" s="76"/>
      <c r="FVA59" s="76"/>
      <c r="FVB59" s="76"/>
      <c r="FVC59" s="76"/>
      <c r="FVD59" s="76"/>
      <c r="FVE59" s="76"/>
      <c r="FVF59" s="76"/>
      <c r="FVG59" s="76"/>
      <c r="FVH59" s="76"/>
      <c r="FVI59" s="76"/>
      <c r="FVJ59" s="76"/>
      <c r="FVK59" s="76"/>
      <c r="FVL59" s="76"/>
      <c r="FVM59" s="76"/>
      <c r="FVN59" s="76"/>
      <c r="FVO59" s="76"/>
      <c r="FVP59" s="76"/>
      <c r="FVQ59" s="76"/>
      <c r="FVR59" s="76"/>
      <c r="FVS59" s="76"/>
      <c r="FVT59" s="76"/>
      <c r="FVU59" s="76"/>
      <c r="FVV59" s="76"/>
      <c r="FVW59" s="76"/>
      <c r="FVX59" s="76"/>
      <c r="FVY59" s="76"/>
      <c r="FVZ59" s="76"/>
      <c r="FWA59" s="76"/>
      <c r="FWB59" s="76"/>
      <c r="FWC59" s="76"/>
      <c r="FWD59" s="76"/>
      <c r="FWE59" s="76"/>
      <c r="FWF59" s="76"/>
      <c r="FWG59" s="76"/>
      <c r="FWH59" s="76"/>
      <c r="FWI59" s="76"/>
      <c r="FWJ59" s="76"/>
      <c r="FWK59" s="76"/>
      <c r="FWL59" s="76"/>
      <c r="FWM59" s="76"/>
      <c r="FWN59" s="76"/>
      <c r="FWO59" s="76"/>
      <c r="FWP59" s="76"/>
      <c r="FWQ59" s="76"/>
      <c r="FWR59" s="76"/>
      <c r="FWS59" s="76"/>
      <c r="FWT59" s="76"/>
      <c r="FWU59" s="76"/>
      <c r="FWV59" s="76"/>
      <c r="FWW59" s="76"/>
      <c r="FWX59" s="76"/>
      <c r="FWY59" s="76"/>
      <c r="FWZ59" s="76"/>
      <c r="FXA59" s="76"/>
      <c r="FXB59" s="76"/>
      <c r="FXC59" s="76"/>
      <c r="FXD59" s="76"/>
      <c r="FXE59" s="76"/>
      <c r="FXF59" s="76"/>
      <c r="FXG59" s="76"/>
      <c r="FXH59" s="76"/>
      <c r="FXI59" s="76"/>
      <c r="FXJ59" s="76"/>
      <c r="FXK59" s="76"/>
      <c r="FXL59" s="76"/>
      <c r="FXM59" s="76"/>
      <c r="FXN59" s="76"/>
      <c r="FXO59" s="76"/>
      <c r="FXP59" s="76"/>
      <c r="FXQ59" s="76"/>
      <c r="FXR59" s="76"/>
      <c r="FXS59" s="76"/>
      <c r="FXT59" s="76"/>
      <c r="FXU59" s="76"/>
      <c r="FXV59" s="76"/>
      <c r="FXW59" s="76"/>
      <c r="FXX59" s="76"/>
      <c r="FXY59" s="76"/>
      <c r="FXZ59" s="76"/>
      <c r="FYA59" s="76"/>
      <c r="FYB59" s="76"/>
      <c r="FYC59" s="76"/>
      <c r="FYD59" s="76"/>
      <c r="FYE59" s="76"/>
      <c r="FYF59" s="76"/>
      <c r="FYG59" s="76"/>
      <c r="FYH59" s="76"/>
      <c r="FYI59" s="76"/>
      <c r="FYJ59" s="76"/>
      <c r="FYK59" s="76"/>
      <c r="FYL59" s="76"/>
      <c r="FYM59" s="76"/>
      <c r="FYN59" s="76"/>
      <c r="FYO59" s="76"/>
      <c r="FYP59" s="76"/>
      <c r="FYQ59" s="76"/>
      <c r="FYR59" s="76"/>
      <c r="FYS59" s="76"/>
      <c r="FYT59" s="76"/>
      <c r="FYU59" s="76"/>
      <c r="FYV59" s="76"/>
      <c r="FYW59" s="76"/>
      <c r="FYX59" s="76"/>
      <c r="FYY59" s="76"/>
      <c r="FYZ59" s="76"/>
      <c r="FZA59" s="76"/>
      <c r="FZB59" s="76"/>
      <c r="FZC59" s="76"/>
      <c r="FZD59" s="76"/>
      <c r="FZE59" s="76"/>
      <c r="FZF59" s="76"/>
      <c r="FZG59" s="76"/>
      <c r="FZH59" s="76"/>
      <c r="FZI59" s="76"/>
      <c r="FZJ59" s="76"/>
      <c r="FZK59" s="76"/>
      <c r="FZL59" s="76"/>
      <c r="FZM59" s="76"/>
      <c r="FZN59" s="76"/>
      <c r="FZO59" s="76"/>
      <c r="FZP59" s="76"/>
      <c r="FZQ59" s="76"/>
      <c r="FZR59" s="76"/>
      <c r="FZS59" s="76"/>
      <c r="FZT59" s="76"/>
      <c r="FZU59" s="76"/>
      <c r="FZV59" s="76"/>
      <c r="FZW59" s="76"/>
      <c r="FZX59" s="76"/>
      <c r="FZY59" s="76"/>
      <c r="FZZ59" s="76"/>
      <c r="GAA59" s="76"/>
      <c r="GAB59" s="76"/>
      <c r="GAC59" s="76"/>
      <c r="GAD59" s="76"/>
      <c r="GAE59" s="76"/>
      <c r="GAF59" s="76"/>
      <c r="GAG59" s="76"/>
      <c r="GAH59" s="76"/>
      <c r="GAI59" s="76"/>
      <c r="GAJ59" s="76"/>
      <c r="GAK59" s="76"/>
      <c r="GAL59" s="76"/>
      <c r="GAM59" s="76"/>
      <c r="GAN59" s="76"/>
      <c r="GAO59" s="76"/>
      <c r="GAP59" s="76"/>
      <c r="GAQ59" s="76"/>
      <c r="GAR59" s="76"/>
      <c r="GAS59" s="76"/>
      <c r="GAT59" s="76"/>
      <c r="GAU59" s="76"/>
      <c r="GAV59" s="76"/>
      <c r="GAW59" s="76"/>
      <c r="GAX59" s="76"/>
      <c r="GAY59" s="76"/>
      <c r="GAZ59" s="76"/>
      <c r="GBA59" s="76"/>
      <c r="GBB59" s="76"/>
      <c r="GBC59" s="76"/>
      <c r="GBD59" s="76"/>
      <c r="GBE59" s="76"/>
      <c r="GBF59" s="76"/>
      <c r="GBG59" s="76"/>
      <c r="GBH59" s="76"/>
      <c r="GBI59" s="76"/>
      <c r="GBJ59" s="76"/>
      <c r="GBK59" s="76"/>
      <c r="GBL59" s="76"/>
      <c r="GBM59" s="76"/>
      <c r="GBN59" s="76"/>
      <c r="GBO59" s="76"/>
      <c r="GBP59" s="76"/>
      <c r="GBQ59" s="76"/>
      <c r="GBR59" s="76"/>
      <c r="GBS59" s="76"/>
      <c r="GBT59" s="76"/>
      <c r="GBU59" s="76"/>
      <c r="GBV59" s="76"/>
      <c r="GBW59" s="76"/>
      <c r="GBX59" s="76"/>
      <c r="GBY59" s="76"/>
      <c r="GBZ59" s="76"/>
      <c r="GCA59" s="76"/>
      <c r="GCB59" s="76"/>
      <c r="GCC59" s="76"/>
      <c r="GCD59" s="76"/>
      <c r="GCE59" s="76"/>
      <c r="GCF59" s="76"/>
      <c r="GCG59" s="76"/>
      <c r="GCH59" s="76"/>
      <c r="GCI59" s="76"/>
      <c r="GCJ59" s="76"/>
      <c r="GCK59" s="76"/>
      <c r="GCL59" s="76"/>
      <c r="GCM59" s="76"/>
      <c r="GCN59" s="76"/>
      <c r="GCO59" s="76"/>
      <c r="GCP59" s="76"/>
      <c r="GCQ59" s="76"/>
      <c r="GCR59" s="76"/>
      <c r="GCS59" s="76"/>
      <c r="GCT59" s="76"/>
      <c r="GCU59" s="76"/>
      <c r="GCV59" s="76"/>
      <c r="GCW59" s="76"/>
      <c r="GCX59" s="76"/>
      <c r="GCY59" s="76"/>
      <c r="GCZ59" s="76"/>
      <c r="GDA59" s="76"/>
      <c r="GDB59" s="76"/>
      <c r="GDC59" s="76"/>
      <c r="GDD59" s="76"/>
      <c r="GDE59" s="76"/>
      <c r="GDF59" s="76"/>
      <c r="GDG59" s="76"/>
      <c r="GDH59" s="76"/>
      <c r="GDI59" s="76"/>
      <c r="GDJ59" s="76"/>
      <c r="GDK59" s="76"/>
      <c r="GDL59" s="76"/>
      <c r="GDM59" s="76"/>
      <c r="GDN59" s="76"/>
      <c r="GDO59" s="76"/>
      <c r="GDP59" s="76"/>
      <c r="GDQ59" s="76"/>
      <c r="GDR59" s="76"/>
      <c r="GDS59" s="76"/>
      <c r="GDT59" s="76"/>
      <c r="GDU59" s="76"/>
      <c r="GDV59" s="76"/>
      <c r="GDW59" s="76"/>
      <c r="GDX59" s="76"/>
      <c r="GDY59" s="76"/>
      <c r="GDZ59" s="76"/>
      <c r="GEA59" s="76"/>
      <c r="GEB59" s="76"/>
      <c r="GEC59" s="76"/>
      <c r="GED59" s="76"/>
      <c r="GEE59" s="76"/>
      <c r="GEF59" s="76"/>
      <c r="GEG59" s="76"/>
      <c r="GEH59" s="76"/>
      <c r="GEI59" s="76"/>
      <c r="GEJ59" s="76"/>
      <c r="GEK59" s="76"/>
      <c r="GEL59" s="76"/>
      <c r="GEM59" s="76"/>
      <c r="GEN59" s="76"/>
      <c r="GEO59" s="76"/>
      <c r="GEP59" s="76"/>
      <c r="GEQ59" s="76"/>
      <c r="GER59" s="76"/>
      <c r="GES59" s="76"/>
      <c r="GET59" s="76"/>
      <c r="GEU59" s="76"/>
      <c r="GEV59" s="76"/>
      <c r="GEW59" s="76"/>
      <c r="GEX59" s="76"/>
      <c r="GEY59" s="76"/>
      <c r="GEZ59" s="76"/>
      <c r="GFA59" s="76"/>
      <c r="GFB59" s="76"/>
      <c r="GFC59" s="76"/>
      <c r="GFD59" s="76"/>
      <c r="GFE59" s="76"/>
      <c r="GFF59" s="76"/>
      <c r="GFG59" s="76"/>
      <c r="GFH59" s="76"/>
      <c r="GFI59" s="76"/>
      <c r="GFJ59" s="76"/>
      <c r="GFK59" s="76"/>
      <c r="GFL59" s="76"/>
      <c r="GFM59" s="76"/>
      <c r="GFN59" s="76"/>
      <c r="GFO59" s="76"/>
      <c r="GFP59" s="76"/>
      <c r="GFQ59" s="76"/>
      <c r="GFR59" s="76"/>
      <c r="GFS59" s="76"/>
      <c r="GFT59" s="76"/>
      <c r="GFU59" s="76"/>
      <c r="GFV59" s="76"/>
      <c r="GFW59" s="76"/>
      <c r="GFX59" s="76"/>
      <c r="GFY59" s="76"/>
      <c r="GFZ59" s="76"/>
      <c r="GGA59" s="76"/>
      <c r="GGB59" s="76"/>
      <c r="GGC59" s="76"/>
      <c r="GGD59" s="76"/>
      <c r="GGE59" s="76"/>
      <c r="GGF59" s="76"/>
      <c r="GGG59" s="76"/>
      <c r="GGH59" s="76"/>
      <c r="GGI59" s="76"/>
      <c r="GGJ59" s="76"/>
      <c r="GGK59" s="76"/>
      <c r="GGL59" s="76"/>
      <c r="GGM59" s="76"/>
      <c r="GGN59" s="76"/>
      <c r="GGO59" s="76"/>
      <c r="GGP59" s="76"/>
      <c r="GGQ59" s="76"/>
      <c r="GGR59" s="76"/>
      <c r="GGS59" s="76"/>
      <c r="GGT59" s="76"/>
      <c r="GGU59" s="76"/>
      <c r="GGV59" s="76"/>
      <c r="GGW59" s="76"/>
      <c r="GGX59" s="76"/>
      <c r="GGY59" s="76"/>
      <c r="GGZ59" s="76"/>
      <c r="GHA59" s="76"/>
      <c r="GHB59" s="76"/>
      <c r="GHC59" s="76"/>
      <c r="GHD59" s="76"/>
      <c r="GHE59" s="76"/>
      <c r="GHF59" s="76"/>
      <c r="GHG59" s="76"/>
      <c r="GHH59" s="76"/>
      <c r="GHI59" s="76"/>
      <c r="GHJ59" s="76"/>
      <c r="GHK59" s="76"/>
      <c r="GHL59" s="76"/>
      <c r="GHM59" s="76"/>
      <c r="GHN59" s="76"/>
      <c r="GHO59" s="76"/>
      <c r="GHP59" s="76"/>
      <c r="GHQ59" s="76"/>
      <c r="GHR59" s="76"/>
      <c r="GHS59" s="76"/>
      <c r="GHT59" s="76"/>
      <c r="GHU59" s="76"/>
      <c r="GHV59" s="76"/>
      <c r="GHW59" s="76"/>
      <c r="GHX59" s="76"/>
      <c r="GHY59" s="76"/>
      <c r="GHZ59" s="76"/>
      <c r="GIA59" s="76"/>
      <c r="GIB59" s="76"/>
      <c r="GIC59" s="76"/>
      <c r="GID59" s="76"/>
      <c r="GIE59" s="76"/>
      <c r="GIF59" s="76"/>
      <c r="GIG59" s="76"/>
      <c r="GIH59" s="76"/>
      <c r="GII59" s="76"/>
      <c r="GIJ59" s="76"/>
      <c r="GIK59" s="76"/>
      <c r="GIL59" s="76"/>
      <c r="GIM59" s="76"/>
      <c r="GIN59" s="76"/>
      <c r="GIO59" s="76"/>
      <c r="GIP59" s="76"/>
      <c r="GIQ59" s="76"/>
      <c r="GIR59" s="76"/>
      <c r="GIS59" s="76"/>
      <c r="GIT59" s="76"/>
      <c r="GIU59" s="76"/>
      <c r="GIV59" s="76"/>
      <c r="GIW59" s="76"/>
      <c r="GIX59" s="76"/>
      <c r="GIY59" s="76"/>
      <c r="GIZ59" s="76"/>
      <c r="GJA59" s="76"/>
      <c r="GJB59" s="76"/>
      <c r="GJC59" s="76"/>
      <c r="GJD59" s="76"/>
      <c r="GJE59" s="76"/>
      <c r="GJF59" s="76"/>
      <c r="GJG59" s="76"/>
      <c r="GJH59" s="76"/>
      <c r="GJI59" s="76"/>
      <c r="GJJ59" s="76"/>
      <c r="GJK59" s="76"/>
      <c r="GJL59" s="76"/>
      <c r="GJM59" s="76"/>
      <c r="GJN59" s="76"/>
      <c r="GJO59" s="76"/>
      <c r="GJP59" s="76"/>
      <c r="GJQ59" s="76"/>
      <c r="GJR59" s="76"/>
      <c r="GJS59" s="76"/>
      <c r="GJT59" s="76"/>
      <c r="GJU59" s="76"/>
      <c r="GJV59" s="76"/>
      <c r="GJW59" s="76"/>
      <c r="GJX59" s="76"/>
      <c r="GJY59" s="76"/>
      <c r="GJZ59" s="76"/>
      <c r="GKA59" s="76"/>
      <c r="GKB59" s="76"/>
      <c r="GKC59" s="76"/>
      <c r="GKD59" s="76"/>
      <c r="GKE59" s="76"/>
      <c r="GKF59" s="76"/>
      <c r="GKG59" s="76"/>
      <c r="GKH59" s="76"/>
      <c r="GKI59" s="76"/>
      <c r="GKJ59" s="76"/>
      <c r="GKK59" s="76"/>
      <c r="GKL59" s="76"/>
      <c r="GKM59" s="76"/>
      <c r="GKN59" s="76"/>
      <c r="GKO59" s="76"/>
      <c r="GKP59" s="76"/>
      <c r="GKQ59" s="76"/>
      <c r="GKR59" s="76"/>
      <c r="GKS59" s="76"/>
      <c r="GKT59" s="76"/>
      <c r="GKU59" s="76"/>
      <c r="GKV59" s="76"/>
      <c r="GKW59" s="76"/>
      <c r="GKX59" s="76"/>
      <c r="GKY59" s="76"/>
      <c r="GKZ59" s="76"/>
      <c r="GLA59" s="76"/>
      <c r="GLB59" s="76"/>
      <c r="GLC59" s="76"/>
      <c r="GLD59" s="76"/>
      <c r="GLE59" s="76"/>
      <c r="GLF59" s="76"/>
      <c r="GLG59" s="76"/>
      <c r="GLH59" s="76"/>
      <c r="GLI59" s="76"/>
      <c r="GLJ59" s="76"/>
      <c r="GLK59" s="76"/>
      <c r="GLL59" s="76"/>
      <c r="GLM59" s="76"/>
      <c r="GLN59" s="76"/>
      <c r="GLO59" s="76"/>
      <c r="GLP59" s="76"/>
      <c r="GLQ59" s="76"/>
      <c r="GLR59" s="76"/>
      <c r="GLS59" s="76"/>
      <c r="GLT59" s="76"/>
      <c r="GLU59" s="76"/>
      <c r="GLV59" s="76"/>
      <c r="GLW59" s="76"/>
      <c r="GLX59" s="76"/>
      <c r="GLY59" s="76"/>
      <c r="GLZ59" s="76"/>
      <c r="GMA59" s="76"/>
      <c r="GMB59" s="76"/>
      <c r="GMC59" s="76"/>
      <c r="GMD59" s="76"/>
      <c r="GME59" s="76"/>
      <c r="GMF59" s="76"/>
      <c r="GMG59" s="76"/>
      <c r="GMH59" s="76"/>
      <c r="GMI59" s="76"/>
      <c r="GMJ59" s="76"/>
      <c r="GMK59" s="76"/>
      <c r="GML59" s="76"/>
      <c r="GMM59" s="76"/>
      <c r="GMN59" s="76"/>
      <c r="GMO59" s="76"/>
      <c r="GMP59" s="76"/>
      <c r="GMQ59" s="76"/>
      <c r="GMR59" s="76"/>
      <c r="GMS59" s="76"/>
      <c r="GMT59" s="76"/>
      <c r="GMU59" s="76"/>
      <c r="GMV59" s="76"/>
      <c r="GMW59" s="76"/>
      <c r="GMX59" s="76"/>
      <c r="GMY59" s="76"/>
      <c r="GMZ59" s="76"/>
      <c r="GNA59" s="76"/>
      <c r="GNB59" s="76"/>
      <c r="GNC59" s="76"/>
      <c r="GND59" s="76"/>
      <c r="GNE59" s="76"/>
      <c r="GNF59" s="76"/>
      <c r="GNG59" s="76"/>
      <c r="GNH59" s="76"/>
      <c r="GNI59" s="76"/>
      <c r="GNJ59" s="76"/>
      <c r="GNK59" s="76"/>
      <c r="GNL59" s="76"/>
      <c r="GNM59" s="76"/>
      <c r="GNN59" s="76"/>
      <c r="GNO59" s="76"/>
      <c r="GNP59" s="76"/>
      <c r="GNQ59" s="76"/>
      <c r="GNR59" s="76"/>
      <c r="GNS59" s="76"/>
      <c r="GNT59" s="76"/>
      <c r="GNU59" s="76"/>
      <c r="GNV59" s="76"/>
      <c r="GNW59" s="76"/>
      <c r="GNX59" s="76"/>
      <c r="GNY59" s="76"/>
      <c r="GNZ59" s="76"/>
      <c r="GOA59" s="76"/>
      <c r="GOB59" s="76"/>
      <c r="GOC59" s="76"/>
      <c r="GOD59" s="76"/>
      <c r="GOE59" s="76"/>
      <c r="GOF59" s="76"/>
      <c r="GOG59" s="76"/>
      <c r="GOH59" s="76"/>
      <c r="GOI59" s="76"/>
      <c r="GOJ59" s="76"/>
      <c r="GOK59" s="76"/>
      <c r="GOL59" s="76"/>
      <c r="GOM59" s="76"/>
      <c r="GON59" s="76"/>
      <c r="GOO59" s="76"/>
      <c r="GOP59" s="76"/>
      <c r="GOQ59" s="76"/>
      <c r="GOR59" s="76"/>
      <c r="GOS59" s="76"/>
      <c r="GOT59" s="76"/>
      <c r="GOU59" s="76"/>
      <c r="GOV59" s="76"/>
      <c r="GOW59" s="76"/>
      <c r="GOX59" s="76"/>
      <c r="GOY59" s="76"/>
      <c r="GOZ59" s="76"/>
      <c r="GPA59" s="76"/>
      <c r="GPB59" s="76"/>
      <c r="GPC59" s="76"/>
      <c r="GPD59" s="76"/>
      <c r="GPE59" s="76"/>
      <c r="GPF59" s="76"/>
      <c r="GPG59" s="76"/>
      <c r="GPH59" s="76"/>
      <c r="GPI59" s="76"/>
      <c r="GPJ59" s="76"/>
      <c r="GPK59" s="76"/>
      <c r="GPL59" s="76"/>
      <c r="GPM59" s="76"/>
      <c r="GPN59" s="76"/>
      <c r="GPO59" s="76"/>
      <c r="GPP59" s="76"/>
      <c r="GPQ59" s="76"/>
      <c r="GPR59" s="76"/>
      <c r="GPS59" s="76"/>
      <c r="GPT59" s="76"/>
      <c r="GPU59" s="76"/>
      <c r="GPV59" s="76"/>
      <c r="GPW59" s="76"/>
      <c r="GPX59" s="76"/>
      <c r="GPY59" s="76"/>
      <c r="GPZ59" s="76"/>
      <c r="GQA59" s="76"/>
      <c r="GQB59" s="76"/>
      <c r="GQC59" s="76"/>
      <c r="GQD59" s="76"/>
      <c r="GQE59" s="76"/>
      <c r="GQF59" s="76"/>
      <c r="GQG59" s="76"/>
      <c r="GQH59" s="76"/>
      <c r="GQI59" s="76"/>
      <c r="GQJ59" s="76"/>
      <c r="GQK59" s="76"/>
      <c r="GQL59" s="76"/>
      <c r="GQM59" s="76"/>
      <c r="GQN59" s="76"/>
      <c r="GQO59" s="76"/>
      <c r="GQP59" s="76"/>
      <c r="GQQ59" s="76"/>
      <c r="GQR59" s="76"/>
      <c r="GQS59" s="76"/>
      <c r="GQT59" s="76"/>
      <c r="GQU59" s="76"/>
      <c r="GQV59" s="76"/>
      <c r="GQW59" s="76"/>
      <c r="GQX59" s="76"/>
      <c r="GQY59" s="76"/>
      <c r="GQZ59" s="76"/>
      <c r="GRA59" s="76"/>
      <c r="GRB59" s="76"/>
      <c r="GRC59" s="76"/>
      <c r="GRD59" s="76"/>
      <c r="GRE59" s="76"/>
      <c r="GRF59" s="76"/>
      <c r="GRG59" s="76"/>
      <c r="GRH59" s="76"/>
      <c r="GRI59" s="76"/>
      <c r="GRJ59" s="76"/>
      <c r="GRK59" s="76"/>
      <c r="GRL59" s="76"/>
      <c r="GRM59" s="76"/>
      <c r="GRN59" s="76"/>
      <c r="GRO59" s="76"/>
      <c r="GRP59" s="76"/>
      <c r="GRQ59" s="76"/>
      <c r="GRR59" s="76"/>
      <c r="GRS59" s="76"/>
      <c r="GRT59" s="76"/>
      <c r="GRU59" s="76"/>
      <c r="GRV59" s="76"/>
      <c r="GRW59" s="76"/>
      <c r="GRX59" s="76"/>
      <c r="GRY59" s="76"/>
      <c r="GRZ59" s="76"/>
      <c r="GSA59" s="76"/>
      <c r="GSB59" s="76"/>
      <c r="GSC59" s="76"/>
      <c r="GSD59" s="76"/>
      <c r="GSE59" s="76"/>
      <c r="GSF59" s="76"/>
      <c r="GSG59" s="76"/>
      <c r="GSH59" s="76"/>
      <c r="GSI59" s="76"/>
      <c r="GSJ59" s="76"/>
      <c r="GSK59" s="76"/>
      <c r="GSL59" s="76"/>
      <c r="GSM59" s="76"/>
      <c r="GSN59" s="76"/>
      <c r="GSO59" s="76"/>
      <c r="GSP59" s="76"/>
      <c r="GSQ59" s="76"/>
      <c r="GSR59" s="76"/>
      <c r="GSS59" s="76"/>
      <c r="GST59" s="76"/>
      <c r="GSU59" s="76"/>
      <c r="GSV59" s="76"/>
      <c r="GSW59" s="76"/>
      <c r="GSX59" s="76"/>
      <c r="GSY59" s="76"/>
      <c r="GSZ59" s="76"/>
      <c r="GTA59" s="76"/>
      <c r="GTB59" s="76"/>
      <c r="GTC59" s="76"/>
      <c r="GTD59" s="76"/>
      <c r="GTE59" s="76"/>
      <c r="GTF59" s="76"/>
      <c r="GTG59" s="76"/>
      <c r="GTH59" s="76"/>
      <c r="GTI59" s="76"/>
      <c r="GTJ59" s="76"/>
      <c r="GTK59" s="76"/>
      <c r="GTL59" s="76"/>
      <c r="GTM59" s="76"/>
      <c r="GTN59" s="76"/>
      <c r="GTO59" s="76"/>
      <c r="GTP59" s="76"/>
      <c r="GTQ59" s="76"/>
      <c r="GTR59" s="76"/>
      <c r="GTS59" s="76"/>
      <c r="GTT59" s="76"/>
      <c r="GTU59" s="76"/>
      <c r="GTV59" s="76"/>
      <c r="GTW59" s="76"/>
      <c r="GTX59" s="76"/>
      <c r="GTY59" s="76"/>
      <c r="GTZ59" s="76"/>
      <c r="GUA59" s="76"/>
      <c r="GUB59" s="76"/>
      <c r="GUC59" s="76"/>
      <c r="GUD59" s="76"/>
      <c r="GUE59" s="76"/>
      <c r="GUF59" s="76"/>
      <c r="GUG59" s="76"/>
      <c r="GUH59" s="76"/>
      <c r="GUI59" s="76"/>
      <c r="GUJ59" s="76"/>
      <c r="GUK59" s="76"/>
      <c r="GUL59" s="76"/>
      <c r="GUM59" s="76"/>
      <c r="GUN59" s="76"/>
      <c r="GUO59" s="76"/>
      <c r="GUP59" s="76"/>
      <c r="GUQ59" s="76"/>
      <c r="GUR59" s="76"/>
      <c r="GUS59" s="76"/>
      <c r="GUT59" s="76"/>
      <c r="GUU59" s="76"/>
      <c r="GUV59" s="76"/>
      <c r="GUW59" s="76"/>
      <c r="GUX59" s="76"/>
      <c r="GUY59" s="76"/>
      <c r="GUZ59" s="76"/>
      <c r="GVA59" s="76"/>
      <c r="GVB59" s="76"/>
      <c r="GVC59" s="76"/>
      <c r="GVD59" s="76"/>
      <c r="GVE59" s="76"/>
      <c r="GVF59" s="76"/>
      <c r="GVG59" s="76"/>
      <c r="GVH59" s="76"/>
      <c r="GVI59" s="76"/>
      <c r="GVJ59" s="76"/>
      <c r="GVK59" s="76"/>
      <c r="GVL59" s="76"/>
      <c r="GVM59" s="76"/>
      <c r="GVN59" s="76"/>
      <c r="GVO59" s="76"/>
      <c r="GVP59" s="76"/>
      <c r="GVQ59" s="76"/>
      <c r="GVR59" s="76"/>
      <c r="GVS59" s="76"/>
      <c r="GVT59" s="76"/>
      <c r="GVU59" s="76"/>
      <c r="GVV59" s="76"/>
      <c r="GVW59" s="76"/>
      <c r="GVX59" s="76"/>
      <c r="GVY59" s="76"/>
      <c r="GVZ59" s="76"/>
      <c r="GWA59" s="76"/>
      <c r="GWB59" s="76"/>
      <c r="GWC59" s="76"/>
      <c r="GWD59" s="76"/>
      <c r="GWE59" s="76"/>
      <c r="GWF59" s="76"/>
      <c r="GWG59" s="76"/>
      <c r="GWH59" s="76"/>
      <c r="GWI59" s="76"/>
      <c r="GWJ59" s="76"/>
      <c r="GWK59" s="76"/>
      <c r="GWL59" s="76"/>
      <c r="GWM59" s="76"/>
      <c r="GWN59" s="76"/>
      <c r="GWO59" s="76"/>
      <c r="GWP59" s="76"/>
      <c r="GWQ59" s="76"/>
      <c r="GWR59" s="76"/>
      <c r="GWS59" s="76"/>
      <c r="GWT59" s="76"/>
      <c r="GWU59" s="76"/>
      <c r="GWV59" s="76"/>
      <c r="GWW59" s="76"/>
      <c r="GWX59" s="76"/>
      <c r="GWY59" s="76"/>
      <c r="GWZ59" s="76"/>
      <c r="GXA59" s="76"/>
      <c r="GXB59" s="76"/>
      <c r="GXC59" s="76"/>
      <c r="GXD59" s="76"/>
      <c r="GXE59" s="76"/>
      <c r="GXF59" s="76"/>
      <c r="GXG59" s="76"/>
      <c r="GXH59" s="76"/>
      <c r="GXI59" s="76"/>
      <c r="GXJ59" s="76"/>
      <c r="GXK59" s="76"/>
      <c r="GXL59" s="76"/>
      <c r="GXM59" s="76"/>
      <c r="GXN59" s="76"/>
      <c r="GXO59" s="76"/>
      <c r="GXP59" s="76"/>
      <c r="GXQ59" s="76"/>
      <c r="GXR59" s="76"/>
      <c r="GXS59" s="76"/>
      <c r="GXT59" s="76"/>
      <c r="GXU59" s="76"/>
      <c r="GXV59" s="76"/>
      <c r="GXW59" s="76"/>
      <c r="GXX59" s="76"/>
      <c r="GXY59" s="76"/>
      <c r="GXZ59" s="76"/>
      <c r="GYA59" s="76"/>
      <c r="GYB59" s="76"/>
      <c r="GYC59" s="76"/>
      <c r="GYD59" s="76"/>
      <c r="GYE59" s="76"/>
      <c r="GYF59" s="76"/>
      <c r="GYG59" s="76"/>
      <c r="GYH59" s="76"/>
      <c r="GYI59" s="76"/>
      <c r="GYJ59" s="76"/>
      <c r="GYK59" s="76"/>
      <c r="GYL59" s="76"/>
      <c r="GYM59" s="76"/>
      <c r="GYN59" s="76"/>
      <c r="GYO59" s="76"/>
      <c r="GYP59" s="76"/>
      <c r="GYQ59" s="76"/>
      <c r="GYR59" s="76"/>
      <c r="GYS59" s="76"/>
      <c r="GYT59" s="76"/>
      <c r="GYU59" s="76"/>
      <c r="GYV59" s="76"/>
      <c r="GYW59" s="76"/>
      <c r="GYX59" s="76"/>
      <c r="GYY59" s="76"/>
      <c r="GYZ59" s="76"/>
      <c r="GZA59" s="76"/>
      <c r="GZB59" s="76"/>
      <c r="GZC59" s="76"/>
      <c r="GZD59" s="76"/>
      <c r="GZE59" s="76"/>
      <c r="GZF59" s="76"/>
      <c r="GZG59" s="76"/>
      <c r="GZH59" s="76"/>
      <c r="GZI59" s="76"/>
      <c r="GZJ59" s="76"/>
      <c r="GZK59" s="76"/>
      <c r="GZL59" s="76"/>
      <c r="GZM59" s="76"/>
      <c r="GZN59" s="76"/>
      <c r="GZO59" s="76"/>
      <c r="GZP59" s="76"/>
      <c r="GZQ59" s="76"/>
      <c r="GZR59" s="76"/>
      <c r="GZS59" s="76"/>
      <c r="GZT59" s="76"/>
      <c r="GZU59" s="76"/>
      <c r="GZV59" s="76"/>
      <c r="GZW59" s="76"/>
      <c r="GZX59" s="76"/>
      <c r="GZY59" s="76"/>
      <c r="GZZ59" s="76"/>
      <c r="HAA59" s="76"/>
      <c r="HAB59" s="76"/>
      <c r="HAC59" s="76"/>
      <c r="HAD59" s="76"/>
      <c r="HAE59" s="76"/>
      <c r="HAF59" s="76"/>
      <c r="HAG59" s="76"/>
      <c r="HAH59" s="76"/>
      <c r="HAI59" s="76"/>
      <c r="HAJ59" s="76"/>
      <c r="HAK59" s="76"/>
      <c r="HAL59" s="76"/>
      <c r="HAM59" s="76"/>
      <c r="HAN59" s="76"/>
      <c r="HAO59" s="76"/>
      <c r="HAP59" s="76"/>
      <c r="HAQ59" s="76"/>
      <c r="HAR59" s="76"/>
      <c r="HAS59" s="76"/>
      <c r="HAT59" s="76"/>
      <c r="HAU59" s="76"/>
      <c r="HAV59" s="76"/>
      <c r="HAW59" s="76"/>
      <c r="HAX59" s="76"/>
      <c r="HAY59" s="76"/>
      <c r="HAZ59" s="76"/>
      <c r="HBA59" s="76"/>
      <c r="HBB59" s="76"/>
      <c r="HBC59" s="76"/>
      <c r="HBD59" s="76"/>
      <c r="HBE59" s="76"/>
      <c r="HBF59" s="76"/>
      <c r="HBG59" s="76"/>
      <c r="HBH59" s="76"/>
      <c r="HBI59" s="76"/>
      <c r="HBJ59" s="76"/>
      <c r="HBK59" s="76"/>
      <c r="HBL59" s="76"/>
      <c r="HBM59" s="76"/>
      <c r="HBN59" s="76"/>
      <c r="HBO59" s="76"/>
      <c r="HBP59" s="76"/>
      <c r="HBQ59" s="76"/>
      <c r="HBR59" s="76"/>
      <c r="HBS59" s="76"/>
      <c r="HBT59" s="76"/>
      <c r="HBU59" s="76"/>
      <c r="HBV59" s="76"/>
      <c r="HBW59" s="76"/>
      <c r="HBX59" s="76"/>
      <c r="HBY59" s="76"/>
      <c r="HBZ59" s="76"/>
      <c r="HCA59" s="76"/>
      <c r="HCB59" s="76"/>
      <c r="HCC59" s="76"/>
      <c r="HCD59" s="76"/>
      <c r="HCE59" s="76"/>
      <c r="HCF59" s="76"/>
      <c r="HCG59" s="76"/>
      <c r="HCH59" s="76"/>
      <c r="HCI59" s="76"/>
      <c r="HCJ59" s="76"/>
      <c r="HCK59" s="76"/>
      <c r="HCL59" s="76"/>
      <c r="HCM59" s="76"/>
      <c r="HCN59" s="76"/>
      <c r="HCO59" s="76"/>
      <c r="HCP59" s="76"/>
      <c r="HCQ59" s="76"/>
      <c r="HCR59" s="76"/>
      <c r="HCS59" s="76"/>
      <c r="HCT59" s="76"/>
      <c r="HCU59" s="76"/>
      <c r="HCV59" s="76"/>
      <c r="HCW59" s="76"/>
      <c r="HCX59" s="76"/>
      <c r="HCY59" s="76"/>
      <c r="HCZ59" s="76"/>
      <c r="HDA59" s="76"/>
      <c r="HDB59" s="76"/>
      <c r="HDC59" s="76"/>
      <c r="HDD59" s="76"/>
      <c r="HDE59" s="76"/>
      <c r="HDF59" s="76"/>
      <c r="HDG59" s="76"/>
      <c r="HDH59" s="76"/>
      <c r="HDI59" s="76"/>
      <c r="HDJ59" s="76"/>
      <c r="HDK59" s="76"/>
      <c r="HDL59" s="76"/>
      <c r="HDM59" s="76"/>
      <c r="HDN59" s="76"/>
      <c r="HDO59" s="76"/>
      <c r="HDP59" s="76"/>
      <c r="HDQ59" s="76"/>
      <c r="HDR59" s="76"/>
      <c r="HDS59" s="76"/>
      <c r="HDT59" s="76"/>
      <c r="HDU59" s="76"/>
      <c r="HDV59" s="76"/>
      <c r="HDW59" s="76"/>
      <c r="HDX59" s="76"/>
      <c r="HDY59" s="76"/>
      <c r="HDZ59" s="76"/>
      <c r="HEA59" s="76"/>
      <c r="HEB59" s="76"/>
      <c r="HEC59" s="76"/>
      <c r="HED59" s="76"/>
      <c r="HEE59" s="76"/>
      <c r="HEF59" s="76"/>
      <c r="HEG59" s="76"/>
      <c r="HEH59" s="76"/>
      <c r="HEI59" s="76"/>
      <c r="HEJ59" s="76"/>
      <c r="HEK59" s="76"/>
      <c r="HEL59" s="76"/>
      <c r="HEM59" s="76"/>
      <c r="HEN59" s="76"/>
      <c r="HEO59" s="76"/>
      <c r="HEP59" s="76"/>
      <c r="HEQ59" s="76"/>
      <c r="HER59" s="76"/>
      <c r="HES59" s="76"/>
      <c r="HET59" s="76"/>
      <c r="HEU59" s="76"/>
      <c r="HEV59" s="76"/>
      <c r="HEW59" s="76"/>
      <c r="HEX59" s="76"/>
      <c r="HEY59" s="76"/>
      <c r="HEZ59" s="76"/>
      <c r="HFA59" s="76"/>
      <c r="HFB59" s="76"/>
      <c r="HFC59" s="76"/>
      <c r="HFD59" s="76"/>
      <c r="HFE59" s="76"/>
      <c r="HFF59" s="76"/>
      <c r="HFG59" s="76"/>
      <c r="HFH59" s="76"/>
      <c r="HFI59" s="76"/>
      <c r="HFJ59" s="76"/>
      <c r="HFK59" s="76"/>
      <c r="HFL59" s="76"/>
      <c r="HFM59" s="76"/>
      <c r="HFN59" s="76"/>
      <c r="HFO59" s="76"/>
      <c r="HFP59" s="76"/>
      <c r="HFQ59" s="76"/>
      <c r="HFR59" s="76"/>
      <c r="HFS59" s="76"/>
      <c r="HFT59" s="76"/>
      <c r="HFU59" s="76"/>
      <c r="HFV59" s="76"/>
      <c r="HFW59" s="76"/>
      <c r="HFX59" s="76"/>
      <c r="HFY59" s="76"/>
      <c r="HFZ59" s="76"/>
      <c r="HGA59" s="76"/>
      <c r="HGB59" s="76"/>
      <c r="HGC59" s="76"/>
      <c r="HGD59" s="76"/>
      <c r="HGE59" s="76"/>
      <c r="HGF59" s="76"/>
      <c r="HGG59" s="76"/>
      <c r="HGH59" s="76"/>
      <c r="HGI59" s="76"/>
      <c r="HGJ59" s="76"/>
      <c r="HGK59" s="76"/>
      <c r="HGL59" s="76"/>
      <c r="HGM59" s="76"/>
      <c r="HGN59" s="76"/>
      <c r="HGO59" s="76"/>
      <c r="HGP59" s="76"/>
      <c r="HGQ59" s="76"/>
      <c r="HGR59" s="76"/>
      <c r="HGS59" s="76"/>
      <c r="HGT59" s="76"/>
      <c r="HGU59" s="76"/>
      <c r="HGV59" s="76"/>
      <c r="HGW59" s="76"/>
      <c r="HGX59" s="76"/>
      <c r="HGY59" s="76"/>
      <c r="HGZ59" s="76"/>
      <c r="HHA59" s="76"/>
      <c r="HHB59" s="76"/>
      <c r="HHC59" s="76"/>
      <c r="HHD59" s="76"/>
      <c r="HHE59" s="76"/>
      <c r="HHF59" s="76"/>
      <c r="HHG59" s="76"/>
      <c r="HHH59" s="76"/>
      <c r="HHI59" s="76"/>
      <c r="HHJ59" s="76"/>
      <c r="HHK59" s="76"/>
      <c r="HHL59" s="76"/>
      <c r="HHM59" s="76"/>
      <c r="HHN59" s="76"/>
      <c r="HHO59" s="76"/>
      <c r="HHP59" s="76"/>
      <c r="HHQ59" s="76"/>
      <c r="HHR59" s="76"/>
      <c r="HHS59" s="76"/>
      <c r="HHT59" s="76"/>
      <c r="HHU59" s="76"/>
      <c r="HHV59" s="76"/>
      <c r="HHW59" s="76"/>
      <c r="HHX59" s="76"/>
      <c r="HHY59" s="76"/>
      <c r="HHZ59" s="76"/>
      <c r="HIA59" s="76"/>
      <c r="HIB59" s="76"/>
      <c r="HIC59" s="76"/>
      <c r="HID59" s="76"/>
      <c r="HIE59" s="76"/>
      <c r="HIF59" s="76"/>
      <c r="HIG59" s="76"/>
      <c r="HIH59" s="76"/>
      <c r="HII59" s="76"/>
      <c r="HIJ59" s="76"/>
      <c r="HIK59" s="76"/>
      <c r="HIL59" s="76"/>
      <c r="HIM59" s="76"/>
      <c r="HIN59" s="76"/>
      <c r="HIO59" s="76"/>
      <c r="HIP59" s="76"/>
      <c r="HIQ59" s="76"/>
      <c r="HIR59" s="76"/>
      <c r="HIS59" s="76"/>
      <c r="HIT59" s="76"/>
      <c r="HIU59" s="76"/>
      <c r="HIV59" s="76"/>
      <c r="HIW59" s="76"/>
      <c r="HIX59" s="76"/>
      <c r="HIY59" s="76"/>
      <c r="HIZ59" s="76"/>
      <c r="HJA59" s="76"/>
      <c r="HJB59" s="76"/>
      <c r="HJC59" s="76"/>
      <c r="HJD59" s="76"/>
      <c r="HJE59" s="76"/>
      <c r="HJF59" s="76"/>
      <c r="HJG59" s="76"/>
      <c r="HJH59" s="76"/>
      <c r="HJI59" s="76"/>
      <c r="HJJ59" s="76"/>
      <c r="HJK59" s="76"/>
      <c r="HJL59" s="76"/>
      <c r="HJM59" s="76"/>
      <c r="HJN59" s="76"/>
      <c r="HJO59" s="76"/>
      <c r="HJP59" s="76"/>
      <c r="HJQ59" s="76"/>
      <c r="HJR59" s="76"/>
      <c r="HJS59" s="76"/>
      <c r="HJT59" s="76"/>
      <c r="HJU59" s="76"/>
      <c r="HJV59" s="76"/>
      <c r="HJW59" s="76"/>
      <c r="HJX59" s="76"/>
      <c r="HJY59" s="76"/>
      <c r="HJZ59" s="76"/>
      <c r="HKA59" s="76"/>
      <c r="HKB59" s="76"/>
      <c r="HKC59" s="76"/>
      <c r="HKD59" s="76"/>
      <c r="HKE59" s="76"/>
      <c r="HKF59" s="76"/>
      <c r="HKG59" s="76"/>
      <c r="HKH59" s="76"/>
      <c r="HKI59" s="76"/>
      <c r="HKJ59" s="76"/>
      <c r="HKK59" s="76"/>
      <c r="HKL59" s="76"/>
      <c r="HKM59" s="76"/>
      <c r="HKN59" s="76"/>
      <c r="HKO59" s="76"/>
      <c r="HKP59" s="76"/>
      <c r="HKQ59" s="76"/>
      <c r="HKR59" s="76"/>
      <c r="HKS59" s="76"/>
      <c r="HKT59" s="76"/>
      <c r="HKU59" s="76"/>
      <c r="HKV59" s="76"/>
      <c r="HKW59" s="76"/>
      <c r="HKX59" s="76"/>
      <c r="HKY59" s="76"/>
      <c r="HKZ59" s="76"/>
      <c r="HLA59" s="76"/>
      <c r="HLB59" s="76"/>
      <c r="HLC59" s="76"/>
      <c r="HLD59" s="76"/>
      <c r="HLE59" s="76"/>
      <c r="HLF59" s="76"/>
      <c r="HLG59" s="76"/>
      <c r="HLH59" s="76"/>
      <c r="HLI59" s="76"/>
      <c r="HLJ59" s="76"/>
      <c r="HLK59" s="76"/>
      <c r="HLL59" s="76"/>
      <c r="HLM59" s="76"/>
      <c r="HLN59" s="76"/>
      <c r="HLO59" s="76"/>
      <c r="HLP59" s="76"/>
      <c r="HLQ59" s="76"/>
      <c r="HLR59" s="76"/>
      <c r="HLS59" s="76"/>
      <c r="HLT59" s="76"/>
      <c r="HLU59" s="76"/>
      <c r="HLV59" s="76"/>
      <c r="HLW59" s="76"/>
      <c r="HLX59" s="76"/>
      <c r="HLY59" s="76"/>
      <c r="HLZ59" s="76"/>
      <c r="HMA59" s="76"/>
      <c r="HMB59" s="76"/>
      <c r="HMC59" s="76"/>
      <c r="HMD59" s="76"/>
      <c r="HME59" s="76"/>
      <c r="HMF59" s="76"/>
      <c r="HMG59" s="76"/>
      <c r="HMH59" s="76"/>
      <c r="HMI59" s="76"/>
      <c r="HMJ59" s="76"/>
      <c r="HMK59" s="76"/>
      <c r="HML59" s="76"/>
      <c r="HMM59" s="76"/>
      <c r="HMN59" s="76"/>
      <c r="HMO59" s="76"/>
      <c r="HMP59" s="76"/>
      <c r="HMQ59" s="76"/>
      <c r="HMR59" s="76"/>
      <c r="HMS59" s="76"/>
      <c r="HMT59" s="76"/>
      <c r="HMU59" s="76"/>
      <c r="HMV59" s="76"/>
      <c r="HMW59" s="76"/>
      <c r="HMX59" s="76"/>
      <c r="HMY59" s="76"/>
      <c r="HMZ59" s="76"/>
      <c r="HNA59" s="76"/>
      <c r="HNB59" s="76"/>
      <c r="HNC59" s="76"/>
      <c r="HND59" s="76"/>
      <c r="HNE59" s="76"/>
      <c r="HNF59" s="76"/>
      <c r="HNG59" s="76"/>
      <c r="HNH59" s="76"/>
      <c r="HNI59" s="76"/>
      <c r="HNJ59" s="76"/>
      <c r="HNK59" s="76"/>
      <c r="HNL59" s="76"/>
      <c r="HNM59" s="76"/>
      <c r="HNN59" s="76"/>
      <c r="HNO59" s="76"/>
      <c r="HNP59" s="76"/>
      <c r="HNQ59" s="76"/>
      <c r="HNR59" s="76"/>
      <c r="HNS59" s="76"/>
      <c r="HNT59" s="76"/>
      <c r="HNU59" s="76"/>
      <c r="HNV59" s="76"/>
      <c r="HNW59" s="76"/>
      <c r="HNX59" s="76"/>
      <c r="HNY59" s="76"/>
      <c r="HNZ59" s="76"/>
      <c r="HOA59" s="76"/>
      <c r="HOB59" s="76"/>
      <c r="HOC59" s="76"/>
      <c r="HOD59" s="76"/>
      <c r="HOE59" s="76"/>
      <c r="HOF59" s="76"/>
      <c r="HOG59" s="76"/>
      <c r="HOH59" s="76"/>
      <c r="HOI59" s="76"/>
      <c r="HOJ59" s="76"/>
      <c r="HOK59" s="76"/>
      <c r="HOL59" s="76"/>
      <c r="HOM59" s="76"/>
      <c r="HON59" s="76"/>
      <c r="HOO59" s="76"/>
      <c r="HOP59" s="76"/>
      <c r="HOQ59" s="76"/>
      <c r="HOR59" s="76"/>
      <c r="HOS59" s="76"/>
      <c r="HOT59" s="76"/>
      <c r="HOU59" s="76"/>
      <c r="HOV59" s="76"/>
      <c r="HOW59" s="76"/>
      <c r="HOX59" s="76"/>
      <c r="HOY59" s="76"/>
      <c r="HOZ59" s="76"/>
      <c r="HPA59" s="76"/>
      <c r="HPB59" s="76"/>
      <c r="HPC59" s="76"/>
      <c r="HPD59" s="76"/>
      <c r="HPE59" s="76"/>
      <c r="HPF59" s="76"/>
      <c r="HPG59" s="76"/>
      <c r="HPH59" s="76"/>
      <c r="HPI59" s="76"/>
      <c r="HPJ59" s="76"/>
      <c r="HPK59" s="76"/>
      <c r="HPL59" s="76"/>
      <c r="HPM59" s="76"/>
      <c r="HPN59" s="76"/>
      <c r="HPO59" s="76"/>
      <c r="HPP59" s="76"/>
      <c r="HPQ59" s="76"/>
      <c r="HPR59" s="76"/>
      <c r="HPS59" s="76"/>
      <c r="HPT59" s="76"/>
      <c r="HPU59" s="76"/>
      <c r="HPV59" s="76"/>
      <c r="HPW59" s="76"/>
      <c r="HPX59" s="76"/>
      <c r="HPY59" s="76"/>
      <c r="HPZ59" s="76"/>
      <c r="HQA59" s="76"/>
      <c r="HQB59" s="76"/>
      <c r="HQC59" s="76"/>
      <c r="HQD59" s="76"/>
      <c r="HQE59" s="76"/>
      <c r="HQF59" s="76"/>
      <c r="HQG59" s="76"/>
      <c r="HQH59" s="76"/>
      <c r="HQI59" s="76"/>
      <c r="HQJ59" s="76"/>
      <c r="HQK59" s="76"/>
      <c r="HQL59" s="76"/>
      <c r="HQM59" s="76"/>
      <c r="HQN59" s="76"/>
      <c r="HQO59" s="76"/>
      <c r="HQP59" s="76"/>
      <c r="HQQ59" s="76"/>
      <c r="HQR59" s="76"/>
      <c r="HQS59" s="76"/>
      <c r="HQT59" s="76"/>
      <c r="HQU59" s="76"/>
      <c r="HQV59" s="76"/>
      <c r="HQW59" s="76"/>
      <c r="HQX59" s="76"/>
      <c r="HQY59" s="76"/>
      <c r="HQZ59" s="76"/>
      <c r="HRA59" s="76"/>
      <c r="HRB59" s="76"/>
      <c r="HRC59" s="76"/>
      <c r="HRD59" s="76"/>
      <c r="HRE59" s="76"/>
      <c r="HRF59" s="76"/>
      <c r="HRG59" s="76"/>
      <c r="HRH59" s="76"/>
      <c r="HRI59" s="76"/>
      <c r="HRJ59" s="76"/>
      <c r="HRK59" s="76"/>
      <c r="HRL59" s="76"/>
      <c r="HRM59" s="76"/>
      <c r="HRN59" s="76"/>
      <c r="HRO59" s="76"/>
      <c r="HRP59" s="76"/>
      <c r="HRQ59" s="76"/>
      <c r="HRR59" s="76"/>
      <c r="HRS59" s="76"/>
      <c r="HRT59" s="76"/>
      <c r="HRU59" s="76"/>
      <c r="HRV59" s="76"/>
      <c r="HRW59" s="76"/>
      <c r="HRX59" s="76"/>
      <c r="HRY59" s="76"/>
      <c r="HRZ59" s="76"/>
      <c r="HSA59" s="76"/>
      <c r="HSB59" s="76"/>
      <c r="HSC59" s="76"/>
      <c r="HSD59" s="76"/>
      <c r="HSE59" s="76"/>
      <c r="HSF59" s="76"/>
      <c r="HSG59" s="76"/>
      <c r="HSH59" s="76"/>
      <c r="HSI59" s="76"/>
      <c r="HSJ59" s="76"/>
      <c r="HSK59" s="76"/>
      <c r="HSL59" s="76"/>
      <c r="HSM59" s="76"/>
      <c r="HSN59" s="76"/>
      <c r="HSO59" s="76"/>
      <c r="HSP59" s="76"/>
      <c r="HSQ59" s="76"/>
      <c r="HSR59" s="76"/>
      <c r="HSS59" s="76"/>
      <c r="HST59" s="76"/>
      <c r="HSU59" s="76"/>
      <c r="HSV59" s="76"/>
      <c r="HSW59" s="76"/>
      <c r="HSX59" s="76"/>
      <c r="HSY59" s="76"/>
      <c r="HSZ59" s="76"/>
      <c r="HTA59" s="76"/>
      <c r="HTB59" s="76"/>
      <c r="HTC59" s="76"/>
      <c r="HTD59" s="76"/>
      <c r="HTE59" s="76"/>
      <c r="HTF59" s="76"/>
      <c r="HTG59" s="76"/>
      <c r="HTH59" s="76"/>
      <c r="HTI59" s="76"/>
      <c r="HTJ59" s="76"/>
      <c r="HTK59" s="76"/>
      <c r="HTL59" s="76"/>
      <c r="HTM59" s="76"/>
      <c r="HTN59" s="76"/>
      <c r="HTO59" s="76"/>
      <c r="HTP59" s="76"/>
      <c r="HTQ59" s="76"/>
      <c r="HTR59" s="76"/>
      <c r="HTS59" s="76"/>
      <c r="HTT59" s="76"/>
      <c r="HTU59" s="76"/>
      <c r="HTV59" s="76"/>
      <c r="HTW59" s="76"/>
      <c r="HTX59" s="76"/>
      <c r="HTY59" s="76"/>
      <c r="HTZ59" s="76"/>
      <c r="HUA59" s="76"/>
      <c r="HUB59" s="76"/>
      <c r="HUC59" s="76"/>
      <c r="HUD59" s="76"/>
      <c r="HUE59" s="76"/>
      <c r="HUF59" s="76"/>
      <c r="HUG59" s="76"/>
      <c r="HUH59" s="76"/>
      <c r="HUI59" s="76"/>
      <c r="HUJ59" s="76"/>
      <c r="HUK59" s="76"/>
      <c r="HUL59" s="76"/>
      <c r="HUM59" s="76"/>
      <c r="HUN59" s="76"/>
      <c r="HUO59" s="76"/>
      <c r="HUP59" s="76"/>
      <c r="HUQ59" s="76"/>
      <c r="HUR59" s="76"/>
      <c r="HUS59" s="76"/>
      <c r="HUT59" s="76"/>
      <c r="HUU59" s="76"/>
      <c r="HUV59" s="76"/>
      <c r="HUW59" s="76"/>
      <c r="HUX59" s="76"/>
      <c r="HUY59" s="76"/>
      <c r="HUZ59" s="76"/>
      <c r="HVA59" s="76"/>
      <c r="HVB59" s="76"/>
      <c r="HVC59" s="76"/>
      <c r="HVD59" s="76"/>
      <c r="HVE59" s="76"/>
      <c r="HVF59" s="76"/>
      <c r="HVG59" s="76"/>
      <c r="HVH59" s="76"/>
      <c r="HVI59" s="76"/>
      <c r="HVJ59" s="76"/>
      <c r="HVK59" s="76"/>
      <c r="HVL59" s="76"/>
      <c r="HVM59" s="76"/>
      <c r="HVN59" s="76"/>
      <c r="HVO59" s="76"/>
      <c r="HVP59" s="76"/>
      <c r="HVQ59" s="76"/>
      <c r="HVR59" s="76"/>
      <c r="HVS59" s="76"/>
      <c r="HVT59" s="76"/>
      <c r="HVU59" s="76"/>
      <c r="HVV59" s="76"/>
      <c r="HVW59" s="76"/>
      <c r="HVX59" s="76"/>
      <c r="HVY59" s="76"/>
      <c r="HVZ59" s="76"/>
      <c r="HWA59" s="76"/>
      <c r="HWB59" s="76"/>
      <c r="HWC59" s="76"/>
      <c r="HWD59" s="76"/>
      <c r="HWE59" s="76"/>
      <c r="HWF59" s="76"/>
      <c r="HWG59" s="76"/>
      <c r="HWH59" s="76"/>
      <c r="HWI59" s="76"/>
      <c r="HWJ59" s="76"/>
      <c r="HWK59" s="76"/>
      <c r="HWL59" s="76"/>
      <c r="HWM59" s="76"/>
      <c r="HWN59" s="76"/>
      <c r="HWO59" s="76"/>
      <c r="HWP59" s="76"/>
      <c r="HWQ59" s="76"/>
      <c r="HWR59" s="76"/>
      <c r="HWS59" s="76"/>
      <c r="HWT59" s="76"/>
      <c r="HWU59" s="76"/>
      <c r="HWV59" s="76"/>
      <c r="HWW59" s="76"/>
      <c r="HWX59" s="76"/>
      <c r="HWY59" s="76"/>
      <c r="HWZ59" s="76"/>
      <c r="HXA59" s="76"/>
      <c r="HXB59" s="76"/>
      <c r="HXC59" s="76"/>
      <c r="HXD59" s="76"/>
      <c r="HXE59" s="76"/>
      <c r="HXF59" s="76"/>
      <c r="HXG59" s="76"/>
      <c r="HXH59" s="76"/>
      <c r="HXI59" s="76"/>
      <c r="HXJ59" s="76"/>
      <c r="HXK59" s="76"/>
      <c r="HXL59" s="76"/>
      <c r="HXM59" s="76"/>
      <c r="HXN59" s="76"/>
      <c r="HXO59" s="76"/>
      <c r="HXP59" s="76"/>
      <c r="HXQ59" s="76"/>
      <c r="HXR59" s="76"/>
      <c r="HXS59" s="76"/>
      <c r="HXT59" s="76"/>
      <c r="HXU59" s="76"/>
      <c r="HXV59" s="76"/>
      <c r="HXW59" s="76"/>
      <c r="HXX59" s="76"/>
      <c r="HXY59" s="76"/>
      <c r="HXZ59" s="76"/>
      <c r="HYA59" s="76"/>
      <c r="HYB59" s="76"/>
      <c r="HYC59" s="76"/>
      <c r="HYD59" s="76"/>
      <c r="HYE59" s="76"/>
      <c r="HYF59" s="76"/>
      <c r="HYG59" s="76"/>
      <c r="HYH59" s="76"/>
      <c r="HYI59" s="76"/>
      <c r="HYJ59" s="76"/>
      <c r="HYK59" s="76"/>
      <c r="HYL59" s="76"/>
      <c r="HYM59" s="76"/>
      <c r="HYN59" s="76"/>
      <c r="HYO59" s="76"/>
      <c r="HYP59" s="76"/>
      <c r="HYQ59" s="76"/>
      <c r="HYR59" s="76"/>
      <c r="HYS59" s="76"/>
      <c r="HYT59" s="76"/>
      <c r="HYU59" s="76"/>
      <c r="HYV59" s="76"/>
      <c r="HYW59" s="76"/>
      <c r="HYX59" s="76"/>
      <c r="HYY59" s="76"/>
      <c r="HYZ59" s="76"/>
      <c r="HZA59" s="76"/>
      <c r="HZB59" s="76"/>
      <c r="HZC59" s="76"/>
      <c r="HZD59" s="76"/>
      <c r="HZE59" s="76"/>
      <c r="HZF59" s="76"/>
      <c r="HZG59" s="76"/>
      <c r="HZH59" s="76"/>
      <c r="HZI59" s="76"/>
      <c r="HZJ59" s="76"/>
      <c r="HZK59" s="76"/>
      <c r="HZL59" s="76"/>
      <c r="HZM59" s="76"/>
      <c r="HZN59" s="76"/>
      <c r="HZO59" s="76"/>
      <c r="HZP59" s="76"/>
      <c r="HZQ59" s="76"/>
      <c r="HZR59" s="76"/>
      <c r="HZS59" s="76"/>
      <c r="HZT59" s="76"/>
      <c r="HZU59" s="76"/>
      <c r="HZV59" s="76"/>
      <c r="HZW59" s="76"/>
      <c r="HZX59" s="76"/>
      <c r="HZY59" s="76"/>
      <c r="HZZ59" s="76"/>
      <c r="IAA59" s="76"/>
      <c r="IAB59" s="76"/>
      <c r="IAC59" s="76"/>
      <c r="IAD59" s="76"/>
      <c r="IAE59" s="76"/>
      <c r="IAF59" s="76"/>
      <c r="IAG59" s="76"/>
      <c r="IAH59" s="76"/>
      <c r="IAI59" s="76"/>
      <c r="IAJ59" s="76"/>
      <c r="IAK59" s="76"/>
      <c r="IAL59" s="76"/>
      <c r="IAM59" s="76"/>
      <c r="IAN59" s="76"/>
      <c r="IAO59" s="76"/>
      <c r="IAP59" s="76"/>
      <c r="IAQ59" s="76"/>
      <c r="IAR59" s="76"/>
      <c r="IAS59" s="76"/>
      <c r="IAT59" s="76"/>
      <c r="IAU59" s="76"/>
      <c r="IAV59" s="76"/>
      <c r="IAW59" s="76"/>
      <c r="IAX59" s="76"/>
      <c r="IAY59" s="76"/>
      <c r="IAZ59" s="76"/>
      <c r="IBA59" s="76"/>
      <c r="IBB59" s="76"/>
      <c r="IBC59" s="76"/>
      <c r="IBD59" s="76"/>
      <c r="IBE59" s="76"/>
      <c r="IBF59" s="76"/>
      <c r="IBG59" s="76"/>
      <c r="IBH59" s="76"/>
      <c r="IBI59" s="76"/>
      <c r="IBJ59" s="76"/>
      <c r="IBK59" s="76"/>
      <c r="IBL59" s="76"/>
      <c r="IBM59" s="76"/>
      <c r="IBN59" s="76"/>
      <c r="IBO59" s="76"/>
      <c r="IBP59" s="76"/>
      <c r="IBQ59" s="76"/>
      <c r="IBR59" s="76"/>
      <c r="IBS59" s="76"/>
      <c r="IBT59" s="76"/>
      <c r="IBU59" s="76"/>
      <c r="IBV59" s="76"/>
      <c r="IBW59" s="76"/>
      <c r="IBX59" s="76"/>
      <c r="IBY59" s="76"/>
      <c r="IBZ59" s="76"/>
      <c r="ICA59" s="76"/>
      <c r="ICB59" s="76"/>
      <c r="ICC59" s="76"/>
      <c r="ICD59" s="76"/>
      <c r="ICE59" s="76"/>
      <c r="ICF59" s="76"/>
      <c r="ICG59" s="76"/>
      <c r="ICH59" s="76"/>
      <c r="ICI59" s="76"/>
      <c r="ICJ59" s="76"/>
      <c r="ICK59" s="76"/>
      <c r="ICL59" s="76"/>
      <c r="ICM59" s="76"/>
      <c r="ICN59" s="76"/>
      <c r="ICO59" s="76"/>
      <c r="ICP59" s="76"/>
      <c r="ICQ59" s="76"/>
      <c r="ICR59" s="76"/>
      <c r="ICS59" s="76"/>
      <c r="ICT59" s="76"/>
      <c r="ICU59" s="76"/>
      <c r="ICV59" s="76"/>
      <c r="ICW59" s="76"/>
      <c r="ICX59" s="76"/>
      <c r="ICY59" s="76"/>
      <c r="ICZ59" s="76"/>
      <c r="IDA59" s="76"/>
      <c r="IDB59" s="76"/>
      <c r="IDC59" s="76"/>
      <c r="IDD59" s="76"/>
      <c r="IDE59" s="76"/>
      <c r="IDF59" s="76"/>
      <c r="IDG59" s="76"/>
      <c r="IDH59" s="76"/>
      <c r="IDI59" s="76"/>
      <c r="IDJ59" s="76"/>
      <c r="IDK59" s="76"/>
      <c r="IDL59" s="76"/>
      <c r="IDM59" s="76"/>
      <c r="IDN59" s="76"/>
      <c r="IDO59" s="76"/>
      <c r="IDP59" s="76"/>
      <c r="IDQ59" s="76"/>
      <c r="IDR59" s="76"/>
      <c r="IDS59" s="76"/>
      <c r="IDT59" s="76"/>
      <c r="IDU59" s="76"/>
      <c r="IDV59" s="76"/>
      <c r="IDW59" s="76"/>
      <c r="IDX59" s="76"/>
      <c r="IDY59" s="76"/>
      <c r="IDZ59" s="76"/>
      <c r="IEA59" s="76"/>
      <c r="IEB59" s="76"/>
      <c r="IEC59" s="76"/>
      <c r="IED59" s="76"/>
      <c r="IEE59" s="76"/>
      <c r="IEF59" s="76"/>
      <c r="IEG59" s="76"/>
      <c r="IEH59" s="76"/>
      <c r="IEI59" s="76"/>
      <c r="IEJ59" s="76"/>
      <c r="IEK59" s="76"/>
      <c r="IEL59" s="76"/>
      <c r="IEM59" s="76"/>
      <c r="IEN59" s="76"/>
      <c r="IEO59" s="76"/>
      <c r="IEP59" s="76"/>
      <c r="IEQ59" s="76"/>
      <c r="IER59" s="76"/>
      <c r="IES59" s="76"/>
      <c r="IET59" s="76"/>
      <c r="IEU59" s="76"/>
      <c r="IEV59" s="76"/>
      <c r="IEW59" s="76"/>
      <c r="IEX59" s="76"/>
      <c r="IEY59" s="76"/>
      <c r="IEZ59" s="76"/>
      <c r="IFA59" s="76"/>
      <c r="IFB59" s="76"/>
      <c r="IFC59" s="76"/>
      <c r="IFD59" s="76"/>
      <c r="IFE59" s="76"/>
      <c r="IFF59" s="76"/>
      <c r="IFG59" s="76"/>
      <c r="IFH59" s="76"/>
      <c r="IFI59" s="76"/>
      <c r="IFJ59" s="76"/>
      <c r="IFK59" s="76"/>
      <c r="IFL59" s="76"/>
      <c r="IFM59" s="76"/>
      <c r="IFN59" s="76"/>
      <c r="IFO59" s="76"/>
      <c r="IFP59" s="76"/>
      <c r="IFQ59" s="76"/>
      <c r="IFR59" s="76"/>
      <c r="IFS59" s="76"/>
      <c r="IFT59" s="76"/>
      <c r="IFU59" s="76"/>
      <c r="IFV59" s="76"/>
      <c r="IFW59" s="76"/>
      <c r="IFX59" s="76"/>
      <c r="IFY59" s="76"/>
      <c r="IFZ59" s="76"/>
      <c r="IGA59" s="76"/>
      <c r="IGB59" s="76"/>
      <c r="IGC59" s="76"/>
      <c r="IGD59" s="76"/>
      <c r="IGE59" s="76"/>
      <c r="IGF59" s="76"/>
      <c r="IGG59" s="76"/>
      <c r="IGH59" s="76"/>
      <c r="IGI59" s="76"/>
      <c r="IGJ59" s="76"/>
      <c r="IGK59" s="76"/>
      <c r="IGL59" s="76"/>
      <c r="IGM59" s="76"/>
      <c r="IGN59" s="76"/>
      <c r="IGO59" s="76"/>
      <c r="IGP59" s="76"/>
      <c r="IGQ59" s="76"/>
      <c r="IGR59" s="76"/>
      <c r="IGS59" s="76"/>
      <c r="IGT59" s="76"/>
      <c r="IGU59" s="76"/>
      <c r="IGV59" s="76"/>
      <c r="IGW59" s="76"/>
      <c r="IGX59" s="76"/>
      <c r="IGY59" s="76"/>
      <c r="IGZ59" s="76"/>
      <c r="IHA59" s="76"/>
      <c r="IHB59" s="76"/>
      <c r="IHC59" s="76"/>
      <c r="IHD59" s="76"/>
      <c r="IHE59" s="76"/>
      <c r="IHF59" s="76"/>
      <c r="IHG59" s="76"/>
      <c r="IHH59" s="76"/>
      <c r="IHI59" s="76"/>
      <c r="IHJ59" s="76"/>
      <c r="IHK59" s="76"/>
      <c r="IHL59" s="76"/>
      <c r="IHM59" s="76"/>
      <c r="IHN59" s="76"/>
      <c r="IHO59" s="76"/>
      <c r="IHP59" s="76"/>
      <c r="IHQ59" s="76"/>
      <c r="IHR59" s="76"/>
      <c r="IHS59" s="76"/>
      <c r="IHT59" s="76"/>
      <c r="IHU59" s="76"/>
      <c r="IHV59" s="76"/>
      <c r="IHW59" s="76"/>
      <c r="IHX59" s="76"/>
      <c r="IHY59" s="76"/>
      <c r="IHZ59" s="76"/>
      <c r="IIA59" s="76"/>
      <c r="IIB59" s="76"/>
      <c r="IIC59" s="76"/>
      <c r="IID59" s="76"/>
      <c r="IIE59" s="76"/>
      <c r="IIF59" s="76"/>
      <c r="IIG59" s="76"/>
      <c r="IIH59" s="76"/>
      <c r="III59" s="76"/>
      <c r="IIJ59" s="76"/>
      <c r="IIK59" s="76"/>
      <c r="IIL59" s="76"/>
      <c r="IIM59" s="76"/>
      <c r="IIN59" s="76"/>
      <c r="IIO59" s="76"/>
      <c r="IIP59" s="76"/>
      <c r="IIQ59" s="76"/>
      <c r="IIR59" s="76"/>
      <c r="IIS59" s="76"/>
      <c r="IIT59" s="76"/>
      <c r="IIU59" s="76"/>
      <c r="IIV59" s="76"/>
      <c r="IIW59" s="76"/>
      <c r="IIX59" s="76"/>
      <c r="IIY59" s="76"/>
      <c r="IIZ59" s="76"/>
      <c r="IJA59" s="76"/>
      <c r="IJB59" s="76"/>
      <c r="IJC59" s="76"/>
      <c r="IJD59" s="76"/>
      <c r="IJE59" s="76"/>
      <c r="IJF59" s="76"/>
      <c r="IJG59" s="76"/>
      <c r="IJH59" s="76"/>
      <c r="IJI59" s="76"/>
      <c r="IJJ59" s="76"/>
      <c r="IJK59" s="76"/>
      <c r="IJL59" s="76"/>
      <c r="IJM59" s="76"/>
      <c r="IJN59" s="76"/>
      <c r="IJO59" s="76"/>
      <c r="IJP59" s="76"/>
      <c r="IJQ59" s="76"/>
      <c r="IJR59" s="76"/>
      <c r="IJS59" s="76"/>
      <c r="IJT59" s="76"/>
      <c r="IJU59" s="76"/>
      <c r="IJV59" s="76"/>
      <c r="IJW59" s="76"/>
      <c r="IJX59" s="76"/>
      <c r="IJY59" s="76"/>
      <c r="IJZ59" s="76"/>
      <c r="IKA59" s="76"/>
      <c r="IKB59" s="76"/>
      <c r="IKC59" s="76"/>
      <c r="IKD59" s="76"/>
      <c r="IKE59" s="76"/>
      <c r="IKF59" s="76"/>
      <c r="IKG59" s="76"/>
      <c r="IKH59" s="76"/>
      <c r="IKI59" s="76"/>
      <c r="IKJ59" s="76"/>
      <c r="IKK59" s="76"/>
      <c r="IKL59" s="76"/>
      <c r="IKM59" s="76"/>
      <c r="IKN59" s="76"/>
      <c r="IKO59" s="76"/>
      <c r="IKP59" s="76"/>
      <c r="IKQ59" s="76"/>
      <c r="IKR59" s="76"/>
      <c r="IKS59" s="76"/>
      <c r="IKT59" s="76"/>
      <c r="IKU59" s="76"/>
      <c r="IKV59" s="76"/>
      <c r="IKW59" s="76"/>
      <c r="IKX59" s="76"/>
      <c r="IKY59" s="76"/>
      <c r="IKZ59" s="76"/>
      <c r="ILA59" s="76"/>
      <c r="ILB59" s="76"/>
      <c r="ILC59" s="76"/>
      <c r="ILD59" s="76"/>
      <c r="ILE59" s="76"/>
      <c r="ILF59" s="76"/>
      <c r="ILG59" s="76"/>
      <c r="ILH59" s="76"/>
      <c r="ILI59" s="76"/>
      <c r="ILJ59" s="76"/>
      <c r="ILK59" s="76"/>
      <c r="ILL59" s="76"/>
      <c r="ILM59" s="76"/>
      <c r="ILN59" s="76"/>
      <c r="ILO59" s="76"/>
      <c r="ILP59" s="76"/>
      <c r="ILQ59" s="76"/>
      <c r="ILR59" s="76"/>
      <c r="ILS59" s="76"/>
      <c r="ILT59" s="76"/>
      <c r="ILU59" s="76"/>
      <c r="ILV59" s="76"/>
      <c r="ILW59" s="76"/>
      <c r="ILX59" s="76"/>
      <c r="ILY59" s="76"/>
      <c r="ILZ59" s="76"/>
      <c r="IMA59" s="76"/>
      <c r="IMB59" s="76"/>
      <c r="IMC59" s="76"/>
      <c r="IMD59" s="76"/>
      <c r="IME59" s="76"/>
      <c r="IMF59" s="76"/>
      <c r="IMG59" s="76"/>
      <c r="IMH59" s="76"/>
      <c r="IMI59" s="76"/>
      <c r="IMJ59" s="76"/>
      <c r="IMK59" s="76"/>
      <c r="IML59" s="76"/>
      <c r="IMM59" s="76"/>
      <c r="IMN59" s="76"/>
      <c r="IMO59" s="76"/>
      <c r="IMP59" s="76"/>
      <c r="IMQ59" s="76"/>
      <c r="IMR59" s="76"/>
      <c r="IMS59" s="76"/>
      <c r="IMT59" s="76"/>
      <c r="IMU59" s="76"/>
      <c r="IMV59" s="76"/>
      <c r="IMW59" s="76"/>
      <c r="IMX59" s="76"/>
      <c r="IMY59" s="76"/>
      <c r="IMZ59" s="76"/>
      <c r="INA59" s="76"/>
      <c r="INB59" s="76"/>
      <c r="INC59" s="76"/>
      <c r="IND59" s="76"/>
      <c r="INE59" s="76"/>
      <c r="INF59" s="76"/>
      <c r="ING59" s="76"/>
      <c r="INH59" s="76"/>
      <c r="INI59" s="76"/>
      <c r="INJ59" s="76"/>
      <c r="INK59" s="76"/>
      <c r="INL59" s="76"/>
      <c r="INM59" s="76"/>
      <c r="INN59" s="76"/>
      <c r="INO59" s="76"/>
      <c r="INP59" s="76"/>
      <c r="INQ59" s="76"/>
      <c r="INR59" s="76"/>
      <c r="INS59" s="76"/>
      <c r="INT59" s="76"/>
      <c r="INU59" s="76"/>
      <c r="INV59" s="76"/>
      <c r="INW59" s="76"/>
      <c r="INX59" s="76"/>
      <c r="INY59" s="76"/>
      <c r="INZ59" s="76"/>
      <c r="IOA59" s="76"/>
      <c r="IOB59" s="76"/>
      <c r="IOC59" s="76"/>
      <c r="IOD59" s="76"/>
      <c r="IOE59" s="76"/>
      <c r="IOF59" s="76"/>
      <c r="IOG59" s="76"/>
      <c r="IOH59" s="76"/>
      <c r="IOI59" s="76"/>
      <c r="IOJ59" s="76"/>
      <c r="IOK59" s="76"/>
      <c r="IOL59" s="76"/>
      <c r="IOM59" s="76"/>
      <c r="ION59" s="76"/>
      <c r="IOO59" s="76"/>
      <c r="IOP59" s="76"/>
      <c r="IOQ59" s="76"/>
      <c r="IOR59" s="76"/>
      <c r="IOS59" s="76"/>
      <c r="IOT59" s="76"/>
      <c r="IOU59" s="76"/>
      <c r="IOV59" s="76"/>
      <c r="IOW59" s="76"/>
      <c r="IOX59" s="76"/>
      <c r="IOY59" s="76"/>
      <c r="IOZ59" s="76"/>
      <c r="IPA59" s="76"/>
      <c r="IPB59" s="76"/>
      <c r="IPC59" s="76"/>
      <c r="IPD59" s="76"/>
      <c r="IPE59" s="76"/>
      <c r="IPF59" s="76"/>
      <c r="IPG59" s="76"/>
      <c r="IPH59" s="76"/>
      <c r="IPI59" s="76"/>
      <c r="IPJ59" s="76"/>
      <c r="IPK59" s="76"/>
      <c r="IPL59" s="76"/>
      <c r="IPM59" s="76"/>
      <c r="IPN59" s="76"/>
      <c r="IPO59" s="76"/>
      <c r="IPP59" s="76"/>
      <c r="IPQ59" s="76"/>
      <c r="IPR59" s="76"/>
      <c r="IPS59" s="76"/>
      <c r="IPT59" s="76"/>
      <c r="IPU59" s="76"/>
      <c r="IPV59" s="76"/>
      <c r="IPW59" s="76"/>
      <c r="IPX59" s="76"/>
      <c r="IPY59" s="76"/>
      <c r="IPZ59" s="76"/>
      <c r="IQA59" s="76"/>
      <c r="IQB59" s="76"/>
      <c r="IQC59" s="76"/>
      <c r="IQD59" s="76"/>
      <c r="IQE59" s="76"/>
      <c r="IQF59" s="76"/>
      <c r="IQG59" s="76"/>
      <c r="IQH59" s="76"/>
      <c r="IQI59" s="76"/>
      <c r="IQJ59" s="76"/>
      <c r="IQK59" s="76"/>
      <c r="IQL59" s="76"/>
      <c r="IQM59" s="76"/>
      <c r="IQN59" s="76"/>
      <c r="IQO59" s="76"/>
      <c r="IQP59" s="76"/>
      <c r="IQQ59" s="76"/>
      <c r="IQR59" s="76"/>
      <c r="IQS59" s="76"/>
      <c r="IQT59" s="76"/>
      <c r="IQU59" s="76"/>
      <c r="IQV59" s="76"/>
      <c r="IQW59" s="76"/>
      <c r="IQX59" s="76"/>
      <c r="IQY59" s="76"/>
      <c r="IQZ59" s="76"/>
      <c r="IRA59" s="76"/>
      <c r="IRB59" s="76"/>
      <c r="IRC59" s="76"/>
      <c r="IRD59" s="76"/>
      <c r="IRE59" s="76"/>
      <c r="IRF59" s="76"/>
      <c r="IRG59" s="76"/>
      <c r="IRH59" s="76"/>
      <c r="IRI59" s="76"/>
      <c r="IRJ59" s="76"/>
      <c r="IRK59" s="76"/>
      <c r="IRL59" s="76"/>
      <c r="IRM59" s="76"/>
      <c r="IRN59" s="76"/>
      <c r="IRO59" s="76"/>
      <c r="IRP59" s="76"/>
      <c r="IRQ59" s="76"/>
      <c r="IRR59" s="76"/>
      <c r="IRS59" s="76"/>
      <c r="IRT59" s="76"/>
      <c r="IRU59" s="76"/>
      <c r="IRV59" s="76"/>
      <c r="IRW59" s="76"/>
      <c r="IRX59" s="76"/>
      <c r="IRY59" s="76"/>
      <c r="IRZ59" s="76"/>
      <c r="ISA59" s="76"/>
      <c r="ISB59" s="76"/>
      <c r="ISC59" s="76"/>
      <c r="ISD59" s="76"/>
      <c r="ISE59" s="76"/>
      <c r="ISF59" s="76"/>
      <c r="ISG59" s="76"/>
      <c r="ISH59" s="76"/>
      <c r="ISI59" s="76"/>
      <c r="ISJ59" s="76"/>
      <c r="ISK59" s="76"/>
      <c r="ISL59" s="76"/>
      <c r="ISM59" s="76"/>
      <c r="ISN59" s="76"/>
      <c r="ISO59" s="76"/>
      <c r="ISP59" s="76"/>
      <c r="ISQ59" s="76"/>
      <c r="ISR59" s="76"/>
      <c r="ISS59" s="76"/>
      <c r="IST59" s="76"/>
      <c r="ISU59" s="76"/>
      <c r="ISV59" s="76"/>
      <c r="ISW59" s="76"/>
      <c r="ISX59" s="76"/>
      <c r="ISY59" s="76"/>
      <c r="ISZ59" s="76"/>
      <c r="ITA59" s="76"/>
      <c r="ITB59" s="76"/>
      <c r="ITC59" s="76"/>
      <c r="ITD59" s="76"/>
      <c r="ITE59" s="76"/>
      <c r="ITF59" s="76"/>
      <c r="ITG59" s="76"/>
      <c r="ITH59" s="76"/>
      <c r="ITI59" s="76"/>
      <c r="ITJ59" s="76"/>
      <c r="ITK59" s="76"/>
      <c r="ITL59" s="76"/>
      <c r="ITM59" s="76"/>
      <c r="ITN59" s="76"/>
      <c r="ITO59" s="76"/>
      <c r="ITP59" s="76"/>
      <c r="ITQ59" s="76"/>
      <c r="ITR59" s="76"/>
      <c r="ITS59" s="76"/>
      <c r="ITT59" s="76"/>
      <c r="ITU59" s="76"/>
      <c r="ITV59" s="76"/>
      <c r="ITW59" s="76"/>
      <c r="ITX59" s="76"/>
      <c r="ITY59" s="76"/>
      <c r="ITZ59" s="76"/>
      <c r="IUA59" s="76"/>
      <c r="IUB59" s="76"/>
      <c r="IUC59" s="76"/>
      <c r="IUD59" s="76"/>
      <c r="IUE59" s="76"/>
      <c r="IUF59" s="76"/>
      <c r="IUG59" s="76"/>
      <c r="IUH59" s="76"/>
      <c r="IUI59" s="76"/>
      <c r="IUJ59" s="76"/>
      <c r="IUK59" s="76"/>
      <c r="IUL59" s="76"/>
      <c r="IUM59" s="76"/>
      <c r="IUN59" s="76"/>
      <c r="IUO59" s="76"/>
      <c r="IUP59" s="76"/>
      <c r="IUQ59" s="76"/>
      <c r="IUR59" s="76"/>
      <c r="IUS59" s="76"/>
      <c r="IUT59" s="76"/>
      <c r="IUU59" s="76"/>
      <c r="IUV59" s="76"/>
      <c r="IUW59" s="76"/>
      <c r="IUX59" s="76"/>
      <c r="IUY59" s="76"/>
      <c r="IUZ59" s="76"/>
      <c r="IVA59" s="76"/>
      <c r="IVB59" s="76"/>
      <c r="IVC59" s="76"/>
      <c r="IVD59" s="76"/>
      <c r="IVE59" s="76"/>
      <c r="IVF59" s="76"/>
      <c r="IVG59" s="76"/>
      <c r="IVH59" s="76"/>
      <c r="IVI59" s="76"/>
      <c r="IVJ59" s="76"/>
      <c r="IVK59" s="76"/>
      <c r="IVL59" s="76"/>
      <c r="IVM59" s="76"/>
      <c r="IVN59" s="76"/>
      <c r="IVO59" s="76"/>
      <c r="IVP59" s="76"/>
      <c r="IVQ59" s="76"/>
      <c r="IVR59" s="76"/>
      <c r="IVS59" s="76"/>
      <c r="IVT59" s="76"/>
      <c r="IVU59" s="76"/>
      <c r="IVV59" s="76"/>
      <c r="IVW59" s="76"/>
      <c r="IVX59" s="76"/>
      <c r="IVY59" s="76"/>
      <c r="IVZ59" s="76"/>
      <c r="IWA59" s="76"/>
      <c r="IWB59" s="76"/>
      <c r="IWC59" s="76"/>
      <c r="IWD59" s="76"/>
      <c r="IWE59" s="76"/>
      <c r="IWF59" s="76"/>
      <c r="IWG59" s="76"/>
      <c r="IWH59" s="76"/>
      <c r="IWI59" s="76"/>
      <c r="IWJ59" s="76"/>
      <c r="IWK59" s="76"/>
      <c r="IWL59" s="76"/>
      <c r="IWM59" s="76"/>
      <c r="IWN59" s="76"/>
      <c r="IWO59" s="76"/>
      <c r="IWP59" s="76"/>
      <c r="IWQ59" s="76"/>
      <c r="IWR59" s="76"/>
      <c r="IWS59" s="76"/>
      <c r="IWT59" s="76"/>
      <c r="IWU59" s="76"/>
      <c r="IWV59" s="76"/>
      <c r="IWW59" s="76"/>
      <c r="IWX59" s="76"/>
      <c r="IWY59" s="76"/>
      <c r="IWZ59" s="76"/>
      <c r="IXA59" s="76"/>
      <c r="IXB59" s="76"/>
      <c r="IXC59" s="76"/>
      <c r="IXD59" s="76"/>
      <c r="IXE59" s="76"/>
      <c r="IXF59" s="76"/>
      <c r="IXG59" s="76"/>
      <c r="IXH59" s="76"/>
      <c r="IXI59" s="76"/>
      <c r="IXJ59" s="76"/>
      <c r="IXK59" s="76"/>
      <c r="IXL59" s="76"/>
      <c r="IXM59" s="76"/>
      <c r="IXN59" s="76"/>
      <c r="IXO59" s="76"/>
      <c r="IXP59" s="76"/>
      <c r="IXQ59" s="76"/>
      <c r="IXR59" s="76"/>
      <c r="IXS59" s="76"/>
      <c r="IXT59" s="76"/>
      <c r="IXU59" s="76"/>
      <c r="IXV59" s="76"/>
      <c r="IXW59" s="76"/>
      <c r="IXX59" s="76"/>
      <c r="IXY59" s="76"/>
      <c r="IXZ59" s="76"/>
      <c r="IYA59" s="76"/>
      <c r="IYB59" s="76"/>
      <c r="IYC59" s="76"/>
      <c r="IYD59" s="76"/>
      <c r="IYE59" s="76"/>
      <c r="IYF59" s="76"/>
      <c r="IYG59" s="76"/>
      <c r="IYH59" s="76"/>
      <c r="IYI59" s="76"/>
      <c r="IYJ59" s="76"/>
      <c r="IYK59" s="76"/>
      <c r="IYL59" s="76"/>
      <c r="IYM59" s="76"/>
      <c r="IYN59" s="76"/>
      <c r="IYO59" s="76"/>
      <c r="IYP59" s="76"/>
      <c r="IYQ59" s="76"/>
      <c r="IYR59" s="76"/>
      <c r="IYS59" s="76"/>
      <c r="IYT59" s="76"/>
      <c r="IYU59" s="76"/>
      <c r="IYV59" s="76"/>
      <c r="IYW59" s="76"/>
      <c r="IYX59" s="76"/>
      <c r="IYY59" s="76"/>
      <c r="IYZ59" s="76"/>
      <c r="IZA59" s="76"/>
      <c r="IZB59" s="76"/>
      <c r="IZC59" s="76"/>
      <c r="IZD59" s="76"/>
      <c r="IZE59" s="76"/>
      <c r="IZF59" s="76"/>
      <c r="IZG59" s="76"/>
      <c r="IZH59" s="76"/>
      <c r="IZI59" s="76"/>
      <c r="IZJ59" s="76"/>
      <c r="IZK59" s="76"/>
      <c r="IZL59" s="76"/>
      <c r="IZM59" s="76"/>
      <c r="IZN59" s="76"/>
      <c r="IZO59" s="76"/>
      <c r="IZP59" s="76"/>
      <c r="IZQ59" s="76"/>
      <c r="IZR59" s="76"/>
      <c r="IZS59" s="76"/>
      <c r="IZT59" s="76"/>
      <c r="IZU59" s="76"/>
      <c r="IZV59" s="76"/>
      <c r="IZW59" s="76"/>
      <c r="IZX59" s="76"/>
      <c r="IZY59" s="76"/>
      <c r="IZZ59" s="76"/>
      <c r="JAA59" s="76"/>
      <c r="JAB59" s="76"/>
      <c r="JAC59" s="76"/>
      <c r="JAD59" s="76"/>
      <c r="JAE59" s="76"/>
      <c r="JAF59" s="76"/>
      <c r="JAG59" s="76"/>
      <c r="JAH59" s="76"/>
      <c r="JAI59" s="76"/>
      <c r="JAJ59" s="76"/>
      <c r="JAK59" s="76"/>
      <c r="JAL59" s="76"/>
      <c r="JAM59" s="76"/>
      <c r="JAN59" s="76"/>
      <c r="JAO59" s="76"/>
      <c r="JAP59" s="76"/>
      <c r="JAQ59" s="76"/>
      <c r="JAR59" s="76"/>
      <c r="JAS59" s="76"/>
      <c r="JAT59" s="76"/>
      <c r="JAU59" s="76"/>
      <c r="JAV59" s="76"/>
      <c r="JAW59" s="76"/>
      <c r="JAX59" s="76"/>
      <c r="JAY59" s="76"/>
      <c r="JAZ59" s="76"/>
      <c r="JBA59" s="76"/>
      <c r="JBB59" s="76"/>
      <c r="JBC59" s="76"/>
      <c r="JBD59" s="76"/>
      <c r="JBE59" s="76"/>
      <c r="JBF59" s="76"/>
      <c r="JBG59" s="76"/>
      <c r="JBH59" s="76"/>
      <c r="JBI59" s="76"/>
      <c r="JBJ59" s="76"/>
      <c r="JBK59" s="76"/>
      <c r="JBL59" s="76"/>
      <c r="JBM59" s="76"/>
      <c r="JBN59" s="76"/>
      <c r="JBO59" s="76"/>
      <c r="JBP59" s="76"/>
      <c r="JBQ59" s="76"/>
      <c r="JBR59" s="76"/>
      <c r="JBS59" s="76"/>
      <c r="JBT59" s="76"/>
      <c r="JBU59" s="76"/>
      <c r="JBV59" s="76"/>
      <c r="JBW59" s="76"/>
      <c r="JBX59" s="76"/>
      <c r="JBY59" s="76"/>
      <c r="JBZ59" s="76"/>
      <c r="JCA59" s="76"/>
      <c r="JCB59" s="76"/>
      <c r="JCC59" s="76"/>
      <c r="JCD59" s="76"/>
      <c r="JCE59" s="76"/>
      <c r="JCF59" s="76"/>
      <c r="JCG59" s="76"/>
      <c r="JCH59" s="76"/>
      <c r="JCI59" s="76"/>
      <c r="JCJ59" s="76"/>
      <c r="JCK59" s="76"/>
      <c r="JCL59" s="76"/>
      <c r="JCM59" s="76"/>
      <c r="JCN59" s="76"/>
      <c r="JCO59" s="76"/>
      <c r="JCP59" s="76"/>
      <c r="JCQ59" s="76"/>
      <c r="JCR59" s="76"/>
      <c r="JCS59" s="76"/>
      <c r="JCT59" s="76"/>
      <c r="JCU59" s="76"/>
      <c r="JCV59" s="76"/>
      <c r="JCW59" s="76"/>
      <c r="JCX59" s="76"/>
      <c r="JCY59" s="76"/>
      <c r="JCZ59" s="76"/>
      <c r="JDA59" s="76"/>
      <c r="JDB59" s="76"/>
      <c r="JDC59" s="76"/>
      <c r="JDD59" s="76"/>
      <c r="JDE59" s="76"/>
      <c r="JDF59" s="76"/>
      <c r="JDG59" s="76"/>
      <c r="JDH59" s="76"/>
      <c r="JDI59" s="76"/>
      <c r="JDJ59" s="76"/>
      <c r="JDK59" s="76"/>
      <c r="JDL59" s="76"/>
      <c r="JDM59" s="76"/>
      <c r="JDN59" s="76"/>
      <c r="JDO59" s="76"/>
      <c r="JDP59" s="76"/>
      <c r="JDQ59" s="76"/>
      <c r="JDR59" s="76"/>
      <c r="JDS59" s="76"/>
      <c r="JDT59" s="76"/>
      <c r="JDU59" s="76"/>
      <c r="JDV59" s="76"/>
      <c r="JDW59" s="76"/>
      <c r="JDX59" s="76"/>
      <c r="JDY59" s="76"/>
      <c r="JDZ59" s="76"/>
      <c r="JEA59" s="76"/>
      <c r="JEB59" s="76"/>
      <c r="JEC59" s="76"/>
      <c r="JED59" s="76"/>
      <c r="JEE59" s="76"/>
      <c r="JEF59" s="76"/>
      <c r="JEG59" s="76"/>
      <c r="JEH59" s="76"/>
      <c r="JEI59" s="76"/>
      <c r="JEJ59" s="76"/>
      <c r="JEK59" s="76"/>
      <c r="JEL59" s="76"/>
      <c r="JEM59" s="76"/>
      <c r="JEN59" s="76"/>
      <c r="JEO59" s="76"/>
      <c r="JEP59" s="76"/>
      <c r="JEQ59" s="76"/>
      <c r="JER59" s="76"/>
      <c r="JES59" s="76"/>
      <c r="JET59" s="76"/>
      <c r="JEU59" s="76"/>
      <c r="JEV59" s="76"/>
      <c r="JEW59" s="76"/>
      <c r="JEX59" s="76"/>
      <c r="JEY59" s="76"/>
      <c r="JEZ59" s="76"/>
      <c r="JFA59" s="76"/>
      <c r="JFB59" s="76"/>
      <c r="JFC59" s="76"/>
      <c r="JFD59" s="76"/>
      <c r="JFE59" s="76"/>
      <c r="JFF59" s="76"/>
      <c r="JFG59" s="76"/>
      <c r="JFH59" s="76"/>
      <c r="JFI59" s="76"/>
      <c r="JFJ59" s="76"/>
      <c r="JFK59" s="76"/>
      <c r="JFL59" s="76"/>
      <c r="JFM59" s="76"/>
      <c r="JFN59" s="76"/>
      <c r="JFO59" s="76"/>
      <c r="JFP59" s="76"/>
      <c r="JFQ59" s="76"/>
      <c r="JFR59" s="76"/>
      <c r="JFS59" s="76"/>
      <c r="JFT59" s="76"/>
      <c r="JFU59" s="76"/>
      <c r="JFV59" s="76"/>
      <c r="JFW59" s="76"/>
      <c r="JFX59" s="76"/>
      <c r="JFY59" s="76"/>
      <c r="JFZ59" s="76"/>
      <c r="JGA59" s="76"/>
      <c r="JGB59" s="76"/>
      <c r="JGC59" s="76"/>
      <c r="JGD59" s="76"/>
      <c r="JGE59" s="76"/>
      <c r="JGF59" s="76"/>
      <c r="JGG59" s="76"/>
      <c r="JGH59" s="76"/>
      <c r="JGI59" s="76"/>
      <c r="JGJ59" s="76"/>
      <c r="JGK59" s="76"/>
      <c r="JGL59" s="76"/>
      <c r="JGM59" s="76"/>
      <c r="JGN59" s="76"/>
      <c r="JGO59" s="76"/>
      <c r="JGP59" s="76"/>
      <c r="JGQ59" s="76"/>
      <c r="JGR59" s="76"/>
      <c r="JGS59" s="76"/>
      <c r="JGT59" s="76"/>
      <c r="JGU59" s="76"/>
      <c r="JGV59" s="76"/>
      <c r="JGW59" s="76"/>
      <c r="JGX59" s="76"/>
      <c r="JGY59" s="76"/>
      <c r="JGZ59" s="76"/>
      <c r="JHA59" s="76"/>
      <c r="JHB59" s="76"/>
      <c r="JHC59" s="76"/>
      <c r="JHD59" s="76"/>
      <c r="JHE59" s="76"/>
      <c r="JHF59" s="76"/>
      <c r="JHG59" s="76"/>
      <c r="JHH59" s="76"/>
      <c r="JHI59" s="76"/>
      <c r="JHJ59" s="76"/>
      <c r="JHK59" s="76"/>
      <c r="JHL59" s="76"/>
      <c r="JHM59" s="76"/>
      <c r="JHN59" s="76"/>
      <c r="JHO59" s="76"/>
      <c r="JHP59" s="76"/>
      <c r="JHQ59" s="76"/>
      <c r="JHR59" s="76"/>
      <c r="JHS59" s="76"/>
      <c r="JHT59" s="76"/>
      <c r="JHU59" s="76"/>
      <c r="JHV59" s="76"/>
      <c r="JHW59" s="76"/>
      <c r="JHX59" s="76"/>
      <c r="JHY59" s="76"/>
      <c r="JHZ59" s="76"/>
      <c r="JIA59" s="76"/>
      <c r="JIB59" s="76"/>
      <c r="JIC59" s="76"/>
      <c r="JID59" s="76"/>
      <c r="JIE59" s="76"/>
      <c r="JIF59" s="76"/>
      <c r="JIG59" s="76"/>
      <c r="JIH59" s="76"/>
      <c r="JII59" s="76"/>
      <c r="JIJ59" s="76"/>
      <c r="JIK59" s="76"/>
      <c r="JIL59" s="76"/>
      <c r="JIM59" s="76"/>
      <c r="JIN59" s="76"/>
      <c r="JIO59" s="76"/>
      <c r="JIP59" s="76"/>
      <c r="JIQ59" s="76"/>
      <c r="JIR59" s="76"/>
      <c r="JIS59" s="76"/>
      <c r="JIT59" s="76"/>
      <c r="JIU59" s="76"/>
      <c r="JIV59" s="76"/>
      <c r="JIW59" s="76"/>
      <c r="JIX59" s="76"/>
      <c r="JIY59" s="76"/>
      <c r="JIZ59" s="76"/>
      <c r="JJA59" s="76"/>
      <c r="JJB59" s="76"/>
      <c r="JJC59" s="76"/>
      <c r="JJD59" s="76"/>
      <c r="JJE59" s="76"/>
      <c r="JJF59" s="76"/>
      <c r="JJG59" s="76"/>
      <c r="JJH59" s="76"/>
      <c r="JJI59" s="76"/>
      <c r="JJJ59" s="76"/>
      <c r="JJK59" s="76"/>
      <c r="JJL59" s="76"/>
      <c r="JJM59" s="76"/>
      <c r="JJN59" s="76"/>
      <c r="JJO59" s="76"/>
      <c r="JJP59" s="76"/>
      <c r="JJQ59" s="76"/>
      <c r="JJR59" s="76"/>
      <c r="JJS59" s="76"/>
      <c r="JJT59" s="76"/>
      <c r="JJU59" s="76"/>
      <c r="JJV59" s="76"/>
      <c r="JJW59" s="76"/>
      <c r="JJX59" s="76"/>
      <c r="JJY59" s="76"/>
      <c r="JJZ59" s="76"/>
      <c r="JKA59" s="76"/>
      <c r="JKB59" s="76"/>
      <c r="JKC59" s="76"/>
      <c r="JKD59" s="76"/>
      <c r="JKE59" s="76"/>
      <c r="JKF59" s="76"/>
      <c r="JKG59" s="76"/>
      <c r="JKH59" s="76"/>
      <c r="JKI59" s="76"/>
      <c r="JKJ59" s="76"/>
      <c r="JKK59" s="76"/>
      <c r="JKL59" s="76"/>
      <c r="JKM59" s="76"/>
      <c r="JKN59" s="76"/>
      <c r="JKO59" s="76"/>
      <c r="JKP59" s="76"/>
      <c r="JKQ59" s="76"/>
      <c r="JKR59" s="76"/>
      <c r="JKS59" s="76"/>
      <c r="JKT59" s="76"/>
      <c r="JKU59" s="76"/>
      <c r="JKV59" s="76"/>
      <c r="JKW59" s="76"/>
      <c r="JKX59" s="76"/>
      <c r="JKY59" s="76"/>
      <c r="JKZ59" s="76"/>
      <c r="JLA59" s="76"/>
      <c r="JLB59" s="76"/>
      <c r="JLC59" s="76"/>
      <c r="JLD59" s="76"/>
      <c r="JLE59" s="76"/>
      <c r="JLF59" s="76"/>
      <c r="JLG59" s="76"/>
      <c r="JLH59" s="76"/>
      <c r="JLI59" s="76"/>
      <c r="JLJ59" s="76"/>
      <c r="JLK59" s="76"/>
      <c r="JLL59" s="76"/>
      <c r="JLM59" s="76"/>
      <c r="JLN59" s="76"/>
      <c r="JLO59" s="76"/>
      <c r="JLP59" s="76"/>
      <c r="JLQ59" s="76"/>
      <c r="JLR59" s="76"/>
      <c r="JLS59" s="76"/>
      <c r="JLT59" s="76"/>
      <c r="JLU59" s="76"/>
      <c r="JLV59" s="76"/>
      <c r="JLW59" s="76"/>
      <c r="JLX59" s="76"/>
      <c r="JLY59" s="76"/>
      <c r="JLZ59" s="76"/>
      <c r="JMA59" s="76"/>
      <c r="JMB59" s="76"/>
      <c r="JMC59" s="76"/>
      <c r="JMD59" s="76"/>
      <c r="JME59" s="76"/>
      <c r="JMF59" s="76"/>
      <c r="JMG59" s="76"/>
      <c r="JMH59" s="76"/>
      <c r="JMI59" s="76"/>
      <c r="JMJ59" s="76"/>
      <c r="JMK59" s="76"/>
      <c r="JML59" s="76"/>
      <c r="JMM59" s="76"/>
      <c r="JMN59" s="76"/>
      <c r="JMO59" s="76"/>
      <c r="JMP59" s="76"/>
      <c r="JMQ59" s="76"/>
      <c r="JMR59" s="76"/>
      <c r="JMS59" s="76"/>
      <c r="JMT59" s="76"/>
      <c r="JMU59" s="76"/>
      <c r="JMV59" s="76"/>
      <c r="JMW59" s="76"/>
      <c r="JMX59" s="76"/>
      <c r="JMY59" s="76"/>
      <c r="JMZ59" s="76"/>
      <c r="JNA59" s="76"/>
      <c r="JNB59" s="76"/>
      <c r="JNC59" s="76"/>
      <c r="JND59" s="76"/>
      <c r="JNE59" s="76"/>
      <c r="JNF59" s="76"/>
      <c r="JNG59" s="76"/>
      <c r="JNH59" s="76"/>
      <c r="JNI59" s="76"/>
      <c r="JNJ59" s="76"/>
      <c r="JNK59" s="76"/>
      <c r="JNL59" s="76"/>
      <c r="JNM59" s="76"/>
      <c r="JNN59" s="76"/>
      <c r="JNO59" s="76"/>
      <c r="JNP59" s="76"/>
      <c r="JNQ59" s="76"/>
      <c r="JNR59" s="76"/>
      <c r="JNS59" s="76"/>
      <c r="JNT59" s="76"/>
      <c r="JNU59" s="76"/>
      <c r="JNV59" s="76"/>
      <c r="JNW59" s="76"/>
      <c r="JNX59" s="76"/>
      <c r="JNY59" s="76"/>
      <c r="JNZ59" s="76"/>
      <c r="JOA59" s="76"/>
      <c r="JOB59" s="76"/>
      <c r="JOC59" s="76"/>
      <c r="JOD59" s="76"/>
      <c r="JOE59" s="76"/>
      <c r="JOF59" s="76"/>
      <c r="JOG59" s="76"/>
      <c r="JOH59" s="76"/>
      <c r="JOI59" s="76"/>
      <c r="JOJ59" s="76"/>
      <c r="JOK59" s="76"/>
      <c r="JOL59" s="76"/>
      <c r="JOM59" s="76"/>
      <c r="JON59" s="76"/>
      <c r="JOO59" s="76"/>
      <c r="JOP59" s="76"/>
      <c r="JOQ59" s="76"/>
      <c r="JOR59" s="76"/>
      <c r="JOS59" s="76"/>
      <c r="JOT59" s="76"/>
      <c r="JOU59" s="76"/>
      <c r="JOV59" s="76"/>
      <c r="JOW59" s="76"/>
      <c r="JOX59" s="76"/>
      <c r="JOY59" s="76"/>
      <c r="JOZ59" s="76"/>
      <c r="JPA59" s="76"/>
      <c r="JPB59" s="76"/>
      <c r="JPC59" s="76"/>
      <c r="JPD59" s="76"/>
      <c r="JPE59" s="76"/>
      <c r="JPF59" s="76"/>
      <c r="JPG59" s="76"/>
      <c r="JPH59" s="76"/>
      <c r="JPI59" s="76"/>
      <c r="JPJ59" s="76"/>
      <c r="JPK59" s="76"/>
      <c r="JPL59" s="76"/>
      <c r="JPM59" s="76"/>
      <c r="JPN59" s="76"/>
      <c r="JPO59" s="76"/>
      <c r="JPP59" s="76"/>
      <c r="JPQ59" s="76"/>
      <c r="JPR59" s="76"/>
      <c r="JPS59" s="76"/>
      <c r="JPT59" s="76"/>
      <c r="JPU59" s="76"/>
      <c r="JPV59" s="76"/>
      <c r="JPW59" s="76"/>
      <c r="JPX59" s="76"/>
      <c r="JPY59" s="76"/>
      <c r="JPZ59" s="76"/>
      <c r="JQA59" s="76"/>
      <c r="JQB59" s="76"/>
      <c r="JQC59" s="76"/>
      <c r="JQD59" s="76"/>
      <c r="JQE59" s="76"/>
      <c r="JQF59" s="76"/>
      <c r="JQG59" s="76"/>
      <c r="JQH59" s="76"/>
      <c r="JQI59" s="76"/>
      <c r="JQJ59" s="76"/>
      <c r="JQK59" s="76"/>
      <c r="JQL59" s="76"/>
      <c r="JQM59" s="76"/>
      <c r="JQN59" s="76"/>
      <c r="JQO59" s="76"/>
      <c r="JQP59" s="76"/>
      <c r="JQQ59" s="76"/>
      <c r="JQR59" s="76"/>
      <c r="JQS59" s="76"/>
      <c r="JQT59" s="76"/>
      <c r="JQU59" s="76"/>
      <c r="JQV59" s="76"/>
      <c r="JQW59" s="76"/>
      <c r="JQX59" s="76"/>
      <c r="JQY59" s="76"/>
      <c r="JQZ59" s="76"/>
      <c r="JRA59" s="76"/>
      <c r="JRB59" s="76"/>
      <c r="JRC59" s="76"/>
      <c r="JRD59" s="76"/>
      <c r="JRE59" s="76"/>
      <c r="JRF59" s="76"/>
      <c r="JRG59" s="76"/>
      <c r="JRH59" s="76"/>
      <c r="JRI59" s="76"/>
      <c r="JRJ59" s="76"/>
      <c r="JRK59" s="76"/>
      <c r="JRL59" s="76"/>
      <c r="JRM59" s="76"/>
      <c r="JRN59" s="76"/>
      <c r="JRO59" s="76"/>
      <c r="JRP59" s="76"/>
      <c r="JRQ59" s="76"/>
      <c r="JRR59" s="76"/>
      <c r="JRS59" s="76"/>
      <c r="JRT59" s="76"/>
      <c r="JRU59" s="76"/>
      <c r="JRV59" s="76"/>
      <c r="JRW59" s="76"/>
      <c r="JRX59" s="76"/>
      <c r="JRY59" s="76"/>
      <c r="JRZ59" s="76"/>
      <c r="JSA59" s="76"/>
      <c r="JSB59" s="76"/>
      <c r="JSC59" s="76"/>
      <c r="JSD59" s="76"/>
      <c r="JSE59" s="76"/>
      <c r="JSF59" s="76"/>
      <c r="JSG59" s="76"/>
      <c r="JSH59" s="76"/>
      <c r="JSI59" s="76"/>
      <c r="JSJ59" s="76"/>
      <c r="JSK59" s="76"/>
      <c r="JSL59" s="76"/>
      <c r="JSM59" s="76"/>
      <c r="JSN59" s="76"/>
      <c r="JSO59" s="76"/>
      <c r="JSP59" s="76"/>
      <c r="JSQ59" s="76"/>
      <c r="JSR59" s="76"/>
      <c r="JSS59" s="76"/>
      <c r="JST59" s="76"/>
      <c r="JSU59" s="76"/>
      <c r="JSV59" s="76"/>
      <c r="JSW59" s="76"/>
      <c r="JSX59" s="76"/>
      <c r="JSY59" s="76"/>
      <c r="JSZ59" s="76"/>
      <c r="JTA59" s="76"/>
      <c r="JTB59" s="76"/>
      <c r="JTC59" s="76"/>
      <c r="JTD59" s="76"/>
      <c r="JTE59" s="76"/>
      <c r="JTF59" s="76"/>
      <c r="JTG59" s="76"/>
      <c r="JTH59" s="76"/>
      <c r="JTI59" s="76"/>
      <c r="JTJ59" s="76"/>
      <c r="JTK59" s="76"/>
      <c r="JTL59" s="76"/>
      <c r="JTM59" s="76"/>
      <c r="JTN59" s="76"/>
      <c r="JTO59" s="76"/>
      <c r="JTP59" s="76"/>
      <c r="JTQ59" s="76"/>
      <c r="JTR59" s="76"/>
      <c r="JTS59" s="76"/>
      <c r="JTT59" s="76"/>
      <c r="JTU59" s="76"/>
      <c r="JTV59" s="76"/>
      <c r="JTW59" s="76"/>
      <c r="JTX59" s="76"/>
      <c r="JTY59" s="76"/>
      <c r="JTZ59" s="76"/>
      <c r="JUA59" s="76"/>
      <c r="JUB59" s="76"/>
      <c r="JUC59" s="76"/>
      <c r="JUD59" s="76"/>
      <c r="JUE59" s="76"/>
      <c r="JUF59" s="76"/>
      <c r="JUG59" s="76"/>
      <c r="JUH59" s="76"/>
      <c r="JUI59" s="76"/>
      <c r="JUJ59" s="76"/>
      <c r="JUK59" s="76"/>
      <c r="JUL59" s="76"/>
      <c r="JUM59" s="76"/>
      <c r="JUN59" s="76"/>
      <c r="JUO59" s="76"/>
      <c r="JUP59" s="76"/>
      <c r="JUQ59" s="76"/>
      <c r="JUR59" s="76"/>
      <c r="JUS59" s="76"/>
      <c r="JUT59" s="76"/>
      <c r="JUU59" s="76"/>
      <c r="JUV59" s="76"/>
      <c r="JUW59" s="76"/>
      <c r="JUX59" s="76"/>
      <c r="JUY59" s="76"/>
      <c r="JUZ59" s="76"/>
      <c r="JVA59" s="76"/>
      <c r="JVB59" s="76"/>
      <c r="JVC59" s="76"/>
      <c r="JVD59" s="76"/>
      <c r="JVE59" s="76"/>
      <c r="JVF59" s="76"/>
      <c r="JVG59" s="76"/>
      <c r="JVH59" s="76"/>
      <c r="JVI59" s="76"/>
      <c r="JVJ59" s="76"/>
      <c r="JVK59" s="76"/>
      <c r="JVL59" s="76"/>
      <c r="JVM59" s="76"/>
      <c r="JVN59" s="76"/>
      <c r="JVO59" s="76"/>
      <c r="JVP59" s="76"/>
      <c r="JVQ59" s="76"/>
      <c r="JVR59" s="76"/>
      <c r="JVS59" s="76"/>
      <c r="JVT59" s="76"/>
      <c r="JVU59" s="76"/>
      <c r="JVV59" s="76"/>
      <c r="JVW59" s="76"/>
      <c r="JVX59" s="76"/>
      <c r="JVY59" s="76"/>
      <c r="JVZ59" s="76"/>
      <c r="JWA59" s="76"/>
      <c r="JWB59" s="76"/>
      <c r="JWC59" s="76"/>
      <c r="JWD59" s="76"/>
      <c r="JWE59" s="76"/>
      <c r="JWF59" s="76"/>
      <c r="JWG59" s="76"/>
      <c r="JWH59" s="76"/>
      <c r="JWI59" s="76"/>
      <c r="JWJ59" s="76"/>
      <c r="JWK59" s="76"/>
      <c r="JWL59" s="76"/>
      <c r="JWM59" s="76"/>
      <c r="JWN59" s="76"/>
      <c r="JWO59" s="76"/>
      <c r="JWP59" s="76"/>
      <c r="JWQ59" s="76"/>
      <c r="JWR59" s="76"/>
      <c r="JWS59" s="76"/>
      <c r="JWT59" s="76"/>
      <c r="JWU59" s="76"/>
      <c r="JWV59" s="76"/>
      <c r="JWW59" s="76"/>
      <c r="JWX59" s="76"/>
      <c r="JWY59" s="76"/>
      <c r="JWZ59" s="76"/>
      <c r="JXA59" s="76"/>
      <c r="JXB59" s="76"/>
      <c r="JXC59" s="76"/>
      <c r="JXD59" s="76"/>
      <c r="JXE59" s="76"/>
      <c r="JXF59" s="76"/>
      <c r="JXG59" s="76"/>
      <c r="JXH59" s="76"/>
      <c r="JXI59" s="76"/>
      <c r="JXJ59" s="76"/>
      <c r="JXK59" s="76"/>
      <c r="JXL59" s="76"/>
      <c r="JXM59" s="76"/>
      <c r="JXN59" s="76"/>
      <c r="JXO59" s="76"/>
      <c r="JXP59" s="76"/>
      <c r="JXQ59" s="76"/>
      <c r="JXR59" s="76"/>
      <c r="JXS59" s="76"/>
      <c r="JXT59" s="76"/>
      <c r="JXU59" s="76"/>
      <c r="JXV59" s="76"/>
      <c r="JXW59" s="76"/>
      <c r="JXX59" s="76"/>
      <c r="JXY59" s="76"/>
      <c r="JXZ59" s="76"/>
      <c r="JYA59" s="76"/>
      <c r="JYB59" s="76"/>
      <c r="JYC59" s="76"/>
      <c r="JYD59" s="76"/>
      <c r="JYE59" s="76"/>
      <c r="JYF59" s="76"/>
      <c r="JYG59" s="76"/>
      <c r="JYH59" s="76"/>
      <c r="JYI59" s="76"/>
      <c r="JYJ59" s="76"/>
      <c r="JYK59" s="76"/>
      <c r="JYL59" s="76"/>
      <c r="JYM59" s="76"/>
      <c r="JYN59" s="76"/>
      <c r="JYO59" s="76"/>
      <c r="JYP59" s="76"/>
      <c r="JYQ59" s="76"/>
      <c r="JYR59" s="76"/>
      <c r="JYS59" s="76"/>
      <c r="JYT59" s="76"/>
      <c r="JYU59" s="76"/>
      <c r="JYV59" s="76"/>
      <c r="JYW59" s="76"/>
      <c r="JYX59" s="76"/>
      <c r="JYY59" s="76"/>
      <c r="JYZ59" s="76"/>
      <c r="JZA59" s="76"/>
      <c r="JZB59" s="76"/>
      <c r="JZC59" s="76"/>
      <c r="JZD59" s="76"/>
      <c r="JZE59" s="76"/>
      <c r="JZF59" s="76"/>
      <c r="JZG59" s="76"/>
      <c r="JZH59" s="76"/>
      <c r="JZI59" s="76"/>
      <c r="JZJ59" s="76"/>
      <c r="JZK59" s="76"/>
      <c r="JZL59" s="76"/>
      <c r="JZM59" s="76"/>
      <c r="JZN59" s="76"/>
      <c r="JZO59" s="76"/>
      <c r="JZP59" s="76"/>
      <c r="JZQ59" s="76"/>
      <c r="JZR59" s="76"/>
      <c r="JZS59" s="76"/>
      <c r="JZT59" s="76"/>
      <c r="JZU59" s="76"/>
      <c r="JZV59" s="76"/>
      <c r="JZW59" s="76"/>
      <c r="JZX59" s="76"/>
      <c r="JZY59" s="76"/>
      <c r="JZZ59" s="76"/>
      <c r="KAA59" s="76"/>
      <c r="KAB59" s="76"/>
      <c r="KAC59" s="76"/>
      <c r="KAD59" s="76"/>
      <c r="KAE59" s="76"/>
      <c r="KAF59" s="76"/>
      <c r="KAG59" s="76"/>
      <c r="KAH59" s="76"/>
      <c r="KAI59" s="76"/>
      <c r="KAJ59" s="76"/>
      <c r="KAK59" s="76"/>
      <c r="KAL59" s="76"/>
      <c r="KAM59" s="76"/>
      <c r="KAN59" s="76"/>
      <c r="KAO59" s="76"/>
      <c r="KAP59" s="76"/>
      <c r="KAQ59" s="76"/>
      <c r="KAR59" s="76"/>
      <c r="KAS59" s="76"/>
      <c r="KAT59" s="76"/>
      <c r="KAU59" s="76"/>
      <c r="KAV59" s="76"/>
      <c r="KAW59" s="76"/>
      <c r="KAX59" s="76"/>
      <c r="KAY59" s="76"/>
      <c r="KAZ59" s="76"/>
      <c r="KBA59" s="76"/>
      <c r="KBB59" s="76"/>
      <c r="KBC59" s="76"/>
      <c r="KBD59" s="76"/>
      <c r="KBE59" s="76"/>
      <c r="KBF59" s="76"/>
      <c r="KBG59" s="76"/>
      <c r="KBH59" s="76"/>
      <c r="KBI59" s="76"/>
      <c r="KBJ59" s="76"/>
      <c r="KBK59" s="76"/>
      <c r="KBL59" s="76"/>
      <c r="KBM59" s="76"/>
      <c r="KBN59" s="76"/>
      <c r="KBO59" s="76"/>
      <c r="KBP59" s="76"/>
      <c r="KBQ59" s="76"/>
      <c r="KBR59" s="76"/>
      <c r="KBS59" s="76"/>
      <c r="KBT59" s="76"/>
      <c r="KBU59" s="76"/>
      <c r="KBV59" s="76"/>
      <c r="KBW59" s="76"/>
      <c r="KBX59" s="76"/>
      <c r="KBY59" s="76"/>
      <c r="KBZ59" s="76"/>
      <c r="KCA59" s="76"/>
      <c r="KCB59" s="76"/>
      <c r="KCC59" s="76"/>
      <c r="KCD59" s="76"/>
      <c r="KCE59" s="76"/>
      <c r="KCF59" s="76"/>
      <c r="KCG59" s="76"/>
      <c r="KCH59" s="76"/>
      <c r="KCI59" s="76"/>
      <c r="KCJ59" s="76"/>
      <c r="KCK59" s="76"/>
      <c r="KCL59" s="76"/>
      <c r="KCM59" s="76"/>
      <c r="KCN59" s="76"/>
      <c r="KCO59" s="76"/>
      <c r="KCP59" s="76"/>
      <c r="KCQ59" s="76"/>
      <c r="KCR59" s="76"/>
      <c r="KCS59" s="76"/>
      <c r="KCT59" s="76"/>
      <c r="KCU59" s="76"/>
      <c r="KCV59" s="76"/>
      <c r="KCW59" s="76"/>
      <c r="KCX59" s="76"/>
      <c r="KCY59" s="76"/>
      <c r="KCZ59" s="76"/>
      <c r="KDA59" s="76"/>
      <c r="KDB59" s="76"/>
      <c r="KDC59" s="76"/>
      <c r="KDD59" s="76"/>
      <c r="KDE59" s="76"/>
      <c r="KDF59" s="76"/>
      <c r="KDG59" s="76"/>
      <c r="KDH59" s="76"/>
      <c r="KDI59" s="76"/>
      <c r="KDJ59" s="76"/>
      <c r="KDK59" s="76"/>
      <c r="KDL59" s="76"/>
      <c r="KDM59" s="76"/>
      <c r="KDN59" s="76"/>
      <c r="KDO59" s="76"/>
      <c r="KDP59" s="76"/>
      <c r="KDQ59" s="76"/>
      <c r="KDR59" s="76"/>
      <c r="KDS59" s="76"/>
      <c r="KDT59" s="76"/>
      <c r="KDU59" s="76"/>
      <c r="KDV59" s="76"/>
      <c r="KDW59" s="76"/>
      <c r="KDX59" s="76"/>
      <c r="KDY59" s="76"/>
      <c r="KDZ59" s="76"/>
      <c r="KEA59" s="76"/>
      <c r="KEB59" s="76"/>
      <c r="KEC59" s="76"/>
      <c r="KED59" s="76"/>
      <c r="KEE59" s="76"/>
      <c r="KEF59" s="76"/>
      <c r="KEG59" s="76"/>
      <c r="KEH59" s="76"/>
      <c r="KEI59" s="76"/>
      <c r="KEJ59" s="76"/>
      <c r="KEK59" s="76"/>
      <c r="KEL59" s="76"/>
      <c r="KEM59" s="76"/>
      <c r="KEN59" s="76"/>
      <c r="KEO59" s="76"/>
      <c r="KEP59" s="76"/>
      <c r="KEQ59" s="76"/>
      <c r="KER59" s="76"/>
      <c r="KES59" s="76"/>
      <c r="KET59" s="76"/>
      <c r="KEU59" s="76"/>
      <c r="KEV59" s="76"/>
      <c r="KEW59" s="76"/>
      <c r="KEX59" s="76"/>
      <c r="KEY59" s="76"/>
      <c r="KEZ59" s="76"/>
      <c r="KFA59" s="76"/>
      <c r="KFB59" s="76"/>
      <c r="KFC59" s="76"/>
      <c r="KFD59" s="76"/>
      <c r="KFE59" s="76"/>
      <c r="KFF59" s="76"/>
      <c r="KFG59" s="76"/>
      <c r="KFH59" s="76"/>
      <c r="KFI59" s="76"/>
      <c r="KFJ59" s="76"/>
      <c r="KFK59" s="76"/>
      <c r="KFL59" s="76"/>
      <c r="KFM59" s="76"/>
      <c r="KFN59" s="76"/>
      <c r="KFO59" s="76"/>
      <c r="KFP59" s="76"/>
      <c r="KFQ59" s="76"/>
      <c r="KFR59" s="76"/>
      <c r="KFS59" s="76"/>
      <c r="KFT59" s="76"/>
      <c r="KFU59" s="76"/>
      <c r="KFV59" s="76"/>
      <c r="KFW59" s="76"/>
      <c r="KFX59" s="76"/>
      <c r="KFY59" s="76"/>
      <c r="KFZ59" s="76"/>
      <c r="KGA59" s="76"/>
      <c r="KGB59" s="76"/>
      <c r="KGC59" s="76"/>
      <c r="KGD59" s="76"/>
      <c r="KGE59" s="76"/>
      <c r="KGF59" s="76"/>
      <c r="KGG59" s="76"/>
      <c r="KGH59" s="76"/>
      <c r="KGI59" s="76"/>
      <c r="KGJ59" s="76"/>
      <c r="KGK59" s="76"/>
      <c r="KGL59" s="76"/>
      <c r="KGM59" s="76"/>
      <c r="KGN59" s="76"/>
      <c r="KGO59" s="76"/>
      <c r="KGP59" s="76"/>
      <c r="KGQ59" s="76"/>
      <c r="KGR59" s="76"/>
      <c r="KGS59" s="76"/>
      <c r="KGT59" s="76"/>
      <c r="KGU59" s="76"/>
      <c r="KGV59" s="76"/>
      <c r="KGW59" s="76"/>
      <c r="KGX59" s="76"/>
      <c r="KGY59" s="76"/>
      <c r="KGZ59" s="76"/>
      <c r="KHA59" s="76"/>
      <c r="KHB59" s="76"/>
      <c r="KHC59" s="76"/>
      <c r="KHD59" s="76"/>
      <c r="KHE59" s="76"/>
      <c r="KHF59" s="76"/>
      <c r="KHG59" s="76"/>
      <c r="KHH59" s="76"/>
      <c r="KHI59" s="76"/>
      <c r="KHJ59" s="76"/>
      <c r="KHK59" s="76"/>
      <c r="KHL59" s="76"/>
      <c r="KHM59" s="76"/>
      <c r="KHN59" s="76"/>
      <c r="KHO59" s="76"/>
      <c r="KHP59" s="76"/>
      <c r="KHQ59" s="76"/>
      <c r="KHR59" s="76"/>
      <c r="KHS59" s="76"/>
      <c r="KHT59" s="76"/>
      <c r="KHU59" s="76"/>
      <c r="KHV59" s="76"/>
      <c r="KHW59" s="76"/>
      <c r="KHX59" s="76"/>
      <c r="KHY59" s="76"/>
      <c r="KHZ59" s="76"/>
      <c r="KIA59" s="76"/>
      <c r="KIB59" s="76"/>
      <c r="KIC59" s="76"/>
      <c r="KID59" s="76"/>
      <c r="KIE59" s="76"/>
      <c r="KIF59" s="76"/>
      <c r="KIG59" s="76"/>
      <c r="KIH59" s="76"/>
      <c r="KII59" s="76"/>
      <c r="KIJ59" s="76"/>
      <c r="KIK59" s="76"/>
      <c r="KIL59" s="76"/>
      <c r="KIM59" s="76"/>
      <c r="KIN59" s="76"/>
      <c r="KIO59" s="76"/>
      <c r="KIP59" s="76"/>
      <c r="KIQ59" s="76"/>
      <c r="KIR59" s="76"/>
      <c r="KIS59" s="76"/>
      <c r="KIT59" s="76"/>
      <c r="KIU59" s="76"/>
      <c r="KIV59" s="76"/>
      <c r="KIW59" s="76"/>
      <c r="KIX59" s="76"/>
      <c r="KIY59" s="76"/>
      <c r="KIZ59" s="76"/>
      <c r="KJA59" s="76"/>
      <c r="KJB59" s="76"/>
      <c r="KJC59" s="76"/>
      <c r="KJD59" s="76"/>
      <c r="KJE59" s="76"/>
      <c r="KJF59" s="76"/>
      <c r="KJG59" s="76"/>
      <c r="KJH59" s="76"/>
      <c r="KJI59" s="76"/>
      <c r="KJJ59" s="76"/>
      <c r="KJK59" s="76"/>
      <c r="KJL59" s="76"/>
      <c r="KJM59" s="76"/>
      <c r="KJN59" s="76"/>
      <c r="KJO59" s="76"/>
      <c r="KJP59" s="76"/>
      <c r="KJQ59" s="76"/>
      <c r="KJR59" s="76"/>
      <c r="KJS59" s="76"/>
      <c r="KJT59" s="76"/>
      <c r="KJU59" s="76"/>
      <c r="KJV59" s="76"/>
      <c r="KJW59" s="76"/>
      <c r="KJX59" s="76"/>
      <c r="KJY59" s="76"/>
      <c r="KJZ59" s="76"/>
      <c r="KKA59" s="76"/>
      <c r="KKB59" s="76"/>
      <c r="KKC59" s="76"/>
      <c r="KKD59" s="76"/>
      <c r="KKE59" s="76"/>
      <c r="KKF59" s="76"/>
      <c r="KKG59" s="76"/>
      <c r="KKH59" s="76"/>
      <c r="KKI59" s="76"/>
      <c r="KKJ59" s="76"/>
      <c r="KKK59" s="76"/>
      <c r="KKL59" s="76"/>
      <c r="KKM59" s="76"/>
      <c r="KKN59" s="76"/>
      <c r="KKO59" s="76"/>
      <c r="KKP59" s="76"/>
      <c r="KKQ59" s="76"/>
      <c r="KKR59" s="76"/>
      <c r="KKS59" s="76"/>
      <c r="KKT59" s="76"/>
      <c r="KKU59" s="76"/>
      <c r="KKV59" s="76"/>
      <c r="KKW59" s="76"/>
      <c r="KKX59" s="76"/>
      <c r="KKY59" s="76"/>
      <c r="KKZ59" s="76"/>
      <c r="KLA59" s="76"/>
      <c r="KLB59" s="76"/>
      <c r="KLC59" s="76"/>
      <c r="KLD59" s="76"/>
      <c r="KLE59" s="76"/>
      <c r="KLF59" s="76"/>
      <c r="KLG59" s="76"/>
      <c r="KLH59" s="76"/>
      <c r="KLI59" s="76"/>
      <c r="KLJ59" s="76"/>
      <c r="KLK59" s="76"/>
      <c r="KLL59" s="76"/>
      <c r="KLM59" s="76"/>
      <c r="KLN59" s="76"/>
      <c r="KLO59" s="76"/>
      <c r="KLP59" s="76"/>
      <c r="KLQ59" s="76"/>
      <c r="KLR59" s="76"/>
      <c r="KLS59" s="76"/>
      <c r="KLT59" s="76"/>
      <c r="KLU59" s="76"/>
      <c r="KLV59" s="76"/>
      <c r="KLW59" s="76"/>
      <c r="KLX59" s="76"/>
      <c r="KLY59" s="76"/>
      <c r="KLZ59" s="76"/>
      <c r="KMA59" s="76"/>
      <c r="KMB59" s="76"/>
      <c r="KMC59" s="76"/>
      <c r="KMD59" s="76"/>
      <c r="KME59" s="76"/>
      <c r="KMF59" s="76"/>
      <c r="KMG59" s="76"/>
      <c r="KMH59" s="76"/>
      <c r="KMI59" s="76"/>
      <c r="KMJ59" s="76"/>
      <c r="KMK59" s="76"/>
      <c r="KML59" s="76"/>
      <c r="KMM59" s="76"/>
      <c r="KMN59" s="76"/>
      <c r="KMO59" s="76"/>
      <c r="KMP59" s="76"/>
      <c r="KMQ59" s="76"/>
      <c r="KMR59" s="76"/>
      <c r="KMS59" s="76"/>
      <c r="KMT59" s="76"/>
      <c r="KMU59" s="76"/>
      <c r="KMV59" s="76"/>
      <c r="KMW59" s="76"/>
      <c r="KMX59" s="76"/>
      <c r="KMY59" s="76"/>
      <c r="KMZ59" s="76"/>
      <c r="KNA59" s="76"/>
      <c r="KNB59" s="76"/>
      <c r="KNC59" s="76"/>
      <c r="KND59" s="76"/>
      <c r="KNE59" s="76"/>
      <c r="KNF59" s="76"/>
      <c r="KNG59" s="76"/>
      <c r="KNH59" s="76"/>
      <c r="KNI59" s="76"/>
      <c r="KNJ59" s="76"/>
      <c r="KNK59" s="76"/>
      <c r="KNL59" s="76"/>
      <c r="KNM59" s="76"/>
      <c r="KNN59" s="76"/>
      <c r="KNO59" s="76"/>
      <c r="KNP59" s="76"/>
      <c r="KNQ59" s="76"/>
      <c r="KNR59" s="76"/>
      <c r="KNS59" s="76"/>
      <c r="KNT59" s="76"/>
      <c r="KNU59" s="76"/>
      <c r="KNV59" s="76"/>
      <c r="KNW59" s="76"/>
      <c r="KNX59" s="76"/>
      <c r="KNY59" s="76"/>
      <c r="KNZ59" s="76"/>
      <c r="KOA59" s="76"/>
      <c r="KOB59" s="76"/>
      <c r="KOC59" s="76"/>
      <c r="KOD59" s="76"/>
      <c r="KOE59" s="76"/>
      <c r="KOF59" s="76"/>
      <c r="KOG59" s="76"/>
      <c r="KOH59" s="76"/>
      <c r="KOI59" s="76"/>
      <c r="KOJ59" s="76"/>
      <c r="KOK59" s="76"/>
      <c r="KOL59" s="76"/>
      <c r="KOM59" s="76"/>
      <c r="KON59" s="76"/>
      <c r="KOO59" s="76"/>
      <c r="KOP59" s="76"/>
      <c r="KOQ59" s="76"/>
      <c r="KOR59" s="76"/>
      <c r="KOS59" s="76"/>
      <c r="KOT59" s="76"/>
      <c r="KOU59" s="76"/>
      <c r="KOV59" s="76"/>
      <c r="KOW59" s="76"/>
      <c r="KOX59" s="76"/>
      <c r="KOY59" s="76"/>
      <c r="KOZ59" s="76"/>
      <c r="KPA59" s="76"/>
      <c r="KPB59" s="76"/>
      <c r="KPC59" s="76"/>
      <c r="KPD59" s="76"/>
      <c r="KPE59" s="76"/>
      <c r="KPF59" s="76"/>
      <c r="KPG59" s="76"/>
      <c r="KPH59" s="76"/>
      <c r="KPI59" s="76"/>
      <c r="KPJ59" s="76"/>
      <c r="KPK59" s="76"/>
      <c r="KPL59" s="76"/>
      <c r="KPM59" s="76"/>
      <c r="KPN59" s="76"/>
      <c r="KPO59" s="76"/>
      <c r="KPP59" s="76"/>
      <c r="KPQ59" s="76"/>
      <c r="KPR59" s="76"/>
      <c r="KPS59" s="76"/>
      <c r="KPT59" s="76"/>
      <c r="KPU59" s="76"/>
      <c r="KPV59" s="76"/>
      <c r="KPW59" s="76"/>
      <c r="KPX59" s="76"/>
      <c r="KPY59" s="76"/>
      <c r="KPZ59" s="76"/>
      <c r="KQA59" s="76"/>
      <c r="KQB59" s="76"/>
      <c r="KQC59" s="76"/>
      <c r="KQD59" s="76"/>
      <c r="KQE59" s="76"/>
      <c r="KQF59" s="76"/>
      <c r="KQG59" s="76"/>
      <c r="KQH59" s="76"/>
      <c r="KQI59" s="76"/>
      <c r="KQJ59" s="76"/>
      <c r="KQK59" s="76"/>
      <c r="KQL59" s="76"/>
      <c r="KQM59" s="76"/>
      <c r="KQN59" s="76"/>
      <c r="KQO59" s="76"/>
      <c r="KQP59" s="76"/>
      <c r="KQQ59" s="76"/>
      <c r="KQR59" s="76"/>
      <c r="KQS59" s="76"/>
      <c r="KQT59" s="76"/>
      <c r="KQU59" s="76"/>
      <c r="KQV59" s="76"/>
      <c r="KQW59" s="76"/>
      <c r="KQX59" s="76"/>
      <c r="KQY59" s="76"/>
      <c r="KQZ59" s="76"/>
      <c r="KRA59" s="76"/>
      <c r="KRB59" s="76"/>
      <c r="KRC59" s="76"/>
      <c r="KRD59" s="76"/>
      <c r="KRE59" s="76"/>
      <c r="KRF59" s="76"/>
      <c r="KRG59" s="76"/>
      <c r="KRH59" s="76"/>
      <c r="KRI59" s="76"/>
      <c r="KRJ59" s="76"/>
      <c r="KRK59" s="76"/>
      <c r="KRL59" s="76"/>
      <c r="KRM59" s="76"/>
      <c r="KRN59" s="76"/>
      <c r="KRO59" s="76"/>
      <c r="KRP59" s="76"/>
      <c r="KRQ59" s="76"/>
      <c r="KRR59" s="76"/>
      <c r="KRS59" s="76"/>
      <c r="KRT59" s="76"/>
      <c r="KRU59" s="76"/>
      <c r="KRV59" s="76"/>
      <c r="KRW59" s="76"/>
      <c r="KRX59" s="76"/>
      <c r="KRY59" s="76"/>
      <c r="KRZ59" s="76"/>
      <c r="KSA59" s="76"/>
      <c r="KSB59" s="76"/>
      <c r="KSC59" s="76"/>
      <c r="KSD59" s="76"/>
      <c r="KSE59" s="76"/>
      <c r="KSF59" s="76"/>
      <c r="KSG59" s="76"/>
      <c r="KSH59" s="76"/>
      <c r="KSI59" s="76"/>
      <c r="KSJ59" s="76"/>
      <c r="KSK59" s="76"/>
      <c r="KSL59" s="76"/>
      <c r="KSM59" s="76"/>
      <c r="KSN59" s="76"/>
      <c r="KSO59" s="76"/>
      <c r="KSP59" s="76"/>
      <c r="KSQ59" s="76"/>
      <c r="KSR59" s="76"/>
      <c r="KSS59" s="76"/>
      <c r="KST59" s="76"/>
      <c r="KSU59" s="76"/>
      <c r="KSV59" s="76"/>
      <c r="KSW59" s="76"/>
      <c r="KSX59" s="76"/>
      <c r="KSY59" s="76"/>
      <c r="KSZ59" s="76"/>
      <c r="KTA59" s="76"/>
      <c r="KTB59" s="76"/>
      <c r="KTC59" s="76"/>
      <c r="KTD59" s="76"/>
      <c r="KTE59" s="76"/>
      <c r="KTF59" s="76"/>
      <c r="KTG59" s="76"/>
      <c r="KTH59" s="76"/>
      <c r="KTI59" s="76"/>
      <c r="KTJ59" s="76"/>
      <c r="KTK59" s="76"/>
      <c r="KTL59" s="76"/>
      <c r="KTM59" s="76"/>
      <c r="KTN59" s="76"/>
      <c r="KTO59" s="76"/>
      <c r="KTP59" s="76"/>
      <c r="KTQ59" s="76"/>
      <c r="KTR59" s="76"/>
      <c r="KTS59" s="76"/>
      <c r="KTT59" s="76"/>
      <c r="KTU59" s="76"/>
      <c r="KTV59" s="76"/>
      <c r="KTW59" s="76"/>
      <c r="KTX59" s="76"/>
      <c r="KTY59" s="76"/>
      <c r="KTZ59" s="76"/>
      <c r="KUA59" s="76"/>
      <c r="KUB59" s="76"/>
      <c r="KUC59" s="76"/>
      <c r="KUD59" s="76"/>
      <c r="KUE59" s="76"/>
      <c r="KUF59" s="76"/>
      <c r="KUG59" s="76"/>
      <c r="KUH59" s="76"/>
      <c r="KUI59" s="76"/>
      <c r="KUJ59" s="76"/>
      <c r="KUK59" s="76"/>
      <c r="KUL59" s="76"/>
      <c r="KUM59" s="76"/>
      <c r="KUN59" s="76"/>
      <c r="KUO59" s="76"/>
      <c r="KUP59" s="76"/>
      <c r="KUQ59" s="76"/>
      <c r="KUR59" s="76"/>
      <c r="KUS59" s="76"/>
      <c r="KUT59" s="76"/>
      <c r="KUU59" s="76"/>
      <c r="KUV59" s="76"/>
      <c r="KUW59" s="76"/>
      <c r="KUX59" s="76"/>
      <c r="KUY59" s="76"/>
      <c r="KUZ59" s="76"/>
      <c r="KVA59" s="76"/>
      <c r="KVB59" s="76"/>
      <c r="KVC59" s="76"/>
      <c r="KVD59" s="76"/>
      <c r="KVE59" s="76"/>
      <c r="KVF59" s="76"/>
      <c r="KVG59" s="76"/>
      <c r="KVH59" s="76"/>
      <c r="KVI59" s="76"/>
      <c r="KVJ59" s="76"/>
      <c r="KVK59" s="76"/>
      <c r="KVL59" s="76"/>
      <c r="KVM59" s="76"/>
      <c r="KVN59" s="76"/>
      <c r="KVO59" s="76"/>
      <c r="KVP59" s="76"/>
      <c r="KVQ59" s="76"/>
      <c r="KVR59" s="76"/>
      <c r="KVS59" s="76"/>
      <c r="KVT59" s="76"/>
      <c r="KVU59" s="76"/>
      <c r="KVV59" s="76"/>
      <c r="KVW59" s="76"/>
      <c r="KVX59" s="76"/>
      <c r="KVY59" s="76"/>
      <c r="KVZ59" s="76"/>
      <c r="KWA59" s="76"/>
      <c r="KWB59" s="76"/>
      <c r="KWC59" s="76"/>
      <c r="KWD59" s="76"/>
      <c r="KWE59" s="76"/>
      <c r="KWF59" s="76"/>
      <c r="KWG59" s="76"/>
      <c r="KWH59" s="76"/>
      <c r="KWI59" s="76"/>
      <c r="KWJ59" s="76"/>
      <c r="KWK59" s="76"/>
      <c r="KWL59" s="76"/>
      <c r="KWM59" s="76"/>
      <c r="KWN59" s="76"/>
      <c r="KWO59" s="76"/>
      <c r="KWP59" s="76"/>
      <c r="KWQ59" s="76"/>
      <c r="KWR59" s="76"/>
      <c r="KWS59" s="76"/>
      <c r="KWT59" s="76"/>
      <c r="KWU59" s="76"/>
      <c r="KWV59" s="76"/>
      <c r="KWW59" s="76"/>
      <c r="KWX59" s="76"/>
      <c r="KWY59" s="76"/>
      <c r="KWZ59" s="76"/>
      <c r="KXA59" s="76"/>
      <c r="KXB59" s="76"/>
      <c r="KXC59" s="76"/>
      <c r="KXD59" s="76"/>
      <c r="KXE59" s="76"/>
      <c r="KXF59" s="76"/>
      <c r="KXG59" s="76"/>
      <c r="KXH59" s="76"/>
      <c r="KXI59" s="76"/>
      <c r="KXJ59" s="76"/>
      <c r="KXK59" s="76"/>
      <c r="KXL59" s="76"/>
      <c r="KXM59" s="76"/>
      <c r="KXN59" s="76"/>
      <c r="KXO59" s="76"/>
      <c r="KXP59" s="76"/>
      <c r="KXQ59" s="76"/>
      <c r="KXR59" s="76"/>
      <c r="KXS59" s="76"/>
      <c r="KXT59" s="76"/>
      <c r="KXU59" s="76"/>
      <c r="KXV59" s="76"/>
      <c r="KXW59" s="76"/>
      <c r="KXX59" s="76"/>
      <c r="KXY59" s="76"/>
      <c r="KXZ59" s="76"/>
      <c r="KYA59" s="76"/>
      <c r="KYB59" s="76"/>
      <c r="KYC59" s="76"/>
      <c r="KYD59" s="76"/>
      <c r="KYE59" s="76"/>
      <c r="KYF59" s="76"/>
      <c r="KYG59" s="76"/>
      <c r="KYH59" s="76"/>
      <c r="KYI59" s="76"/>
      <c r="KYJ59" s="76"/>
      <c r="KYK59" s="76"/>
      <c r="KYL59" s="76"/>
      <c r="KYM59" s="76"/>
      <c r="KYN59" s="76"/>
      <c r="KYO59" s="76"/>
      <c r="KYP59" s="76"/>
      <c r="KYQ59" s="76"/>
      <c r="KYR59" s="76"/>
      <c r="KYS59" s="76"/>
      <c r="KYT59" s="76"/>
      <c r="KYU59" s="76"/>
      <c r="KYV59" s="76"/>
      <c r="KYW59" s="76"/>
      <c r="KYX59" s="76"/>
      <c r="KYY59" s="76"/>
      <c r="KYZ59" s="76"/>
      <c r="KZA59" s="76"/>
      <c r="KZB59" s="76"/>
      <c r="KZC59" s="76"/>
      <c r="KZD59" s="76"/>
      <c r="KZE59" s="76"/>
      <c r="KZF59" s="76"/>
      <c r="KZG59" s="76"/>
      <c r="KZH59" s="76"/>
      <c r="KZI59" s="76"/>
      <c r="KZJ59" s="76"/>
      <c r="KZK59" s="76"/>
      <c r="KZL59" s="76"/>
      <c r="KZM59" s="76"/>
      <c r="KZN59" s="76"/>
      <c r="KZO59" s="76"/>
      <c r="KZP59" s="76"/>
      <c r="KZQ59" s="76"/>
      <c r="KZR59" s="76"/>
      <c r="KZS59" s="76"/>
      <c r="KZT59" s="76"/>
      <c r="KZU59" s="76"/>
      <c r="KZV59" s="76"/>
      <c r="KZW59" s="76"/>
      <c r="KZX59" s="76"/>
      <c r="KZY59" s="76"/>
      <c r="KZZ59" s="76"/>
      <c r="LAA59" s="76"/>
      <c r="LAB59" s="76"/>
      <c r="LAC59" s="76"/>
      <c r="LAD59" s="76"/>
      <c r="LAE59" s="76"/>
      <c r="LAF59" s="76"/>
      <c r="LAG59" s="76"/>
      <c r="LAH59" s="76"/>
      <c r="LAI59" s="76"/>
      <c r="LAJ59" s="76"/>
      <c r="LAK59" s="76"/>
      <c r="LAL59" s="76"/>
      <c r="LAM59" s="76"/>
      <c r="LAN59" s="76"/>
      <c r="LAO59" s="76"/>
      <c r="LAP59" s="76"/>
      <c r="LAQ59" s="76"/>
      <c r="LAR59" s="76"/>
      <c r="LAS59" s="76"/>
      <c r="LAT59" s="76"/>
      <c r="LAU59" s="76"/>
      <c r="LAV59" s="76"/>
      <c r="LAW59" s="76"/>
      <c r="LAX59" s="76"/>
      <c r="LAY59" s="76"/>
      <c r="LAZ59" s="76"/>
      <c r="LBA59" s="76"/>
      <c r="LBB59" s="76"/>
      <c r="LBC59" s="76"/>
      <c r="LBD59" s="76"/>
      <c r="LBE59" s="76"/>
      <c r="LBF59" s="76"/>
      <c r="LBG59" s="76"/>
      <c r="LBH59" s="76"/>
      <c r="LBI59" s="76"/>
      <c r="LBJ59" s="76"/>
      <c r="LBK59" s="76"/>
      <c r="LBL59" s="76"/>
      <c r="LBM59" s="76"/>
      <c r="LBN59" s="76"/>
      <c r="LBO59" s="76"/>
      <c r="LBP59" s="76"/>
      <c r="LBQ59" s="76"/>
      <c r="LBR59" s="76"/>
      <c r="LBS59" s="76"/>
      <c r="LBT59" s="76"/>
      <c r="LBU59" s="76"/>
      <c r="LBV59" s="76"/>
      <c r="LBW59" s="76"/>
      <c r="LBX59" s="76"/>
      <c r="LBY59" s="76"/>
      <c r="LBZ59" s="76"/>
      <c r="LCA59" s="76"/>
      <c r="LCB59" s="76"/>
      <c r="LCC59" s="76"/>
      <c r="LCD59" s="76"/>
      <c r="LCE59" s="76"/>
      <c r="LCF59" s="76"/>
      <c r="LCG59" s="76"/>
      <c r="LCH59" s="76"/>
      <c r="LCI59" s="76"/>
      <c r="LCJ59" s="76"/>
      <c r="LCK59" s="76"/>
      <c r="LCL59" s="76"/>
      <c r="LCM59" s="76"/>
      <c r="LCN59" s="76"/>
      <c r="LCO59" s="76"/>
      <c r="LCP59" s="76"/>
      <c r="LCQ59" s="76"/>
      <c r="LCR59" s="76"/>
      <c r="LCS59" s="76"/>
      <c r="LCT59" s="76"/>
      <c r="LCU59" s="76"/>
      <c r="LCV59" s="76"/>
      <c r="LCW59" s="76"/>
      <c r="LCX59" s="76"/>
      <c r="LCY59" s="76"/>
      <c r="LCZ59" s="76"/>
      <c r="LDA59" s="76"/>
      <c r="LDB59" s="76"/>
      <c r="LDC59" s="76"/>
      <c r="LDD59" s="76"/>
      <c r="LDE59" s="76"/>
      <c r="LDF59" s="76"/>
      <c r="LDG59" s="76"/>
      <c r="LDH59" s="76"/>
      <c r="LDI59" s="76"/>
      <c r="LDJ59" s="76"/>
      <c r="LDK59" s="76"/>
      <c r="LDL59" s="76"/>
      <c r="LDM59" s="76"/>
      <c r="LDN59" s="76"/>
      <c r="LDO59" s="76"/>
      <c r="LDP59" s="76"/>
      <c r="LDQ59" s="76"/>
      <c r="LDR59" s="76"/>
      <c r="LDS59" s="76"/>
      <c r="LDT59" s="76"/>
      <c r="LDU59" s="76"/>
      <c r="LDV59" s="76"/>
      <c r="LDW59" s="76"/>
      <c r="LDX59" s="76"/>
      <c r="LDY59" s="76"/>
      <c r="LDZ59" s="76"/>
      <c r="LEA59" s="76"/>
      <c r="LEB59" s="76"/>
      <c r="LEC59" s="76"/>
      <c r="LED59" s="76"/>
      <c r="LEE59" s="76"/>
      <c r="LEF59" s="76"/>
      <c r="LEG59" s="76"/>
      <c r="LEH59" s="76"/>
      <c r="LEI59" s="76"/>
      <c r="LEJ59" s="76"/>
      <c r="LEK59" s="76"/>
      <c r="LEL59" s="76"/>
      <c r="LEM59" s="76"/>
      <c r="LEN59" s="76"/>
      <c r="LEO59" s="76"/>
      <c r="LEP59" s="76"/>
      <c r="LEQ59" s="76"/>
      <c r="LER59" s="76"/>
      <c r="LES59" s="76"/>
      <c r="LET59" s="76"/>
      <c r="LEU59" s="76"/>
      <c r="LEV59" s="76"/>
      <c r="LEW59" s="76"/>
      <c r="LEX59" s="76"/>
      <c r="LEY59" s="76"/>
      <c r="LEZ59" s="76"/>
      <c r="LFA59" s="76"/>
      <c r="LFB59" s="76"/>
      <c r="LFC59" s="76"/>
      <c r="LFD59" s="76"/>
      <c r="LFE59" s="76"/>
      <c r="LFF59" s="76"/>
      <c r="LFG59" s="76"/>
      <c r="LFH59" s="76"/>
      <c r="LFI59" s="76"/>
      <c r="LFJ59" s="76"/>
      <c r="LFK59" s="76"/>
      <c r="LFL59" s="76"/>
      <c r="LFM59" s="76"/>
      <c r="LFN59" s="76"/>
      <c r="LFO59" s="76"/>
      <c r="LFP59" s="76"/>
      <c r="LFQ59" s="76"/>
      <c r="LFR59" s="76"/>
      <c r="LFS59" s="76"/>
      <c r="LFT59" s="76"/>
      <c r="LFU59" s="76"/>
      <c r="LFV59" s="76"/>
      <c r="LFW59" s="76"/>
      <c r="LFX59" s="76"/>
      <c r="LFY59" s="76"/>
      <c r="LFZ59" s="76"/>
      <c r="LGA59" s="76"/>
      <c r="LGB59" s="76"/>
      <c r="LGC59" s="76"/>
      <c r="LGD59" s="76"/>
      <c r="LGE59" s="76"/>
      <c r="LGF59" s="76"/>
      <c r="LGG59" s="76"/>
      <c r="LGH59" s="76"/>
      <c r="LGI59" s="76"/>
      <c r="LGJ59" s="76"/>
      <c r="LGK59" s="76"/>
      <c r="LGL59" s="76"/>
      <c r="LGM59" s="76"/>
      <c r="LGN59" s="76"/>
      <c r="LGO59" s="76"/>
      <c r="LGP59" s="76"/>
      <c r="LGQ59" s="76"/>
      <c r="LGR59" s="76"/>
      <c r="LGS59" s="76"/>
      <c r="LGT59" s="76"/>
      <c r="LGU59" s="76"/>
      <c r="LGV59" s="76"/>
      <c r="LGW59" s="76"/>
      <c r="LGX59" s="76"/>
      <c r="LGY59" s="76"/>
      <c r="LGZ59" s="76"/>
      <c r="LHA59" s="76"/>
      <c r="LHB59" s="76"/>
      <c r="LHC59" s="76"/>
      <c r="LHD59" s="76"/>
      <c r="LHE59" s="76"/>
      <c r="LHF59" s="76"/>
      <c r="LHG59" s="76"/>
      <c r="LHH59" s="76"/>
      <c r="LHI59" s="76"/>
      <c r="LHJ59" s="76"/>
      <c r="LHK59" s="76"/>
      <c r="LHL59" s="76"/>
      <c r="LHM59" s="76"/>
      <c r="LHN59" s="76"/>
      <c r="LHO59" s="76"/>
      <c r="LHP59" s="76"/>
      <c r="LHQ59" s="76"/>
      <c r="LHR59" s="76"/>
      <c r="LHS59" s="76"/>
      <c r="LHT59" s="76"/>
      <c r="LHU59" s="76"/>
      <c r="LHV59" s="76"/>
      <c r="LHW59" s="76"/>
      <c r="LHX59" s="76"/>
      <c r="LHY59" s="76"/>
      <c r="LHZ59" s="76"/>
      <c r="LIA59" s="76"/>
      <c r="LIB59" s="76"/>
      <c r="LIC59" s="76"/>
      <c r="LID59" s="76"/>
      <c r="LIE59" s="76"/>
      <c r="LIF59" s="76"/>
      <c r="LIG59" s="76"/>
      <c r="LIH59" s="76"/>
      <c r="LII59" s="76"/>
      <c r="LIJ59" s="76"/>
      <c r="LIK59" s="76"/>
      <c r="LIL59" s="76"/>
      <c r="LIM59" s="76"/>
      <c r="LIN59" s="76"/>
      <c r="LIO59" s="76"/>
      <c r="LIP59" s="76"/>
      <c r="LIQ59" s="76"/>
      <c r="LIR59" s="76"/>
      <c r="LIS59" s="76"/>
      <c r="LIT59" s="76"/>
      <c r="LIU59" s="76"/>
      <c r="LIV59" s="76"/>
      <c r="LIW59" s="76"/>
      <c r="LIX59" s="76"/>
      <c r="LIY59" s="76"/>
      <c r="LIZ59" s="76"/>
      <c r="LJA59" s="76"/>
      <c r="LJB59" s="76"/>
      <c r="LJC59" s="76"/>
      <c r="LJD59" s="76"/>
      <c r="LJE59" s="76"/>
      <c r="LJF59" s="76"/>
      <c r="LJG59" s="76"/>
      <c r="LJH59" s="76"/>
      <c r="LJI59" s="76"/>
      <c r="LJJ59" s="76"/>
      <c r="LJK59" s="76"/>
      <c r="LJL59" s="76"/>
      <c r="LJM59" s="76"/>
      <c r="LJN59" s="76"/>
      <c r="LJO59" s="76"/>
      <c r="LJP59" s="76"/>
      <c r="LJQ59" s="76"/>
      <c r="LJR59" s="76"/>
      <c r="LJS59" s="76"/>
      <c r="LJT59" s="76"/>
      <c r="LJU59" s="76"/>
      <c r="LJV59" s="76"/>
      <c r="LJW59" s="76"/>
      <c r="LJX59" s="76"/>
      <c r="LJY59" s="76"/>
      <c r="LJZ59" s="76"/>
      <c r="LKA59" s="76"/>
      <c r="LKB59" s="76"/>
      <c r="LKC59" s="76"/>
      <c r="LKD59" s="76"/>
      <c r="LKE59" s="76"/>
      <c r="LKF59" s="76"/>
      <c r="LKG59" s="76"/>
      <c r="LKH59" s="76"/>
      <c r="LKI59" s="76"/>
      <c r="LKJ59" s="76"/>
      <c r="LKK59" s="76"/>
      <c r="LKL59" s="76"/>
      <c r="LKM59" s="76"/>
      <c r="LKN59" s="76"/>
      <c r="LKO59" s="76"/>
      <c r="LKP59" s="76"/>
      <c r="LKQ59" s="76"/>
      <c r="LKR59" s="76"/>
      <c r="LKS59" s="76"/>
      <c r="LKT59" s="76"/>
      <c r="LKU59" s="76"/>
      <c r="LKV59" s="76"/>
      <c r="LKW59" s="76"/>
      <c r="LKX59" s="76"/>
      <c r="LKY59" s="76"/>
      <c r="LKZ59" s="76"/>
      <c r="LLA59" s="76"/>
      <c r="LLB59" s="76"/>
      <c r="LLC59" s="76"/>
      <c r="LLD59" s="76"/>
      <c r="LLE59" s="76"/>
      <c r="LLF59" s="76"/>
      <c r="LLG59" s="76"/>
      <c r="LLH59" s="76"/>
      <c r="LLI59" s="76"/>
      <c r="LLJ59" s="76"/>
      <c r="LLK59" s="76"/>
      <c r="LLL59" s="76"/>
      <c r="LLM59" s="76"/>
      <c r="LLN59" s="76"/>
      <c r="LLO59" s="76"/>
      <c r="LLP59" s="76"/>
      <c r="LLQ59" s="76"/>
      <c r="LLR59" s="76"/>
      <c r="LLS59" s="76"/>
      <c r="LLT59" s="76"/>
      <c r="LLU59" s="76"/>
      <c r="LLV59" s="76"/>
      <c r="LLW59" s="76"/>
      <c r="LLX59" s="76"/>
      <c r="LLY59" s="76"/>
      <c r="LLZ59" s="76"/>
      <c r="LMA59" s="76"/>
      <c r="LMB59" s="76"/>
      <c r="LMC59" s="76"/>
      <c r="LMD59" s="76"/>
      <c r="LME59" s="76"/>
      <c r="LMF59" s="76"/>
      <c r="LMG59" s="76"/>
      <c r="LMH59" s="76"/>
      <c r="LMI59" s="76"/>
      <c r="LMJ59" s="76"/>
      <c r="LMK59" s="76"/>
      <c r="LML59" s="76"/>
      <c r="LMM59" s="76"/>
      <c r="LMN59" s="76"/>
      <c r="LMO59" s="76"/>
      <c r="LMP59" s="76"/>
      <c r="LMQ59" s="76"/>
      <c r="LMR59" s="76"/>
      <c r="LMS59" s="76"/>
      <c r="LMT59" s="76"/>
      <c r="LMU59" s="76"/>
      <c r="LMV59" s="76"/>
      <c r="LMW59" s="76"/>
      <c r="LMX59" s="76"/>
      <c r="LMY59" s="76"/>
      <c r="LMZ59" s="76"/>
      <c r="LNA59" s="76"/>
      <c r="LNB59" s="76"/>
      <c r="LNC59" s="76"/>
      <c r="LND59" s="76"/>
      <c r="LNE59" s="76"/>
      <c r="LNF59" s="76"/>
      <c r="LNG59" s="76"/>
      <c r="LNH59" s="76"/>
      <c r="LNI59" s="76"/>
      <c r="LNJ59" s="76"/>
      <c r="LNK59" s="76"/>
      <c r="LNL59" s="76"/>
      <c r="LNM59" s="76"/>
      <c r="LNN59" s="76"/>
      <c r="LNO59" s="76"/>
      <c r="LNP59" s="76"/>
      <c r="LNQ59" s="76"/>
      <c r="LNR59" s="76"/>
      <c r="LNS59" s="76"/>
      <c r="LNT59" s="76"/>
      <c r="LNU59" s="76"/>
      <c r="LNV59" s="76"/>
      <c r="LNW59" s="76"/>
      <c r="LNX59" s="76"/>
      <c r="LNY59" s="76"/>
      <c r="LNZ59" s="76"/>
      <c r="LOA59" s="76"/>
      <c r="LOB59" s="76"/>
      <c r="LOC59" s="76"/>
      <c r="LOD59" s="76"/>
      <c r="LOE59" s="76"/>
      <c r="LOF59" s="76"/>
      <c r="LOG59" s="76"/>
      <c r="LOH59" s="76"/>
      <c r="LOI59" s="76"/>
      <c r="LOJ59" s="76"/>
      <c r="LOK59" s="76"/>
      <c r="LOL59" s="76"/>
      <c r="LOM59" s="76"/>
      <c r="LON59" s="76"/>
      <c r="LOO59" s="76"/>
      <c r="LOP59" s="76"/>
      <c r="LOQ59" s="76"/>
      <c r="LOR59" s="76"/>
      <c r="LOS59" s="76"/>
      <c r="LOT59" s="76"/>
      <c r="LOU59" s="76"/>
      <c r="LOV59" s="76"/>
      <c r="LOW59" s="76"/>
      <c r="LOX59" s="76"/>
      <c r="LOY59" s="76"/>
      <c r="LOZ59" s="76"/>
      <c r="LPA59" s="76"/>
      <c r="LPB59" s="76"/>
      <c r="LPC59" s="76"/>
      <c r="LPD59" s="76"/>
      <c r="LPE59" s="76"/>
      <c r="LPF59" s="76"/>
      <c r="LPG59" s="76"/>
      <c r="LPH59" s="76"/>
      <c r="LPI59" s="76"/>
      <c r="LPJ59" s="76"/>
      <c r="LPK59" s="76"/>
      <c r="LPL59" s="76"/>
      <c r="LPM59" s="76"/>
      <c r="LPN59" s="76"/>
      <c r="LPO59" s="76"/>
      <c r="LPP59" s="76"/>
      <c r="LPQ59" s="76"/>
      <c r="LPR59" s="76"/>
      <c r="LPS59" s="76"/>
      <c r="LPT59" s="76"/>
      <c r="LPU59" s="76"/>
      <c r="LPV59" s="76"/>
      <c r="LPW59" s="76"/>
      <c r="LPX59" s="76"/>
      <c r="LPY59" s="76"/>
      <c r="LPZ59" s="76"/>
      <c r="LQA59" s="76"/>
      <c r="LQB59" s="76"/>
      <c r="LQC59" s="76"/>
      <c r="LQD59" s="76"/>
      <c r="LQE59" s="76"/>
      <c r="LQF59" s="76"/>
      <c r="LQG59" s="76"/>
      <c r="LQH59" s="76"/>
      <c r="LQI59" s="76"/>
      <c r="LQJ59" s="76"/>
      <c r="LQK59" s="76"/>
      <c r="LQL59" s="76"/>
      <c r="LQM59" s="76"/>
      <c r="LQN59" s="76"/>
      <c r="LQO59" s="76"/>
      <c r="LQP59" s="76"/>
      <c r="LQQ59" s="76"/>
      <c r="LQR59" s="76"/>
      <c r="LQS59" s="76"/>
      <c r="LQT59" s="76"/>
      <c r="LQU59" s="76"/>
      <c r="LQV59" s="76"/>
      <c r="LQW59" s="76"/>
      <c r="LQX59" s="76"/>
      <c r="LQY59" s="76"/>
      <c r="LQZ59" s="76"/>
      <c r="LRA59" s="76"/>
      <c r="LRB59" s="76"/>
      <c r="LRC59" s="76"/>
      <c r="LRD59" s="76"/>
      <c r="LRE59" s="76"/>
      <c r="LRF59" s="76"/>
      <c r="LRG59" s="76"/>
      <c r="LRH59" s="76"/>
      <c r="LRI59" s="76"/>
      <c r="LRJ59" s="76"/>
      <c r="LRK59" s="76"/>
      <c r="LRL59" s="76"/>
      <c r="LRM59" s="76"/>
      <c r="LRN59" s="76"/>
      <c r="LRO59" s="76"/>
      <c r="LRP59" s="76"/>
      <c r="LRQ59" s="76"/>
      <c r="LRR59" s="76"/>
      <c r="LRS59" s="76"/>
      <c r="LRT59" s="76"/>
      <c r="LRU59" s="76"/>
      <c r="LRV59" s="76"/>
      <c r="LRW59" s="76"/>
      <c r="LRX59" s="76"/>
      <c r="LRY59" s="76"/>
      <c r="LRZ59" s="76"/>
      <c r="LSA59" s="76"/>
      <c r="LSB59" s="76"/>
      <c r="LSC59" s="76"/>
      <c r="LSD59" s="76"/>
      <c r="LSE59" s="76"/>
      <c r="LSF59" s="76"/>
      <c r="LSG59" s="76"/>
      <c r="LSH59" s="76"/>
      <c r="LSI59" s="76"/>
      <c r="LSJ59" s="76"/>
      <c r="LSK59" s="76"/>
      <c r="LSL59" s="76"/>
      <c r="LSM59" s="76"/>
      <c r="LSN59" s="76"/>
      <c r="LSO59" s="76"/>
      <c r="LSP59" s="76"/>
      <c r="LSQ59" s="76"/>
      <c r="LSR59" s="76"/>
      <c r="LSS59" s="76"/>
      <c r="LST59" s="76"/>
      <c r="LSU59" s="76"/>
      <c r="LSV59" s="76"/>
      <c r="LSW59" s="76"/>
      <c r="LSX59" s="76"/>
      <c r="LSY59" s="76"/>
      <c r="LSZ59" s="76"/>
      <c r="LTA59" s="76"/>
      <c r="LTB59" s="76"/>
      <c r="LTC59" s="76"/>
      <c r="LTD59" s="76"/>
      <c r="LTE59" s="76"/>
      <c r="LTF59" s="76"/>
      <c r="LTG59" s="76"/>
      <c r="LTH59" s="76"/>
      <c r="LTI59" s="76"/>
      <c r="LTJ59" s="76"/>
      <c r="LTK59" s="76"/>
      <c r="LTL59" s="76"/>
      <c r="LTM59" s="76"/>
      <c r="LTN59" s="76"/>
      <c r="LTO59" s="76"/>
      <c r="LTP59" s="76"/>
      <c r="LTQ59" s="76"/>
      <c r="LTR59" s="76"/>
      <c r="LTS59" s="76"/>
      <c r="LTT59" s="76"/>
      <c r="LTU59" s="76"/>
      <c r="LTV59" s="76"/>
      <c r="LTW59" s="76"/>
      <c r="LTX59" s="76"/>
      <c r="LTY59" s="76"/>
      <c r="LTZ59" s="76"/>
      <c r="LUA59" s="76"/>
      <c r="LUB59" s="76"/>
      <c r="LUC59" s="76"/>
      <c r="LUD59" s="76"/>
      <c r="LUE59" s="76"/>
      <c r="LUF59" s="76"/>
      <c r="LUG59" s="76"/>
      <c r="LUH59" s="76"/>
      <c r="LUI59" s="76"/>
      <c r="LUJ59" s="76"/>
      <c r="LUK59" s="76"/>
      <c r="LUL59" s="76"/>
      <c r="LUM59" s="76"/>
      <c r="LUN59" s="76"/>
      <c r="LUO59" s="76"/>
      <c r="LUP59" s="76"/>
      <c r="LUQ59" s="76"/>
      <c r="LUR59" s="76"/>
      <c r="LUS59" s="76"/>
      <c r="LUT59" s="76"/>
      <c r="LUU59" s="76"/>
      <c r="LUV59" s="76"/>
      <c r="LUW59" s="76"/>
      <c r="LUX59" s="76"/>
      <c r="LUY59" s="76"/>
      <c r="LUZ59" s="76"/>
      <c r="LVA59" s="76"/>
      <c r="LVB59" s="76"/>
      <c r="LVC59" s="76"/>
      <c r="LVD59" s="76"/>
      <c r="LVE59" s="76"/>
      <c r="LVF59" s="76"/>
      <c r="LVG59" s="76"/>
      <c r="LVH59" s="76"/>
      <c r="LVI59" s="76"/>
      <c r="LVJ59" s="76"/>
      <c r="LVK59" s="76"/>
      <c r="LVL59" s="76"/>
      <c r="LVM59" s="76"/>
      <c r="LVN59" s="76"/>
      <c r="LVO59" s="76"/>
      <c r="LVP59" s="76"/>
      <c r="LVQ59" s="76"/>
      <c r="LVR59" s="76"/>
      <c r="LVS59" s="76"/>
      <c r="LVT59" s="76"/>
      <c r="LVU59" s="76"/>
      <c r="LVV59" s="76"/>
      <c r="LVW59" s="76"/>
      <c r="LVX59" s="76"/>
      <c r="LVY59" s="76"/>
      <c r="LVZ59" s="76"/>
      <c r="LWA59" s="76"/>
      <c r="LWB59" s="76"/>
      <c r="LWC59" s="76"/>
      <c r="LWD59" s="76"/>
      <c r="LWE59" s="76"/>
      <c r="LWF59" s="76"/>
      <c r="LWG59" s="76"/>
      <c r="LWH59" s="76"/>
      <c r="LWI59" s="76"/>
      <c r="LWJ59" s="76"/>
      <c r="LWK59" s="76"/>
      <c r="LWL59" s="76"/>
      <c r="LWM59" s="76"/>
      <c r="LWN59" s="76"/>
      <c r="LWO59" s="76"/>
      <c r="LWP59" s="76"/>
      <c r="LWQ59" s="76"/>
      <c r="LWR59" s="76"/>
      <c r="LWS59" s="76"/>
      <c r="LWT59" s="76"/>
      <c r="LWU59" s="76"/>
      <c r="LWV59" s="76"/>
      <c r="LWW59" s="76"/>
      <c r="LWX59" s="76"/>
      <c r="LWY59" s="76"/>
      <c r="LWZ59" s="76"/>
      <c r="LXA59" s="76"/>
      <c r="LXB59" s="76"/>
      <c r="LXC59" s="76"/>
      <c r="LXD59" s="76"/>
      <c r="LXE59" s="76"/>
      <c r="LXF59" s="76"/>
      <c r="LXG59" s="76"/>
      <c r="LXH59" s="76"/>
      <c r="LXI59" s="76"/>
      <c r="LXJ59" s="76"/>
      <c r="LXK59" s="76"/>
      <c r="LXL59" s="76"/>
      <c r="LXM59" s="76"/>
      <c r="LXN59" s="76"/>
      <c r="LXO59" s="76"/>
      <c r="LXP59" s="76"/>
      <c r="LXQ59" s="76"/>
      <c r="LXR59" s="76"/>
      <c r="LXS59" s="76"/>
      <c r="LXT59" s="76"/>
      <c r="LXU59" s="76"/>
      <c r="LXV59" s="76"/>
      <c r="LXW59" s="76"/>
      <c r="LXX59" s="76"/>
      <c r="LXY59" s="76"/>
      <c r="LXZ59" s="76"/>
      <c r="LYA59" s="76"/>
      <c r="LYB59" s="76"/>
      <c r="LYC59" s="76"/>
      <c r="LYD59" s="76"/>
      <c r="LYE59" s="76"/>
      <c r="LYF59" s="76"/>
      <c r="LYG59" s="76"/>
      <c r="LYH59" s="76"/>
      <c r="LYI59" s="76"/>
      <c r="LYJ59" s="76"/>
      <c r="LYK59" s="76"/>
      <c r="LYL59" s="76"/>
      <c r="LYM59" s="76"/>
      <c r="LYN59" s="76"/>
      <c r="LYO59" s="76"/>
      <c r="LYP59" s="76"/>
      <c r="LYQ59" s="76"/>
      <c r="LYR59" s="76"/>
      <c r="LYS59" s="76"/>
      <c r="LYT59" s="76"/>
      <c r="LYU59" s="76"/>
      <c r="LYV59" s="76"/>
      <c r="LYW59" s="76"/>
      <c r="LYX59" s="76"/>
      <c r="LYY59" s="76"/>
      <c r="LYZ59" s="76"/>
      <c r="LZA59" s="76"/>
      <c r="LZB59" s="76"/>
      <c r="LZC59" s="76"/>
      <c r="LZD59" s="76"/>
      <c r="LZE59" s="76"/>
      <c r="LZF59" s="76"/>
      <c r="LZG59" s="76"/>
      <c r="LZH59" s="76"/>
      <c r="LZI59" s="76"/>
      <c r="LZJ59" s="76"/>
      <c r="LZK59" s="76"/>
      <c r="LZL59" s="76"/>
      <c r="LZM59" s="76"/>
      <c r="LZN59" s="76"/>
      <c r="LZO59" s="76"/>
      <c r="LZP59" s="76"/>
      <c r="LZQ59" s="76"/>
      <c r="LZR59" s="76"/>
      <c r="LZS59" s="76"/>
      <c r="LZT59" s="76"/>
      <c r="LZU59" s="76"/>
      <c r="LZV59" s="76"/>
      <c r="LZW59" s="76"/>
      <c r="LZX59" s="76"/>
      <c r="LZY59" s="76"/>
      <c r="LZZ59" s="76"/>
      <c r="MAA59" s="76"/>
      <c r="MAB59" s="76"/>
      <c r="MAC59" s="76"/>
      <c r="MAD59" s="76"/>
      <c r="MAE59" s="76"/>
      <c r="MAF59" s="76"/>
      <c r="MAG59" s="76"/>
      <c r="MAH59" s="76"/>
      <c r="MAI59" s="76"/>
      <c r="MAJ59" s="76"/>
      <c r="MAK59" s="76"/>
      <c r="MAL59" s="76"/>
      <c r="MAM59" s="76"/>
      <c r="MAN59" s="76"/>
      <c r="MAO59" s="76"/>
      <c r="MAP59" s="76"/>
      <c r="MAQ59" s="76"/>
      <c r="MAR59" s="76"/>
      <c r="MAS59" s="76"/>
      <c r="MAT59" s="76"/>
      <c r="MAU59" s="76"/>
      <c r="MAV59" s="76"/>
      <c r="MAW59" s="76"/>
      <c r="MAX59" s="76"/>
      <c r="MAY59" s="76"/>
      <c r="MAZ59" s="76"/>
      <c r="MBA59" s="76"/>
      <c r="MBB59" s="76"/>
      <c r="MBC59" s="76"/>
      <c r="MBD59" s="76"/>
      <c r="MBE59" s="76"/>
      <c r="MBF59" s="76"/>
      <c r="MBG59" s="76"/>
      <c r="MBH59" s="76"/>
      <c r="MBI59" s="76"/>
      <c r="MBJ59" s="76"/>
      <c r="MBK59" s="76"/>
      <c r="MBL59" s="76"/>
      <c r="MBM59" s="76"/>
      <c r="MBN59" s="76"/>
      <c r="MBO59" s="76"/>
      <c r="MBP59" s="76"/>
      <c r="MBQ59" s="76"/>
      <c r="MBR59" s="76"/>
      <c r="MBS59" s="76"/>
      <c r="MBT59" s="76"/>
      <c r="MBU59" s="76"/>
      <c r="MBV59" s="76"/>
      <c r="MBW59" s="76"/>
      <c r="MBX59" s="76"/>
      <c r="MBY59" s="76"/>
      <c r="MBZ59" s="76"/>
      <c r="MCA59" s="76"/>
      <c r="MCB59" s="76"/>
      <c r="MCC59" s="76"/>
      <c r="MCD59" s="76"/>
      <c r="MCE59" s="76"/>
      <c r="MCF59" s="76"/>
      <c r="MCG59" s="76"/>
      <c r="MCH59" s="76"/>
      <c r="MCI59" s="76"/>
      <c r="MCJ59" s="76"/>
      <c r="MCK59" s="76"/>
      <c r="MCL59" s="76"/>
      <c r="MCM59" s="76"/>
      <c r="MCN59" s="76"/>
      <c r="MCO59" s="76"/>
      <c r="MCP59" s="76"/>
      <c r="MCQ59" s="76"/>
      <c r="MCR59" s="76"/>
      <c r="MCS59" s="76"/>
      <c r="MCT59" s="76"/>
      <c r="MCU59" s="76"/>
      <c r="MCV59" s="76"/>
      <c r="MCW59" s="76"/>
      <c r="MCX59" s="76"/>
      <c r="MCY59" s="76"/>
      <c r="MCZ59" s="76"/>
      <c r="MDA59" s="76"/>
      <c r="MDB59" s="76"/>
      <c r="MDC59" s="76"/>
      <c r="MDD59" s="76"/>
      <c r="MDE59" s="76"/>
      <c r="MDF59" s="76"/>
      <c r="MDG59" s="76"/>
      <c r="MDH59" s="76"/>
      <c r="MDI59" s="76"/>
      <c r="MDJ59" s="76"/>
      <c r="MDK59" s="76"/>
      <c r="MDL59" s="76"/>
      <c r="MDM59" s="76"/>
      <c r="MDN59" s="76"/>
      <c r="MDO59" s="76"/>
      <c r="MDP59" s="76"/>
      <c r="MDQ59" s="76"/>
      <c r="MDR59" s="76"/>
      <c r="MDS59" s="76"/>
      <c r="MDT59" s="76"/>
      <c r="MDU59" s="76"/>
      <c r="MDV59" s="76"/>
      <c r="MDW59" s="76"/>
      <c r="MDX59" s="76"/>
      <c r="MDY59" s="76"/>
      <c r="MDZ59" s="76"/>
      <c r="MEA59" s="76"/>
      <c r="MEB59" s="76"/>
      <c r="MEC59" s="76"/>
      <c r="MED59" s="76"/>
      <c r="MEE59" s="76"/>
      <c r="MEF59" s="76"/>
      <c r="MEG59" s="76"/>
      <c r="MEH59" s="76"/>
      <c r="MEI59" s="76"/>
      <c r="MEJ59" s="76"/>
      <c r="MEK59" s="76"/>
      <c r="MEL59" s="76"/>
      <c r="MEM59" s="76"/>
      <c r="MEN59" s="76"/>
      <c r="MEO59" s="76"/>
      <c r="MEP59" s="76"/>
      <c r="MEQ59" s="76"/>
      <c r="MER59" s="76"/>
      <c r="MES59" s="76"/>
      <c r="MET59" s="76"/>
      <c r="MEU59" s="76"/>
      <c r="MEV59" s="76"/>
      <c r="MEW59" s="76"/>
      <c r="MEX59" s="76"/>
      <c r="MEY59" s="76"/>
      <c r="MEZ59" s="76"/>
      <c r="MFA59" s="76"/>
      <c r="MFB59" s="76"/>
      <c r="MFC59" s="76"/>
      <c r="MFD59" s="76"/>
      <c r="MFE59" s="76"/>
      <c r="MFF59" s="76"/>
      <c r="MFG59" s="76"/>
      <c r="MFH59" s="76"/>
      <c r="MFI59" s="76"/>
      <c r="MFJ59" s="76"/>
      <c r="MFK59" s="76"/>
      <c r="MFL59" s="76"/>
      <c r="MFM59" s="76"/>
      <c r="MFN59" s="76"/>
      <c r="MFO59" s="76"/>
      <c r="MFP59" s="76"/>
      <c r="MFQ59" s="76"/>
      <c r="MFR59" s="76"/>
      <c r="MFS59" s="76"/>
      <c r="MFT59" s="76"/>
      <c r="MFU59" s="76"/>
      <c r="MFV59" s="76"/>
      <c r="MFW59" s="76"/>
      <c r="MFX59" s="76"/>
      <c r="MFY59" s="76"/>
      <c r="MFZ59" s="76"/>
      <c r="MGA59" s="76"/>
      <c r="MGB59" s="76"/>
      <c r="MGC59" s="76"/>
      <c r="MGD59" s="76"/>
      <c r="MGE59" s="76"/>
      <c r="MGF59" s="76"/>
      <c r="MGG59" s="76"/>
      <c r="MGH59" s="76"/>
      <c r="MGI59" s="76"/>
      <c r="MGJ59" s="76"/>
      <c r="MGK59" s="76"/>
      <c r="MGL59" s="76"/>
      <c r="MGM59" s="76"/>
      <c r="MGN59" s="76"/>
      <c r="MGO59" s="76"/>
      <c r="MGP59" s="76"/>
      <c r="MGQ59" s="76"/>
      <c r="MGR59" s="76"/>
      <c r="MGS59" s="76"/>
      <c r="MGT59" s="76"/>
      <c r="MGU59" s="76"/>
      <c r="MGV59" s="76"/>
      <c r="MGW59" s="76"/>
      <c r="MGX59" s="76"/>
      <c r="MGY59" s="76"/>
      <c r="MGZ59" s="76"/>
      <c r="MHA59" s="76"/>
      <c r="MHB59" s="76"/>
      <c r="MHC59" s="76"/>
      <c r="MHD59" s="76"/>
      <c r="MHE59" s="76"/>
      <c r="MHF59" s="76"/>
      <c r="MHG59" s="76"/>
      <c r="MHH59" s="76"/>
      <c r="MHI59" s="76"/>
      <c r="MHJ59" s="76"/>
      <c r="MHK59" s="76"/>
      <c r="MHL59" s="76"/>
      <c r="MHM59" s="76"/>
      <c r="MHN59" s="76"/>
      <c r="MHO59" s="76"/>
      <c r="MHP59" s="76"/>
      <c r="MHQ59" s="76"/>
      <c r="MHR59" s="76"/>
      <c r="MHS59" s="76"/>
      <c r="MHT59" s="76"/>
      <c r="MHU59" s="76"/>
      <c r="MHV59" s="76"/>
      <c r="MHW59" s="76"/>
      <c r="MHX59" s="76"/>
      <c r="MHY59" s="76"/>
      <c r="MHZ59" s="76"/>
      <c r="MIA59" s="76"/>
      <c r="MIB59" s="76"/>
      <c r="MIC59" s="76"/>
      <c r="MID59" s="76"/>
      <c r="MIE59" s="76"/>
      <c r="MIF59" s="76"/>
      <c r="MIG59" s="76"/>
      <c r="MIH59" s="76"/>
      <c r="MII59" s="76"/>
      <c r="MIJ59" s="76"/>
      <c r="MIK59" s="76"/>
      <c r="MIL59" s="76"/>
      <c r="MIM59" s="76"/>
      <c r="MIN59" s="76"/>
      <c r="MIO59" s="76"/>
      <c r="MIP59" s="76"/>
      <c r="MIQ59" s="76"/>
      <c r="MIR59" s="76"/>
      <c r="MIS59" s="76"/>
      <c r="MIT59" s="76"/>
      <c r="MIU59" s="76"/>
      <c r="MIV59" s="76"/>
      <c r="MIW59" s="76"/>
      <c r="MIX59" s="76"/>
      <c r="MIY59" s="76"/>
      <c r="MIZ59" s="76"/>
      <c r="MJA59" s="76"/>
      <c r="MJB59" s="76"/>
      <c r="MJC59" s="76"/>
      <c r="MJD59" s="76"/>
      <c r="MJE59" s="76"/>
      <c r="MJF59" s="76"/>
      <c r="MJG59" s="76"/>
      <c r="MJH59" s="76"/>
      <c r="MJI59" s="76"/>
      <c r="MJJ59" s="76"/>
      <c r="MJK59" s="76"/>
      <c r="MJL59" s="76"/>
      <c r="MJM59" s="76"/>
      <c r="MJN59" s="76"/>
      <c r="MJO59" s="76"/>
      <c r="MJP59" s="76"/>
      <c r="MJQ59" s="76"/>
      <c r="MJR59" s="76"/>
      <c r="MJS59" s="76"/>
      <c r="MJT59" s="76"/>
      <c r="MJU59" s="76"/>
      <c r="MJV59" s="76"/>
      <c r="MJW59" s="76"/>
      <c r="MJX59" s="76"/>
      <c r="MJY59" s="76"/>
      <c r="MJZ59" s="76"/>
      <c r="MKA59" s="76"/>
      <c r="MKB59" s="76"/>
      <c r="MKC59" s="76"/>
      <c r="MKD59" s="76"/>
      <c r="MKE59" s="76"/>
      <c r="MKF59" s="76"/>
      <c r="MKG59" s="76"/>
      <c r="MKH59" s="76"/>
      <c r="MKI59" s="76"/>
      <c r="MKJ59" s="76"/>
      <c r="MKK59" s="76"/>
      <c r="MKL59" s="76"/>
      <c r="MKM59" s="76"/>
      <c r="MKN59" s="76"/>
      <c r="MKO59" s="76"/>
      <c r="MKP59" s="76"/>
      <c r="MKQ59" s="76"/>
      <c r="MKR59" s="76"/>
      <c r="MKS59" s="76"/>
      <c r="MKT59" s="76"/>
      <c r="MKU59" s="76"/>
      <c r="MKV59" s="76"/>
      <c r="MKW59" s="76"/>
      <c r="MKX59" s="76"/>
      <c r="MKY59" s="76"/>
      <c r="MKZ59" s="76"/>
      <c r="MLA59" s="76"/>
      <c r="MLB59" s="76"/>
      <c r="MLC59" s="76"/>
      <c r="MLD59" s="76"/>
      <c r="MLE59" s="76"/>
      <c r="MLF59" s="76"/>
      <c r="MLG59" s="76"/>
      <c r="MLH59" s="76"/>
      <c r="MLI59" s="76"/>
      <c r="MLJ59" s="76"/>
      <c r="MLK59" s="76"/>
      <c r="MLL59" s="76"/>
      <c r="MLM59" s="76"/>
      <c r="MLN59" s="76"/>
      <c r="MLO59" s="76"/>
      <c r="MLP59" s="76"/>
      <c r="MLQ59" s="76"/>
      <c r="MLR59" s="76"/>
      <c r="MLS59" s="76"/>
      <c r="MLT59" s="76"/>
      <c r="MLU59" s="76"/>
      <c r="MLV59" s="76"/>
      <c r="MLW59" s="76"/>
      <c r="MLX59" s="76"/>
      <c r="MLY59" s="76"/>
      <c r="MLZ59" s="76"/>
      <c r="MMA59" s="76"/>
      <c r="MMB59" s="76"/>
      <c r="MMC59" s="76"/>
      <c r="MMD59" s="76"/>
      <c r="MME59" s="76"/>
      <c r="MMF59" s="76"/>
      <c r="MMG59" s="76"/>
      <c r="MMH59" s="76"/>
      <c r="MMI59" s="76"/>
      <c r="MMJ59" s="76"/>
      <c r="MMK59" s="76"/>
      <c r="MML59" s="76"/>
      <c r="MMM59" s="76"/>
      <c r="MMN59" s="76"/>
      <c r="MMO59" s="76"/>
      <c r="MMP59" s="76"/>
      <c r="MMQ59" s="76"/>
      <c r="MMR59" s="76"/>
      <c r="MMS59" s="76"/>
      <c r="MMT59" s="76"/>
      <c r="MMU59" s="76"/>
      <c r="MMV59" s="76"/>
      <c r="MMW59" s="76"/>
      <c r="MMX59" s="76"/>
      <c r="MMY59" s="76"/>
      <c r="MMZ59" s="76"/>
      <c r="MNA59" s="76"/>
      <c r="MNB59" s="76"/>
      <c r="MNC59" s="76"/>
      <c r="MND59" s="76"/>
      <c r="MNE59" s="76"/>
      <c r="MNF59" s="76"/>
      <c r="MNG59" s="76"/>
      <c r="MNH59" s="76"/>
      <c r="MNI59" s="76"/>
      <c r="MNJ59" s="76"/>
      <c r="MNK59" s="76"/>
      <c r="MNL59" s="76"/>
      <c r="MNM59" s="76"/>
      <c r="MNN59" s="76"/>
      <c r="MNO59" s="76"/>
      <c r="MNP59" s="76"/>
      <c r="MNQ59" s="76"/>
      <c r="MNR59" s="76"/>
      <c r="MNS59" s="76"/>
      <c r="MNT59" s="76"/>
      <c r="MNU59" s="76"/>
      <c r="MNV59" s="76"/>
      <c r="MNW59" s="76"/>
      <c r="MNX59" s="76"/>
      <c r="MNY59" s="76"/>
      <c r="MNZ59" s="76"/>
      <c r="MOA59" s="76"/>
      <c r="MOB59" s="76"/>
      <c r="MOC59" s="76"/>
      <c r="MOD59" s="76"/>
      <c r="MOE59" s="76"/>
      <c r="MOF59" s="76"/>
      <c r="MOG59" s="76"/>
      <c r="MOH59" s="76"/>
      <c r="MOI59" s="76"/>
      <c r="MOJ59" s="76"/>
      <c r="MOK59" s="76"/>
      <c r="MOL59" s="76"/>
      <c r="MOM59" s="76"/>
      <c r="MON59" s="76"/>
      <c r="MOO59" s="76"/>
      <c r="MOP59" s="76"/>
      <c r="MOQ59" s="76"/>
      <c r="MOR59" s="76"/>
      <c r="MOS59" s="76"/>
      <c r="MOT59" s="76"/>
      <c r="MOU59" s="76"/>
      <c r="MOV59" s="76"/>
      <c r="MOW59" s="76"/>
      <c r="MOX59" s="76"/>
      <c r="MOY59" s="76"/>
      <c r="MOZ59" s="76"/>
      <c r="MPA59" s="76"/>
      <c r="MPB59" s="76"/>
      <c r="MPC59" s="76"/>
      <c r="MPD59" s="76"/>
      <c r="MPE59" s="76"/>
      <c r="MPF59" s="76"/>
      <c r="MPG59" s="76"/>
      <c r="MPH59" s="76"/>
      <c r="MPI59" s="76"/>
      <c r="MPJ59" s="76"/>
      <c r="MPK59" s="76"/>
      <c r="MPL59" s="76"/>
      <c r="MPM59" s="76"/>
      <c r="MPN59" s="76"/>
      <c r="MPO59" s="76"/>
      <c r="MPP59" s="76"/>
      <c r="MPQ59" s="76"/>
      <c r="MPR59" s="76"/>
      <c r="MPS59" s="76"/>
      <c r="MPT59" s="76"/>
      <c r="MPU59" s="76"/>
      <c r="MPV59" s="76"/>
      <c r="MPW59" s="76"/>
      <c r="MPX59" s="76"/>
      <c r="MPY59" s="76"/>
      <c r="MPZ59" s="76"/>
      <c r="MQA59" s="76"/>
      <c r="MQB59" s="76"/>
      <c r="MQC59" s="76"/>
      <c r="MQD59" s="76"/>
      <c r="MQE59" s="76"/>
      <c r="MQF59" s="76"/>
      <c r="MQG59" s="76"/>
      <c r="MQH59" s="76"/>
      <c r="MQI59" s="76"/>
      <c r="MQJ59" s="76"/>
      <c r="MQK59" s="76"/>
      <c r="MQL59" s="76"/>
      <c r="MQM59" s="76"/>
      <c r="MQN59" s="76"/>
      <c r="MQO59" s="76"/>
      <c r="MQP59" s="76"/>
      <c r="MQQ59" s="76"/>
      <c r="MQR59" s="76"/>
      <c r="MQS59" s="76"/>
      <c r="MQT59" s="76"/>
      <c r="MQU59" s="76"/>
      <c r="MQV59" s="76"/>
      <c r="MQW59" s="76"/>
      <c r="MQX59" s="76"/>
      <c r="MQY59" s="76"/>
      <c r="MQZ59" s="76"/>
      <c r="MRA59" s="76"/>
      <c r="MRB59" s="76"/>
      <c r="MRC59" s="76"/>
      <c r="MRD59" s="76"/>
      <c r="MRE59" s="76"/>
      <c r="MRF59" s="76"/>
      <c r="MRG59" s="76"/>
      <c r="MRH59" s="76"/>
      <c r="MRI59" s="76"/>
      <c r="MRJ59" s="76"/>
      <c r="MRK59" s="76"/>
      <c r="MRL59" s="76"/>
      <c r="MRM59" s="76"/>
      <c r="MRN59" s="76"/>
      <c r="MRO59" s="76"/>
      <c r="MRP59" s="76"/>
      <c r="MRQ59" s="76"/>
      <c r="MRR59" s="76"/>
      <c r="MRS59" s="76"/>
      <c r="MRT59" s="76"/>
      <c r="MRU59" s="76"/>
      <c r="MRV59" s="76"/>
      <c r="MRW59" s="76"/>
      <c r="MRX59" s="76"/>
      <c r="MRY59" s="76"/>
      <c r="MRZ59" s="76"/>
      <c r="MSA59" s="76"/>
      <c r="MSB59" s="76"/>
      <c r="MSC59" s="76"/>
      <c r="MSD59" s="76"/>
      <c r="MSE59" s="76"/>
      <c r="MSF59" s="76"/>
      <c r="MSG59" s="76"/>
      <c r="MSH59" s="76"/>
      <c r="MSI59" s="76"/>
      <c r="MSJ59" s="76"/>
      <c r="MSK59" s="76"/>
      <c r="MSL59" s="76"/>
      <c r="MSM59" s="76"/>
      <c r="MSN59" s="76"/>
      <c r="MSO59" s="76"/>
      <c r="MSP59" s="76"/>
      <c r="MSQ59" s="76"/>
      <c r="MSR59" s="76"/>
      <c r="MSS59" s="76"/>
      <c r="MST59" s="76"/>
      <c r="MSU59" s="76"/>
      <c r="MSV59" s="76"/>
      <c r="MSW59" s="76"/>
      <c r="MSX59" s="76"/>
      <c r="MSY59" s="76"/>
      <c r="MSZ59" s="76"/>
      <c r="MTA59" s="76"/>
      <c r="MTB59" s="76"/>
      <c r="MTC59" s="76"/>
      <c r="MTD59" s="76"/>
      <c r="MTE59" s="76"/>
      <c r="MTF59" s="76"/>
      <c r="MTG59" s="76"/>
      <c r="MTH59" s="76"/>
      <c r="MTI59" s="76"/>
      <c r="MTJ59" s="76"/>
      <c r="MTK59" s="76"/>
      <c r="MTL59" s="76"/>
      <c r="MTM59" s="76"/>
      <c r="MTN59" s="76"/>
      <c r="MTO59" s="76"/>
      <c r="MTP59" s="76"/>
      <c r="MTQ59" s="76"/>
      <c r="MTR59" s="76"/>
      <c r="MTS59" s="76"/>
      <c r="MTT59" s="76"/>
      <c r="MTU59" s="76"/>
      <c r="MTV59" s="76"/>
      <c r="MTW59" s="76"/>
      <c r="MTX59" s="76"/>
      <c r="MTY59" s="76"/>
      <c r="MTZ59" s="76"/>
      <c r="MUA59" s="76"/>
      <c r="MUB59" s="76"/>
      <c r="MUC59" s="76"/>
      <c r="MUD59" s="76"/>
      <c r="MUE59" s="76"/>
      <c r="MUF59" s="76"/>
      <c r="MUG59" s="76"/>
      <c r="MUH59" s="76"/>
      <c r="MUI59" s="76"/>
      <c r="MUJ59" s="76"/>
      <c r="MUK59" s="76"/>
      <c r="MUL59" s="76"/>
      <c r="MUM59" s="76"/>
      <c r="MUN59" s="76"/>
      <c r="MUO59" s="76"/>
      <c r="MUP59" s="76"/>
      <c r="MUQ59" s="76"/>
      <c r="MUR59" s="76"/>
      <c r="MUS59" s="76"/>
      <c r="MUT59" s="76"/>
      <c r="MUU59" s="76"/>
      <c r="MUV59" s="76"/>
      <c r="MUW59" s="76"/>
      <c r="MUX59" s="76"/>
      <c r="MUY59" s="76"/>
      <c r="MUZ59" s="76"/>
      <c r="MVA59" s="76"/>
      <c r="MVB59" s="76"/>
      <c r="MVC59" s="76"/>
      <c r="MVD59" s="76"/>
      <c r="MVE59" s="76"/>
      <c r="MVF59" s="76"/>
      <c r="MVG59" s="76"/>
      <c r="MVH59" s="76"/>
      <c r="MVI59" s="76"/>
      <c r="MVJ59" s="76"/>
      <c r="MVK59" s="76"/>
      <c r="MVL59" s="76"/>
      <c r="MVM59" s="76"/>
      <c r="MVN59" s="76"/>
      <c r="MVO59" s="76"/>
      <c r="MVP59" s="76"/>
      <c r="MVQ59" s="76"/>
      <c r="MVR59" s="76"/>
      <c r="MVS59" s="76"/>
      <c r="MVT59" s="76"/>
      <c r="MVU59" s="76"/>
      <c r="MVV59" s="76"/>
      <c r="MVW59" s="76"/>
      <c r="MVX59" s="76"/>
      <c r="MVY59" s="76"/>
      <c r="MVZ59" s="76"/>
      <c r="MWA59" s="76"/>
      <c r="MWB59" s="76"/>
      <c r="MWC59" s="76"/>
      <c r="MWD59" s="76"/>
      <c r="MWE59" s="76"/>
      <c r="MWF59" s="76"/>
      <c r="MWG59" s="76"/>
      <c r="MWH59" s="76"/>
      <c r="MWI59" s="76"/>
      <c r="MWJ59" s="76"/>
      <c r="MWK59" s="76"/>
      <c r="MWL59" s="76"/>
      <c r="MWM59" s="76"/>
      <c r="MWN59" s="76"/>
      <c r="MWO59" s="76"/>
      <c r="MWP59" s="76"/>
      <c r="MWQ59" s="76"/>
      <c r="MWR59" s="76"/>
      <c r="MWS59" s="76"/>
      <c r="MWT59" s="76"/>
      <c r="MWU59" s="76"/>
      <c r="MWV59" s="76"/>
      <c r="MWW59" s="76"/>
      <c r="MWX59" s="76"/>
      <c r="MWY59" s="76"/>
      <c r="MWZ59" s="76"/>
      <c r="MXA59" s="76"/>
      <c r="MXB59" s="76"/>
      <c r="MXC59" s="76"/>
      <c r="MXD59" s="76"/>
      <c r="MXE59" s="76"/>
      <c r="MXF59" s="76"/>
      <c r="MXG59" s="76"/>
      <c r="MXH59" s="76"/>
      <c r="MXI59" s="76"/>
      <c r="MXJ59" s="76"/>
      <c r="MXK59" s="76"/>
      <c r="MXL59" s="76"/>
      <c r="MXM59" s="76"/>
      <c r="MXN59" s="76"/>
      <c r="MXO59" s="76"/>
      <c r="MXP59" s="76"/>
      <c r="MXQ59" s="76"/>
      <c r="MXR59" s="76"/>
      <c r="MXS59" s="76"/>
      <c r="MXT59" s="76"/>
      <c r="MXU59" s="76"/>
      <c r="MXV59" s="76"/>
      <c r="MXW59" s="76"/>
      <c r="MXX59" s="76"/>
      <c r="MXY59" s="76"/>
      <c r="MXZ59" s="76"/>
      <c r="MYA59" s="76"/>
      <c r="MYB59" s="76"/>
      <c r="MYC59" s="76"/>
      <c r="MYD59" s="76"/>
      <c r="MYE59" s="76"/>
      <c r="MYF59" s="76"/>
      <c r="MYG59" s="76"/>
      <c r="MYH59" s="76"/>
      <c r="MYI59" s="76"/>
      <c r="MYJ59" s="76"/>
      <c r="MYK59" s="76"/>
      <c r="MYL59" s="76"/>
      <c r="MYM59" s="76"/>
      <c r="MYN59" s="76"/>
      <c r="MYO59" s="76"/>
      <c r="MYP59" s="76"/>
      <c r="MYQ59" s="76"/>
      <c r="MYR59" s="76"/>
      <c r="MYS59" s="76"/>
      <c r="MYT59" s="76"/>
      <c r="MYU59" s="76"/>
      <c r="MYV59" s="76"/>
      <c r="MYW59" s="76"/>
      <c r="MYX59" s="76"/>
      <c r="MYY59" s="76"/>
      <c r="MYZ59" s="76"/>
      <c r="MZA59" s="76"/>
      <c r="MZB59" s="76"/>
      <c r="MZC59" s="76"/>
      <c r="MZD59" s="76"/>
      <c r="MZE59" s="76"/>
      <c r="MZF59" s="76"/>
      <c r="MZG59" s="76"/>
      <c r="MZH59" s="76"/>
      <c r="MZI59" s="76"/>
      <c r="MZJ59" s="76"/>
      <c r="MZK59" s="76"/>
      <c r="MZL59" s="76"/>
      <c r="MZM59" s="76"/>
      <c r="MZN59" s="76"/>
      <c r="MZO59" s="76"/>
      <c r="MZP59" s="76"/>
      <c r="MZQ59" s="76"/>
      <c r="MZR59" s="76"/>
      <c r="MZS59" s="76"/>
      <c r="MZT59" s="76"/>
      <c r="MZU59" s="76"/>
      <c r="MZV59" s="76"/>
      <c r="MZW59" s="76"/>
      <c r="MZX59" s="76"/>
      <c r="MZY59" s="76"/>
      <c r="MZZ59" s="76"/>
      <c r="NAA59" s="76"/>
      <c r="NAB59" s="76"/>
      <c r="NAC59" s="76"/>
      <c r="NAD59" s="76"/>
      <c r="NAE59" s="76"/>
      <c r="NAF59" s="76"/>
      <c r="NAG59" s="76"/>
      <c r="NAH59" s="76"/>
      <c r="NAI59" s="76"/>
      <c r="NAJ59" s="76"/>
      <c r="NAK59" s="76"/>
      <c r="NAL59" s="76"/>
      <c r="NAM59" s="76"/>
      <c r="NAN59" s="76"/>
      <c r="NAO59" s="76"/>
      <c r="NAP59" s="76"/>
      <c r="NAQ59" s="76"/>
      <c r="NAR59" s="76"/>
      <c r="NAS59" s="76"/>
      <c r="NAT59" s="76"/>
      <c r="NAU59" s="76"/>
      <c r="NAV59" s="76"/>
      <c r="NAW59" s="76"/>
      <c r="NAX59" s="76"/>
      <c r="NAY59" s="76"/>
      <c r="NAZ59" s="76"/>
      <c r="NBA59" s="76"/>
      <c r="NBB59" s="76"/>
      <c r="NBC59" s="76"/>
      <c r="NBD59" s="76"/>
      <c r="NBE59" s="76"/>
      <c r="NBF59" s="76"/>
      <c r="NBG59" s="76"/>
      <c r="NBH59" s="76"/>
      <c r="NBI59" s="76"/>
      <c r="NBJ59" s="76"/>
      <c r="NBK59" s="76"/>
      <c r="NBL59" s="76"/>
      <c r="NBM59" s="76"/>
      <c r="NBN59" s="76"/>
      <c r="NBO59" s="76"/>
      <c r="NBP59" s="76"/>
      <c r="NBQ59" s="76"/>
      <c r="NBR59" s="76"/>
      <c r="NBS59" s="76"/>
      <c r="NBT59" s="76"/>
      <c r="NBU59" s="76"/>
      <c r="NBV59" s="76"/>
      <c r="NBW59" s="76"/>
      <c r="NBX59" s="76"/>
      <c r="NBY59" s="76"/>
      <c r="NBZ59" s="76"/>
      <c r="NCA59" s="76"/>
      <c r="NCB59" s="76"/>
      <c r="NCC59" s="76"/>
      <c r="NCD59" s="76"/>
      <c r="NCE59" s="76"/>
      <c r="NCF59" s="76"/>
      <c r="NCG59" s="76"/>
      <c r="NCH59" s="76"/>
      <c r="NCI59" s="76"/>
      <c r="NCJ59" s="76"/>
      <c r="NCK59" s="76"/>
      <c r="NCL59" s="76"/>
      <c r="NCM59" s="76"/>
      <c r="NCN59" s="76"/>
      <c r="NCO59" s="76"/>
      <c r="NCP59" s="76"/>
      <c r="NCQ59" s="76"/>
      <c r="NCR59" s="76"/>
      <c r="NCS59" s="76"/>
      <c r="NCT59" s="76"/>
      <c r="NCU59" s="76"/>
      <c r="NCV59" s="76"/>
      <c r="NCW59" s="76"/>
      <c r="NCX59" s="76"/>
      <c r="NCY59" s="76"/>
      <c r="NCZ59" s="76"/>
      <c r="NDA59" s="76"/>
      <c r="NDB59" s="76"/>
      <c r="NDC59" s="76"/>
      <c r="NDD59" s="76"/>
      <c r="NDE59" s="76"/>
      <c r="NDF59" s="76"/>
      <c r="NDG59" s="76"/>
      <c r="NDH59" s="76"/>
      <c r="NDI59" s="76"/>
      <c r="NDJ59" s="76"/>
      <c r="NDK59" s="76"/>
      <c r="NDL59" s="76"/>
      <c r="NDM59" s="76"/>
      <c r="NDN59" s="76"/>
      <c r="NDO59" s="76"/>
      <c r="NDP59" s="76"/>
      <c r="NDQ59" s="76"/>
      <c r="NDR59" s="76"/>
      <c r="NDS59" s="76"/>
      <c r="NDT59" s="76"/>
      <c r="NDU59" s="76"/>
      <c r="NDV59" s="76"/>
      <c r="NDW59" s="76"/>
      <c r="NDX59" s="76"/>
      <c r="NDY59" s="76"/>
      <c r="NDZ59" s="76"/>
      <c r="NEA59" s="76"/>
      <c r="NEB59" s="76"/>
      <c r="NEC59" s="76"/>
      <c r="NED59" s="76"/>
      <c r="NEE59" s="76"/>
      <c r="NEF59" s="76"/>
      <c r="NEG59" s="76"/>
      <c r="NEH59" s="76"/>
      <c r="NEI59" s="76"/>
      <c r="NEJ59" s="76"/>
      <c r="NEK59" s="76"/>
      <c r="NEL59" s="76"/>
      <c r="NEM59" s="76"/>
      <c r="NEN59" s="76"/>
      <c r="NEO59" s="76"/>
      <c r="NEP59" s="76"/>
      <c r="NEQ59" s="76"/>
      <c r="NER59" s="76"/>
      <c r="NES59" s="76"/>
      <c r="NET59" s="76"/>
      <c r="NEU59" s="76"/>
      <c r="NEV59" s="76"/>
      <c r="NEW59" s="76"/>
      <c r="NEX59" s="76"/>
      <c r="NEY59" s="76"/>
      <c r="NEZ59" s="76"/>
      <c r="NFA59" s="76"/>
      <c r="NFB59" s="76"/>
      <c r="NFC59" s="76"/>
      <c r="NFD59" s="76"/>
      <c r="NFE59" s="76"/>
      <c r="NFF59" s="76"/>
      <c r="NFG59" s="76"/>
      <c r="NFH59" s="76"/>
      <c r="NFI59" s="76"/>
      <c r="NFJ59" s="76"/>
      <c r="NFK59" s="76"/>
      <c r="NFL59" s="76"/>
      <c r="NFM59" s="76"/>
      <c r="NFN59" s="76"/>
      <c r="NFO59" s="76"/>
      <c r="NFP59" s="76"/>
      <c r="NFQ59" s="76"/>
      <c r="NFR59" s="76"/>
      <c r="NFS59" s="76"/>
      <c r="NFT59" s="76"/>
      <c r="NFU59" s="76"/>
      <c r="NFV59" s="76"/>
      <c r="NFW59" s="76"/>
      <c r="NFX59" s="76"/>
      <c r="NFY59" s="76"/>
      <c r="NFZ59" s="76"/>
      <c r="NGA59" s="76"/>
      <c r="NGB59" s="76"/>
      <c r="NGC59" s="76"/>
      <c r="NGD59" s="76"/>
      <c r="NGE59" s="76"/>
      <c r="NGF59" s="76"/>
      <c r="NGG59" s="76"/>
      <c r="NGH59" s="76"/>
      <c r="NGI59" s="76"/>
      <c r="NGJ59" s="76"/>
      <c r="NGK59" s="76"/>
      <c r="NGL59" s="76"/>
      <c r="NGM59" s="76"/>
      <c r="NGN59" s="76"/>
      <c r="NGO59" s="76"/>
      <c r="NGP59" s="76"/>
      <c r="NGQ59" s="76"/>
      <c r="NGR59" s="76"/>
      <c r="NGS59" s="76"/>
      <c r="NGT59" s="76"/>
      <c r="NGU59" s="76"/>
      <c r="NGV59" s="76"/>
      <c r="NGW59" s="76"/>
      <c r="NGX59" s="76"/>
      <c r="NGY59" s="76"/>
      <c r="NGZ59" s="76"/>
      <c r="NHA59" s="76"/>
      <c r="NHB59" s="76"/>
      <c r="NHC59" s="76"/>
      <c r="NHD59" s="76"/>
      <c r="NHE59" s="76"/>
      <c r="NHF59" s="76"/>
      <c r="NHG59" s="76"/>
      <c r="NHH59" s="76"/>
      <c r="NHI59" s="76"/>
      <c r="NHJ59" s="76"/>
      <c r="NHK59" s="76"/>
      <c r="NHL59" s="76"/>
      <c r="NHM59" s="76"/>
      <c r="NHN59" s="76"/>
      <c r="NHO59" s="76"/>
      <c r="NHP59" s="76"/>
      <c r="NHQ59" s="76"/>
      <c r="NHR59" s="76"/>
      <c r="NHS59" s="76"/>
      <c r="NHT59" s="76"/>
      <c r="NHU59" s="76"/>
      <c r="NHV59" s="76"/>
      <c r="NHW59" s="76"/>
      <c r="NHX59" s="76"/>
      <c r="NHY59" s="76"/>
      <c r="NHZ59" s="76"/>
      <c r="NIA59" s="76"/>
      <c r="NIB59" s="76"/>
      <c r="NIC59" s="76"/>
      <c r="NID59" s="76"/>
      <c r="NIE59" s="76"/>
      <c r="NIF59" s="76"/>
      <c r="NIG59" s="76"/>
      <c r="NIH59" s="76"/>
      <c r="NII59" s="76"/>
      <c r="NIJ59" s="76"/>
      <c r="NIK59" s="76"/>
      <c r="NIL59" s="76"/>
      <c r="NIM59" s="76"/>
      <c r="NIN59" s="76"/>
      <c r="NIO59" s="76"/>
      <c r="NIP59" s="76"/>
      <c r="NIQ59" s="76"/>
      <c r="NIR59" s="76"/>
      <c r="NIS59" s="76"/>
      <c r="NIT59" s="76"/>
      <c r="NIU59" s="76"/>
      <c r="NIV59" s="76"/>
      <c r="NIW59" s="76"/>
      <c r="NIX59" s="76"/>
      <c r="NIY59" s="76"/>
      <c r="NIZ59" s="76"/>
      <c r="NJA59" s="76"/>
      <c r="NJB59" s="76"/>
      <c r="NJC59" s="76"/>
      <c r="NJD59" s="76"/>
      <c r="NJE59" s="76"/>
      <c r="NJF59" s="76"/>
      <c r="NJG59" s="76"/>
      <c r="NJH59" s="76"/>
      <c r="NJI59" s="76"/>
      <c r="NJJ59" s="76"/>
      <c r="NJK59" s="76"/>
      <c r="NJL59" s="76"/>
      <c r="NJM59" s="76"/>
      <c r="NJN59" s="76"/>
      <c r="NJO59" s="76"/>
      <c r="NJP59" s="76"/>
      <c r="NJQ59" s="76"/>
      <c r="NJR59" s="76"/>
      <c r="NJS59" s="76"/>
      <c r="NJT59" s="76"/>
      <c r="NJU59" s="76"/>
      <c r="NJV59" s="76"/>
      <c r="NJW59" s="76"/>
      <c r="NJX59" s="76"/>
      <c r="NJY59" s="76"/>
      <c r="NJZ59" s="76"/>
      <c r="NKA59" s="76"/>
      <c r="NKB59" s="76"/>
      <c r="NKC59" s="76"/>
      <c r="NKD59" s="76"/>
      <c r="NKE59" s="76"/>
      <c r="NKF59" s="76"/>
      <c r="NKG59" s="76"/>
      <c r="NKH59" s="76"/>
      <c r="NKI59" s="76"/>
      <c r="NKJ59" s="76"/>
      <c r="NKK59" s="76"/>
      <c r="NKL59" s="76"/>
      <c r="NKM59" s="76"/>
      <c r="NKN59" s="76"/>
      <c r="NKO59" s="76"/>
      <c r="NKP59" s="76"/>
      <c r="NKQ59" s="76"/>
      <c r="NKR59" s="76"/>
      <c r="NKS59" s="76"/>
      <c r="NKT59" s="76"/>
      <c r="NKU59" s="76"/>
      <c r="NKV59" s="76"/>
      <c r="NKW59" s="76"/>
      <c r="NKX59" s="76"/>
      <c r="NKY59" s="76"/>
      <c r="NKZ59" s="76"/>
      <c r="NLA59" s="76"/>
      <c r="NLB59" s="76"/>
      <c r="NLC59" s="76"/>
      <c r="NLD59" s="76"/>
      <c r="NLE59" s="76"/>
      <c r="NLF59" s="76"/>
      <c r="NLG59" s="76"/>
      <c r="NLH59" s="76"/>
      <c r="NLI59" s="76"/>
      <c r="NLJ59" s="76"/>
      <c r="NLK59" s="76"/>
      <c r="NLL59" s="76"/>
      <c r="NLM59" s="76"/>
      <c r="NLN59" s="76"/>
      <c r="NLO59" s="76"/>
      <c r="NLP59" s="76"/>
      <c r="NLQ59" s="76"/>
      <c r="NLR59" s="76"/>
      <c r="NLS59" s="76"/>
      <c r="NLT59" s="76"/>
      <c r="NLU59" s="76"/>
      <c r="NLV59" s="76"/>
      <c r="NLW59" s="76"/>
      <c r="NLX59" s="76"/>
      <c r="NLY59" s="76"/>
      <c r="NLZ59" s="76"/>
      <c r="NMA59" s="76"/>
      <c r="NMB59" s="76"/>
      <c r="NMC59" s="76"/>
      <c r="NMD59" s="76"/>
      <c r="NME59" s="76"/>
      <c r="NMF59" s="76"/>
      <c r="NMG59" s="76"/>
      <c r="NMH59" s="76"/>
      <c r="NMI59" s="76"/>
      <c r="NMJ59" s="76"/>
      <c r="NMK59" s="76"/>
      <c r="NML59" s="76"/>
      <c r="NMM59" s="76"/>
      <c r="NMN59" s="76"/>
      <c r="NMO59" s="76"/>
      <c r="NMP59" s="76"/>
      <c r="NMQ59" s="76"/>
      <c r="NMR59" s="76"/>
      <c r="NMS59" s="76"/>
      <c r="NMT59" s="76"/>
      <c r="NMU59" s="76"/>
      <c r="NMV59" s="76"/>
      <c r="NMW59" s="76"/>
      <c r="NMX59" s="76"/>
      <c r="NMY59" s="76"/>
      <c r="NMZ59" s="76"/>
      <c r="NNA59" s="76"/>
      <c r="NNB59" s="76"/>
      <c r="NNC59" s="76"/>
      <c r="NND59" s="76"/>
      <c r="NNE59" s="76"/>
      <c r="NNF59" s="76"/>
      <c r="NNG59" s="76"/>
      <c r="NNH59" s="76"/>
      <c r="NNI59" s="76"/>
      <c r="NNJ59" s="76"/>
      <c r="NNK59" s="76"/>
      <c r="NNL59" s="76"/>
      <c r="NNM59" s="76"/>
      <c r="NNN59" s="76"/>
      <c r="NNO59" s="76"/>
      <c r="NNP59" s="76"/>
      <c r="NNQ59" s="76"/>
      <c r="NNR59" s="76"/>
      <c r="NNS59" s="76"/>
      <c r="NNT59" s="76"/>
      <c r="NNU59" s="76"/>
      <c r="NNV59" s="76"/>
      <c r="NNW59" s="76"/>
      <c r="NNX59" s="76"/>
      <c r="NNY59" s="76"/>
      <c r="NNZ59" s="76"/>
      <c r="NOA59" s="76"/>
      <c r="NOB59" s="76"/>
      <c r="NOC59" s="76"/>
      <c r="NOD59" s="76"/>
      <c r="NOE59" s="76"/>
      <c r="NOF59" s="76"/>
      <c r="NOG59" s="76"/>
      <c r="NOH59" s="76"/>
      <c r="NOI59" s="76"/>
      <c r="NOJ59" s="76"/>
      <c r="NOK59" s="76"/>
      <c r="NOL59" s="76"/>
      <c r="NOM59" s="76"/>
      <c r="NON59" s="76"/>
      <c r="NOO59" s="76"/>
      <c r="NOP59" s="76"/>
      <c r="NOQ59" s="76"/>
      <c r="NOR59" s="76"/>
      <c r="NOS59" s="76"/>
      <c r="NOT59" s="76"/>
      <c r="NOU59" s="76"/>
      <c r="NOV59" s="76"/>
      <c r="NOW59" s="76"/>
      <c r="NOX59" s="76"/>
      <c r="NOY59" s="76"/>
      <c r="NOZ59" s="76"/>
      <c r="NPA59" s="76"/>
      <c r="NPB59" s="76"/>
      <c r="NPC59" s="76"/>
      <c r="NPD59" s="76"/>
      <c r="NPE59" s="76"/>
      <c r="NPF59" s="76"/>
      <c r="NPG59" s="76"/>
      <c r="NPH59" s="76"/>
      <c r="NPI59" s="76"/>
      <c r="NPJ59" s="76"/>
      <c r="NPK59" s="76"/>
      <c r="NPL59" s="76"/>
      <c r="NPM59" s="76"/>
      <c r="NPN59" s="76"/>
      <c r="NPO59" s="76"/>
      <c r="NPP59" s="76"/>
      <c r="NPQ59" s="76"/>
      <c r="NPR59" s="76"/>
      <c r="NPS59" s="76"/>
      <c r="NPT59" s="76"/>
      <c r="NPU59" s="76"/>
      <c r="NPV59" s="76"/>
      <c r="NPW59" s="76"/>
      <c r="NPX59" s="76"/>
      <c r="NPY59" s="76"/>
      <c r="NPZ59" s="76"/>
      <c r="NQA59" s="76"/>
      <c r="NQB59" s="76"/>
      <c r="NQC59" s="76"/>
      <c r="NQD59" s="76"/>
      <c r="NQE59" s="76"/>
      <c r="NQF59" s="76"/>
      <c r="NQG59" s="76"/>
      <c r="NQH59" s="76"/>
      <c r="NQI59" s="76"/>
      <c r="NQJ59" s="76"/>
      <c r="NQK59" s="76"/>
      <c r="NQL59" s="76"/>
      <c r="NQM59" s="76"/>
      <c r="NQN59" s="76"/>
      <c r="NQO59" s="76"/>
      <c r="NQP59" s="76"/>
      <c r="NQQ59" s="76"/>
      <c r="NQR59" s="76"/>
      <c r="NQS59" s="76"/>
      <c r="NQT59" s="76"/>
      <c r="NQU59" s="76"/>
      <c r="NQV59" s="76"/>
      <c r="NQW59" s="76"/>
      <c r="NQX59" s="76"/>
      <c r="NQY59" s="76"/>
      <c r="NQZ59" s="76"/>
      <c r="NRA59" s="76"/>
      <c r="NRB59" s="76"/>
      <c r="NRC59" s="76"/>
      <c r="NRD59" s="76"/>
      <c r="NRE59" s="76"/>
      <c r="NRF59" s="76"/>
      <c r="NRG59" s="76"/>
      <c r="NRH59" s="76"/>
      <c r="NRI59" s="76"/>
      <c r="NRJ59" s="76"/>
      <c r="NRK59" s="76"/>
      <c r="NRL59" s="76"/>
      <c r="NRM59" s="76"/>
      <c r="NRN59" s="76"/>
      <c r="NRO59" s="76"/>
      <c r="NRP59" s="76"/>
      <c r="NRQ59" s="76"/>
      <c r="NRR59" s="76"/>
      <c r="NRS59" s="76"/>
      <c r="NRT59" s="76"/>
      <c r="NRU59" s="76"/>
      <c r="NRV59" s="76"/>
      <c r="NRW59" s="76"/>
      <c r="NRX59" s="76"/>
      <c r="NRY59" s="76"/>
      <c r="NRZ59" s="76"/>
      <c r="NSA59" s="76"/>
      <c r="NSB59" s="76"/>
      <c r="NSC59" s="76"/>
      <c r="NSD59" s="76"/>
      <c r="NSE59" s="76"/>
      <c r="NSF59" s="76"/>
      <c r="NSG59" s="76"/>
      <c r="NSH59" s="76"/>
      <c r="NSI59" s="76"/>
      <c r="NSJ59" s="76"/>
      <c r="NSK59" s="76"/>
      <c r="NSL59" s="76"/>
      <c r="NSM59" s="76"/>
      <c r="NSN59" s="76"/>
      <c r="NSO59" s="76"/>
      <c r="NSP59" s="76"/>
      <c r="NSQ59" s="76"/>
      <c r="NSR59" s="76"/>
      <c r="NSS59" s="76"/>
      <c r="NST59" s="76"/>
      <c r="NSU59" s="76"/>
      <c r="NSV59" s="76"/>
      <c r="NSW59" s="76"/>
      <c r="NSX59" s="76"/>
      <c r="NSY59" s="76"/>
      <c r="NSZ59" s="76"/>
      <c r="NTA59" s="76"/>
      <c r="NTB59" s="76"/>
      <c r="NTC59" s="76"/>
      <c r="NTD59" s="76"/>
      <c r="NTE59" s="76"/>
      <c r="NTF59" s="76"/>
      <c r="NTG59" s="76"/>
      <c r="NTH59" s="76"/>
      <c r="NTI59" s="76"/>
      <c r="NTJ59" s="76"/>
      <c r="NTK59" s="76"/>
      <c r="NTL59" s="76"/>
      <c r="NTM59" s="76"/>
      <c r="NTN59" s="76"/>
      <c r="NTO59" s="76"/>
      <c r="NTP59" s="76"/>
      <c r="NTQ59" s="76"/>
      <c r="NTR59" s="76"/>
      <c r="NTS59" s="76"/>
      <c r="NTT59" s="76"/>
      <c r="NTU59" s="76"/>
      <c r="NTV59" s="76"/>
      <c r="NTW59" s="76"/>
      <c r="NTX59" s="76"/>
      <c r="NTY59" s="76"/>
      <c r="NTZ59" s="76"/>
      <c r="NUA59" s="76"/>
      <c r="NUB59" s="76"/>
      <c r="NUC59" s="76"/>
      <c r="NUD59" s="76"/>
      <c r="NUE59" s="76"/>
      <c r="NUF59" s="76"/>
      <c r="NUG59" s="76"/>
      <c r="NUH59" s="76"/>
      <c r="NUI59" s="76"/>
      <c r="NUJ59" s="76"/>
      <c r="NUK59" s="76"/>
      <c r="NUL59" s="76"/>
      <c r="NUM59" s="76"/>
      <c r="NUN59" s="76"/>
      <c r="NUO59" s="76"/>
      <c r="NUP59" s="76"/>
      <c r="NUQ59" s="76"/>
      <c r="NUR59" s="76"/>
      <c r="NUS59" s="76"/>
      <c r="NUT59" s="76"/>
      <c r="NUU59" s="76"/>
      <c r="NUV59" s="76"/>
      <c r="NUW59" s="76"/>
      <c r="NUX59" s="76"/>
      <c r="NUY59" s="76"/>
      <c r="NUZ59" s="76"/>
      <c r="NVA59" s="76"/>
      <c r="NVB59" s="76"/>
      <c r="NVC59" s="76"/>
      <c r="NVD59" s="76"/>
      <c r="NVE59" s="76"/>
      <c r="NVF59" s="76"/>
      <c r="NVG59" s="76"/>
      <c r="NVH59" s="76"/>
      <c r="NVI59" s="76"/>
      <c r="NVJ59" s="76"/>
      <c r="NVK59" s="76"/>
      <c r="NVL59" s="76"/>
      <c r="NVM59" s="76"/>
      <c r="NVN59" s="76"/>
      <c r="NVO59" s="76"/>
      <c r="NVP59" s="76"/>
      <c r="NVQ59" s="76"/>
      <c r="NVR59" s="76"/>
      <c r="NVS59" s="76"/>
      <c r="NVT59" s="76"/>
      <c r="NVU59" s="76"/>
      <c r="NVV59" s="76"/>
      <c r="NVW59" s="76"/>
      <c r="NVX59" s="76"/>
      <c r="NVY59" s="76"/>
      <c r="NVZ59" s="76"/>
      <c r="NWA59" s="76"/>
      <c r="NWB59" s="76"/>
      <c r="NWC59" s="76"/>
      <c r="NWD59" s="76"/>
      <c r="NWE59" s="76"/>
      <c r="NWF59" s="76"/>
      <c r="NWG59" s="76"/>
      <c r="NWH59" s="76"/>
      <c r="NWI59" s="76"/>
      <c r="NWJ59" s="76"/>
      <c r="NWK59" s="76"/>
      <c r="NWL59" s="76"/>
      <c r="NWM59" s="76"/>
      <c r="NWN59" s="76"/>
      <c r="NWO59" s="76"/>
      <c r="NWP59" s="76"/>
      <c r="NWQ59" s="76"/>
      <c r="NWR59" s="76"/>
      <c r="NWS59" s="76"/>
      <c r="NWT59" s="76"/>
      <c r="NWU59" s="76"/>
      <c r="NWV59" s="76"/>
      <c r="NWW59" s="76"/>
      <c r="NWX59" s="76"/>
      <c r="NWY59" s="76"/>
      <c r="NWZ59" s="76"/>
      <c r="NXA59" s="76"/>
      <c r="NXB59" s="76"/>
      <c r="NXC59" s="76"/>
      <c r="NXD59" s="76"/>
      <c r="NXE59" s="76"/>
      <c r="NXF59" s="76"/>
      <c r="NXG59" s="76"/>
      <c r="NXH59" s="76"/>
      <c r="NXI59" s="76"/>
      <c r="NXJ59" s="76"/>
      <c r="NXK59" s="76"/>
      <c r="NXL59" s="76"/>
      <c r="NXM59" s="76"/>
      <c r="NXN59" s="76"/>
      <c r="NXO59" s="76"/>
      <c r="NXP59" s="76"/>
      <c r="NXQ59" s="76"/>
      <c r="NXR59" s="76"/>
      <c r="NXS59" s="76"/>
      <c r="NXT59" s="76"/>
      <c r="NXU59" s="76"/>
      <c r="NXV59" s="76"/>
      <c r="NXW59" s="76"/>
      <c r="NXX59" s="76"/>
      <c r="NXY59" s="76"/>
      <c r="NXZ59" s="76"/>
      <c r="NYA59" s="76"/>
      <c r="NYB59" s="76"/>
      <c r="NYC59" s="76"/>
      <c r="NYD59" s="76"/>
      <c r="NYE59" s="76"/>
      <c r="NYF59" s="76"/>
      <c r="NYG59" s="76"/>
      <c r="NYH59" s="76"/>
      <c r="NYI59" s="76"/>
      <c r="NYJ59" s="76"/>
      <c r="NYK59" s="76"/>
      <c r="NYL59" s="76"/>
      <c r="NYM59" s="76"/>
      <c r="NYN59" s="76"/>
      <c r="NYO59" s="76"/>
      <c r="NYP59" s="76"/>
      <c r="NYQ59" s="76"/>
      <c r="NYR59" s="76"/>
      <c r="NYS59" s="76"/>
      <c r="NYT59" s="76"/>
      <c r="NYU59" s="76"/>
      <c r="NYV59" s="76"/>
      <c r="NYW59" s="76"/>
      <c r="NYX59" s="76"/>
      <c r="NYY59" s="76"/>
      <c r="NYZ59" s="76"/>
      <c r="NZA59" s="76"/>
      <c r="NZB59" s="76"/>
      <c r="NZC59" s="76"/>
      <c r="NZD59" s="76"/>
      <c r="NZE59" s="76"/>
      <c r="NZF59" s="76"/>
      <c r="NZG59" s="76"/>
      <c r="NZH59" s="76"/>
      <c r="NZI59" s="76"/>
      <c r="NZJ59" s="76"/>
      <c r="NZK59" s="76"/>
      <c r="NZL59" s="76"/>
      <c r="NZM59" s="76"/>
      <c r="NZN59" s="76"/>
      <c r="NZO59" s="76"/>
      <c r="NZP59" s="76"/>
      <c r="NZQ59" s="76"/>
      <c r="NZR59" s="76"/>
      <c r="NZS59" s="76"/>
      <c r="NZT59" s="76"/>
      <c r="NZU59" s="76"/>
      <c r="NZV59" s="76"/>
      <c r="NZW59" s="76"/>
      <c r="NZX59" s="76"/>
      <c r="NZY59" s="76"/>
      <c r="NZZ59" s="76"/>
      <c r="OAA59" s="76"/>
      <c r="OAB59" s="76"/>
      <c r="OAC59" s="76"/>
      <c r="OAD59" s="76"/>
      <c r="OAE59" s="76"/>
      <c r="OAF59" s="76"/>
      <c r="OAG59" s="76"/>
      <c r="OAH59" s="76"/>
      <c r="OAI59" s="76"/>
      <c r="OAJ59" s="76"/>
      <c r="OAK59" s="76"/>
      <c r="OAL59" s="76"/>
      <c r="OAM59" s="76"/>
      <c r="OAN59" s="76"/>
      <c r="OAO59" s="76"/>
      <c r="OAP59" s="76"/>
      <c r="OAQ59" s="76"/>
      <c r="OAR59" s="76"/>
      <c r="OAS59" s="76"/>
      <c r="OAT59" s="76"/>
      <c r="OAU59" s="76"/>
      <c r="OAV59" s="76"/>
      <c r="OAW59" s="76"/>
      <c r="OAX59" s="76"/>
      <c r="OAY59" s="76"/>
      <c r="OAZ59" s="76"/>
      <c r="OBA59" s="76"/>
      <c r="OBB59" s="76"/>
      <c r="OBC59" s="76"/>
      <c r="OBD59" s="76"/>
      <c r="OBE59" s="76"/>
      <c r="OBF59" s="76"/>
      <c r="OBG59" s="76"/>
      <c r="OBH59" s="76"/>
      <c r="OBI59" s="76"/>
      <c r="OBJ59" s="76"/>
      <c r="OBK59" s="76"/>
      <c r="OBL59" s="76"/>
      <c r="OBM59" s="76"/>
      <c r="OBN59" s="76"/>
      <c r="OBO59" s="76"/>
      <c r="OBP59" s="76"/>
      <c r="OBQ59" s="76"/>
      <c r="OBR59" s="76"/>
      <c r="OBS59" s="76"/>
      <c r="OBT59" s="76"/>
      <c r="OBU59" s="76"/>
      <c r="OBV59" s="76"/>
      <c r="OBW59" s="76"/>
      <c r="OBX59" s="76"/>
      <c r="OBY59" s="76"/>
      <c r="OBZ59" s="76"/>
      <c r="OCA59" s="76"/>
      <c r="OCB59" s="76"/>
      <c r="OCC59" s="76"/>
      <c r="OCD59" s="76"/>
      <c r="OCE59" s="76"/>
      <c r="OCF59" s="76"/>
      <c r="OCG59" s="76"/>
      <c r="OCH59" s="76"/>
      <c r="OCI59" s="76"/>
      <c r="OCJ59" s="76"/>
      <c r="OCK59" s="76"/>
      <c r="OCL59" s="76"/>
      <c r="OCM59" s="76"/>
      <c r="OCN59" s="76"/>
      <c r="OCO59" s="76"/>
      <c r="OCP59" s="76"/>
      <c r="OCQ59" s="76"/>
      <c r="OCR59" s="76"/>
      <c r="OCS59" s="76"/>
      <c r="OCT59" s="76"/>
      <c r="OCU59" s="76"/>
      <c r="OCV59" s="76"/>
      <c r="OCW59" s="76"/>
      <c r="OCX59" s="76"/>
      <c r="OCY59" s="76"/>
      <c r="OCZ59" s="76"/>
      <c r="ODA59" s="76"/>
      <c r="ODB59" s="76"/>
      <c r="ODC59" s="76"/>
      <c r="ODD59" s="76"/>
      <c r="ODE59" s="76"/>
      <c r="ODF59" s="76"/>
      <c r="ODG59" s="76"/>
      <c r="ODH59" s="76"/>
      <c r="ODI59" s="76"/>
      <c r="ODJ59" s="76"/>
      <c r="ODK59" s="76"/>
      <c r="ODL59" s="76"/>
      <c r="ODM59" s="76"/>
      <c r="ODN59" s="76"/>
      <c r="ODO59" s="76"/>
      <c r="ODP59" s="76"/>
      <c r="ODQ59" s="76"/>
      <c r="ODR59" s="76"/>
      <c r="ODS59" s="76"/>
      <c r="ODT59" s="76"/>
      <c r="ODU59" s="76"/>
      <c r="ODV59" s="76"/>
      <c r="ODW59" s="76"/>
      <c r="ODX59" s="76"/>
      <c r="ODY59" s="76"/>
      <c r="ODZ59" s="76"/>
      <c r="OEA59" s="76"/>
      <c r="OEB59" s="76"/>
      <c r="OEC59" s="76"/>
      <c r="OED59" s="76"/>
      <c r="OEE59" s="76"/>
      <c r="OEF59" s="76"/>
      <c r="OEG59" s="76"/>
      <c r="OEH59" s="76"/>
      <c r="OEI59" s="76"/>
      <c r="OEJ59" s="76"/>
      <c r="OEK59" s="76"/>
      <c r="OEL59" s="76"/>
      <c r="OEM59" s="76"/>
      <c r="OEN59" s="76"/>
      <c r="OEO59" s="76"/>
      <c r="OEP59" s="76"/>
      <c r="OEQ59" s="76"/>
      <c r="OER59" s="76"/>
      <c r="OES59" s="76"/>
      <c r="OET59" s="76"/>
      <c r="OEU59" s="76"/>
      <c r="OEV59" s="76"/>
      <c r="OEW59" s="76"/>
      <c r="OEX59" s="76"/>
      <c r="OEY59" s="76"/>
      <c r="OEZ59" s="76"/>
      <c r="OFA59" s="76"/>
      <c r="OFB59" s="76"/>
      <c r="OFC59" s="76"/>
      <c r="OFD59" s="76"/>
      <c r="OFE59" s="76"/>
      <c r="OFF59" s="76"/>
      <c r="OFG59" s="76"/>
      <c r="OFH59" s="76"/>
      <c r="OFI59" s="76"/>
      <c r="OFJ59" s="76"/>
      <c r="OFK59" s="76"/>
      <c r="OFL59" s="76"/>
      <c r="OFM59" s="76"/>
      <c r="OFN59" s="76"/>
      <c r="OFO59" s="76"/>
      <c r="OFP59" s="76"/>
      <c r="OFQ59" s="76"/>
      <c r="OFR59" s="76"/>
      <c r="OFS59" s="76"/>
      <c r="OFT59" s="76"/>
      <c r="OFU59" s="76"/>
      <c r="OFV59" s="76"/>
      <c r="OFW59" s="76"/>
      <c r="OFX59" s="76"/>
      <c r="OFY59" s="76"/>
      <c r="OFZ59" s="76"/>
      <c r="OGA59" s="76"/>
      <c r="OGB59" s="76"/>
      <c r="OGC59" s="76"/>
      <c r="OGD59" s="76"/>
      <c r="OGE59" s="76"/>
      <c r="OGF59" s="76"/>
      <c r="OGG59" s="76"/>
      <c r="OGH59" s="76"/>
      <c r="OGI59" s="76"/>
      <c r="OGJ59" s="76"/>
      <c r="OGK59" s="76"/>
      <c r="OGL59" s="76"/>
      <c r="OGM59" s="76"/>
      <c r="OGN59" s="76"/>
      <c r="OGO59" s="76"/>
      <c r="OGP59" s="76"/>
      <c r="OGQ59" s="76"/>
      <c r="OGR59" s="76"/>
      <c r="OGS59" s="76"/>
      <c r="OGT59" s="76"/>
      <c r="OGU59" s="76"/>
      <c r="OGV59" s="76"/>
      <c r="OGW59" s="76"/>
      <c r="OGX59" s="76"/>
      <c r="OGY59" s="76"/>
      <c r="OGZ59" s="76"/>
      <c r="OHA59" s="76"/>
      <c r="OHB59" s="76"/>
      <c r="OHC59" s="76"/>
      <c r="OHD59" s="76"/>
      <c r="OHE59" s="76"/>
      <c r="OHF59" s="76"/>
      <c r="OHG59" s="76"/>
      <c r="OHH59" s="76"/>
      <c r="OHI59" s="76"/>
      <c r="OHJ59" s="76"/>
      <c r="OHK59" s="76"/>
      <c r="OHL59" s="76"/>
      <c r="OHM59" s="76"/>
      <c r="OHN59" s="76"/>
      <c r="OHO59" s="76"/>
      <c r="OHP59" s="76"/>
      <c r="OHQ59" s="76"/>
      <c r="OHR59" s="76"/>
      <c r="OHS59" s="76"/>
      <c r="OHT59" s="76"/>
      <c r="OHU59" s="76"/>
      <c r="OHV59" s="76"/>
      <c r="OHW59" s="76"/>
      <c r="OHX59" s="76"/>
      <c r="OHY59" s="76"/>
      <c r="OHZ59" s="76"/>
      <c r="OIA59" s="76"/>
      <c r="OIB59" s="76"/>
      <c r="OIC59" s="76"/>
      <c r="OID59" s="76"/>
      <c r="OIE59" s="76"/>
      <c r="OIF59" s="76"/>
      <c r="OIG59" s="76"/>
      <c r="OIH59" s="76"/>
      <c r="OII59" s="76"/>
      <c r="OIJ59" s="76"/>
      <c r="OIK59" s="76"/>
      <c r="OIL59" s="76"/>
      <c r="OIM59" s="76"/>
      <c r="OIN59" s="76"/>
      <c r="OIO59" s="76"/>
      <c r="OIP59" s="76"/>
      <c r="OIQ59" s="76"/>
      <c r="OIR59" s="76"/>
      <c r="OIS59" s="76"/>
      <c r="OIT59" s="76"/>
      <c r="OIU59" s="76"/>
      <c r="OIV59" s="76"/>
      <c r="OIW59" s="76"/>
      <c r="OIX59" s="76"/>
      <c r="OIY59" s="76"/>
      <c r="OIZ59" s="76"/>
      <c r="OJA59" s="76"/>
      <c r="OJB59" s="76"/>
      <c r="OJC59" s="76"/>
      <c r="OJD59" s="76"/>
      <c r="OJE59" s="76"/>
      <c r="OJF59" s="76"/>
      <c r="OJG59" s="76"/>
      <c r="OJH59" s="76"/>
      <c r="OJI59" s="76"/>
      <c r="OJJ59" s="76"/>
      <c r="OJK59" s="76"/>
      <c r="OJL59" s="76"/>
      <c r="OJM59" s="76"/>
      <c r="OJN59" s="76"/>
      <c r="OJO59" s="76"/>
      <c r="OJP59" s="76"/>
      <c r="OJQ59" s="76"/>
      <c r="OJR59" s="76"/>
      <c r="OJS59" s="76"/>
      <c r="OJT59" s="76"/>
      <c r="OJU59" s="76"/>
      <c r="OJV59" s="76"/>
      <c r="OJW59" s="76"/>
      <c r="OJX59" s="76"/>
      <c r="OJY59" s="76"/>
      <c r="OJZ59" s="76"/>
      <c r="OKA59" s="76"/>
      <c r="OKB59" s="76"/>
      <c r="OKC59" s="76"/>
      <c r="OKD59" s="76"/>
      <c r="OKE59" s="76"/>
      <c r="OKF59" s="76"/>
      <c r="OKG59" s="76"/>
      <c r="OKH59" s="76"/>
      <c r="OKI59" s="76"/>
      <c r="OKJ59" s="76"/>
      <c r="OKK59" s="76"/>
      <c r="OKL59" s="76"/>
      <c r="OKM59" s="76"/>
      <c r="OKN59" s="76"/>
      <c r="OKO59" s="76"/>
      <c r="OKP59" s="76"/>
      <c r="OKQ59" s="76"/>
      <c r="OKR59" s="76"/>
      <c r="OKS59" s="76"/>
      <c r="OKT59" s="76"/>
      <c r="OKU59" s="76"/>
      <c r="OKV59" s="76"/>
      <c r="OKW59" s="76"/>
      <c r="OKX59" s="76"/>
      <c r="OKY59" s="76"/>
      <c r="OKZ59" s="76"/>
      <c r="OLA59" s="76"/>
      <c r="OLB59" s="76"/>
      <c r="OLC59" s="76"/>
      <c r="OLD59" s="76"/>
      <c r="OLE59" s="76"/>
      <c r="OLF59" s="76"/>
      <c r="OLG59" s="76"/>
      <c r="OLH59" s="76"/>
      <c r="OLI59" s="76"/>
      <c r="OLJ59" s="76"/>
      <c r="OLK59" s="76"/>
      <c r="OLL59" s="76"/>
      <c r="OLM59" s="76"/>
      <c r="OLN59" s="76"/>
      <c r="OLO59" s="76"/>
      <c r="OLP59" s="76"/>
      <c r="OLQ59" s="76"/>
      <c r="OLR59" s="76"/>
      <c r="OLS59" s="76"/>
      <c r="OLT59" s="76"/>
      <c r="OLU59" s="76"/>
      <c r="OLV59" s="76"/>
      <c r="OLW59" s="76"/>
      <c r="OLX59" s="76"/>
      <c r="OLY59" s="76"/>
      <c r="OLZ59" s="76"/>
      <c r="OMA59" s="76"/>
      <c r="OMB59" s="76"/>
      <c r="OMC59" s="76"/>
      <c r="OMD59" s="76"/>
      <c r="OME59" s="76"/>
      <c r="OMF59" s="76"/>
      <c r="OMG59" s="76"/>
      <c r="OMH59" s="76"/>
      <c r="OMI59" s="76"/>
      <c r="OMJ59" s="76"/>
      <c r="OMK59" s="76"/>
      <c r="OML59" s="76"/>
      <c r="OMM59" s="76"/>
      <c r="OMN59" s="76"/>
      <c r="OMO59" s="76"/>
      <c r="OMP59" s="76"/>
      <c r="OMQ59" s="76"/>
      <c r="OMR59" s="76"/>
      <c r="OMS59" s="76"/>
      <c r="OMT59" s="76"/>
      <c r="OMU59" s="76"/>
      <c r="OMV59" s="76"/>
      <c r="OMW59" s="76"/>
      <c r="OMX59" s="76"/>
      <c r="OMY59" s="76"/>
      <c r="OMZ59" s="76"/>
      <c r="ONA59" s="76"/>
      <c r="ONB59" s="76"/>
      <c r="ONC59" s="76"/>
      <c r="OND59" s="76"/>
      <c r="ONE59" s="76"/>
      <c r="ONF59" s="76"/>
      <c r="ONG59" s="76"/>
      <c r="ONH59" s="76"/>
      <c r="ONI59" s="76"/>
      <c r="ONJ59" s="76"/>
      <c r="ONK59" s="76"/>
      <c r="ONL59" s="76"/>
      <c r="ONM59" s="76"/>
      <c r="ONN59" s="76"/>
      <c r="ONO59" s="76"/>
      <c r="ONP59" s="76"/>
      <c r="ONQ59" s="76"/>
      <c r="ONR59" s="76"/>
      <c r="ONS59" s="76"/>
      <c r="ONT59" s="76"/>
      <c r="ONU59" s="76"/>
      <c r="ONV59" s="76"/>
      <c r="ONW59" s="76"/>
      <c r="ONX59" s="76"/>
      <c r="ONY59" s="76"/>
      <c r="ONZ59" s="76"/>
      <c r="OOA59" s="76"/>
      <c r="OOB59" s="76"/>
      <c r="OOC59" s="76"/>
      <c r="OOD59" s="76"/>
      <c r="OOE59" s="76"/>
      <c r="OOF59" s="76"/>
      <c r="OOG59" s="76"/>
      <c r="OOH59" s="76"/>
      <c r="OOI59" s="76"/>
      <c r="OOJ59" s="76"/>
      <c r="OOK59" s="76"/>
      <c r="OOL59" s="76"/>
      <c r="OOM59" s="76"/>
      <c r="OON59" s="76"/>
      <c r="OOO59" s="76"/>
      <c r="OOP59" s="76"/>
      <c r="OOQ59" s="76"/>
      <c r="OOR59" s="76"/>
      <c r="OOS59" s="76"/>
      <c r="OOT59" s="76"/>
      <c r="OOU59" s="76"/>
      <c r="OOV59" s="76"/>
      <c r="OOW59" s="76"/>
      <c r="OOX59" s="76"/>
      <c r="OOY59" s="76"/>
      <c r="OOZ59" s="76"/>
      <c r="OPA59" s="76"/>
      <c r="OPB59" s="76"/>
      <c r="OPC59" s="76"/>
      <c r="OPD59" s="76"/>
      <c r="OPE59" s="76"/>
      <c r="OPF59" s="76"/>
      <c r="OPG59" s="76"/>
      <c r="OPH59" s="76"/>
      <c r="OPI59" s="76"/>
      <c r="OPJ59" s="76"/>
      <c r="OPK59" s="76"/>
      <c r="OPL59" s="76"/>
      <c r="OPM59" s="76"/>
      <c r="OPN59" s="76"/>
      <c r="OPO59" s="76"/>
      <c r="OPP59" s="76"/>
      <c r="OPQ59" s="76"/>
      <c r="OPR59" s="76"/>
      <c r="OPS59" s="76"/>
      <c r="OPT59" s="76"/>
      <c r="OPU59" s="76"/>
      <c r="OPV59" s="76"/>
      <c r="OPW59" s="76"/>
      <c r="OPX59" s="76"/>
      <c r="OPY59" s="76"/>
      <c r="OPZ59" s="76"/>
      <c r="OQA59" s="76"/>
      <c r="OQB59" s="76"/>
      <c r="OQC59" s="76"/>
      <c r="OQD59" s="76"/>
      <c r="OQE59" s="76"/>
      <c r="OQF59" s="76"/>
      <c r="OQG59" s="76"/>
      <c r="OQH59" s="76"/>
      <c r="OQI59" s="76"/>
      <c r="OQJ59" s="76"/>
      <c r="OQK59" s="76"/>
      <c r="OQL59" s="76"/>
      <c r="OQM59" s="76"/>
      <c r="OQN59" s="76"/>
      <c r="OQO59" s="76"/>
      <c r="OQP59" s="76"/>
      <c r="OQQ59" s="76"/>
      <c r="OQR59" s="76"/>
      <c r="OQS59" s="76"/>
      <c r="OQT59" s="76"/>
      <c r="OQU59" s="76"/>
      <c r="OQV59" s="76"/>
      <c r="OQW59" s="76"/>
      <c r="OQX59" s="76"/>
      <c r="OQY59" s="76"/>
      <c r="OQZ59" s="76"/>
      <c r="ORA59" s="76"/>
      <c r="ORB59" s="76"/>
      <c r="ORC59" s="76"/>
      <c r="ORD59" s="76"/>
      <c r="ORE59" s="76"/>
      <c r="ORF59" s="76"/>
      <c r="ORG59" s="76"/>
      <c r="ORH59" s="76"/>
      <c r="ORI59" s="76"/>
      <c r="ORJ59" s="76"/>
      <c r="ORK59" s="76"/>
      <c r="ORL59" s="76"/>
      <c r="ORM59" s="76"/>
      <c r="ORN59" s="76"/>
      <c r="ORO59" s="76"/>
      <c r="ORP59" s="76"/>
      <c r="ORQ59" s="76"/>
      <c r="ORR59" s="76"/>
      <c r="ORS59" s="76"/>
      <c r="ORT59" s="76"/>
      <c r="ORU59" s="76"/>
      <c r="ORV59" s="76"/>
      <c r="ORW59" s="76"/>
      <c r="ORX59" s="76"/>
      <c r="ORY59" s="76"/>
      <c r="ORZ59" s="76"/>
      <c r="OSA59" s="76"/>
      <c r="OSB59" s="76"/>
      <c r="OSC59" s="76"/>
      <c r="OSD59" s="76"/>
      <c r="OSE59" s="76"/>
      <c r="OSF59" s="76"/>
      <c r="OSG59" s="76"/>
      <c r="OSH59" s="76"/>
      <c r="OSI59" s="76"/>
      <c r="OSJ59" s="76"/>
      <c r="OSK59" s="76"/>
      <c r="OSL59" s="76"/>
      <c r="OSM59" s="76"/>
      <c r="OSN59" s="76"/>
      <c r="OSO59" s="76"/>
      <c r="OSP59" s="76"/>
      <c r="OSQ59" s="76"/>
      <c r="OSR59" s="76"/>
      <c r="OSS59" s="76"/>
      <c r="OST59" s="76"/>
      <c r="OSU59" s="76"/>
      <c r="OSV59" s="76"/>
      <c r="OSW59" s="76"/>
      <c r="OSX59" s="76"/>
      <c r="OSY59" s="76"/>
      <c r="OSZ59" s="76"/>
      <c r="OTA59" s="76"/>
      <c r="OTB59" s="76"/>
      <c r="OTC59" s="76"/>
      <c r="OTD59" s="76"/>
      <c r="OTE59" s="76"/>
      <c r="OTF59" s="76"/>
      <c r="OTG59" s="76"/>
      <c r="OTH59" s="76"/>
      <c r="OTI59" s="76"/>
      <c r="OTJ59" s="76"/>
      <c r="OTK59" s="76"/>
      <c r="OTL59" s="76"/>
      <c r="OTM59" s="76"/>
      <c r="OTN59" s="76"/>
      <c r="OTO59" s="76"/>
      <c r="OTP59" s="76"/>
      <c r="OTQ59" s="76"/>
      <c r="OTR59" s="76"/>
      <c r="OTS59" s="76"/>
      <c r="OTT59" s="76"/>
      <c r="OTU59" s="76"/>
      <c r="OTV59" s="76"/>
      <c r="OTW59" s="76"/>
      <c r="OTX59" s="76"/>
      <c r="OTY59" s="76"/>
      <c r="OTZ59" s="76"/>
      <c r="OUA59" s="76"/>
      <c r="OUB59" s="76"/>
      <c r="OUC59" s="76"/>
      <c r="OUD59" s="76"/>
      <c r="OUE59" s="76"/>
      <c r="OUF59" s="76"/>
      <c r="OUG59" s="76"/>
      <c r="OUH59" s="76"/>
      <c r="OUI59" s="76"/>
      <c r="OUJ59" s="76"/>
      <c r="OUK59" s="76"/>
      <c r="OUL59" s="76"/>
      <c r="OUM59" s="76"/>
      <c r="OUN59" s="76"/>
      <c r="OUO59" s="76"/>
      <c r="OUP59" s="76"/>
      <c r="OUQ59" s="76"/>
      <c r="OUR59" s="76"/>
      <c r="OUS59" s="76"/>
      <c r="OUT59" s="76"/>
      <c r="OUU59" s="76"/>
      <c r="OUV59" s="76"/>
      <c r="OUW59" s="76"/>
      <c r="OUX59" s="76"/>
      <c r="OUY59" s="76"/>
      <c r="OUZ59" s="76"/>
      <c r="OVA59" s="76"/>
      <c r="OVB59" s="76"/>
      <c r="OVC59" s="76"/>
      <c r="OVD59" s="76"/>
      <c r="OVE59" s="76"/>
      <c r="OVF59" s="76"/>
      <c r="OVG59" s="76"/>
      <c r="OVH59" s="76"/>
      <c r="OVI59" s="76"/>
      <c r="OVJ59" s="76"/>
      <c r="OVK59" s="76"/>
      <c r="OVL59" s="76"/>
      <c r="OVM59" s="76"/>
      <c r="OVN59" s="76"/>
      <c r="OVO59" s="76"/>
      <c r="OVP59" s="76"/>
      <c r="OVQ59" s="76"/>
      <c r="OVR59" s="76"/>
      <c r="OVS59" s="76"/>
      <c r="OVT59" s="76"/>
      <c r="OVU59" s="76"/>
      <c r="OVV59" s="76"/>
      <c r="OVW59" s="76"/>
      <c r="OVX59" s="76"/>
      <c r="OVY59" s="76"/>
      <c r="OVZ59" s="76"/>
      <c r="OWA59" s="76"/>
      <c r="OWB59" s="76"/>
      <c r="OWC59" s="76"/>
      <c r="OWD59" s="76"/>
      <c r="OWE59" s="76"/>
      <c r="OWF59" s="76"/>
      <c r="OWG59" s="76"/>
      <c r="OWH59" s="76"/>
      <c r="OWI59" s="76"/>
      <c r="OWJ59" s="76"/>
      <c r="OWK59" s="76"/>
      <c r="OWL59" s="76"/>
      <c r="OWM59" s="76"/>
      <c r="OWN59" s="76"/>
      <c r="OWO59" s="76"/>
      <c r="OWP59" s="76"/>
      <c r="OWQ59" s="76"/>
      <c r="OWR59" s="76"/>
      <c r="OWS59" s="76"/>
      <c r="OWT59" s="76"/>
      <c r="OWU59" s="76"/>
      <c r="OWV59" s="76"/>
      <c r="OWW59" s="76"/>
      <c r="OWX59" s="76"/>
      <c r="OWY59" s="76"/>
      <c r="OWZ59" s="76"/>
      <c r="OXA59" s="76"/>
      <c r="OXB59" s="76"/>
      <c r="OXC59" s="76"/>
      <c r="OXD59" s="76"/>
      <c r="OXE59" s="76"/>
      <c r="OXF59" s="76"/>
      <c r="OXG59" s="76"/>
      <c r="OXH59" s="76"/>
      <c r="OXI59" s="76"/>
      <c r="OXJ59" s="76"/>
      <c r="OXK59" s="76"/>
      <c r="OXL59" s="76"/>
      <c r="OXM59" s="76"/>
      <c r="OXN59" s="76"/>
      <c r="OXO59" s="76"/>
      <c r="OXP59" s="76"/>
      <c r="OXQ59" s="76"/>
      <c r="OXR59" s="76"/>
      <c r="OXS59" s="76"/>
      <c r="OXT59" s="76"/>
      <c r="OXU59" s="76"/>
      <c r="OXV59" s="76"/>
      <c r="OXW59" s="76"/>
      <c r="OXX59" s="76"/>
      <c r="OXY59" s="76"/>
      <c r="OXZ59" s="76"/>
      <c r="OYA59" s="76"/>
      <c r="OYB59" s="76"/>
      <c r="OYC59" s="76"/>
      <c r="OYD59" s="76"/>
      <c r="OYE59" s="76"/>
      <c r="OYF59" s="76"/>
      <c r="OYG59" s="76"/>
      <c r="OYH59" s="76"/>
      <c r="OYI59" s="76"/>
      <c r="OYJ59" s="76"/>
      <c r="OYK59" s="76"/>
      <c r="OYL59" s="76"/>
      <c r="OYM59" s="76"/>
      <c r="OYN59" s="76"/>
      <c r="OYO59" s="76"/>
      <c r="OYP59" s="76"/>
      <c r="OYQ59" s="76"/>
      <c r="OYR59" s="76"/>
      <c r="OYS59" s="76"/>
      <c r="OYT59" s="76"/>
      <c r="OYU59" s="76"/>
      <c r="OYV59" s="76"/>
      <c r="OYW59" s="76"/>
      <c r="OYX59" s="76"/>
      <c r="OYY59" s="76"/>
      <c r="OYZ59" s="76"/>
      <c r="OZA59" s="76"/>
      <c r="OZB59" s="76"/>
      <c r="OZC59" s="76"/>
      <c r="OZD59" s="76"/>
      <c r="OZE59" s="76"/>
      <c r="OZF59" s="76"/>
      <c r="OZG59" s="76"/>
      <c r="OZH59" s="76"/>
      <c r="OZI59" s="76"/>
      <c r="OZJ59" s="76"/>
      <c r="OZK59" s="76"/>
      <c r="OZL59" s="76"/>
      <c r="OZM59" s="76"/>
      <c r="OZN59" s="76"/>
      <c r="OZO59" s="76"/>
      <c r="OZP59" s="76"/>
      <c r="OZQ59" s="76"/>
      <c r="OZR59" s="76"/>
      <c r="OZS59" s="76"/>
      <c r="OZT59" s="76"/>
      <c r="OZU59" s="76"/>
      <c r="OZV59" s="76"/>
      <c r="OZW59" s="76"/>
      <c r="OZX59" s="76"/>
      <c r="OZY59" s="76"/>
      <c r="OZZ59" s="76"/>
      <c r="PAA59" s="76"/>
      <c r="PAB59" s="76"/>
      <c r="PAC59" s="76"/>
      <c r="PAD59" s="76"/>
      <c r="PAE59" s="76"/>
      <c r="PAF59" s="76"/>
      <c r="PAG59" s="76"/>
      <c r="PAH59" s="76"/>
      <c r="PAI59" s="76"/>
      <c r="PAJ59" s="76"/>
      <c r="PAK59" s="76"/>
      <c r="PAL59" s="76"/>
      <c r="PAM59" s="76"/>
      <c r="PAN59" s="76"/>
      <c r="PAO59" s="76"/>
      <c r="PAP59" s="76"/>
      <c r="PAQ59" s="76"/>
      <c r="PAR59" s="76"/>
      <c r="PAS59" s="76"/>
      <c r="PAT59" s="76"/>
      <c r="PAU59" s="76"/>
      <c r="PAV59" s="76"/>
      <c r="PAW59" s="76"/>
      <c r="PAX59" s="76"/>
      <c r="PAY59" s="76"/>
      <c r="PAZ59" s="76"/>
      <c r="PBA59" s="76"/>
      <c r="PBB59" s="76"/>
      <c r="PBC59" s="76"/>
      <c r="PBD59" s="76"/>
      <c r="PBE59" s="76"/>
      <c r="PBF59" s="76"/>
      <c r="PBG59" s="76"/>
      <c r="PBH59" s="76"/>
      <c r="PBI59" s="76"/>
      <c r="PBJ59" s="76"/>
      <c r="PBK59" s="76"/>
      <c r="PBL59" s="76"/>
      <c r="PBM59" s="76"/>
      <c r="PBN59" s="76"/>
      <c r="PBO59" s="76"/>
      <c r="PBP59" s="76"/>
      <c r="PBQ59" s="76"/>
      <c r="PBR59" s="76"/>
      <c r="PBS59" s="76"/>
      <c r="PBT59" s="76"/>
      <c r="PBU59" s="76"/>
      <c r="PBV59" s="76"/>
      <c r="PBW59" s="76"/>
      <c r="PBX59" s="76"/>
      <c r="PBY59" s="76"/>
      <c r="PBZ59" s="76"/>
      <c r="PCA59" s="76"/>
      <c r="PCB59" s="76"/>
      <c r="PCC59" s="76"/>
      <c r="PCD59" s="76"/>
      <c r="PCE59" s="76"/>
      <c r="PCF59" s="76"/>
      <c r="PCG59" s="76"/>
      <c r="PCH59" s="76"/>
      <c r="PCI59" s="76"/>
      <c r="PCJ59" s="76"/>
      <c r="PCK59" s="76"/>
      <c r="PCL59" s="76"/>
      <c r="PCM59" s="76"/>
      <c r="PCN59" s="76"/>
      <c r="PCO59" s="76"/>
      <c r="PCP59" s="76"/>
      <c r="PCQ59" s="76"/>
      <c r="PCR59" s="76"/>
      <c r="PCS59" s="76"/>
      <c r="PCT59" s="76"/>
      <c r="PCU59" s="76"/>
      <c r="PCV59" s="76"/>
      <c r="PCW59" s="76"/>
      <c r="PCX59" s="76"/>
      <c r="PCY59" s="76"/>
      <c r="PCZ59" s="76"/>
      <c r="PDA59" s="76"/>
      <c r="PDB59" s="76"/>
      <c r="PDC59" s="76"/>
      <c r="PDD59" s="76"/>
      <c r="PDE59" s="76"/>
      <c r="PDF59" s="76"/>
      <c r="PDG59" s="76"/>
      <c r="PDH59" s="76"/>
      <c r="PDI59" s="76"/>
      <c r="PDJ59" s="76"/>
      <c r="PDK59" s="76"/>
      <c r="PDL59" s="76"/>
      <c r="PDM59" s="76"/>
      <c r="PDN59" s="76"/>
      <c r="PDO59" s="76"/>
      <c r="PDP59" s="76"/>
      <c r="PDQ59" s="76"/>
      <c r="PDR59" s="76"/>
      <c r="PDS59" s="76"/>
      <c r="PDT59" s="76"/>
      <c r="PDU59" s="76"/>
      <c r="PDV59" s="76"/>
      <c r="PDW59" s="76"/>
      <c r="PDX59" s="76"/>
      <c r="PDY59" s="76"/>
      <c r="PDZ59" s="76"/>
      <c r="PEA59" s="76"/>
      <c r="PEB59" s="76"/>
      <c r="PEC59" s="76"/>
      <c r="PED59" s="76"/>
      <c r="PEE59" s="76"/>
      <c r="PEF59" s="76"/>
      <c r="PEG59" s="76"/>
      <c r="PEH59" s="76"/>
      <c r="PEI59" s="76"/>
      <c r="PEJ59" s="76"/>
      <c r="PEK59" s="76"/>
      <c r="PEL59" s="76"/>
      <c r="PEM59" s="76"/>
      <c r="PEN59" s="76"/>
      <c r="PEO59" s="76"/>
      <c r="PEP59" s="76"/>
      <c r="PEQ59" s="76"/>
      <c r="PER59" s="76"/>
      <c r="PES59" s="76"/>
      <c r="PET59" s="76"/>
      <c r="PEU59" s="76"/>
      <c r="PEV59" s="76"/>
      <c r="PEW59" s="76"/>
      <c r="PEX59" s="76"/>
      <c r="PEY59" s="76"/>
      <c r="PEZ59" s="76"/>
      <c r="PFA59" s="76"/>
      <c r="PFB59" s="76"/>
      <c r="PFC59" s="76"/>
      <c r="PFD59" s="76"/>
      <c r="PFE59" s="76"/>
      <c r="PFF59" s="76"/>
      <c r="PFG59" s="76"/>
      <c r="PFH59" s="76"/>
      <c r="PFI59" s="76"/>
      <c r="PFJ59" s="76"/>
      <c r="PFK59" s="76"/>
      <c r="PFL59" s="76"/>
      <c r="PFM59" s="76"/>
      <c r="PFN59" s="76"/>
      <c r="PFO59" s="76"/>
      <c r="PFP59" s="76"/>
      <c r="PFQ59" s="76"/>
      <c r="PFR59" s="76"/>
      <c r="PFS59" s="76"/>
      <c r="PFT59" s="76"/>
      <c r="PFU59" s="76"/>
      <c r="PFV59" s="76"/>
      <c r="PFW59" s="76"/>
      <c r="PFX59" s="76"/>
      <c r="PFY59" s="76"/>
      <c r="PFZ59" s="76"/>
      <c r="PGA59" s="76"/>
      <c r="PGB59" s="76"/>
      <c r="PGC59" s="76"/>
      <c r="PGD59" s="76"/>
      <c r="PGE59" s="76"/>
      <c r="PGF59" s="76"/>
      <c r="PGG59" s="76"/>
      <c r="PGH59" s="76"/>
      <c r="PGI59" s="76"/>
      <c r="PGJ59" s="76"/>
      <c r="PGK59" s="76"/>
      <c r="PGL59" s="76"/>
      <c r="PGM59" s="76"/>
      <c r="PGN59" s="76"/>
      <c r="PGO59" s="76"/>
      <c r="PGP59" s="76"/>
      <c r="PGQ59" s="76"/>
      <c r="PGR59" s="76"/>
      <c r="PGS59" s="76"/>
      <c r="PGT59" s="76"/>
      <c r="PGU59" s="76"/>
      <c r="PGV59" s="76"/>
      <c r="PGW59" s="76"/>
      <c r="PGX59" s="76"/>
      <c r="PGY59" s="76"/>
      <c r="PGZ59" s="76"/>
      <c r="PHA59" s="76"/>
      <c r="PHB59" s="76"/>
      <c r="PHC59" s="76"/>
      <c r="PHD59" s="76"/>
      <c r="PHE59" s="76"/>
      <c r="PHF59" s="76"/>
      <c r="PHG59" s="76"/>
      <c r="PHH59" s="76"/>
      <c r="PHI59" s="76"/>
      <c r="PHJ59" s="76"/>
      <c r="PHK59" s="76"/>
      <c r="PHL59" s="76"/>
      <c r="PHM59" s="76"/>
      <c r="PHN59" s="76"/>
      <c r="PHO59" s="76"/>
      <c r="PHP59" s="76"/>
      <c r="PHQ59" s="76"/>
      <c r="PHR59" s="76"/>
      <c r="PHS59" s="76"/>
      <c r="PHT59" s="76"/>
      <c r="PHU59" s="76"/>
      <c r="PHV59" s="76"/>
      <c r="PHW59" s="76"/>
      <c r="PHX59" s="76"/>
      <c r="PHY59" s="76"/>
      <c r="PHZ59" s="76"/>
      <c r="PIA59" s="76"/>
      <c r="PIB59" s="76"/>
      <c r="PIC59" s="76"/>
      <c r="PID59" s="76"/>
      <c r="PIE59" s="76"/>
      <c r="PIF59" s="76"/>
      <c r="PIG59" s="76"/>
      <c r="PIH59" s="76"/>
      <c r="PII59" s="76"/>
      <c r="PIJ59" s="76"/>
      <c r="PIK59" s="76"/>
      <c r="PIL59" s="76"/>
      <c r="PIM59" s="76"/>
      <c r="PIN59" s="76"/>
      <c r="PIO59" s="76"/>
      <c r="PIP59" s="76"/>
      <c r="PIQ59" s="76"/>
      <c r="PIR59" s="76"/>
      <c r="PIS59" s="76"/>
      <c r="PIT59" s="76"/>
      <c r="PIU59" s="76"/>
      <c r="PIV59" s="76"/>
      <c r="PIW59" s="76"/>
      <c r="PIX59" s="76"/>
      <c r="PIY59" s="76"/>
      <c r="PIZ59" s="76"/>
      <c r="PJA59" s="76"/>
      <c r="PJB59" s="76"/>
      <c r="PJC59" s="76"/>
      <c r="PJD59" s="76"/>
      <c r="PJE59" s="76"/>
      <c r="PJF59" s="76"/>
      <c r="PJG59" s="76"/>
      <c r="PJH59" s="76"/>
      <c r="PJI59" s="76"/>
      <c r="PJJ59" s="76"/>
      <c r="PJK59" s="76"/>
      <c r="PJL59" s="76"/>
      <c r="PJM59" s="76"/>
      <c r="PJN59" s="76"/>
      <c r="PJO59" s="76"/>
      <c r="PJP59" s="76"/>
      <c r="PJQ59" s="76"/>
      <c r="PJR59" s="76"/>
      <c r="PJS59" s="76"/>
      <c r="PJT59" s="76"/>
      <c r="PJU59" s="76"/>
      <c r="PJV59" s="76"/>
      <c r="PJW59" s="76"/>
      <c r="PJX59" s="76"/>
      <c r="PJY59" s="76"/>
      <c r="PJZ59" s="76"/>
      <c r="PKA59" s="76"/>
      <c r="PKB59" s="76"/>
      <c r="PKC59" s="76"/>
      <c r="PKD59" s="76"/>
      <c r="PKE59" s="76"/>
      <c r="PKF59" s="76"/>
      <c r="PKG59" s="76"/>
      <c r="PKH59" s="76"/>
      <c r="PKI59" s="76"/>
      <c r="PKJ59" s="76"/>
      <c r="PKK59" s="76"/>
      <c r="PKL59" s="76"/>
      <c r="PKM59" s="76"/>
      <c r="PKN59" s="76"/>
      <c r="PKO59" s="76"/>
      <c r="PKP59" s="76"/>
      <c r="PKQ59" s="76"/>
      <c r="PKR59" s="76"/>
      <c r="PKS59" s="76"/>
      <c r="PKT59" s="76"/>
      <c r="PKU59" s="76"/>
      <c r="PKV59" s="76"/>
      <c r="PKW59" s="76"/>
      <c r="PKX59" s="76"/>
      <c r="PKY59" s="76"/>
      <c r="PKZ59" s="76"/>
      <c r="PLA59" s="76"/>
      <c r="PLB59" s="76"/>
      <c r="PLC59" s="76"/>
      <c r="PLD59" s="76"/>
      <c r="PLE59" s="76"/>
      <c r="PLF59" s="76"/>
      <c r="PLG59" s="76"/>
      <c r="PLH59" s="76"/>
      <c r="PLI59" s="76"/>
      <c r="PLJ59" s="76"/>
      <c r="PLK59" s="76"/>
      <c r="PLL59" s="76"/>
      <c r="PLM59" s="76"/>
      <c r="PLN59" s="76"/>
      <c r="PLO59" s="76"/>
      <c r="PLP59" s="76"/>
      <c r="PLQ59" s="76"/>
      <c r="PLR59" s="76"/>
      <c r="PLS59" s="76"/>
      <c r="PLT59" s="76"/>
      <c r="PLU59" s="76"/>
      <c r="PLV59" s="76"/>
      <c r="PLW59" s="76"/>
      <c r="PLX59" s="76"/>
      <c r="PLY59" s="76"/>
      <c r="PLZ59" s="76"/>
      <c r="PMA59" s="76"/>
      <c r="PMB59" s="76"/>
      <c r="PMC59" s="76"/>
      <c r="PMD59" s="76"/>
      <c r="PME59" s="76"/>
      <c r="PMF59" s="76"/>
      <c r="PMG59" s="76"/>
      <c r="PMH59" s="76"/>
      <c r="PMI59" s="76"/>
      <c r="PMJ59" s="76"/>
      <c r="PMK59" s="76"/>
      <c r="PML59" s="76"/>
      <c r="PMM59" s="76"/>
      <c r="PMN59" s="76"/>
      <c r="PMO59" s="76"/>
      <c r="PMP59" s="76"/>
      <c r="PMQ59" s="76"/>
      <c r="PMR59" s="76"/>
      <c r="PMS59" s="76"/>
      <c r="PMT59" s="76"/>
      <c r="PMU59" s="76"/>
      <c r="PMV59" s="76"/>
      <c r="PMW59" s="76"/>
      <c r="PMX59" s="76"/>
      <c r="PMY59" s="76"/>
      <c r="PMZ59" s="76"/>
      <c r="PNA59" s="76"/>
      <c r="PNB59" s="76"/>
      <c r="PNC59" s="76"/>
      <c r="PND59" s="76"/>
      <c r="PNE59" s="76"/>
      <c r="PNF59" s="76"/>
      <c r="PNG59" s="76"/>
      <c r="PNH59" s="76"/>
      <c r="PNI59" s="76"/>
      <c r="PNJ59" s="76"/>
      <c r="PNK59" s="76"/>
      <c r="PNL59" s="76"/>
      <c r="PNM59" s="76"/>
      <c r="PNN59" s="76"/>
      <c r="PNO59" s="76"/>
      <c r="PNP59" s="76"/>
      <c r="PNQ59" s="76"/>
      <c r="PNR59" s="76"/>
      <c r="PNS59" s="76"/>
      <c r="PNT59" s="76"/>
      <c r="PNU59" s="76"/>
      <c r="PNV59" s="76"/>
      <c r="PNW59" s="76"/>
      <c r="PNX59" s="76"/>
      <c r="PNY59" s="76"/>
      <c r="PNZ59" s="76"/>
      <c r="POA59" s="76"/>
      <c r="POB59" s="76"/>
      <c r="POC59" s="76"/>
      <c r="POD59" s="76"/>
      <c r="POE59" s="76"/>
      <c r="POF59" s="76"/>
      <c r="POG59" s="76"/>
      <c r="POH59" s="76"/>
      <c r="POI59" s="76"/>
      <c r="POJ59" s="76"/>
      <c r="POK59" s="76"/>
      <c r="POL59" s="76"/>
      <c r="POM59" s="76"/>
      <c r="PON59" s="76"/>
      <c r="POO59" s="76"/>
      <c r="POP59" s="76"/>
      <c r="POQ59" s="76"/>
      <c r="POR59" s="76"/>
      <c r="POS59" s="76"/>
      <c r="POT59" s="76"/>
      <c r="POU59" s="76"/>
      <c r="POV59" s="76"/>
      <c r="POW59" s="76"/>
      <c r="POX59" s="76"/>
      <c r="POY59" s="76"/>
      <c r="POZ59" s="76"/>
      <c r="PPA59" s="76"/>
      <c r="PPB59" s="76"/>
      <c r="PPC59" s="76"/>
      <c r="PPD59" s="76"/>
      <c r="PPE59" s="76"/>
      <c r="PPF59" s="76"/>
      <c r="PPG59" s="76"/>
      <c r="PPH59" s="76"/>
      <c r="PPI59" s="76"/>
      <c r="PPJ59" s="76"/>
      <c r="PPK59" s="76"/>
      <c r="PPL59" s="76"/>
      <c r="PPM59" s="76"/>
      <c r="PPN59" s="76"/>
      <c r="PPO59" s="76"/>
      <c r="PPP59" s="76"/>
      <c r="PPQ59" s="76"/>
      <c r="PPR59" s="76"/>
      <c r="PPS59" s="76"/>
      <c r="PPT59" s="76"/>
      <c r="PPU59" s="76"/>
      <c r="PPV59" s="76"/>
      <c r="PPW59" s="76"/>
      <c r="PPX59" s="76"/>
      <c r="PPY59" s="76"/>
      <c r="PPZ59" s="76"/>
      <c r="PQA59" s="76"/>
      <c r="PQB59" s="76"/>
      <c r="PQC59" s="76"/>
      <c r="PQD59" s="76"/>
      <c r="PQE59" s="76"/>
      <c r="PQF59" s="76"/>
      <c r="PQG59" s="76"/>
      <c r="PQH59" s="76"/>
      <c r="PQI59" s="76"/>
      <c r="PQJ59" s="76"/>
      <c r="PQK59" s="76"/>
      <c r="PQL59" s="76"/>
      <c r="PQM59" s="76"/>
      <c r="PQN59" s="76"/>
      <c r="PQO59" s="76"/>
      <c r="PQP59" s="76"/>
      <c r="PQQ59" s="76"/>
      <c r="PQR59" s="76"/>
      <c r="PQS59" s="76"/>
      <c r="PQT59" s="76"/>
      <c r="PQU59" s="76"/>
      <c r="PQV59" s="76"/>
      <c r="PQW59" s="76"/>
      <c r="PQX59" s="76"/>
      <c r="PQY59" s="76"/>
      <c r="PQZ59" s="76"/>
      <c r="PRA59" s="76"/>
      <c r="PRB59" s="76"/>
      <c r="PRC59" s="76"/>
      <c r="PRD59" s="76"/>
      <c r="PRE59" s="76"/>
      <c r="PRF59" s="76"/>
      <c r="PRG59" s="76"/>
      <c r="PRH59" s="76"/>
      <c r="PRI59" s="76"/>
      <c r="PRJ59" s="76"/>
      <c r="PRK59" s="76"/>
      <c r="PRL59" s="76"/>
      <c r="PRM59" s="76"/>
      <c r="PRN59" s="76"/>
      <c r="PRO59" s="76"/>
      <c r="PRP59" s="76"/>
      <c r="PRQ59" s="76"/>
      <c r="PRR59" s="76"/>
      <c r="PRS59" s="76"/>
      <c r="PRT59" s="76"/>
      <c r="PRU59" s="76"/>
      <c r="PRV59" s="76"/>
      <c r="PRW59" s="76"/>
      <c r="PRX59" s="76"/>
      <c r="PRY59" s="76"/>
      <c r="PRZ59" s="76"/>
      <c r="PSA59" s="76"/>
      <c r="PSB59" s="76"/>
      <c r="PSC59" s="76"/>
      <c r="PSD59" s="76"/>
      <c r="PSE59" s="76"/>
      <c r="PSF59" s="76"/>
      <c r="PSG59" s="76"/>
      <c r="PSH59" s="76"/>
      <c r="PSI59" s="76"/>
      <c r="PSJ59" s="76"/>
      <c r="PSK59" s="76"/>
      <c r="PSL59" s="76"/>
      <c r="PSM59" s="76"/>
      <c r="PSN59" s="76"/>
      <c r="PSO59" s="76"/>
      <c r="PSP59" s="76"/>
      <c r="PSQ59" s="76"/>
      <c r="PSR59" s="76"/>
      <c r="PSS59" s="76"/>
      <c r="PST59" s="76"/>
      <c r="PSU59" s="76"/>
      <c r="PSV59" s="76"/>
      <c r="PSW59" s="76"/>
      <c r="PSX59" s="76"/>
      <c r="PSY59" s="76"/>
      <c r="PSZ59" s="76"/>
      <c r="PTA59" s="76"/>
      <c r="PTB59" s="76"/>
      <c r="PTC59" s="76"/>
      <c r="PTD59" s="76"/>
      <c r="PTE59" s="76"/>
      <c r="PTF59" s="76"/>
      <c r="PTG59" s="76"/>
      <c r="PTH59" s="76"/>
      <c r="PTI59" s="76"/>
      <c r="PTJ59" s="76"/>
      <c r="PTK59" s="76"/>
      <c r="PTL59" s="76"/>
      <c r="PTM59" s="76"/>
      <c r="PTN59" s="76"/>
      <c r="PTO59" s="76"/>
      <c r="PTP59" s="76"/>
      <c r="PTQ59" s="76"/>
      <c r="PTR59" s="76"/>
      <c r="PTS59" s="76"/>
      <c r="PTT59" s="76"/>
      <c r="PTU59" s="76"/>
      <c r="PTV59" s="76"/>
      <c r="PTW59" s="76"/>
      <c r="PTX59" s="76"/>
      <c r="PTY59" s="76"/>
      <c r="PTZ59" s="76"/>
      <c r="PUA59" s="76"/>
      <c r="PUB59" s="76"/>
      <c r="PUC59" s="76"/>
      <c r="PUD59" s="76"/>
      <c r="PUE59" s="76"/>
      <c r="PUF59" s="76"/>
      <c r="PUG59" s="76"/>
      <c r="PUH59" s="76"/>
      <c r="PUI59" s="76"/>
      <c r="PUJ59" s="76"/>
      <c r="PUK59" s="76"/>
      <c r="PUL59" s="76"/>
      <c r="PUM59" s="76"/>
      <c r="PUN59" s="76"/>
      <c r="PUO59" s="76"/>
      <c r="PUP59" s="76"/>
      <c r="PUQ59" s="76"/>
      <c r="PUR59" s="76"/>
      <c r="PUS59" s="76"/>
      <c r="PUT59" s="76"/>
      <c r="PUU59" s="76"/>
      <c r="PUV59" s="76"/>
      <c r="PUW59" s="76"/>
      <c r="PUX59" s="76"/>
      <c r="PUY59" s="76"/>
      <c r="PUZ59" s="76"/>
      <c r="PVA59" s="76"/>
      <c r="PVB59" s="76"/>
      <c r="PVC59" s="76"/>
      <c r="PVD59" s="76"/>
      <c r="PVE59" s="76"/>
      <c r="PVF59" s="76"/>
      <c r="PVG59" s="76"/>
      <c r="PVH59" s="76"/>
      <c r="PVI59" s="76"/>
      <c r="PVJ59" s="76"/>
      <c r="PVK59" s="76"/>
      <c r="PVL59" s="76"/>
      <c r="PVM59" s="76"/>
      <c r="PVN59" s="76"/>
      <c r="PVO59" s="76"/>
      <c r="PVP59" s="76"/>
      <c r="PVQ59" s="76"/>
      <c r="PVR59" s="76"/>
      <c r="PVS59" s="76"/>
      <c r="PVT59" s="76"/>
      <c r="PVU59" s="76"/>
      <c r="PVV59" s="76"/>
      <c r="PVW59" s="76"/>
      <c r="PVX59" s="76"/>
      <c r="PVY59" s="76"/>
      <c r="PVZ59" s="76"/>
      <c r="PWA59" s="76"/>
      <c r="PWB59" s="76"/>
      <c r="PWC59" s="76"/>
      <c r="PWD59" s="76"/>
      <c r="PWE59" s="76"/>
      <c r="PWF59" s="76"/>
      <c r="PWG59" s="76"/>
      <c r="PWH59" s="76"/>
      <c r="PWI59" s="76"/>
      <c r="PWJ59" s="76"/>
      <c r="PWK59" s="76"/>
      <c r="PWL59" s="76"/>
      <c r="PWM59" s="76"/>
      <c r="PWN59" s="76"/>
      <c r="PWO59" s="76"/>
      <c r="PWP59" s="76"/>
      <c r="PWQ59" s="76"/>
      <c r="PWR59" s="76"/>
      <c r="PWS59" s="76"/>
      <c r="PWT59" s="76"/>
      <c r="PWU59" s="76"/>
      <c r="PWV59" s="76"/>
      <c r="PWW59" s="76"/>
      <c r="PWX59" s="76"/>
      <c r="PWY59" s="76"/>
      <c r="PWZ59" s="76"/>
      <c r="PXA59" s="76"/>
      <c r="PXB59" s="76"/>
      <c r="PXC59" s="76"/>
      <c r="PXD59" s="76"/>
      <c r="PXE59" s="76"/>
      <c r="PXF59" s="76"/>
      <c r="PXG59" s="76"/>
      <c r="PXH59" s="76"/>
      <c r="PXI59" s="76"/>
      <c r="PXJ59" s="76"/>
      <c r="PXK59" s="76"/>
      <c r="PXL59" s="76"/>
      <c r="PXM59" s="76"/>
      <c r="PXN59" s="76"/>
      <c r="PXO59" s="76"/>
      <c r="PXP59" s="76"/>
      <c r="PXQ59" s="76"/>
      <c r="PXR59" s="76"/>
      <c r="PXS59" s="76"/>
      <c r="PXT59" s="76"/>
      <c r="PXU59" s="76"/>
      <c r="PXV59" s="76"/>
      <c r="PXW59" s="76"/>
      <c r="PXX59" s="76"/>
      <c r="PXY59" s="76"/>
      <c r="PXZ59" s="76"/>
      <c r="PYA59" s="76"/>
      <c r="PYB59" s="76"/>
      <c r="PYC59" s="76"/>
      <c r="PYD59" s="76"/>
      <c r="PYE59" s="76"/>
      <c r="PYF59" s="76"/>
      <c r="PYG59" s="76"/>
      <c r="PYH59" s="76"/>
      <c r="PYI59" s="76"/>
      <c r="PYJ59" s="76"/>
      <c r="PYK59" s="76"/>
      <c r="PYL59" s="76"/>
      <c r="PYM59" s="76"/>
      <c r="PYN59" s="76"/>
      <c r="PYO59" s="76"/>
      <c r="PYP59" s="76"/>
      <c r="PYQ59" s="76"/>
      <c r="PYR59" s="76"/>
      <c r="PYS59" s="76"/>
      <c r="PYT59" s="76"/>
      <c r="PYU59" s="76"/>
      <c r="PYV59" s="76"/>
      <c r="PYW59" s="76"/>
      <c r="PYX59" s="76"/>
      <c r="PYY59" s="76"/>
      <c r="PYZ59" s="76"/>
      <c r="PZA59" s="76"/>
      <c r="PZB59" s="76"/>
      <c r="PZC59" s="76"/>
      <c r="PZD59" s="76"/>
      <c r="PZE59" s="76"/>
      <c r="PZF59" s="76"/>
      <c r="PZG59" s="76"/>
      <c r="PZH59" s="76"/>
      <c r="PZI59" s="76"/>
      <c r="PZJ59" s="76"/>
      <c r="PZK59" s="76"/>
      <c r="PZL59" s="76"/>
      <c r="PZM59" s="76"/>
      <c r="PZN59" s="76"/>
      <c r="PZO59" s="76"/>
      <c r="PZP59" s="76"/>
      <c r="PZQ59" s="76"/>
      <c r="PZR59" s="76"/>
      <c r="PZS59" s="76"/>
      <c r="PZT59" s="76"/>
      <c r="PZU59" s="76"/>
      <c r="PZV59" s="76"/>
      <c r="PZW59" s="76"/>
      <c r="PZX59" s="76"/>
      <c r="PZY59" s="76"/>
      <c r="PZZ59" s="76"/>
      <c r="QAA59" s="76"/>
      <c r="QAB59" s="76"/>
      <c r="QAC59" s="76"/>
      <c r="QAD59" s="76"/>
      <c r="QAE59" s="76"/>
      <c r="QAF59" s="76"/>
      <c r="QAG59" s="76"/>
      <c r="QAH59" s="76"/>
      <c r="QAI59" s="76"/>
      <c r="QAJ59" s="76"/>
      <c r="QAK59" s="76"/>
      <c r="QAL59" s="76"/>
      <c r="QAM59" s="76"/>
      <c r="QAN59" s="76"/>
      <c r="QAO59" s="76"/>
      <c r="QAP59" s="76"/>
      <c r="QAQ59" s="76"/>
      <c r="QAR59" s="76"/>
      <c r="QAS59" s="76"/>
      <c r="QAT59" s="76"/>
      <c r="QAU59" s="76"/>
      <c r="QAV59" s="76"/>
      <c r="QAW59" s="76"/>
      <c r="QAX59" s="76"/>
      <c r="QAY59" s="76"/>
      <c r="QAZ59" s="76"/>
      <c r="QBA59" s="76"/>
      <c r="QBB59" s="76"/>
      <c r="QBC59" s="76"/>
      <c r="QBD59" s="76"/>
      <c r="QBE59" s="76"/>
      <c r="QBF59" s="76"/>
      <c r="QBG59" s="76"/>
      <c r="QBH59" s="76"/>
      <c r="QBI59" s="76"/>
      <c r="QBJ59" s="76"/>
      <c r="QBK59" s="76"/>
      <c r="QBL59" s="76"/>
      <c r="QBM59" s="76"/>
      <c r="QBN59" s="76"/>
      <c r="QBO59" s="76"/>
      <c r="QBP59" s="76"/>
      <c r="QBQ59" s="76"/>
      <c r="QBR59" s="76"/>
      <c r="QBS59" s="76"/>
      <c r="QBT59" s="76"/>
      <c r="QBU59" s="76"/>
      <c r="QBV59" s="76"/>
      <c r="QBW59" s="76"/>
      <c r="QBX59" s="76"/>
      <c r="QBY59" s="76"/>
      <c r="QBZ59" s="76"/>
      <c r="QCA59" s="76"/>
      <c r="QCB59" s="76"/>
      <c r="QCC59" s="76"/>
      <c r="QCD59" s="76"/>
      <c r="QCE59" s="76"/>
      <c r="QCF59" s="76"/>
      <c r="QCG59" s="76"/>
      <c r="QCH59" s="76"/>
      <c r="QCI59" s="76"/>
      <c r="QCJ59" s="76"/>
      <c r="QCK59" s="76"/>
      <c r="QCL59" s="76"/>
      <c r="QCM59" s="76"/>
      <c r="QCN59" s="76"/>
      <c r="QCO59" s="76"/>
      <c r="QCP59" s="76"/>
      <c r="QCQ59" s="76"/>
      <c r="QCR59" s="76"/>
      <c r="QCS59" s="76"/>
      <c r="QCT59" s="76"/>
      <c r="QCU59" s="76"/>
      <c r="QCV59" s="76"/>
      <c r="QCW59" s="76"/>
      <c r="QCX59" s="76"/>
      <c r="QCY59" s="76"/>
      <c r="QCZ59" s="76"/>
      <c r="QDA59" s="76"/>
      <c r="QDB59" s="76"/>
      <c r="QDC59" s="76"/>
      <c r="QDD59" s="76"/>
      <c r="QDE59" s="76"/>
      <c r="QDF59" s="76"/>
      <c r="QDG59" s="76"/>
      <c r="QDH59" s="76"/>
      <c r="QDI59" s="76"/>
      <c r="QDJ59" s="76"/>
      <c r="QDK59" s="76"/>
      <c r="QDL59" s="76"/>
      <c r="QDM59" s="76"/>
      <c r="QDN59" s="76"/>
      <c r="QDO59" s="76"/>
      <c r="QDP59" s="76"/>
      <c r="QDQ59" s="76"/>
      <c r="QDR59" s="76"/>
      <c r="QDS59" s="76"/>
      <c r="QDT59" s="76"/>
      <c r="QDU59" s="76"/>
      <c r="QDV59" s="76"/>
      <c r="QDW59" s="76"/>
      <c r="QDX59" s="76"/>
      <c r="QDY59" s="76"/>
      <c r="QDZ59" s="76"/>
      <c r="QEA59" s="76"/>
      <c r="QEB59" s="76"/>
      <c r="QEC59" s="76"/>
      <c r="QED59" s="76"/>
      <c r="QEE59" s="76"/>
      <c r="QEF59" s="76"/>
      <c r="QEG59" s="76"/>
      <c r="QEH59" s="76"/>
      <c r="QEI59" s="76"/>
      <c r="QEJ59" s="76"/>
      <c r="QEK59" s="76"/>
      <c r="QEL59" s="76"/>
      <c r="QEM59" s="76"/>
      <c r="QEN59" s="76"/>
      <c r="QEO59" s="76"/>
      <c r="QEP59" s="76"/>
      <c r="QEQ59" s="76"/>
      <c r="QER59" s="76"/>
      <c r="QES59" s="76"/>
      <c r="QET59" s="76"/>
      <c r="QEU59" s="76"/>
      <c r="QEV59" s="76"/>
      <c r="QEW59" s="76"/>
      <c r="QEX59" s="76"/>
      <c r="QEY59" s="76"/>
      <c r="QEZ59" s="76"/>
      <c r="QFA59" s="76"/>
      <c r="QFB59" s="76"/>
      <c r="QFC59" s="76"/>
      <c r="QFD59" s="76"/>
      <c r="QFE59" s="76"/>
      <c r="QFF59" s="76"/>
      <c r="QFG59" s="76"/>
      <c r="QFH59" s="76"/>
      <c r="QFI59" s="76"/>
      <c r="QFJ59" s="76"/>
      <c r="QFK59" s="76"/>
      <c r="QFL59" s="76"/>
      <c r="QFM59" s="76"/>
      <c r="QFN59" s="76"/>
      <c r="QFO59" s="76"/>
      <c r="QFP59" s="76"/>
      <c r="QFQ59" s="76"/>
      <c r="QFR59" s="76"/>
      <c r="QFS59" s="76"/>
      <c r="QFT59" s="76"/>
      <c r="QFU59" s="76"/>
      <c r="QFV59" s="76"/>
      <c r="QFW59" s="76"/>
      <c r="QFX59" s="76"/>
      <c r="QFY59" s="76"/>
      <c r="QFZ59" s="76"/>
      <c r="QGA59" s="76"/>
      <c r="QGB59" s="76"/>
      <c r="QGC59" s="76"/>
      <c r="QGD59" s="76"/>
      <c r="QGE59" s="76"/>
      <c r="QGF59" s="76"/>
      <c r="QGG59" s="76"/>
      <c r="QGH59" s="76"/>
      <c r="QGI59" s="76"/>
      <c r="QGJ59" s="76"/>
      <c r="QGK59" s="76"/>
      <c r="QGL59" s="76"/>
      <c r="QGM59" s="76"/>
      <c r="QGN59" s="76"/>
      <c r="QGO59" s="76"/>
      <c r="QGP59" s="76"/>
      <c r="QGQ59" s="76"/>
      <c r="QGR59" s="76"/>
      <c r="QGS59" s="76"/>
      <c r="QGT59" s="76"/>
      <c r="QGU59" s="76"/>
      <c r="QGV59" s="76"/>
      <c r="QGW59" s="76"/>
      <c r="QGX59" s="76"/>
      <c r="QGY59" s="76"/>
      <c r="QGZ59" s="76"/>
      <c r="QHA59" s="76"/>
      <c r="QHB59" s="76"/>
      <c r="QHC59" s="76"/>
      <c r="QHD59" s="76"/>
      <c r="QHE59" s="76"/>
      <c r="QHF59" s="76"/>
      <c r="QHG59" s="76"/>
      <c r="QHH59" s="76"/>
      <c r="QHI59" s="76"/>
      <c r="QHJ59" s="76"/>
      <c r="QHK59" s="76"/>
      <c r="QHL59" s="76"/>
      <c r="QHM59" s="76"/>
      <c r="QHN59" s="76"/>
      <c r="QHO59" s="76"/>
      <c r="QHP59" s="76"/>
      <c r="QHQ59" s="76"/>
      <c r="QHR59" s="76"/>
      <c r="QHS59" s="76"/>
      <c r="QHT59" s="76"/>
      <c r="QHU59" s="76"/>
      <c r="QHV59" s="76"/>
      <c r="QHW59" s="76"/>
      <c r="QHX59" s="76"/>
      <c r="QHY59" s="76"/>
      <c r="QHZ59" s="76"/>
      <c r="QIA59" s="76"/>
      <c r="QIB59" s="76"/>
      <c r="QIC59" s="76"/>
      <c r="QID59" s="76"/>
      <c r="QIE59" s="76"/>
      <c r="QIF59" s="76"/>
      <c r="QIG59" s="76"/>
      <c r="QIH59" s="76"/>
      <c r="QII59" s="76"/>
      <c r="QIJ59" s="76"/>
      <c r="QIK59" s="76"/>
      <c r="QIL59" s="76"/>
      <c r="QIM59" s="76"/>
      <c r="QIN59" s="76"/>
      <c r="QIO59" s="76"/>
      <c r="QIP59" s="76"/>
      <c r="QIQ59" s="76"/>
      <c r="QIR59" s="76"/>
      <c r="QIS59" s="76"/>
      <c r="QIT59" s="76"/>
      <c r="QIU59" s="76"/>
      <c r="QIV59" s="76"/>
      <c r="QIW59" s="76"/>
      <c r="QIX59" s="76"/>
      <c r="QIY59" s="76"/>
      <c r="QIZ59" s="76"/>
      <c r="QJA59" s="76"/>
      <c r="QJB59" s="76"/>
      <c r="QJC59" s="76"/>
      <c r="QJD59" s="76"/>
      <c r="QJE59" s="76"/>
      <c r="QJF59" s="76"/>
      <c r="QJG59" s="76"/>
      <c r="QJH59" s="76"/>
      <c r="QJI59" s="76"/>
      <c r="QJJ59" s="76"/>
      <c r="QJK59" s="76"/>
      <c r="QJL59" s="76"/>
      <c r="QJM59" s="76"/>
      <c r="QJN59" s="76"/>
      <c r="QJO59" s="76"/>
      <c r="QJP59" s="76"/>
      <c r="QJQ59" s="76"/>
      <c r="QJR59" s="76"/>
      <c r="QJS59" s="76"/>
      <c r="QJT59" s="76"/>
      <c r="QJU59" s="76"/>
      <c r="QJV59" s="76"/>
      <c r="QJW59" s="76"/>
      <c r="QJX59" s="76"/>
      <c r="QJY59" s="76"/>
      <c r="QJZ59" s="76"/>
      <c r="QKA59" s="76"/>
      <c r="QKB59" s="76"/>
      <c r="QKC59" s="76"/>
      <c r="QKD59" s="76"/>
      <c r="QKE59" s="76"/>
      <c r="QKF59" s="76"/>
      <c r="QKG59" s="76"/>
      <c r="QKH59" s="76"/>
      <c r="QKI59" s="76"/>
      <c r="QKJ59" s="76"/>
      <c r="QKK59" s="76"/>
      <c r="QKL59" s="76"/>
      <c r="QKM59" s="76"/>
      <c r="QKN59" s="76"/>
      <c r="QKO59" s="76"/>
      <c r="QKP59" s="76"/>
      <c r="QKQ59" s="76"/>
      <c r="QKR59" s="76"/>
      <c r="QKS59" s="76"/>
      <c r="QKT59" s="76"/>
      <c r="QKU59" s="76"/>
      <c r="QKV59" s="76"/>
      <c r="QKW59" s="76"/>
      <c r="QKX59" s="76"/>
      <c r="QKY59" s="76"/>
      <c r="QKZ59" s="76"/>
      <c r="QLA59" s="76"/>
      <c r="QLB59" s="76"/>
      <c r="QLC59" s="76"/>
      <c r="QLD59" s="76"/>
      <c r="QLE59" s="76"/>
      <c r="QLF59" s="76"/>
      <c r="QLG59" s="76"/>
      <c r="QLH59" s="76"/>
      <c r="QLI59" s="76"/>
      <c r="QLJ59" s="76"/>
      <c r="QLK59" s="76"/>
      <c r="QLL59" s="76"/>
      <c r="QLM59" s="76"/>
      <c r="QLN59" s="76"/>
      <c r="QLO59" s="76"/>
      <c r="QLP59" s="76"/>
      <c r="QLQ59" s="76"/>
      <c r="QLR59" s="76"/>
      <c r="QLS59" s="76"/>
      <c r="QLT59" s="76"/>
      <c r="QLU59" s="76"/>
      <c r="QLV59" s="76"/>
      <c r="QLW59" s="76"/>
      <c r="QLX59" s="76"/>
      <c r="QLY59" s="76"/>
      <c r="QLZ59" s="76"/>
      <c r="QMA59" s="76"/>
      <c r="QMB59" s="76"/>
      <c r="QMC59" s="76"/>
      <c r="QMD59" s="76"/>
      <c r="QME59" s="76"/>
      <c r="QMF59" s="76"/>
      <c r="QMG59" s="76"/>
      <c r="QMH59" s="76"/>
      <c r="QMI59" s="76"/>
      <c r="QMJ59" s="76"/>
      <c r="QMK59" s="76"/>
      <c r="QML59" s="76"/>
      <c r="QMM59" s="76"/>
      <c r="QMN59" s="76"/>
      <c r="QMO59" s="76"/>
      <c r="QMP59" s="76"/>
      <c r="QMQ59" s="76"/>
      <c r="QMR59" s="76"/>
      <c r="QMS59" s="76"/>
      <c r="QMT59" s="76"/>
      <c r="QMU59" s="76"/>
      <c r="QMV59" s="76"/>
      <c r="QMW59" s="76"/>
      <c r="QMX59" s="76"/>
      <c r="QMY59" s="76"/>
      <c r="QMZ59" s="76"/>
      <c r="QNA59" s="76"/>
      <c r="QNB59" s="76"/>
      <c r="QNC59" s="76"/>
      <c r="QND59" s="76"/>
      <c r="QNE59" s="76"/>
      <c r="QNF59" s="76"/>
      <c r="QNG59" s="76"/>
      <c r="QNH59" s="76"/>
      <c r="QNI59" s="76"/>
      <c r="QNJ59" s="76"/>
      <c r="QNK59" s="76"/>
      <c r="QNL59" s="76"/>
      <c r="QNM59" s="76"/>
      <c r="QNN59" s="76"/>
      <c r="QNO59" s="76"/>
      <c r="QNP59" s="76"/>
      <c r="QNQ59" s="76"/>
      <c r="QNR59" s="76"/>
      <c r="QNS59" s="76"/>
      <c r="QNT59" s="76"/>
      <c r="QNU59" s="76"/>
      <c r="QNV59" s="76"/>
      <c r="QNW59" s="76"/>
      <c r="QNX59" s="76"/>
      <c r="QNY59" s="76"/>
      <c r="QNZ59" s="76"/>
      <c r="QOA59" s="76"/>
      <c r="QOB59" s="76"/>
      <c r="QOC59" s="76"/>
      <c r="QOD59" s="76"/>
      <c r="QOE59" s="76"/>
      <c r="QOF59" s="76"/>
      <c r="QOG59" s="76"/>
      <c r="QOH59" s="76"/>
      <c r="QOI59" s="76"/>
      <c r="QOJ59" s="76"/>
      <c r="QOK59" s="76"/>
      <c r="QOL59" s="76"/>
      <c r="QOM59" s="76"/>
      <c r="QON59" s="76"/>
      <c r="QOO59" s="76"/>
      <c r="QOP59" s="76"/>
      <c r="QOQ59" s="76"/>
      <c r="QOR59" s="76"/>
      <c r="QOS59" s="76"/>
      <c r="QOT59" s="76"/>
      <c r="QOU59" s="76"/>
      <c r="QOV59" s="76"/>
      <c r="QOW59" s="76"/>
      <c r="QOX59" s="76"/>
      <c r="QOY59" s="76"/>
      <c r="QOZ59" s="76"/>
      <c r="QPA59" s="76"/>
      <c r="QPB59" s="76"/>
      <c r="QPC59" s="76"/>
      <c r="QPD59" s="76"/>
      <c r="QPE59" s="76"/>
      <c r="QPF59" s="76"/>
      <c r="QPG59" s="76"/>
      <c r="QPH59" s="76"/>
      <c r="QPI59" s="76"/>
      <c r="QPJ59" s="76"/>
      <c r="QPK59" s="76"/>
      <c r="QPL59" s="76"/>
      <c r="QPM59" s="76"/>
      <c r="QPN59" s="76"/>
      <c r="QPO59" s="76"/>
      <c r="QPP59" s="76"/>
      <c r="QPQ59" s="76"/>
      <c r="QPR59" s="76"/>
      <c r="QPS59" s="76"/>
      <c r="QPT59" s="76"/>
      <c r="QPU59" s="76"/>
      <c r="QPV59" s="76"/>
      <c r="QPW59" s="76"/>
      <c r="QPX59" s="76"/>
      <c r="QPY59" s="76"/>
      <c r="QPZ59" s="76"/>
      <c r="QQA59" s="76"/>
      <c r="QQB59" s="76"/>
      <c r="QQC59" s="76"/>
      <c r="QQD59" s="76"/>
      <c r="QQE59" s="76"/>
      <c r="QQF59" s="76"/>
      <c r="QQG59" s="76"/>
      <c r="QQH59" s="76"/>
      <c r="QQI59" s="76"/>
      <c r="QQJ59" s="76"/>
      <c r="QQK59" s="76"/>
      <c r="QQL59" s="76"/>
      <c r="QQM59" s="76"/>
      <c r="QQN59" s="76"/>
      <c r="QQO59" s="76"/>
      <c r="QQP59" s="76"/>
      <c r="QQQ59" s="76"/>
      <c r="QQR59" s="76"/>
      <c r="QQS59" s="76"/>
      <c r="QQT59" s="76"/>
      <c r="QQU59" s="76"/>
      <c r="QQV59" s="76"/>
      <c r="QQW59" s="76"/>
      <c r="QQX59" s="76"/>
      <c r="QQY59" s="76"/>
      <c r="QQZ59" s="76"/>
      <c r="QRA59" s="76"/>
      <c r="QRB59" s="76"/>
      <c r="QRC59" s="76"/>
      <c r="QRD59" s="76"/>
      <c r="QRE59" s="76"/>
      <c r="QRF59" s="76"/>
      <c r="QRG59" s="76"/>
      <c r="QRH59" s="76"/>
      <c r="QRI59" s="76"/>
      <c r="QRJ59" s="76"/>
      <c r="QRK59" s="76"/>
      <c r="QRL59" s="76"/>
      <c r="QRM59" s="76"/>
      <c r="QRN59" s="76"/>
      <c r="QRO59" s="76"/>
      <c r="QRP59" s="76"/>
      <c r="QRQ59" s="76"/>
      <c r="QRR59" s="76"/>
      <c r="QRS59" s="76"/>
      <c r="QRT59" s="76"/>
      <c r="QRU59" s="76"/>
      <c r="QRV59" s="76"/>
      <c r="QRW59" s="76"/>
      <c r="QRX59" s="76"/>
      <c r="QRY59" s="76"/>
      <c r="QRZ59" s="76"/>
      <c r="QSA59" s="76"/>
      <c r="QSB59" s="76"/>
      <c r="QSC59" s="76"/>
      <c r="QSD59" s="76"/>
      <c r="QSE59" s="76"/>
      <c r="QSF59" s="76"/>
      <c r="QSG59" s="76"/>
      <c r="QSH59" s="76"/>
      <c r="QSI59" s="76"/>
      <c r="QSJ59" s="76"/>
      <c r="QSK59" s="76"/>
      <c r="QSL59" s="76"/>
      <c r="QSM59" s="76"/>
      <c r="QSN59" s="76"/>
      <c r="QSO59" s="76"/>
      <c r="QSP59" s="76"/>
      <c r="QSQ59" s="76"/>
      <c r="QSR59" s="76"/>
      <c r="QSS59" s="76"/>
      <c r="QST59" s="76"/>
      <c r="QSU59" s="76"/>
      <c r="QSV59" s="76"/>
      <c r="QSW59" s="76"/>
      <c r="QSX59" s="76"/>
      <c r="QSY59" s="76"/>
      <c r="QSZ59" s="76"/>
      <c r="QTA59" s="76"/>
      <c r="QTB59" s="76"/>
      <c r="QTC59" s="76"/>
      <c r="QTD59" s="76"/>
      <c r="QTE59" s="76"/>
      <c r="QTF59" s="76"/>
      <c r="QTG59" s="76"/>
      <c r="QTH59" s="76"/>
      <c r="QTI59" s="76"/>
      <c r="QTJ59" s="76"/>
      <c r="QTK59" s="76"/>
      <c r="QTL59" s="76"/>
      <c r="QTM59" s="76"/>
      <c r="QTN59" s="76"/>
      <c r="QTO59" s="76"/>
      <c r="QTP59" s="76"/>
      <c r="QTQ59" s="76"/>
      <c r="QTR59" s="76"/>
      <c r="QTS59" s="76"/>
      <c r="QTT59" s="76"/>
      <c r="QTU59" s="76"/>
      <c r="QTV59" s="76"/>
      <c r="QTW59" s="76"/>
      <c r="QTX59" s="76"/>
      <c r="QTY59" s="76"/>
      <c r="QTZ59" s="76"/>
      <c r="QUA59" s="76"/>
      <c r="QUB59" s="76"/>
      <c r="QUC59" s="76"/>
      <c r="QUD59" s="76"/>
      <c r="QUE59" s="76"/>
      <c r="QUF59" s="76"/>
      <c r="QUG59" s="76"/>
      <c r="QUH59" s="76"/>
      <c r="QUI59" s="76"/>
      <c r="QUJ59" s="76"/>
      <c r="QUK59" s="76"/>
      <c r="QUL59" s="76"/>
      <c r="QUM59" s="76"/>
      <c r="QUN59" s="76"/>
      <c r="QUO59" s="76"/>
      <c r="QUP59" s="76"/>
      <c r="QUQ59" s="76"/>
      <c r="QUR59" s="76"/>
      <c r="QUS59" s="76"/>
      <c r="QUT59" s="76"/>
      <c r="QUU59" s="76"/>
      <c r="QUV59" s="76"/>
      <c r="QUW59" s="76"/>
      <c r="QUX59" s="76"/>
      <c r="QUY59" s="76"/>
      <c r="QUZ59" s="76"/>
      <c r="QVA59" s="76"/>
      <c r="QVB59" s="76"/>
      <c r="QVC59" s="76"/>
      <c r="QVD59" s="76"/>
      <c r="QVE59" s="76"/>
      <c r="QVF59" s="76"/>
      <c r="QVG59" s="76"/>
      <c r="QVH59" s="76"/>
      <c r="QVI59" s="76"/>
      <c r="QVJ59" s="76"/>
      <c r="QVK59" s="76"/>
      <c r="QVL59" s="76"/>
      <c r="QVM59" s="76"/>
      <c r="QVN59" s="76"/>
      <c r="QVO59" s="76"/>
      <c r="QVP59" s="76"/>
      <c r="QVQ59" s="76"/>
      <c r="QVR59" s="76"/>
      <c r="QVS59" s="76"/>
      <c r="QVT59" s="76"/>
      <c r="QVU59" s="76"/>
      <c r="QVV59" s="76"/>
      <c r="QVW59" s="76"/>
      <c r="QVX59" s="76"/>
      <c r="QVY59" s="76"/>
      <c r="QVZ59" s="76"/>
      <c r="QWA59" s="76"/>
      <c r="QWB59" s="76"/>
      <c r="QWC59" s="76"/>
      <c r="QWD59" s="76"/>
      <c r="QWE59" s="76"/>
      <c r="QWF59" s="76"/>
      <c r="QWG59" s="76"/>
      <c r="QWH59" s="76"/>
      <c r="QWI59" s="76"/>
      <c r="QWJ59" s="76"/>
      <c r="QWK59" s="76"/>
      <c r="QWL59" s="76"/>
      <c r="QWM59" s="76"/>
      <c r="QWN59" s="76"/>
      <c r="QWO59" s="76"/>
      <c r="QWP59" s="76"/>
      <c r="QWQ59" s="76"/>
      <c r="QWR59" s="76"/>
      <c r="QWS59" s="76"/>
      <c r="QWT59" s="76"/>
      <c r="QWU59" s="76"/>
      <c r="QWV59" s="76"/>
      <c r="QWW59" s="76"/>
      <c r="QWX59" s="76"/>
      <c r="QWY59" s="76"/>
      <c r="QWZ59" s="76"/>
      <c r="QXA59" s="76"/>
      <c r="QXB59" s="76"/>
      <c r="QXC59" s="76"/>
      <c r="QXD59" s="76"/>
      <c r="QXE59" s="76"/>
      <c r="QXF59" s="76"/>
      <c r="QXG59" s="76"/>
      <c r="QXH59" s="76"/>
      <c r="QXI59" s="76"/>
      <c r="QXJ59" s="76"/>
      <c r="QXK59" s="76"/>
      <c r="QXL59" s="76"/>
      <c r="QXM59" s="76"/>
      <c r="QXN59" s="76"/>
      <c r="QXO59" s="76"/>
      <c r="QXP59" s="76"/>
      <c r="QXQ59" s="76"/>
      <c r="QXR59" s="76"/>
      <c r="QXS59" s="76"/>
      <c r="QXT59" s="76"/>
      <c r="QXU59" s="76"/>
      <c r="QXV59" s="76"/>
      <c r="QXW59" s="76"/>
      <c r="QXX59" s="76"/>
      <c r="QXY59" s="76"/>
      <c r="QXZ59" s="76"/>
      <c r="QYA59" s="76"/>
      <c r="QYB59" s="76"/>
      <c r="QYC59" s="76"/>
      <c r="QYD59" s="76"/>
      <c r="QYE59" s="76"/>
      <c r="QYF59" s="76"/>
      <c r="QYG59" s="76"/>
      <c r="QYH59" s="76"/>
      <c r="QYI59" s="76"/>
      <c r="QYJ59" s="76"/>
      <c r="QYK59" s="76"/>
      <c r="QYL59" s="76"/>
      <c r="QYM59" s="76"/>
      <c r="QYN59" s="76"/>
      <c r="QYO59" s="76"/>
      <c r="QYP59" s="76"/>
      <c r="QYQ59" s="76"/>
      <c r="QYR59" s="76"/>
      <c r="QYS59" s="76"/>
      <c r="QYT59" s="76"/>
      <c r="QYU59" s="76"/>
      <c r="QYV59" s="76"/>
      <c r="QYW59" s="76"/>
      <c r="QYX59" s="76"/>
      <c r="QYY59" s="76"/>
      <c r="QYZ59" s="76"/>
      <c r="QZA59" s="76"/>
      <c r="QZB59" s="76"/>
      <c r="QZC59" s="76"/>
      <c r="QZD59" s="76"/>
      <c r="QZE59" s="76"/>
      <c r="QZF59" s="76"/>
      <c r="QZG59" s="76"/>
      <c r="QZH59" s="76"/>
      <c r="QZI59" s="76"/>
      <c r="QZJ59" s="76"/>
      <c r="QZK59" s="76"/>
      <c r="QZL59" s="76"/>
      <c r="QZM59" s="76"/>
      <c r="QZN59" s="76"/>
      <c r="QZO59" s="76"/>
      <c r="QZP59" s="76"/>
      <c r="QZQ59" s="76"/>
      <c r="QZR59" s="76"/>
      <c r="QZS59" s="76"/>
      <c r="QZT59" s="76"/>
      <c r="QZU59" s="76"/>
      <c r="QZV59" s="76"/>
      <c r="QZW59" s="76"/>
      <c r="QZX59" s="76"/>
      <c r="QZY59" s="76"/>
      <c r="QZZ59" s="76"/>
      <c r="RAA59" s="76"/>
      <c r="RAB59" s="76"/>
      <c r="RAC59" s="76"/>
      <c r="RAD59" s="76"/>
      <c r="RAE59" s="76"/>
      <c r="RAF59" s="76"/>
      <c r="RAG59" s="76"/>
      <c r="RAH59" s="76"/>
      <c r="RAI59" s="76"/>
      <c r="RAJ59" s="76"/>
      <c r="RAK59" s="76"/>
      <c r="RAL59" s="76"/>
      <c r="RAM59" s="76"/>
      <c r="RAN59" s="76"/>
      <c r="RAO59" s="76"/>
      <c r="RAP59" s="76"/>
      <c r="RAQ59" s="76"/>
      <c r="RAR59" s="76"/>
      <c r="RAS59" s="76"/>
      <c r="RAT59" s="76"/>
      <c r="RAU59" s="76"/>
      <c r="RAV59" s="76"/>
      <c r="RAW59" s="76"/>
      <c r="RAX59" s="76"/>
      <c r="RAY59" s="76"/>
      <c r="RAZ59" s="76"/>
      <c r="RBA59" s="76"/>
      <c r="RBB59" s="76"/>
      <c r="RBC59" s="76"/>
      <c r="RBD59" s="76"/>
      <c r="RBE59" s="76"/>
      <c r="RBF59" s="76"/>
      <c r="RBG59" s="76"/>
      <c r="RBH59" s="76"/>
      <c r="RBI59" s="76"/>
      <c r="RBJ59" s="76"/>
      <c r="RBK59" s="76"/>
      <c r="RBL59" s="76"/>
      <c r="RBM59" s="76"/>
      <c r="RBN59" s="76"/>
      <c r="RBO59" s="76"/>
      <c r="RBP59" s="76"/>
      <c r="RBQ59" s="76"/>
      <c r="RBR59" s="76"/>
      <c r="RBS59" s="76"/>
      <c r="RBT59" s="76"/>
      <c r="RBU59" s="76"/>
      <c r="RBV59" s="76"/>
      <c r="RBW59" s="76"/>
      <c r="RBX59" s="76"/>
      <c r="RBY59" s="76"/>
      <c r="RBZ59" s="76"/>
      <c r="RCA59" s="76"/>
      <c r="RCB59" s="76"/>
      <c r="RCC59" s="76"/>
      <c r="RCD59" s="76"/>
      <c r="RCE59" s="76"/>
      <c r="RCF59" s="76"/>
      <c r="RCG59" s="76"/>
      <c r="RCH59" s="76"/>
      <c r="RCI59" s="76"/>
      <c r="RCJ59" s="76"/>
      <c r="RCK59" s="76"/>
      <c r="RCL59" s="76"/>
      <c r="RCM59" s="76"/>
      <c r="RCN59" s="76"/>
      <c r="RCO59" s="76"/>
      <c r="RCP59" s="76"/>
      <c r="RCQ59" s="76"/>
      <c r="RCR59" s="76"/>
      <c r="RCS59" s="76"/>
      <c r="RCT59" s="76"/>
      <c r="RCU59" s="76"/>
      <c r="RCV59" s="76"/>
      <c r="RCW59" s="76"/>
      <c r="RCX59" s="76"/>
      <c r="RCY59" s="76"/>
      <c r="RCZ59" s="76"/>
      <c r="RDA59" s="76"/>
      <c r="RDB59" s="76"/>
      <c r="RDC59" s="76"/>
      <c r="RDD59" s="76"/>
      <c r="RDE59" s="76"/>
      <c r="RDF59" s="76"/>
      <c r="RDG59" s="76"/>
      <c r="RDH59" s="76"/>
      <c r="RDI59" s="76"/>
      <c r="RDJ59" s="76"/>
      <c r="RDK59" s="76"/>
      <c r="RDL59" s="76"/>
      <c r="RDM59" s="76"/>
      <c r="RDN59" s="76"/>
      <c r="RDO59" s="76"/>
      <c r="RDP59" s="76"/>
      <c r="RDQ59" s="76"/>
      <c r="RDR59" s="76"/>
      <c r="RDS59" s="76"/>
      <c r="RDT59" s="76"/>
      <c r="RDU59" s="76"/>
      <c r="RDV59" s="76"/>
      <c r="RDW59" s="76"/>
      <c r="RDX59" s="76"/>
      <c r="RDY59" s="76"/>
      <c r="RDZ59" s="76"/>
      <c r="REA59" s="76"/>
      <c r="REB59" s="76"/>
      <c r="REC59" s="76"/>
      <c r="RED59" s="76"/>
      <c r="REE59" s="76"/>
      <c r="REF59" s="76"/>
      <c r="REG59" s="76"/>
      <c r="REH59" s="76"/>
      <c r="REI59" s="76"/>
      <c r="REJ59" s="76"/>
      <c r="REK59" s="76"/>
      <c r="REL59" s="76"/>
      <c r="REM59" s="76"/>
      <c r="REN59" s="76"/>
      <c r="REO59" s="76"/>
      <c r="REP59" s="76"/>
      <c r="REQ59" s="76"/>
      <c r="RER59" s="76"/>
      <c r="RES59" s="76"/>
      <c r="RET59" s="76"/>
      <c r="REU59" s="76"/>
      <c r="REV59" s="76"/>
      <c r="REW59" s="76"/>
      <c r="REX59" s="76"/>
      <c r="REY59" s="76"/>
      <c r="REZ59" s="76"/>
      <c r="RFA59" s="76"/>
      <c r="RFB59" s="76"/>
      <c r="RFC59" s="76"/>
      <c r="RFD59" s="76"/>
      <c r="RFE59" s="76"/>
      <c r="RFF59" s="76"/>
      <c r="RFG59" s="76"/>
      <c r="RFH59" s="76"/>
      <c r="RFI59" s="76"/>
      <c r="RFJ59" s="76"/>
      <c r="RFK59" s="76"/>
      <c r="RFL59" s="76"/>
      <c r="RFM59" s="76"/>
      <c r="RFN59" s="76"/>
      <c r="RFO59" s="76"/>
      <c r="RFP59" s="76"/>
      <c r="RFQ59" s="76"/>
      <c r="RFR59" s="76"/>
      <c r="RFS59" s="76"/>
      <c r="RFT59" s="76"/>
      <c r="RFU59" s="76"/>
      <c r="RFV59" s="76"/>
      <c r="RFW59" s="76"/>
      <c r="RFX59" s="76"/>
      <c r="RFY59" s="76"/>
      <c r="RFZ59" s="76"/>
      <c r="RGA59" s="76"/>
      <c r="RGB59" s="76"/>
      <c r="RGC59" s="76"/>
      <c r="RGD59" s="76"/>
      <c r="RGE59" s="76"/>
      <c r="RGF59" s="76"/>
      <c r="RGG59" s="76"/>
      <c r="RGH59" s="76"/>
      <c r="RGI59" s="76"/>
      <c r="RGJ59" s="76"/>
      <c r="RGK59" s="76"/>
      <c r="RGL59" s="76"/>
      <c r="RGM59" s="76"/>
      <c r="RGN59" s="76"/>
      <c r="RGO59" s="76"/>
      <c r="RGP59" s="76"/>
      <c r="RGQ59" s="76"/>
      <c r="RGR59" s="76"/>
      <c r="RGS59" s="76"/>
      <c r="RGT59" s="76"/>
      <c r="RGU59" s="76"/>
      <c r="RGV59" s="76"/>
      <c r="RGW59" s="76"/>
      <c r="RGX59" s="76"/>
      <c r="RGY59" s="76"/>
      <c r="RGZ59" s="76"/>
      <c r="RHA59" s="76"/>
      <c r="RHB59" s="76"/>
      <c r="RHC59" s="76"/>
      <c r="RHD59" s="76"/>
      <c r="RHE59" s="76"/>
      <c r="RHF59" s="76"/>
      <c r="RHG59" s="76"/>
      <c r="RHH59" s="76"/>
      <c r="RHI59" s="76"/>
      <c r="RHJ59" s="76"/>
      <c r="RHK59" s="76"/>
      <c r="RHL59" s="76"/>
      <c r="RHM59" s="76"/>
      <c r="RHN59" s="76"/>
      <c r="RHO59" s="76"/>
      <c r="RHP59" s="76"/>
      <c r="RHQ59" s="76"/>
      <c r="RHR59" s="76"/>
      <c r="RHS59" s="76"/>
      <c r="RHT59" s="76"/>
      <c r="RHU59" s="76"/>
      <c r="RHV59" s="76"/>
      <c r="RHW59" s="76"/>
      <c r="RHX59" s="76"/>
      <c r="RHY59" s="76"/>
      <c r="RHZ59" s="76"/>
      <c r="RIA59" s="76"/>
      <c r="RIB59" s="76"/>
      <c r="RIC59" s="76"/>
      <c r="RID59" s="76"/>
      <c r="RIE59" s="76"/>
      <c r="RIF59" s="76"/>
      <c r="RIG59" s="76"/>
      <c r="RIH59" s="76"/>
      <c r="RII59" s="76"/>
      <c r="RIJ59" s="76"/>
      <c r="RIK59" s="76"/>
      <c r="RIL59" s="76"/>
      <c r="RIM59" s="76"/>
      <c r="RIN59" s="76"/>
      <c r="RIO59" s="76"/>
      <c r="RIP59" s="76"/>
      <c r="RIQ59" s="76"/>
      <c r="RIR59" s="76"/>
      <c r="RIS59" s="76"/>
      <c r="RIT59" s="76"/>
      <c r="RIU59" s="76"/>
      <c r="RIV59" s="76"/>
      <c r="RIW59" s="76"/>
      <c r="RIX59" s="76"/>
      <c r="RIY59" s="76"/>
      <c r="RIZ59" s="76"/>
      <c r="RJA59" s="76"/>
      <c r="RJB59" s="76"/>
      <c r="RJC59" s="76"/>
      <c r="RJD59" s="76"/>
      <c r="RJE59" s="76"/>
      <c r="RJF59" s="76"/>
      <c r="RJG59" s="76"/>
      <c r="RJH59" s="76"/>
      <c r="RJI59" s="76"/>
      <c r="RJJ59" s="76"/>
      <c r="RJK59" s="76"/>
      <c r="RJL59" s="76"/>
      <c r="RJM59" s="76"/>
      <c r="RJN59" s="76"/>
      <c r="RJO59" s="76"/>
      <c r="RJP59" s="76"/>
      <c r="RJQ59" s="76"/>
      <c r="RJR59" s="76"/>
      <c r="RJS59" s="76"/>
      <c r="RJT59" s="76"/>
      <c r="RJU59" s="76"/>
      <c r="RJV59" s="76"/>
      <c r="RJW59" s="76"/>
      <c r="RJX59" s="76"/>
      <c r="RJY59" s="76"/>
      <c r="RJZ59" s="76"/>
      <c r="RKA59" s="76"/>
      <c r="RKB59" s="76"/>
      <c r="RKC59" s="76"/>
      <c r="RKD59" s="76"/>
      <c r="RKE59" s="76"/>
      <c r="RKF59" s="76"/>
      <c r="RKG59" s="76"/>
      <c r="RKH59" s="76"/>
      <c r="RKI59" s="76"/>
      <c r="RKJ59" s="76"/>
      <c r="RKK59" s="76"/>
      <c r="RKL59" s="76"/>
      <c r="RKM59" s="76"/>
      <c r="RKN59" s="76"/>
      <c r="RKO59" s="76"/>
      <c r="RKP59" s="76"/>
      <c r="RKQ59" s="76"/>
      <c r="RKR59" s="76"/>
      <c r="RKS59" s="76"/>
      <c r="RKT59" s="76"/>
      <c r="RKU59" s="76"/>
      <c r="RKV59" s="76"/>
      <c r="RKW59" s="76"/>
      <c r="RKX59" s="76"/>
      <c r="RKY59" s="76"/>
      <c r="RKZ59" s="76"/>
      <c r="RLA59" s="76"/>
      <c r="RLB59" s="76"/>
      <c r="RLC59" s="76"/>
      <c r="RLD59" s="76"/>
      <c r="RLE59" s="76"/>
      <c r="RLF59" s="76"/>
      <c r="RLG59" s="76"/>
      <c r="RLH59" s="76"/>
      <c r="RLI59" s="76"/>
      <c r="RLJ59" s="76"/>
      <c r="RLK59" s="76"/>
      <c r="RLL59" s="76"/>
      <c r="RLM59" s="76"/>
      <c r="RLN59" s="76"/>
      <c r="RLO59" s="76"/>
      <c r="RLP59" s="76"/>
      <c r="RLQ59" s="76"/>
      <c r="RLR59" s="76"/>
      <c r="RLS59" s="76"/>
      <c r="RLT59" s="76"/>
      <c r="RLU59" s="76"/>
      <c r="RLV59" s="76"/>
      <c r="RLW59" s="76"/>
      <c r="RLX59" s="76"/>
      <c r="RLY59" s="76"/>
      <c r="RLZ59" s="76"/>
      <c r="RMA59" s="76"/>
      <c r="RMB59" s="76"/>
      <c r="RMC59" s="76"/>
      <c r="RMD59" s="76"/>
      <c r="RME59" s="76"/>
      <c r="RMF59" s="76"/>
      <c r="RMG59" s="76"/>
      <c r="RMH59" s="76"/>
      <c r="RMI59" s="76"/>
      <c r="RMJ59" s="76"/>
      <c r="RMK59" s="76"/>
      <c r="RML59" s="76"/>
      <c r="RMM59" s="76"/>
      <c r="RMN59" s="76"/>
      <c r="RMO59" s="76"/>
      <c r="RMP59" s="76"/>
      <c r="RMQ59" s="76"/>
      <c r="RMR59" s="76"/>
      <c r="RMS59" s="76"/>
      <c r="RMT59" s="76"/>
      <c r="RMU59" s="76"/>
      <c r="RMV59" s="76"/>
      <c r="RMW59" s="76"/>
      <c r="RMX59" s="76"/>
      <c r="RMY59" s="76"/>
      <c r="RMZ59" s="76"/>
      <c r="RNA59" s="76"/>
      <c r="RNB59" s="76"/>
      <c r="RNC59" s="76"/>
      <c r="RND59" s="76"/>
      <c r="RNE59" s="76"/>
      <c r="RNF59" s="76"/>
      <c r="RNG59" s="76"/>
      <c r="RNH59" s="76"/>
      <c r="RNI59" s="76"/>
      <c r="RNJ59" s="76"/>
      <c r="RNK59" s="76"/>
      <c r="RNL59" s="76"/>
      <c r="RNM59" s="76"/>
      <c r="RNN59" s="76"/>
      <c r="RNO59" s="76"/>
      <c r="RNP59" s="76"/>
      <c r="RNQ59" s="76"/>
      <c r="RNR59" s="76"/>
      <c r="RNS59" s="76"/>
      <c r="RNT59" s="76"/>
      <c r="RNU59" s="76"/>
      <c r="RNV59" s="76"/>
      <c r="RNW59" s="76"/>
      <c r="RNX59" s="76"/>
      <c r="RNY59" s="76"/>
      <c r="RNZ59" s="76"/>
      <c r="ROA59" s="76"/>
      <c r="ROB59" s="76"/>
      <c r="ROC59" s="76"/>
      <c r="ROD59" s="76"/>
      <c r="ROE59" s="76"/>
      <c r="ROF59" s="76"/>
      <c r="ROG59" s="76"/>
      <c r="ROH59" s="76"/>
      <c r="ROI59" s="76"/>
      <c r="ROJ59" s="76"/>
      <c r="ROK59" s="76"/>
      <c r="ROL59" s="76"/>
      <c r="ROM59" s="76"/>
      <c r="RON59" s="76"/>
      <c r="ROO59" s="76"/>
      <c r="ROP59" s="76"/>
      <c r="ROQ59" s="76"/>
      <c r="ROR59" s="76"/>
      <c r="ROS59" s="76"/>
      <c r="ROT59" s="76"/>
      <c r="ROU59" s="76"/>
      <c r="ROV59" s="76"/>
      <c r="ROW59" s="76"/>
      <c r="ROX59" s="76"/>
      <c r="ROY59" s="76"/>
      <c r="ROZ59" s="76"/>
      <c r="RPA59" s="76"/>
      <c r="RPB59" s="76"/>
      <c r="RPC59" s="76"/>
      <c r="RPD59" s="76"/>
      <c r="RPE59" s="76"/>
      <c r="RPF59" s="76"/>
      <c r="RPG59" s="76"/>
      <c r="RPH59" s="76"/>
      <c r="RPI59" s="76"/>
      <c r="RPJ59" s="76"/>
      <c r="RPK59" s="76"/>
      <c r="RPL59" s="76"/>
      <c r="RPM59" s="76"/>
      <c r="RPN59" s="76"/>
      <c r="RPO59" s="76"/>
      <c r="RPP59" s="76"/>
      <c r="RPQ59" s="76"/>
      <c r="RPR59" s="76"/>
      <c r="RPS59" s="76"/>
      <c r="RPT59" s="76"/>
      <c r="RPU59" s="76"/>
      <c r="RPV59" s="76"/>
      <c r="RPW59" s="76"/>
      <c r="RPX59" s="76"/>
      <c r="RPY59" s="76"/>
      <c r="RPZ59" s="76"/>
      <c r="RQA59" s="76"/>
      <c r="RQB59" s="76"/>
      <c r="RQC59" s="76"/>
      <c r="RQD59" s="76"/>
      <c r="RQE59" s="76"/>
      <c r="RQF59" s="76"/>
      <c r="RQG59" s="76"/>
      <c r="RQH59" s="76"/>
      <c r="RQI59" s="76"/>
      <c r="RQJ59" s="76"/>
      <c r="RQK59" s="76"/>
      <c r="RQL59" s="76"/>
      <c r="RQM59" s="76"/>
      <c r="RQN59" s="76"/>
      <c r="RQO59" s="76"/>
      <c r="RQP59" s="76"/>
      <c r="RQQ59" s="76"/>
      <c r="RQR59" s="76"/>
      <c r="RQS59" s="76"/>
      <c r="RQT59" s="76"/>
      <c r="RQU59" s="76"/>
      <c r="RQV59" s="76"/>
      <c r="RQW59" s="76"/>
      <c r="RQX59" s="76"/>
      <c r="RQY59" s="76"/>
      <c r="RQZ59" s="76"/>
      <c r="RRA59" s="76"/>
      <c r="RRB59" s="76"/>
      <c r="RRC59" s="76"/>
      <c r="RRD59" s="76"/>
      <c r="RRE59" s="76"/>
      <c r="RRF59" s="76"/>
      <c r="RRG59" s="76"/>
      <c r="RRH59" s="76"/>
      <c r="RRI59" s="76"/>
      <c r="RRJ59" s="76"/>
      <c r="RRK59" s="76"/>
      <c r="RRL59" s="76"/>
      <c r="RRM59" s="76"/>
      <c r="RRN59" s="76"/>
      <c r="RRO59" s="76"/>
      <c r="RRP59" s="76"/>
      <c r="RRQ59" s="76"/>
      <c r="RRR59" s="76"/>
      <c r="RRS59" s="76"/>
      <c r="RRT59" s="76"/>
      <c r="RRU59" s="76"/>
      <c r="RRV59" s="76"/>
      <c r="RRW59" s="76"/>
      <c r="RRX59" s="76"/>
      <c r="RRY59" s="76"/>
      <c r="RRZ59" s="76"/>
      <c r="RSA59" s="76"/>
      <c r="RSB59" s="76"/>
      <c r="RSC59" s="76"/>
      <c r="RSD59" s="76"/>
      <c r="RSE59" s="76"/>
      <c r="RSF59" s="76"/>
      <c r="RSG59" s="76"/>
      <c r="RSH59" s="76"/>
      <c r="RSI59" s="76"/>
      <c r="RSJ59" s="76"/>
      <c r="RSK59" s="76"/>
      <c r="RSL59" s="76"/>
      <c r="RSM59" s="76"/>
      <c r="RSN59" s="76"/>
      <c r="RSO59" s="76"/>
      <c r="RSP59" s="76"/>
      <c r="RSQ59" s="76"/>
      <c r="RSR59" s="76"/>
      <c r="RSS59" s="76"/>
      <c r="RST59" s="76"/>
      <c r="RSU59" s="76"/>
      <c r="RSV59" s="76"/>
      <c r="RSW59" s="76"/>
      <c r="RSX59" s="76"/>
      <c r="RSY59" s="76"/>
      <c r="RSZ59" s="76"/>
      <c r="RTA59" s="76"/>
      <c r="RTB59" s="76"/>
      <c r="RTC59" s="76"/>
      <c r="RTD59" s="76"/>
      <c r="RTE59" s="76"/>
      <c r="RTF59" s="76"/>
      <c r="RTG59" s="76"/>
      <c r="RTH59" s="76"/>
      <c r="RTI59" s="76"/>
      <c r="RTJ59" s="76"/>
      <c r="RTK59" s="76"/>
      <c r="RTL59" s="76"/>
      <c r="RTM59" s="76"/>
      <c r="RTN59" s="76"/>
      <c r="RTO59" s="76"/>
      <c r="RTP59" s="76"/>
      <c r="RTQ59" s="76"/>
      <c r="RTR59" s="76"/>
      <c r="RTS59" s="76"/>
      <c r="RTT59" s="76"/>
      <c r="RTU59" s="76"/>
      <c r="RTV59" s="76"/>
      <c r="RTW59" s="76"/>
      <c r="RTX59" s="76"/>
      <c r="RTY59" s="76"/>
      <c r="RTZ59" s="76"/>
      <c r="RUA59" s="76"/>
      <c r="RUB59" s="76"/>
      <c r="RUC59" s="76"/>
      <c r="RUD59" s="76"/>
      <c r="RUE59" s="76"/>
      <c r="RUF59" s="76"/>
      <c r="RUG59" s="76"/>
      <c r="RUH59" s="76"/>
      <c r="RUI59" s="76"/>
      <c r="RUJ59" s="76"/>
      <c r="RUK59" s="76"/>
      <c r="RUL59" s="76"/>
      <c r="RUM59" s="76"/>
      <c r="RUN59" s="76"/>
      <c r="RUO59" s="76"/>
      <c r="RUP59" s="76"/>
      <c r="RUQ59" s="76"/>
      <c r="RUR59" s="76"/>
      <c r="RUS59" s="76"/>
      <c r="RUT59" s="76"/>
      <c r="RUU59" s="76"/>
      <c r="RUV59" s="76"/>
      <c r="RUW59" s="76"/>
      <c r="RUX59" s="76"/>
      <c r="RUY59" s="76"/>
      <c r="RUZ59" s="76"/>
      <c r="RVA59" s="76"/>
      <c r="RVB59" s="76"/>
      <c r="RVC59" s="76"/>
      <c r="RVD59" s="76"/>
      <c r="RVE59" s="76"/>
      <c r="RVF59" s="76"/>
      <c r="RVG59" s="76"/>
      <c r="RVH59" s="76"/>
      <c r="RVI59" s="76"/>
      <c r="RVJ59" s="76"/>
      <c r="RVK59" s="76"/>
      <c r="RVL59" s="76"/>
      <c r="RVM59" s="76"/>
      <c r="RVN59" s="76"/>
      <c r="RVO59" s="76"/>
      <c r="RVP59" s="76"/>
      <c r="RVQ59" s="76"/>
      <c r="RVR59" s="76"/>
      <c r="RVS59" s="76"/>
      <c r="RVT59" s="76"/>
      <c r="RVU59" s="76"/>
      <c r="RVV59" s="76"/>
      <c r="RVW59" s="76"/>
      <c r="RVX59" s="76"/>
      <c r="RVY59" s="76"/>
      <c r="RVZ59" s="76"/>
      <c r="RWA59" s="76"/>
      <c r="RWB59" s="76"/>
      <c r="RWC59" s="76"/>
      <c r="RWD59" s="76"/>
      <c r="RWE59" s="76"/>
      <c r="RWF59" s="76"/>
      <c r="RWG59" s="76"/>
      <c r="RWH59" s="76"/>
      <c r="RWI59" s="76"/>
      <c r="RWJ59" s="76"/>
      <c r="RWK59" s="76"/>
      <c r="RWL59" s="76"/>
      <c r="RWM59" s="76"/>
      <c r="RWN59" s="76"/>
      <c r="RWO59" s="76"/>
      <c r="RWP59" s="76"/>
      <c r="RWQ59" s="76"/>
      <c r="RWR59" s="76"/>
      <c r="RWS59" s="76"/>
      <c r="RWT59" s="76"/>
      <c r="RWU59" s="76"/>
      <c r="RWV59" s="76"/>
      <c r="RWW59" s="76"/>
      <c r="RWX59" s="76"/>
      <c r="RWY59" s="76"/>
      <c r="RWZ59" s="76"/>
      <c r="RXA59" s="76"/>
      <c r="RXB59" s="76"/>
      <c r="RXC59" s="76"/>
      <c r="RXD59" s="76"/>
      <c r="RXE59" s="76"/>
      <c r="RXF59" s="76"/>
      <c r="RXG59" s="76"/>
      <c r="RXH59" s="76"/>
      <c r="RXI59" s="76"/>
      <c r="RXJ59" s="76"/>
      <c r="RXK59" s="76"/>
      <c r="RXL59" s="76"/>
      <c r="RXM59" s="76"/>
      <c r="RXN59" s="76"/>
      <c r="RXO59" s="76"/>
      <c r="RXP59" s="76"/>
      <c r="RXQ59" s="76"/>
      <c r="RXR59" s="76"/>
      <c r="RXS59" s="76"/>
      <c r="RXT59" s="76"/>
      <c r="RXU59" s="76"/>
      <c r="RXV59" s="76"/>
      <c r="RXW59" s="76"/>
      <c r="RXX59" s="76"/>
      <c r="RXY59" s="76"/>
      <c r="RXZ59" s="76"/>
      <c r="RYA59" s="76"/>
      <c r="RYB59" s="76"/>
      <c r="RYC59" s="76"/>
      <c r="RYD59" s="76"/>
      <c r="RYE59" s="76"/>
      <c r="RYF59" s="76"/>
      <c r="RYG59" s="76"/>
      <c r="RYH59" s="76"/>
      <c r="RYI59" s="76"/>
      <c r="RYJ59" s="76"/>
      <c r="RYK59" s="76"/>
      <c r="RYL59" s="76"/>
      <c r="RYM59" s="76"/>
      <c r="RYN59" s="76"/>
      <c r="RYO59" s="76"/>
      <c r="RYP59" s="76"/>
      <c r="RYQ59" s="76"/>
      <c r="RYR59" s="76"/>
      <c r="RYS59" s="76"/>
      <c r="RYT59" s="76"/>
      <c r="RYU59" s="76"/>
      <c r="RYV59" s="76"/>
      <c r="RYW59" s="76"/>
      <c r="RYX59" s="76"/>
      <c r="RYY59" s="76"/>
      <c r="RYZ59" s="76"/>
      <c r="RZA59" s="76"/>
      <c r="RZB59" s="76"/>
      <c r="RZC59" s="76"/>
      <c r="RZD59" s="76"/>
      <c r="RZE59" s="76"/>
      <c r="RZF59" s="76"/>
      <c r="RZG59" s="76"/>
      <c r="RZH59" s="76"/>
      <c r="RZI59" s="76"/>
      <c r="RZJ59" s="76"/>
      <c r="RZK59" s="76"/>
      <c r="RZL59" s="76"/>
      <c r="RZM59" s="76"/>
      <c r="RZN59" s="76"/>
      <c r="RZO59" s="76"/>
      <c r="RZP59" s="76"/>
      <c r="RZQ59" s="76"/>
      <c r="RZR59" s="76"/>
      <c r="RZS59" s="76"/>
      <c r="RZT59" s="76"/>
      <c r="RZU59" s="76"/>
      <c r="RZV59" s="76"/>
      <c r="RZW59" s="76"/>
      <c r="RZX59" s="76"/>
      <c r="RZY59" s="76"/>
      <c r="RZZ59" s="76"/>
      <c r="SAA59" s="76"/>
      <c r="SAB59" s="76"/>
      <c r="SAC59" s="76"/>
      <c r="SAD59" s="76"/>
      <c r="SAE59" s="76"/>
      <c r="SAF59" s="76"/>
      <c r="SAG59" s="76"/>
      <c r="SAH59" s="76"/>
      <c r="SAI59" s="76"/>
      <c r="SAJ59" s="76"/>
      <c r="SAK59" s="76"/>
      <c r="SAL59" s="76"/>
      <c r="SAM59" s="76"/>
      <c r="SAN59" s="76"/>
      <c r="SAO59" s="76"/>
      <c r="SAP59" s="76"/>
      <c r="SAQ59" s="76"/>
      <c r="SAR59" s="76"/>
      <c r="SAS59" s="76"/>
      <c r="SAT59" s="76"/>
      <c r="SAU59" s="76"/>
      <c r="SAV59" s="76"/>
      <c r="SAW59" s="76"/>
      <c r="SAX59" s="76"/>
      <c r="SAY59" s="76"/>
      <c r="SAZ59" s="76"/>
      <c r="SBA59" s="76"/>
      <c r="SBB59" s="76"/>
      <c r="SBC59" s="76"/>
      <c r="SBD59" s="76"/>
      <c r="SBE59" s="76"/>
      <c r="SBF59" s="76"/>
      <c r="SBG59" s="76"/>
      <c r="SBH59" s="76"/>
      <c r="SBI59" s="76"/>
      <c r="SBJ59" s="76"/>
      <c r="SBK59" s="76"/>
      <c r="SBL59" s="76"/>
      <c r="SBM59" s="76"/>
      <c r="SBN59" s="76"/>
      <c r="SBO59" s="76"/>
      <c r="SBP59" s="76"/>
      <c r="SBQ59" s="76"/>
      <c r="SBR59" s="76"/>
      <c r="SBS59" s="76"/>
      <c r="SBT59" s="76"/>
      <c r="SBU59" s="76"/>
      <c r="SBV59" s="76"/>
      <c r="SBW59" s="76"/>
      <c r="SBX59" s="76"/>
      <c r="SBY59" s="76"/>
      <c r="SBZ59" s="76"/>
      <c r="SCA59" s="76"/>
      <c r="SCB59" s="76"/>
      <c r="SCC59" s="76"/>
      <c r="SCD59" s="76"/>
      <c r="SCE59" s="76"/>
      <c r="SCF59" s="76"/>
      <c r="SCG59" s="76"/>
      <c r="SCH59" s="76"/>
      <c r="SCI59" s="76"/>
      <c r="SCJ59" s="76"/>
      <c r="SCK59" s="76"/>
      <c r="SCL59" s="76"/>
      <c r="SCM59" s="76"/>
      <c r="SCN59" s="76"/>
      <c r="SCO59" s="76"/>
      <c r="SCP59" s="76"/>
      <c r="SCQ59" s="76"/>
      <c r="SCR59" s="76"/>
      <c r="SCS59" s="76"/>
      <c r="SCT59" s="76"/>
      <c r="SCU59" s="76"/>
      <c r="SCV59" s="76"/>
      <c r="SCW59" s="76"/>
      <c r="SCX59" s="76"/>
      <c r="SCY59" s="76"/>
      <c r="SCZ59" s="76"/>
      <c r="SDA59" s="76"/>
      <c r="SDB59" s="76"/>
      <c r="SDC59" s="76"/>
      <c r="SDD59" s="76"/>
      <c r="SDE59" s="76"/>
      <c r="SDF59" s="76"/>
      <c r="SDG59" s="76"/>
      <c r="SDH59" s="76"/>
      <c r="SDI59" s="76"/>
      <c r="SDJ59" s="76"/>
      <c r="SDK59" s="76"/>
      <c r="SDL59" s="76"/>
      <c r="SDM59" s="76"/>
      <c r="SDN59" s="76"/>
      <c r="SDO59" s="76"/>
      <c r="SDP59" s="76"/>
      <c r="SDQ59" s="76"/>
      <c r="SDR59" s="76"/>
      <c r="SDS59" s="76"/>
      <c r="SDT59" s="76"/>
      <c r="SDU59" s="76"/>
      <c r="SDV59" s="76"/>
      <c r="SDW59" s="76"/>
      <c r="SDX59" s="76"/>
      <c r="SDY59" s="76"/>
      <c r="SDZ59" s="76"/>
      <c r="SEA59" s="76"/>
      <c r="SEB59" s="76"/>
      <c r="SEC59" s="76"/>
      <c r="SED59" s="76"/>
      <c r="SEE59" s="76"/>
      <c r="SEF59" s="76"/>
      <c r="SEG59" s="76"/>
      <c r="SEH59" s="76"/>
      <c r="SEI59" s="76"/>
      <c r="SEJ59" s="76"/>
      <c r="SEK59" s="76"/>
      <c r="SEL59" s="76"/>
      <c r="SEM59" s="76"/>
      <c r="SEN59" s="76"/>
      <c r="SEO59" s="76"/>
      <c r="SEP59" s="76"/>
      <c r="SEQ59" s="76"/>
      <c r="SER59" s="76"/>
      <c r="SES59" s="76"/>
      <c r="SET59" s="76"/>
      <c r="SEU59" s="76"/>
      <c r="SEV59" s="76"/>
      <c r="SEW59" s="76"/>
      <c r="SEX59" s="76"/>
      <c r="SEY59" s="76"/>
      <c r="SEZ59" s="76"/>
      <c r="SFA59" s="76"/>
      <c r="SFB59" s="76"/>
      <c r="SFC59" s="76"/>
      <c r="SFD59" s="76"/>
      <c r="SFE59" s="76"/>
      <c r="SFF59" s="76"/>
      <c r="SFG59" s="76"/>
      <c r="SFH59" s="76"/>
      <c r="SFI59" s="76"/>
      <c r="SFJ59" s="76"/>
      <c r="SFK59" s="76"/>
      <c r="SFL59" s="76"/>
      <c r="SFM59" s="76"/>
      <c r="SFN59" s="76"/>
      <c r="SFO59" s="76"/>
      <c r="SFP59" s="76"/>
      <c r="SFQ59" s="76"/>
      <c r="SFR59" s="76"/>
      <c r="SFS59" s="76"/>
      <c r="SFT59" s="76"/>
      <c r="SFU59" s="76"/>
      <c r="SFV59" s="76"/>
      <c r="SFW59" s="76"/>
      <c r="SFX59" s="76"/>
      <c r="SFY59" s="76"/>
      <c r="SFZ59" s="76"/>
      <c r="SGA59" s="76"/>
      <c r="SGB59" s="76"/>
      <c r="SGC59" s="76"/>
      <c r="SGD59" s="76"/>
      <c r="SGE59" s="76"/>
      <c r="SGF59" s="76"/>
      <c r="SGG59" s="76"/>
      <c r="SGH59" s="76"/>
      <c r="SGI59" s="76"/>
      <c r="SGJ59" s="76"/>
      <c r="SGK59" s="76"/>
      <c r="SGL59" s="76"/>
      <c r="SGM59" s="76"/>
      <c r="SGN59" s="76"/>
      <c r="SGO59" s="76"/>
      <c r="SGP59" s="76"/>
      <c r="SGQ59" s="76"/>
      <c r="SGR59" s="76"/>
      <c r="SGS59" s="76"/>
      <c r="SGT59" s="76"/>
      <c r="SGU59" s="76"/>
      <c r="SGV59" s="76"/>
      <c r="SGW59" s="76"/>
      <c r="SGX59" s="76"/>
      <c r="SGY59" s="76"/>
      <c r="SGZ59" s="76"/>
      <c r="SHA59" s="76"/>
      <c r="SHB59" s="76"/>
      <c r="SHC59" s="76"/>
      <c r="SHD59" s="76"/>
      <c r="SHE59" s="76"/>
      <c r="SHF59" s="76"/>
      <c r="SHG59" s="76"/>
      <c r="SHH59" s="76"/>
      <c r="SHI59" s="76"/>
      <c r="SHJ59" s="76"/>
      <c r="SHK59" s="76"/>
      <c r="SHL59" s="76"/>
      <c r="SHM59" s="76"/>
      <c r="SHN59" s="76"/>
      <c r="SHO59" s="76"/>
      <c r="SHP59" s="76"/>
      <c r="SHQ59" s="76"/>
      <c r="SHR59" s="76"/>
      <c r="SHS59" s="76"/>
      <c r="SHT59" s="76"/>
      <c r="SHU59" s="76"/>
      <c r="SHV59" s="76"/>
      <c r="SHW59" s="76"/>
      <c r="SHX59" s="76"/>
      <c r="SHY59" s="76"/>
      <c r="SHZ59" s="76"/>
      <c r="SIA59" s="76"/>
      <c r="SIB59" s="76"/>
      <c r="SIC59" s="76"/>
      <c r="SID59" s="76"/>
      <c r="SIE59" s="76"/>
      <c r="SIF59" s="76"/>
      <c r="SIG59" s="76"/>
      <c r="SIH59" s="76"/>
      <c r="SII59" s="76"/>
      <c r="SIJ59" s="76"/>
      <c r="SIK59" s="76"/>
      <c r="SIL59" s="76"/>
      <c r="SIM59" s="76"/>
      <c r="SIN59" s="76"/>
      <c r="SIO59" s="76"/>
      <c r="SIP59" s="76"/>
      <c r="SIQ59" s="76"/>
      <c r="SIR59" s="76"/>
      <c r="SIS59" s="76"/>
      <c r="SIT59" s="76"/>
      <c r="SIU59" s="76"/>
      <c r="SIV59" s="76"/>
      <c r="SIW59" s="76"/>
      <c r="SIX59" s="76"/>
      <c r="SIY59" s="76"/>
      <c r="SIZ59" s="76"/>
      <c r="SJA59" s="76"/>
      <c r="SJB59" s="76"/>
      <c r="SJC59" s="76"/>
      <c r="SJD59" s="76"/>
      <c r="SJE59" s="76"/>
      <c r="SJF59" s="76"/>
      <c r="SJG59" s="76"/>
      <c r="SJH59" s="76"/>
      <c r="SJI59" s="76"/>
      <c r="SJJ59" s="76"/>
      <c r="SJK59" s="76"/>
      <c r="SJL59" s="76"/>
      <c r="SJM59" s="76"/>
      <c r="SJN59" s="76"/>
      <c r="SJO59" s="76"/>
      <c r="SJP59" s="76"/>
      <c r="SJQ59" s="76"/>
      <c r="SJR59" s="76"/>
      <c r="SJS59" s="76"/>
      <c r="SJT59" s="76"/>
      <c r="SJU59" s="76"/>
      <c r="SJV59" s="76"/>
      <c r="SJW59" s="76"/>
      <c r="SJX59" s="76"/>
      <c r="SJY59" s="76"/>
      <c r="SJZ59" s="76"/>
      <c r="SKA59" s="76"/>
      <c r="SKB59" s="76"/>
      <c r="SKC59" s="76"/>
      <c r="SKD59" s="76"/>
      <c r="SKE59" s="76"/>
      <c r="SKF59" s="76"/>
      <c r="SKG59" s="76"/>
      <c r="SKH59" s="76"/>
      <c r="SKI59" s="76"/>
      <c r="SKJ59" s="76"/>
      <c r="SKK59" s="76"/>
      <c r="SKL59" s="76"/>
      <c r="SKM59" s="76"/>
      <c r="SKN59" s="76"/>
      <c r="SKO59" s="76"/>
      <c r="SKP59" s="76"/>
      <c r="SKQ59" s="76"/>
      <c r="SKR59" s="76"/>
      <c r="SKS59" s="76"/>
      <c r="SKT59" s="76"/>
      <c r="SKU59" s="76"/>
      <c r="SKV59" s="76"/>
      <c r="SKW59" s="76"/>
      <c r="SKX59" s="76"/>
      <c r="SKY59" s="76"/>
      <c r="SKZ59" s="76"/>
      <c r="SLA59" s="76"/>
      <c r="SLB59" s="76"/>
      <c r="SLC59" s="76"/>
      <c r="SLD59" s="76"/>
      <c r="SLE59" s="76"/>
      <c r="SLF59" s="76"/>
      <c r="SLG59" s="76"/>
      <c r="SLH59" s="76"/>
      <c r="SLI59" s="76"/>
      <c r="SLJ59" s="76"/>
      <c r="SLK59" s="76"/>
      <c r="SLL59" s="76"/>
      <c r="SLM59" s="76"/>
      <c r="SLN59" s="76"/>
      <c r="SLO59" s="76"/>
      <c r="SLP59" s="76"/>
      <c r="SLQ59" s="76"/>
      <c r="SLR59" s="76"/>
      <c r="SLS59" s="76"/>
      <c r="SLT59" s="76"/>
      <c r="SLU59" s="76"/>
      <c r="SLV59" s="76"/>
      <c r="SLW59" s="76"/>
      <c r="SLX59" s="76"/>
      <c r="SLY59" s="76"/>
      <c r="SLZ59" s="76"/>
      <c r="SMA59" s="76"/>
      <c r="SMB59" s="76"/>
      <c r="SMC59" s="76"/>
      <c r="SMD59" s="76"/>
      <c r="SME59" s="76"/>
      <c r="SMF59" s="76"/>
      <c r="SMG59" s="76"/>
      <c r="SMH59" s="76"/>
      <c r="SMI59" s="76"/>
      <c r="SMJ59" s="76"/>
      <c r="SMK59" s="76"/>
      <c r="SML59" s="76"/>
      <c r="SMM59" s="76"/>
      <c r="SMN59" s="76"/>
      <c r="SMO59" s="76"/>
      <c r="SMP59" s="76"/>
      <c r="SMQ59" s="76"/>
      <c r="SMR59" s="76"/>
      <c r="SMS59" s="76"/>
      <c r="SMT59" s="76"/>
      <c r="SMU59" s="76"/>
      <c r="SMV59" s="76"/>
      <c r="SMW59" s="76"/>
      <c r="SMX59" s="76"/>
      <c r="SMY59" s="76"/>
      <c r="SMZ59" s="76"/>
      <c r="SNA59" s="76"/>
      <c r="SNB59" s="76"/>
      <c r="SNC59" s="76"/>
      <c r="SND59" s="76"/>
      <c r="SNE59" s="76"/>
      <c r="SNF59" s="76"/>
      <c r="SNG59" s="76"/>
      <c r="SNH59" s="76"/>
      <c r="SNI59" s="76"/>
      <c r="SNJ59" s="76"/>
      <c r="SNK59" s="76"/>
      <c r="SNL59" s="76"/>
      <c r="SNM59" s="76"/>
      <c r="SNN59" s="76"/>
      <c r="SNO59" s="76"/>
      <c r="SNP59" s="76"/>
      <c r="SNQ59" s="76"/>
      <c r="SNR59" s="76"/>
      <c r="SNS59" s="76"/>
      <c r="SNT59" s="76"/>
      <c r="SNU59" s="76"/>
      <c r="SNV59" s="76"/>
      <c r="SNW59" s="76"/>
      <c r="SNX59" s="76"/>
      <c r="SNY59" s="76"/>
      <c r="SNZ59" s="76"/>
      <c r="SOA59" s="76"/>
      <c r="SOB59" s="76"/>
      <c r="SOC59" s="76"/>
      <c r="SOD59" s="76"/>
      <c r="SOE59" s="76"/>
      <c r="SOF59" s="76"/>
      <c r="SOG59" s="76"/>
      <c r="SOH59" s="76"/>
      <c r="SOI59" s="76"/>
      <c r="SOJ59" s="76"/>
      <c r="SOK59" s="76"/>
      <c r="SOL59" s="76"/>
      <c r="SOM59" s="76"/>
      <c r="SON59" s="76"/>
      <c r="SOO59" s="76"/>
      <c r="SOP59" s="76"/>
      <c r="SOQ59" s="76"/>
      <c r="SOR59" s="76"/>
      <c r="SOS59" s="76"/>
      <c r="SOT59" s="76"/>
      <c r="SOU59" s="76"/>
      <c r="SOV59" s="76"/>
      <c r="SOW59" s="76"/>
      <c r="SOX59" s="76"/>
      <c r="SOY59" s="76"/>
      <c r="SOZ59" s="76"/>
      <c r="SPA59" s="76"/>
      <c r="SPB59" s="76"/>
      <c r="SPC59" s="76"/>
      <c r="SPD59" s="76"/>
      <c r="SPE59" s="76"/>
      <c r="SPF59" s="76"/>
      <c r="SPG59" s="76"/>
      <c r="SPH59" s="76"/>
      <c r="SPI59" s="76"/>
      <c r="SPJ59" s="76"/>
      <c r="SPK59" s="76"/>
      <c r="SPL59" s="76"/>
      <c r="SPM59" s="76"/>
      <c r="SPN59" s="76"/>
      <c r="SPO59" s="76"/>
      <c r="SPP59" s="76"/>
      <c r="SPQ59" s="76"/>
      <c r="SPR59" s="76"/>
      <c r="SPS59" s="76"/>
      <c r="SPT59" s="76"/>
      <c r="SPU59" s="76"/>
      <c r="SPV59" s="76"/>
      <c r="SPW59" s="76"/>
      <c r="SPX59" s="76"/>
      <c r="SPY59" s="76"/>
      <c r="SPZ59" s="76"/>
      <c r="SQA59" s="76"/>
      <c r="SQB59" s="76"/>
      <c r="SQC59" s="76"/>
      <c r="SQD59" s="76"/>
      <c r="SQE59" s="76"/>
      <c r="SQF59" s="76"/>
      <c r="SQG59" s="76"/>
      <c r="SQH59" s="76"/>
      <c r="SQI59" s="76"/>
      <c r="SQJ59" s="76"/>
      <c r="SQK59" s="76"/>
      <c r="SQL59" s="76"/>
      <c r="SQM59" s="76"/>
      <c r="SQN59" s="76"/>
      <c r="SQO59" s="76"/>
      <c r="SQP59" s="76"/>
      <c r="SQQ59" s="76"/>
      <c r="SQR59" s="76"/>
      <c r="SQS59" s="76"/>
      <c r="SQT59" s="76"/>
      <c r="SQU59" s="76"/>
      <c r="SQV59" s="76"/>
      <c r="SQW59" s="76"/>
      <c r="SQX59" s="76"/>
      <c r="SQY59" s="76"/>
      <c r="SQZ59" s="76"/>
      <c r="SRA59" s="76"/>
      <c r="SRB59" s="76"/>
      <c r="SRC59" s="76"/>
      <c r="SRD59" s="76"/>
      <c r="SRE59" s="76"/>
      <c r="SRF59" s="76"/>
      <c r="SRG59" s="76"/>
      <c r="SRH59" s="76"/>
      <c r="SRI59" s="76"/>
      <c r="SRJ59" s="76"/>
      <c r="SRK59" s="76"/>
      <c r="SRL59" s="76"/>
      <c r="SRM59" s="76"/>
      <c r="SRN59" s="76"/>
      <c r="SRO59" s="76"/>
      <c r="SRP59" s="76"/>
      <c r="SRQ59" s="76"/>
      <c r="SRR59" s="76"/>
      <c r="SRS59" s="76"/>
      <c r="SRT59" s="76"/>
      <c r="SRU59" s="76"/>
      <c r="SRV59" s="76"/>
      <c r="SRW59" s="76"/>
      <c r="SRX59" s="76"/>
      <c r="SRY59" s="76"/>
      <c r="SRZ59" s="76"/>
      <c r="SSA59" s="76"/>
      <c r="SSB59" s="76"/>
      <c r="SSC59" s="76"/>
      <c r="SSD59" s="76"/>
      <c r="SSE59" s="76"/>
      <c r="SSF59" s="76"/>
      <c r="SSG59" s="76"/>
      <c r="SSH59" s="76"/>
      <c r="SSI59" s="76"/>
      <c r="SSJ59" s="76"/>
      <c r="SSK59" s="76"/>
      <c r="SSL59" s="76"/>
      <c r="SSM59" s="76"/>
      <c r="SSN59" s="76"/>
      <c r="SSO59" s="76"/>
      <c r="SSP59" s="76"/>
      <c r="SSQ59" s="76"/>
      <c r="SSR59" s="76"/>
      <c r="SSS59" s="76"/>
      <c r="SST59" s="76"/>
      <c r="SSU59" s="76"/>
      <c r="SSV59" s="76"/>
      <c r="SSW59" s="76"/>
      <c r="SSX59" s="76"/>
      <c r="SSY59" s="76"/>
      <c r="SSZ59" s="76"/>
      <c r="STA59" s="76"/>
      <c r="STB59" s="76"/>
      <c r="STC59" s="76"/>
      <c r="STD59" s="76"/>
      <c r="STE59" s="76"/>
      <c r="STF59" s="76"/>
      <c r="STG59" s="76"/>
      <c r="STH59" s="76"/>
      <c r="STI59" s="76"/>
      <c r="STJ59" s="76"/>
      <c r="STK59" s="76"/>
      <c r="STL59" s="76"/>
      <c r="STM59" s="76"/>
      <c r="STN59" s="76"/>
      <c r="STO59" s="76"/>
      <c r="STP59" s="76"/>
      <c r="STQ59" s="76"/>
      <c r="STR59" s="76"/>
      <c r="STS59" s="76"/>
      <c r="STT59" s="76"/>
      <c r="STU59" s="76"/>
      <c r="STV59" s="76"/>
      <c r="STW59" s="76"/>
      <c r="STX59" s="76"/>
      <c r="STY59" s="76"/>
      <c r="STZ59" s="76"/>
      <c r="SUA59" s="76"/>
      <c r="SUB59" s="76"/>
      <c r="SUC59" s="76"/>
      <c r="SUD59" s="76"/>
      <c r="SUE59" s="76"/>
      <c r="SUF59" s="76"/>
      <c r="SUG59" s="76"/>
      <c r="SUH59" s="76"/>
      <c r="SUI59" s="76"/>
      <c r="SUJ59" s="76"/>
      <c r="SUK59" s="76"/>
      <c r="SUL59" s="76"/>
      <c r="SUM59" s="76"/>
      <c r="SUN59" s="76"/>
      <c r="SUO59" s="76"/>
      <c r="SUP59" s="76"/>
      <c r="SUQ59" s="76"/>
      <c r="SUR59" s="76"/>
      <c r="SUS59" s="76"/>
      <c r="SUT59" s="76"/>
      <c r="SUU59" s="76"/>
      <c r="SUV59" s="76"/>
      <c r="SUW59" s="76"/>
      <c r="SUX59" s="76"/>
      <c r="SUY59" s="76"/>
      <c r="SUZ59" s="76"/>
      <c r="SVA59" s="76"/>
      <c r="SVB59" s="76"/>
      <c r="SVC59" s="76"/>
      <c r="SVD59" s="76"/>
      <c r="SVE59" s="76"/>
      <c r="SVF59" s="76"/>
      <c r="SVG59" s="76"/>
      <c r="SVH59" s="76"/>
      <c r="SVI59" s="76"/>
      <c r="SVJ59" s="76"/>
      <c r="SVK59" s="76"/>
      <c r="SVL59" s="76"/>
      <c r="SVM59" s="76"/>
      <c r="SVN59" s="76"/>
      <c r="SVO59" s="76"/>
      <c r="SVP59" s="76"/>
      <c r="SVQ59" s="76"/>
      <c r="SVR59" s="76"/>
      <c r="SVS59" s="76"/>
      <c r="SVT59" s="76"/>
      <c r="SVU59" s="76"/>
      <c r="SVV59" s="76"/>
      <c r="SVW59" s="76"/>
      <c r="SVX59" s="76"/>
      <c r="SVY59" s="76"/>
      <c r="SVZ59" s="76"/>
      <c r="SWA59" s="76"/>
      <c r="SWB59" s="76"/>
      <c r="SWC59" s="76"/>
      <c r="SWD59" s="76"/>
      <c r="SWE59" s="76"/>
      <c r="SWF59" s="76"/>
      <c r="SWG59" s="76"/>
      <c r="SWH59" s="76"/>
      <c r="SWI59" s="76"/>
      <c r="SWJ59" s="76"/>
      <c r="SWK59" s="76"/>
      <c r="SWL59" s="76"/>
      <c r="SWM59" s="76"/>
      <c r="SWN59" s="76"/>
      <c r="SWO59" s="76"/>
      <c r="SWP59" s="76"/>
      <c r="SWQ59" s="76"/>
      <c r="SWR59" s="76"/>
      <c r="SWS59" s="76"/>
      <c r="SWT59" s="76"/>
      <c r="SWU59" s="76"/>
      <c r="SWV59" s="76"/>
      <c r="SWW59" s="76"/>
      <c r="SWX59" s="76"/>
      <c r="SWY59" s="76"/>
      <c r="SWZ59" s="76"/>
      <c r="SXA59" s="76"/>
      <c r="SXB59" s="76"/>
      <c r="SXC59" s="76"/>
      <c r="SXD59" s="76"/>
      <c r="SXE59" s="76"/>
      <c r="SXF59" s="76"/>
      <c r="SXG59" s="76"/>
      <c r="SXH59" s="76"/>
      <c r="SXI59" s="76"/>
      <c r="SXJ59" s="76"/>
      <c r="SXK59" s="76"/>
      <c r="SXL59" s="76"/>
      <c r="SXM59" s="76"/>
      <c r="SXN59" s="76"/>
      <c r="SXO59" s="76"/>
      <c r="SXP59" s="76"/>
      <c r="SXQ59" s="76"/>
      <c r="SXR59" s="76"/>
      <c r="SXS59" s="76"/>
      <c r="SXT59" s="76"/>
      <c r="SXU59" s="76"/>
      <c r="SXV59" s="76"/>
      <c r="SXW59" s="76"/>
      <c r="SXX59" s="76"/>
      <c r="SXY59" s="76"/>
      <c r="SXZ59" s="76"/>
      <c r="SYA59" s="76"/>
      <c r="SYB59" s="76"/>
      <c r="SYC59" s="76"/>
      <c r="SYD59" s="76"/>
      <c r="SYE59" s="76"/>
      <c r="SYF59" s="76"/>
      <c r="SYG59" s="76"/>
      <c r="SYH59" s="76"/>
      <c r="SYI59" s="76"/>
      <c r="SYJ59" s="76"/>
      <c r="SYK59" s="76"/>
      <c r="SYL59" s="76"/>
      <c r="SYM59" s="76"/>
      <c r="SYN59" s="76"/>
      <c r="SYO59" s="76"/>
      <c r="SYP59" s="76"/>
      <c r="SYQ59" s="76"/>
      <c r="SYR59" s="76"/>
      <c r="SYS59" s="76"/>
      <c r="SYT59" s="76"/>
      <c r="SYU59" s="76"/>
      <c r="SYV59" s="76"/>
      <c r="SYW59" s="76"/>
      <c r="SYX59" s="76"/>
      <c r="SYY59" s="76"/>
      <c r="SYZ59" s="76"/>
      <c r="SZA59" s="76"/>
      <c r="SZB59" s="76"/>
      <c r="SZC59" s="76"/>
      <c r="SZD59" s="76"/>
      <c r="SZE59" s="76"/>
      <c r="SZF59" s="76"/>
      <c r="SZG59" s="76"/>
      <c r="SZH59" s="76"/>
      <c r="SZI59" s="76"/>
      <c r="SZJ59" s="76"/>
      <c r="SZK59" s="76"/>
      <c r="SZL59" s="76"/>
      <c r="SZM59" s="76"/>
      <c r="SZN59" s="76"/>
      <c r="SZO59" s="76"/>
      <c r="SZP59" s="76"/>
      <c r="SZQ59" s="76"/>
      <c r="SZR59" s="76"/>
      <c r="SZS59" s="76"/>
      <c r="SZT59" s="76"/>
      <c r="SZU59" s="76"/>
      <c r="SZV59" s="76"/>
      <c r="SZW59" s="76"/>
      <c r="SZX59" s="76"/>
      <c r="SZY59" s="76"/>
      <c r="SZZ59" s="76"/>
      <c r="TAA59" s="76"/>
      <c r="TAB59" s="76"/>
      <c r="TAC59" s="76"/>
      <c r="TAD59" s="76"/>
      <c r="TAE59" s="76"/>
      <c r="TAF59" s="76"/>
      <c r="TAG59" s="76"/>
      <c r="TAH59" s="76"/>
      <c r="TAI59" s="76"/>
      <c r="TAJ59" s="76"/>
      <c r="TAK59" s="76"/>
      <c r="TAL59" s="76"/>
      <c r="TAM59" s="76"/>
      <c r="TAN59" s="76"/>
      <c r="TAO59" s="76"/>
      <c r="TAP59" s="76"/>
      <c r="TAQ59" s="76"/>
      <c r="TAR59" s="76"/>
      <c r="TAS59" s="76"/>
      <c r="TAT59" s="76"/>
      <c r="TAU59" s="76"/>
      <c r="TAV59" s="76"/>
      <c r="TAW59" s="76"/>
      <c r="TAX59" s="76"/>
      <c r="TAY59" s="76"/>
      <c r="TAZ59" s="76"/>
      <c r="TBA59" s="76"/>
      <c r="TBB59" s="76"/>
      <c r="TBC59" s="76"/>
      <c r="TBD59" s="76"/>
      <c r="TBE59" s="76"/>
      <c r="TBF59" s="76"/>
      <c r="TBG59" s="76"/>
      <c r="TBH59" s="76"/>
      <c r="TBI59" s="76"/>
      <c r="TBJ59" s="76"/>
      <c r="TBK59" s="76"/>
      <c r="TBL59" s="76"/>
      <c r="TBM59" s="76"/>
      <c r="TBN59" s="76"/>
      <c r="TBO59" s="76"/>
      <c r="TBP59" s="76"/>
      <c r="TBQ59" s="76"/>
      <c r="TBR59" s="76"/>
      <c r="TBS59" s="76"/>
      <c r="TBT59" s="76"/>
      <c r="TBU59" s="76"/>
      <c r="TBV59" s="76"/>
      <c r="TBW59" s="76"/>
      <c r="TBX59" s="76"/>
      <c r="TBY59" s="76"/>
      <c r="TBZ59" s="76"/>
      <c r="TCA59" s="76"/>
      <c r="TCB59" s="76"/>
      <c r="TCC59" s="76"/>
      <c r="TCD59" s="76"/>
      <c r="TCE59" s="76"/>
      <c r="TCF59" s="76"/>
      <c r="TCG59" s="76"/>
      <c r="TCH59" s="76"/>
      <c r="TCI59" s="76"/>
      <c r="TCJ59" s="76"/>
      <c r="TCK59" s="76"/>
      <c r="TCL59" s="76"/>
      <c r="TCM59" s="76"/>
      <c r="TCN59" s="76"/>
      <c r="TCO59" s="76"/>
      <c r="TCP59" s="76"/>
      <c r="TCQ59" s="76"/>
      <c r="TCR59" s="76"/>
      <c r="TCS59" s="76"/>
      <c r="TCT59" s="76"/>
      <c r="TCU59" s="76"/>
      <c r="TCV59" s="76"/>
      <c r="TCW59" s="76"/>
      <c r="TCX59" s="76"/>
      <c r="TCY59" s="76"/>
      <c r="TCZ59" s="76"/>
      <c r="TDA59" s="76"/>
      <c r="TDB59" s="76"/>
      <c r="TDC59" s="76"/>
      <c r="TDD59" s="76"/>
      <c r="TDE59" s="76"/>
      <c r="TDF59" s="76"/>
      <c r="TDG59" s="76"/>
      <c r="TDH59" s="76"/>
      <c r="TDI59" s="76"/>
      <c r="TDJ59" s="76"/>
      <c r="TDK59" s="76"/>
      <c r="TDL59" s="76"/>
      <c r="TDM59" s="76"/>
      <c r="TDN59" s="76"/>
      <c r="TDO59" s="76"/>
      <c r="TDP59" s="76"/>
      <c r="TDQ59" s="76"/>
      <c r="TDR59" s="76"/>
      <c r="TDS59" s="76"/>
      <c r="TDT59" s="76"/>
      <c r="TDU59" s="76"/>
      <c r="TDV59" s="76"/>
      <c r="TDW59" s="76"/>
      <c r="TDX59" s="76"/>
      <c r="TDY59" s="76"/>
      <c r="TDZ59" s="76"/>
      <c r="TEA59" s="76"/>
      <c r="TEB59" s="76"/>
      <c r="TEC59" s="76"/>
      <c r="TED59" s="76"/>
      <c r="TEE59" s="76"/>
      <c r="TEF59" s="76"/>
      <c r="TEG59" s="76"/>
      <c r="TEH59" s="76"/>
      <c r="TEI59" s="76"/>
      <c r="TEJ59" s="76"/>
      <c r="TEK59" s="76"/>
      <c r="TEL59" s="76"/>
      <c r="TEM59" s="76"/>
      <c r="TEN59" s="76"/>
      <c r="TEO59" s="76"/>
      <c r="TEP59" s="76"/>
      <c r="TEQ59" s="76"/>
      <c r="TER59" s="76"/>
      <c r="TES59" s="76"/>
      <c r="TET59" s="76"/>
      <c r="TEU59" s="76"/>
      <c r="TEV59" s="76"/>
      <c r="TEW59" s="76"/>
      <c r="TEX59" s="76"/>
      <c r="TEY59" s="76"/>
      <c r="TEZ59" s="76"/>
      <c r="TFA59" s="76"/>
      <c r="TFB59" s="76"/>
      <c r="TFC59" s="76"/>
      <c r="TFD59" s="76"/>
      <c r="TFE59" s="76"/>
      <c r="TFF59" s="76"/>
      <c r="TFG59" s="76"/>
      <c r="TFH59" s="76"/>
      <c r="TFI59" s="76"/>
      <c r="TFJ59" s="76"/>
      <c r="TFK59" s="76"/>
      <c r="TFL59" s="76"/>
      <c r="TFM59" s="76"/>
      <c r="TFN59" s="76"/>
      <c r="TFO59" s="76"/>
      <c r="TFP59" s="76"/>
      <c r="TFQ59" s="76"/>
      <c r="TFR59" s="76"/>
      <c r="TFS59" s="76"/>
      <c r="TFT59" s="76"/>
      <c r="TFU59" s="76"/>
      <c r="TFV59" s="76"/>
      <c r="TFW59" s="76"/>
      <c r="TFX59" s="76"/>
      <c r="TFY59" s="76"/>
      <c r="TFZ59" s="76"/>
      <c r="TGA59" s="76"/>
      <c r="TGB59" s="76"/>
      <c r="TGC59" s="76"/>
      <c r="TGD59" s="76"/>
      <c r="TGE59" s="76"/>
      <c r="TGF59" s="76"/>
      <c r="TGG59" s="76"/>
      <c r="TGH59" s="76"/>
      <c r="TGI59" s="76"/>
      <c r="TGJ59" s="76"/>
      <c r="TGK59" s="76"/>
      <c r="TGL59" s="76"/>
      <c r="TGM59" s="76"/>
      <c r="TGN59" s="76"/>
      <c r="TGO59" s="76"/>
      <c r="TGP59" s="76"/>
      <c r="TGQ59" s="76"/>
      <c r="TGR59" s="76"/>
      <c r="TGS59" s="76"/>
      <c r="TGT59" s="76"/>
      <c r="TGU59" s="76"/>
      <c r="TGV59" s="76"/>
      <c r="TGW59" s="76"/>
      <c r="TGX59" s="76"/>
      <c r="TGY59" s="76"/>
      <c r="TGZ59" s="76"/>
      <c r="THA59" s="76"/>
      <c r="THB59" s="76"/>
      <c r="THC59" s="76"/>
      <c r="THD59" s="76"/>
      <c r="THE59" s="76"/>
      <c r="THF59" s="76"/>
      <c r="THG59" s="76"/>
      <c r="THH59" s="76"/>
      <c r="THI59" s="76"/>
      <c r="THJ59" s="76"/>
      <c r="THK59" s="76"/>
      <c r="THL59" s="76"/>
      <c r="THM59" s="76"/>
      <c r="THN59" s="76"/>
      <c r="THO59" s="76"/>
      <c r="THP59" s="76"/>
      <c r="THQ59" s="76"/>
      <c r="THR59" s="76"/>
      <c r="THS59" s="76"/>
      <c r="THT59" s="76"/>
      <c r="THU59" s="76"/>
      <c r="THV59" s="76"/>
      <c r="THW59" s="76"/>
      <c r="THX59" s="76"/>
      <c r="THY59" s="76"/>
      <c r="THZ59" s="76"/>
      <c r="TIA59" s="76"/>
      <c r="TIB59" s="76"/>
      <c r="TIC59" s="76"/>
      <c r="TID59" s="76"/>
      <c r="TIE59" s="76"/>
      <c r="TIF59" s="76"/>
      <c r="TIG59" s="76"/>
      <c r="TIH59" s="76"/>
      <c r="TII59" s="76"/>
      <c r="TIJ59" s="76"/>
      <c r="TIK59" s="76"/>
      <c r="TIL59" s="76"/>
      <c r="TIM59" s="76"/>
      <c r="TIN59" s="76"/>
      <c r="TIO59" s="76"/>
      <c r="TIP59" s="76"/>
      <c r="TIQ59" s="76"/>
      <c r="TIR59" s="76"/>
      <c r="TIS59" s="76"/>
      <c r="TIT59" s="76"/>
      <c r="TIU59" s="76"/>
      <c r="TIV59" s="76"/>
      <c r="TIW59" s="76"/>
      <c r="TIX59" s="76"/>
      <c r="TIY59" s="76"/>
      <c r="TIZ59" s="76"/>
      <c r="TJA59" s="76"/>
      <c r="TJB59" s="76"/>
      <c r="TJC59" s="76"/>
      <c r="TJD59" s="76"/>
      <c r="TJE59" s="76"/>
      <c r="TJF59" s="76"/>
      <c r="TJG59" s="76"/>
      <c r="TJH59" s="76"/>
      <c r="TJI59" s="76"/>
      <c r="TJJ59" s="76"/>
      <c r="TJK59" s="76"/>
      <c r="TJL59" s="76"/>
      <c r="TJM59" s="76"/>
      <c r="TJN59" s="76"/>
      <c r="TJO59" s="76"/>
      <c r="TJP59" s="76"/>
      <c r="TJQ59" s="76"/>
      <c r="TJR59" s="76"/>
      <c r="TJS59" s="76"/>
      <c r="TJT59" s="76"/>
      <c r="TJU59" s="76"/>
      <c r="TJV59" s="76"/>
      <c r="TJW59" s="76"/>
      <c r="TJX59" s="76"/>
      <c r="TJY59" s="76"/>
      <c r="TJZ59" s="76"/>
      <c r="TKA59" s="76"/>
      <c r="TKB59" s="76"/>
      <c r="TKC59" s="76"/>
      <c r="TKD59" s="76"/>
      <c r="TKE59" s="76"/>
      <c r="TKF59" s="76"/>
      <c r="TKG59" s="76"/>
      <c r="TKH59" s="76"/>
      <c r="TKI59" s="76"/>
      <c r="TKJ59" s="76"/>
      <c r="TKK59" s="76"/>
      <c r="TKL59" s="76"/>
      <c r="TKM59" s="76"/>
      <c r="TKN59" s="76"/>
      <c r="TKO59" s="76"/>
      <c r="TKP59" s="76"/>
      <c r="TKQ59" s="76"/>
      <c r="TKR59" s="76"/>
      <c r="TKS59" s="76"/>
      <c r="TKT59" s="76"/>
      <c r="TKU59" s="76"/>
      <c r="TKV59" s="76"/>
      <c r="TKW59" s="76"/>
      <c r="TKX59" s="76"/>
      <c r="TKY59" s="76"/>
      <c r="TKZ59" s="76"/>
      <c r="TLA59" s="76"/>
      <c r="TLB59" s="76"/>
      <c r="TLC59" s="76"/>
      <c r="TLD59" s="76"/>
      <c r="TLE59" s="76"/>
      <c r="TLF59" s="76"/>
      <c r="TLG59" s="76"/>
      <c r="TLH59" s="76"/>
      <c r="TLI59" s="76"/>
      <c r="TLJ59" s="76"/>
      <c r="TLK59" s="76"/>
      <c r="TLL59" s="76"/>
      <c r="TLM59" s="76"/>
      <c r="TLN59" s="76"/>
      <c r="TLO59" s="76"/>
      <c r="TLP59" s="76"/>
      <c r="TLQ59" s="76"/>
      <c r="TLR59" s="76"/>
      <c r="TLS59" s="76"/>
      <c r="TLT59" s="76"/>
      <c r="TLU59" s="76"/>
      <c r="TLV59" s="76"/>
      <c r="TLW59" s="76"/>
      <c r="TLX59" s="76"/>
      <c r="TLY59" s="76"/>
      <c r="TLZ59" s="76"/>
      <c r="TMA59" s="76"/>
      <c r="TMB59" s="76"/>
      <c r="TMC59" s="76"/>
      <c r="TMD59" s="76"/>
      <c r="TME59" s="76"/>
      <c r="TMF59" s="76"/>
      <c r="TMG59" s="76"/>
      <c r="TMH59" s="76"/>
      <c r="TMI59" s="76"/>
      <c r="TMJ59" s="76"/>
      <c r="TMK59" s="76"/>
      <c r="TML59" s="76"/>
      <c r="TMM59" s="76"/>
      <c r="TMN59" s="76"/>
      <c r="TMO59" s="76"/>
      <c r="TMP59" s="76"/>
      <c r="TMQ59" s="76"/>
      <c r="TMR59" s="76"/>
      <c r="TMS59" s="76"/>
      <c r="TMT59" s="76"/>
      <c r="TMU59" s="76"/>
      <c r="TMV59" s="76"/>
      <c r="TMW59" s="76"/>
      <c r="TMX59" s="76"/>
      <c r="TMY59" s="76"/>
      <c r="TMZ59" s="76"/>
      <c r="TNA59" s="76"/>
      <c r="TNB59" s="76"/>
      <c r="TNC59" s="76"/>
      <c r="TND59" s="76"/>
      <c r="TNE59" s="76"/>
      <c r="TNF59" s="76"/>
      <c r="TNG59" s="76"/>
      <c r="TNH59" s="76"/>
      <c r="TNI59" s="76"/>
      <c r="TNJ59" s="76"/>
      <c r="TNK59" s="76"/>
      <c r="TNL59" s="76"/>
      <c r="TNM59" s="76"/>
      <c r="TNN59" s="76"/>
      <c r="TNO59" s="76"/>
      <c r="TNP59" s="76"/>
      <c r="TNQ59" s="76"/>
      <c r="TNR59" s="76"/>
      <c r="TNS59" s="76"/>
      <c r="TNT59" s="76"/>
      <c r="TNU59" s="76"/>
      <c r="TNV59" s="76"/>
      <c r="TNW59" s="76"/>
      <c r="TNX59" s="76"/>
      <c r="TNY59" s="76"/>
      <c r="TNZ59" s="76"/>
      <c r="TOA59" s="76"/>
      <c r="TOB59" s="76"/>
      <c r="TOC59" s="76"/>
      <c r="TOD59" s="76"/>
      <c r="TOE59" s="76"/>
      <c r="TOF59" s="76"/>
      <c r="TOG59" s="76"/>
      <c r="TOH59" s="76"/>
      <c r="TOI59" s="76"/>
      <c r="TOJ59" s="76"/>
      <c r="TOK59" s="76"/>
      <c r="TOL59" s="76"/>
      <c r="TOM59" s="76"/>
      <c r="TON59" s="76"/>
      <c r="TOO59" s="76"/>
      <c r="TOP59" s="76"/>
      <c r="TOQ59" s="76"/>
      <c r="TOR59" s="76"/>
      <c r="TOS59" s="76"/>
      <c r="TOT59" s="76"/>
      <c r="TOU59" s="76"/>
      <c r="TOV59" s="76"/>
      <c r="TOW59" s="76"/>
      <c r="TOX59" s="76"/>
      <c r="TOY59" s="76"/>
      <c r="TOZ59" s="76"/>
      <c r="TPA59" s="76"/>
      <c r="TPB59" s="76"/>
      <c r="TPC59" s="76"/>
      <c r="TPD59" s="76"/>
      <c r="TPE59" s="76"/>
      <c r="TPF59" s="76"/>
      <c r="TPG59" s="76"/>
      <c r="TPH59" s="76"/>
      <c r="TPI59" s="76"/>
      <c r="TPJ59" s="76"/>
      <c r="TPK59" s="76"/>
      <c r="TPL59" s="76"/>
      <c r="TPM59" s="76"/>
      <c r="TPN59" s="76"/>
      <c r="TPO59" s="76"/>
      <c r="TPP59" s="76"/>
      <c r="TPQ59" s="76"/>
      <c r="TPR59" s="76"/>
      <c r="TPS59" s="76"/>
      <c r="TPT59" s="76"/>
      <c r="TPU59" s="76"/>
      <c r="TPV59" s="76"/>
      <c r="TPW59" s="76"/>
      <c r="TPX59" s="76"/>
      <c r="TPY59" s="76"/>
      <c r="TPZ59" s="76"/>
      <c r="TQA59" s="76"/>
      <c r="TQB59" s="76"/>
      <c r="TQC59" s="76"/>
      <c r="TQD59" s="76"/>
      <c r="TQE59" s="76"/>
      <c r="TQF59" s="76"/>
      <c r="TQG59" s="76"/>
      <c r="TQH59" s="76"/>
      <c r="TQI59" s="76"/>
      <c r="TQJ59" s="76"/>
      <c r="TQK59" s="76"/>
      <c r="TQL59" s="76"/>
      <c r="TQM59" s="76"/>
      <c r="TQN59" s="76"/>
      <c r="TQO59" s="76"/>
      <c r="TQP59" s="76"/>
      <c r="TQQ59" s="76"/>
      <c r="TQR59" s="76"/>
      <c r="TQS59" s="76"/>
      <c r="TQT59" s="76"/>
      <c r="TQU59" s="76"/>
      <c r="TQV59" s="76"/>
      <c r="TQW59" s="76"/>
      <c r="TQX59" s="76"/>
      <c r="TQY59" s="76"/>
      <c r="TQZ59" s="76"/>
      <c r="TRA59" s="76"/>
      <c r="TRB59" s="76"/>
      <c r="TRC59" s="76"/>
      <c r="TRD59" s="76"/>
      <c r="TRE59" s="76"/>
      <c r="TRF59" s="76"/>
      <c r="TRG59" s="76"/>
      <c r="TRH59" s="76"/>
      <c r="TRI59" s="76"/>
      <c r="TRJ59" s="76"/>
      <c r="TRK59" s="76"/>
      <c r="TRL59" s="76"/>
      <c r="TRM59" s="76"/>
      <c r="TRN59" s="76"/>
      <c r="TRO59" s="76"/>
      <c r="TRP59" s="76"/>
      <c r="TRQ59" s="76"/>
      <c r="TRR59" s="76"/>
      <c r="TRS59" s="76"/>
      <c r="TRT59" s="76"/>
      <c r="TRU59" s="76"/>
      <c r="TRV59" s="76"/>
      <c r="TRW59" s="76"/>
      <c r="TRX59" s="76"/>
      <c r="TRY59" s="76"/>
      <c r="TRZ59" s="76"/>
      <c r="TSA59" s="76"/>
      <c r="TSB59" s="76"/>
      <c r="TSC59" s="76"/>
      <c r="TSD59" s="76"/>
      <c r="TSE59" s="76"/>
      <c r="TSF59" s="76"/>
      <c r="TSG59" s="76"/>
      <c r="TSH59" s="76"/>
      <c r="TSI59" s="76"/>
      <c r="TSJ59" s="76"/>
      <c r="TSK59" s="76"/>
      <c r="TSL59" s="76"/>
      <c r="TSM59" s="76"/>
      <c r="TSN59" s="76"/>
      <c r="TSO59" s="76"/>
      <c r="TSP59" s="76"/>
      <c r="TSQ59" s="76"/>
      <c r="TSR59" s="76"/>
      <c r="TSS59" s="76"/>
      <c r="TST59" s="76"/>
      <c r="TSU59" s="76"/>
      <c r="TSV59" s="76"/>
      <c r="TSW59" s="76"/>
      <c r="TSX59" s="76"/>
      <c r="TSY59" s="76"/>
      <c r="TSZ59" s="76"/>
      <c r="TTA59" s="76"/>
      <c r="TTB59" s="76"/>
      <c r="TTC59" s="76"/>
      <c r="TTD59" s="76"/>
      <c r="TTE59" s="76"/>
      <c r="TTF59" s="76"/>
      <c r="TTG59" s="76"/>
      <c r="TTH59" s="76"/>
      <c r="TTI59" s="76"/>
      <c r="TTJ59" s="76"/>
      <c r="TTK59" s="76"/>
      <c r="TTL59" s="76"/>
      <c r="TTM59" s="76"/>
      <c r="TTN59" s="76"/>
      <c r="TTO59" s="76"/>
      <c r="TTP59" s="76"/>
      <c r="TTQ59" s="76"/>
      <c r="TTR59" s="76"/>
      <c r="TTS59" s="76"/>
      <c r="TTT59" s="76"/>
      <c r="TTU59" s="76"/>
      <c r="TTV59" s="76"/>
      <c r="TTW59" s="76"/>
      <c r="TTX59" s="76"/>
      <c r="TTY59" s="76"/>
      <c r="TTZ59" s="76"/>
      <c r="TUA59" s="76"/>
      <c r="TUB59" s="76"/>
      <c r="TUC59" s="76"/>
      <c r="TUD59" s="76"/>
      <c r="TUE59" s="76"/>
      <c r="TUF59" s="76"/>
      <c r="TUG59" s="76"/>
      <c r="TUH59" s="76"/>
      <c r="TUI59" s="76"/>
      <c r="TUJ59" s="76"/>
      <c r="TUK59" s="76"/>
      <c r="TUL59" s="76"/>
      <c r="TUM59" s="76"/>
      <c r="TUN59" s="76"/>
      <c r="TUO59" s="76"/>
      <c r="TUP59" s="76"/>
      <c r="TUQ59" s="76"/>
      <c r="TUR59" s="76"/>
      <c r="TUS59" s="76"/>
      <c r="TUT59" s="76"/>
      <c r="TUU59" s="76"/>
      <c r="TUV59" s="76"/>
      <c r="TUW59" s="76"/>
      <c r="TUX59" s="76"/>
      <c r="TUY59" s="76"/>
      <c r="TUZ59" s="76"/>
      <c r="TVA59" s="76"/>
      <c r="TVB59" s="76"/>
      <c r="TVC59" s="76"/>
      <c r="TVD59" s="76"/>
      <c r="TVE59" s="76"/>
      <c r="TVF59" s="76"/>
      <c r="TVG59" s="76"/>
      <c r="TVH59" s="76"/>
      <c r="TVI59" s="76"/>
      <c r="TVJ59" s="76"/>
      <c r="TVK59" s="76"/>
      <c r="TVL59" s="76"/>
      <c r="TVM59" s="76"/>
      <c r="TVN59" s="76"/>
      <c r="TVO59" s="76"/>
      <c r="TVP59" s="76"/>
      <c r="TVQ59" s="76"/>
      <c r="TVR59" s="76"/>
      <c r="TVS59" s="76"/>
      <c r="TVT59" s="76"/>
      <c r="TVU59" s="76"/>
      <c r="TVV59" s="76"/>
      <c r="TVW59" s="76"/>
      <c r="TVX59" s="76"/>
      <c r="TVY59" s="76"/>
      <c r="TVZ59" s="76"/>
      <c r="TWA59" s="76"/>
      <c r="TWB59" s="76"/>
      <c r="TWC59" s="76"/>
      <c r="TWD59" s="76"/>
      <c r="TWE59" s="76"/>
      <c r="TWF59" s="76"/>
      <c r="TWG59" s="76"/>
      <c r="TWH59" s="76"/>
      <c r="TWI59" s="76"/>
      <c r="TWJ59" s="76"/>
      <c r="TWK59" s="76"/>
      <c r="TWL59" s="76"/>
      <c r="TWM59" s="76"/>
      <c r="TWN59" s="76"/>
      <c r="TWO59" s="76"/>
      <c r="TWP59" s="76"/>
      <c r="TWQ59" s="76"/>
      <c r="TWR59" s="76"/>
      <c r="TWS59" s="76"/>
      <c r="TWT59" s="76"/>
      <c r="TWU59" s="76"/>
      <c r="TWV59" s="76"/>
      <c r="TWW59" s="76"/>
      <c r="TWX59" s="76"/>
      <c r="TWY59" s="76"/>
      <c r="TWZ59" s="76"/>
      <c r="TXA59" s="76"/>
      <c r="TXB59" s="76"/>
      <c r="TXC59" s="76"/>
      <c r="TXD59" s="76"/>
      <c r="TXE59" s="76"/>
      <c r="TXF59" s="76"/>
      <c r="TXG59" s="76"/>
      <c r="TXH59" s="76"/>
      <c r="TXI59" s="76"/>
      <c r="TXJ59" s="76"/>
      <c r="TXK59" s="76"/>
      <c r="TXL59" s="76"/>
      <c r="TXM59" s="76"/>
      <c r="TXN59" s="76"/>
      <c r="TXO59" s="76"/>
      <c r="TXP59" s="76"/>
      <c r="TXQ59" s="76"/>
      <c r="TXR59" s="76"/>
      <c r="TXS59" s="76"/>
      <c r="TXT59" s="76"/>
      <c r="TXU59" s="76"/>
      <c r="TXV59" s="76"/>
      <c r="TXW59" s="76"/>
      <c r="TXX59" s="76"/>
      <c r="TXY59" s="76"/>
      <c r="TXZ59" s="76"/>
      <c r="TYA59" s="76"/>
      <c r="TYB59" s="76"/>
      <c r="TYC59" s="76"/>
      <c r="TYD59" s="76"/>
      <c r="TYE59" s="76"/>
      <c r="TYF59" s="76"/>
      <c r="TYG59" s="76"/>
      <c r="TYH59" s="76"/>
      <c r="TYI59" s="76"/>
      <c r="TYJ59" s="76"/>
      <c r="TYK59" s="76"/>
      <c r="TYL59" s="76"/>
      <c r="TYM59" s="76"/>
      <c r="TYN59" s="76"/>
      <c r="TYO59" s="76"/>
      <c r="TYP59" s="76"/>
      <c r="TYQ59" s="76"/>
      <c r="TYR59" s="76"/>
      <c r="TYS59" s="76"/>
      <c r="TYT59" s="76"/>
      <c r="TYU59" s="76"/>
      <c r="TYV59" s="76"/>
      <c r="TYW59" s="76"/>
      <c r="TYX59" s="76"/>
      <c r="TYY59" s="76"/>
      <c r="TYZ59" s="76"/>
      <c r="TZA59" s="76"/>
      <c r="TZB59" s="76"/>
      <c r="TZC59" s="76"/>
      <c r="TZD59" s="76"/>
      <c r="TZE59" s="76"/>
      <c r="TZF59" s="76"/>
      <c r="TZG59" s="76"/>
      <c r="TZH59" s="76"/>
      <c r="TZI59" s="76"/>
      <c r="TZJ59" s="76"/>
      <c r="TZK59" s="76"/>
      <c r="TZL59" s="76"/>
      <c r="TZM59" s="76"/>
      <c r="TZN59" s="76"/>
      <c r="TZO59" s="76"/>
      <c r="TZP59" s="76"/>
      <c r="TZQ59" s="76"/>
      <c r="TZR59" s="76"/>
      <c r="TZS59" s="76"/>
      <c r="TZT59" s="76"/>
      <c r="TZU59" s="76"/>
      <c r="TZV59" s="76"/>
      <c r="TZW59" s="76"/>
      <c r="TZX59" s="76"/>
      <c r="TZY59" s="76"/>
      <c r="TZZ59" s="76"/>
      <c r="UAA59" s="76"/>
      <c r="UAB59" s="76"/>
      <c r="UAC59" s="76"/>
      <c r="UAD59" s="76"/>
      <c r="UAE59" s="76"/>
      <c r="UAF59" s="76"/>
      <c r="UAG59" s="76"/>
      <c r="UAH59" s="76"/>
      <c r="UAI59" s="76"/>
      <c r="UAJ59" s="76"/>
      <c r="UAK59" s="76"/>
      <c r="UAL59" s="76"/>
      <c r="UAM59" s="76"/>
      <c r="UAN59" s="76"/>
      <c r="UAO59" s="76"/>
      <c r="UAP59" s="76"/>
      <c r="UAQ59" s="76"/>
      <c r="UAR59" s="76"/>
      <c r="UAS59" s="76"/>
      <c r="UAT59" s="76"/>
      <c r="UAU59" s="76"/>
      <c r="UAV59" s="76"/>
      <c r="UAW59" s="76"/>
      <c r="UAX59" s="76"/>
      <c r="UAY59" s="76"/>
      <c r="UAZ59" s="76"/>
      <c r="UBA59" s="76"/>
      <c r="UBB59" s="76"/>
      <c r="UBC59" s="76"/>
      <c r="UBD59" s="76"/>
      <c r="UBE59" s="76"/>
      <c r="UBF59" s="76"/>
      <c r="UBG59" s="76"/>
      <c r="UBH59" s="76"/>
      <c r="UBI59" s="76"/>
      <c r="UBJ59" s="76"/>
      <c r="UBK59" s="76"/>
      <c r="UBL59" s="76"/>
      <c r="UBM59" s="76"/>
      <c r="UBN59" s="76"/>
      <c r="UBO59" s="76"/>
      <c r="UBP59" s="76"/>
      <c r="UBQ59" s="76"/>
      <c r="UBR59" s="76"/>
      <c r="UBS59" s="76"/>
      <c r="UBT59" s="76"/>
      <c r="UBU59" s="76"/>
      <c r="UBV59" s="76"/>
      <c r="UBW59" s="76"/>
      <c r="UBX59" s="76"/>
      <c r="UBY59" s="76"/>
      <c r="UBZ59" s="76"/>
      <c r="UCA59" s="76"/>
      <c r="UCB59" s="76"/>
      <c r="UCC59" s="76"/>
      <c r="UCD59" s="76"/>
      <c r="UCE59" s="76"/>
      <c r="UCF59" s="76"/>
      <c r="UCG59" s="76"/>
      <c r="UCH59" s="76"/>
      <c r="UCI59" s="76"/>
      <c r="UCJ59" s="76"/>
      <c r="UCK59" s="76"/>
      <c r="UCL59" s="76"/>
      <c r="UCM59" s="76"/>
      <c r="UCN59" s="76"/>
      <c r="UCO59" s="76"/>
      <c r="UCP59" s="76"/>
      <c r="UCQ59" s="76"/>
      <c r="UCR59" s="76"/>
      <c r="UCS59" s="76"/>
      <c r="UCT59" s="76"/>
      <c r="UCU59" s="76"/>
      <c r="UCV59" s="76"/>
      <c r="UCW59" s="76"/>
      <c r="UCX59" s="76"/>
      <c r="UCY59" s="76"/>
      <c r="UCZ59" s="76"/>
      <c r="UDA59" s="76"/>
      <c r="UDB59" s="76"/>
      <c r="UDC59" s="76"/>
      <c r="UDD59" s="76"/>
      <c r="UDE59" s="76"/>
      <c r="UDF59" s="76"/>
      <c r="UDG59" s="76"/>
      <c r="UDH59" s="76"/>
      <c r="UDI59" s="76"/>
      <c r="UDJ59" s="76"/>
      <c r="UDK59" s="76"/>
      <c r="UDL59" s="76"/>
      <c r="UDM59" s="76"/>
      <c r="UDN59" s="76"/>
      <c r="UDO59" s="76"/>
      <c r="UDP59" s="76"/>
      <c r="UDQ59" s="76"/>
      <c r="UDR59" s="76"/>
      <c r="UDS59" s="76"/>
      <c r="UDT59" s="76"/>
      <c r="UDU59" s="76"/>
      <c r="UDV59" s="76"/>
      <c r="UDW59" s="76"/>
      <c r="UDX59" s="76"/>
      <c r="UDY59" s="76"/>
      <c r="UDZ59" s="76"/>
      <c r="UEA59" s="76"/>
      <c r="UEB59" s="76"/>
      <c r="UEC59" s="76"/>
      <c r="UED59" s="76"/>
      <c r="UEE59" s="76"/>
      <c r="UEF59" s="76"/>
      <c r="UEG59" s="76"/>
      <c r="UEH59" s="76"/>
      <c r="UEI59" s="76"/>
      <c r="UEJ59" s="76"/>
      <c r="UEK59" s="76"/>
      <c r="UEL59" s="76"/>
      <c r="UEM59" s="76"/>
      <c r="UEN59" s="76"/>
      <c r="UEO59" s="76"/>
      <c r="UEP59" s="76"/>
      <c r="UEQ59" s="76"/>
      <c r="UER59" s="76"/>
      <c r="UES59" s="76"/>
      <c r="UET59" s="76"/>
      <c r="UEU59" s="76"/>
      <c r="UEV59" s="76"/>
      <c r="UEW59" s="76"/>
      <c r="UEX59" s="76"/>
      <c r="UEY59" s="76"/>
      <c r="UEZ59" s="76"/>
      <c r="UFA59" s="76"/>
      <c r="UFB59" s="76"/>
      <c r="UFC59" s="76"/>
      <c r="UFD59" s="76"/>
      <c r="UFE59" s="76"/>
      <c r="UFF59" s="76"/>
      <c r="UFG59" s="76"/>
      <c r="UFH59" s="76"/>
      <c r="UFI59" s="76"/>
      <c r="UFJ59" s="76"/>
      <c r="UFK59" s="76"/>
      <c r="UFL59" s="76"/>
      <c r="UFM59" s="76"/>
      <c r="UFN59" s="76"/>
      <c r="UFO59" s="76"/>
      <c r="UFP59" s="76"/>
      <c r="UFQ59" s="76"/>
      <c r="UFR59" s="76"/>
      <c r="UFS59" s="76"/>
      <c r="UFT59" s="76"/>
      <c r="UFU59" s="76"/>
      <c r="UFV59" s="76"/>
      <c r="UFW59" s="76"/>
      <c r="UFX59" s="76"/>
      <c r="UFY59" s="76"/>
      <c r="UFZ59" s="76"/>
      <c r="UGA59" s="76"/>
      <c r="UGB59" s="76"/>
      <c r="UGC59" s="76"/>
      <c r="UGD59" s="76"/>
      <c r="UGE59" s="76"/>
      <c r="UGF59" s="76"/>
      <c r="UGG59" s="76"/>
      <c r="UGH59" s="76"/>
      <c r="UGI59" s="76"/>
      <c r="UGJ59" s="76"/>
      <c r="UGK59" s="76"/>
      <c r="UGL59" s="76"/>
      <c r="UGM59" s="76"/>
      <c r="UGN59" s="76"/>
      <c r="UGO59" s="76"/>
      <c r="UGP59" s="76"/>
      <c r="UGQ59" s="76"/>
      <c r="UGR59" s="76"/>
      <c r="UGS59" s="76"/>
      <c r="UGT59" s="76"/>
      <c r="UGU59" s="76"/>
      <c r="UGV59" s="76"/>
      <c r="UGW59" s="76"/>
      <c r="UGX59" s="76"/>
      <c r="UGY59" s="76"/>
      <c r="UGZ59" s="76"/>
      <c r="UHA59" s="76"/>
      <c r="UHB59" s="76"/>
      <c r="UHC59" s="76"/>
      <c r="UHD59" s="76"/>
      <c r="UHE59" s="76"/>
      <c r="UHF59" s="76"/>
      <c r="UHG59" s="76"/>
      <c r="UHH59" s="76"/>
      <c r="UHI59" s="76"/>
      <c r="UHJ59" s="76"/>
      <c r="UHK59" s="76"/>
      <c r="UHL59" s="76"/>
      <c r="UHM59" s="76"/>
      <c r="UHN59" s="76"/>
      <c r="UHO59" s="76"/>
      <c r="UHP59" s="76"/>
      <c r="UHQ59" s="76"/>
      <c r="UHR59" s="76"/>
      <c r="UHS59" s="76"/>
      <c r="UHT59" s="76"/>
      <c r="UHU59" s="76"/>
      <c r="UHV59" s="76"/>
      <c r="UHW59" s="76"/>
      <c r="UHX59" s="76"/>
      <c r="UHY59" s="76"/>
      <c r="UHZ59" s="76"/>
      <c r="UIA59" s="76"/>
      <c r="UIB59" s="76"/>
      <c r="UIC59" s="76"/>
      <c r="UID59" s="76"/>
      <c r="UIE59" s="76"/>
      <c r="UIF59" s="76"/>
      <c r="UIG59" s="76"/>
      <c r="UIH59" s="76"/>
      <c r="UII59" s="76"/>
      <c r="UIJ59" s="76"/>
      <c r="UIK59" s="76"/>
      <c r="UIL59" s="76"/>
      <c r="UIM59" s="76"/>
      <c r="UIN59" s="76"/>
      <c r="UIO59" s="76"/>
      <c r="UIP59" s="76"/>
      <c r="UIQ59" s="76"/>
      <c r="UIR59" s="76"/>
      <c r="UIS59" s="76"/>
      <c r="UIT59" s="76"/>
      <c r="UIU59" s="76"/>
      <c r="UIV59" s="76"/>
      <c r="UIW59" s="76"/>
      <c r="UIX59" s="76"/>
      <c r="UIY59" s="76"/>
      <c r="UIZ59" s="76"/>
      <c r="UJA59" s="76"/>
      <c r="UJB59" s="76"/>
      <c r="UJC59" s="76"/>
      <c r="UJD59" s="76"/>
      <c r="UJE59" s="76"/>
      <c r="UJF59" s="76"/>
      <c r="UJG59" s="76"/>
      <c r="UJH59" s="76"/>
      <c r="UJI59" s="76"/>
      <c r="UJJ59" s="76"/>
      <c r="UJK59" s="76"/>
      <c r="UJL59" s="76"/>
      <c r="UJM59" s="76"/>
      <c r="UJN59" s="76"/>
      <c r="UJO59" s="76"/>
      <c r="UJP59" s="76"/>
      <c r="UJQ59" s="76"/>
      <c r="UJR59" s="76"/>
      <c r="UJS59" s="76"/>
      <c r="UJT59" s="76"/>
      <c r="UJU59" s="76"/>
      <c r="UJV59" s="76"/>
      <c r="UJW59" s="76"/>
      <c r="UJX59" s="76"/>
      <c r="UJY59" s="76"/>
      <c r="UJZ59" s="76"/>
      <c r="UKA59" s="76"/>
      <c r="UKB59" s="76"/>
      <c r="UKC59" s="76"/>
      <c r="UKD59" s="76"/>
      <c r="UKE59" s="76"/>
      <c r="UKF59" s="76"/>
      <c r="UKG59" s="76"/>
      <c r="UKH59" s="76"/>
      <c r="UKI59" s="76"/>
      <c r="UKJ59" s="76"/>
      <c r="UKK59" s="76"/>
      <c r="UKL59" s="76"/>
      <c r="UKM59" s="76"/>
      <c r="UKN59" s="76"/>
      <c r="UKO59" s="76"/>
      <c r="UKP59" s="76"/>
      <c r="UKQ59" s="76"/>
      <c r="UKR59" s="76"/>
      <c r="UKS59" s="76"/>
      <c r="UKT59" s="76"/>
      <c r="UKU59" s="76"/>
      <c r="UKV59" s="76"/>
      <c r="UKW59" s="76"/>
      <c r="UKX59" s="76"/>
      <c r="UKY59" s="76"/>
      <c r="UKZ59" s="76"/>
      <c r="ULA59" s="76"/>
      <c r="ULB59" s="76"/>
      <c r="ULC59" s="76"/>
      <c r="ULD59" s="76"/>
      <c r="ULE59" s="76"/>
      <c r="ULF59" s="76"/>
      <c r="ULG59" s="76"/>
      <c r="ULH59" s="76"/>
      <c r="ULI59" s="76"/>
      <c r="ULJ59" s="76"/>
      <c r="ULK59" s="76"/>
      <c r="ULL59" s="76"/>
      <c r="ULM59" s="76"/>
      <c r="ULN59" s="76"/>
      <c r="ULO59" s="76"/>
      <c r="ULP59" s="76"/>
      <c r="ULQ59" s="76"/>
      <c r="ULR59" s="76"/>
      <c r="ULS59" s="76"/>
      <c r="ULT59" s="76"/>
      <c r="ULU59" s="76"/>
      <c r="ULV59" s="76"/>
      <c r="ULW59" s="76"/>
      <c r="ULX59" s="76"/>
      <c r="ULY59" s="76"/>
      <c r="ULZ59" s="76"/>
      <c r="UMA59" s="76"/>
      <c r="UMB59" s="76"/>
      <c r="UMC59" s="76"/>
      <c r="UMD59" s="76"/>
      <c r="UME59" s="76"/>
      <c r="UMF59" s="76"/>
      <c r="UMG59" s="76"/>
      <c r="UMH59" s="76"/>
      <c r="UMI59" s="76"/>
      <c r="UMJ59" s="76"/>
      <c r="UMK59" s="76"/>
      <c r="UML59" s="76"/>
      <c r="UMM59" s="76"/>
      <c r="UMN59" s="76"/>
      <c r="UMO59" s="76"/>
      <c r="UMP59" s="76"/>
      <c r="UMQ59" s="76"/>
      <c r="UMR59" s="76"/>
      <c r="UMS59" s="76"/>
      <c r="UMT59" s="76"/>
      <c r="UMU59" s="76"/>
      <c r="UMV59" s="76"/>
      <c r="UMW59" s="76"/>
      <c r="UMX59" s="76"/>
      <c r="UMY59" s="76"/>
      <c r="UMZ59" s="76"/>
      <c r="UNA59" s="76"/>
      <c r="UNB59" s="76"/>
      <c r="UNC59" s="76"/>
      <c r="UND59" s="76"/>
      <c r="UNE59" s="76"/>
      <c r="UNF59" s="76"/>
      <c r="UNG59" s="76"/>
      <c r="UNH59" s="76"/>
      <c r="UNI59" s="76"/>
      <c r="UNJ59" s="76"/>
      <c r="UNK59" s="76"/>
      <c r="UNL59" s="76"/>
      <c r="UNM59" s="76"/>
      <c r="UNN59" s="76"/>
      <c r="UNO59" s="76"/>
      <c r="UNP59" s="76"/>
      <c r="UNQ59" s="76"/>
      <c r="UNR59" s="76"/>
      <c r="UNS59" s="76"/>
      <c r="UNT59" s="76"/>
      <c r="UNU59" s="76"/>
      <c r="UNV59" s="76"/>
      <c r="UNW59" s="76"/>
      <c r="UNX59" s="76"/>
      <c r="UNY59" s="76"/>
      <c r="UNZ59" s="76"/>
      <c r="UOA59" s="76"/>
      <c r="UOB59" s="76"/>
      <c r="UOC59" s="76"/>
      <c r="UOD59" s="76"/>
      <c r="UOE59" s="76"/>
      <c r="UOF59" s="76"/>
      <c r="UOG59" s="76"/>
      <c r="UOH59" s="76"/>
      <c r="UOI59" s="76"/>
      <c r="UOJ59" s="76"/>
      <c r="UOK59" s="76"/>
      <c r="UOL59" s="76"/>
      <c r="UOM59" s="76"/>
      <c r="UON59" s="76"/>
      <c r="UOO59" s="76"/>
      <c r="UOP59" s="76"/>
      <c r="UOQ59" s="76"/>
      <c r="UOR59" s="76"/>
      <c r="UOS59" s="76"/>
      <c r="UOT59" s="76"/>
      <c r="UOU59" s="76"/>
      <c r="UOV59" s="76"/>
      <c r="UOW59" s="76"/>
      <c r="UOX59" s="76"/>
      <c r="UOY59" s="76"/>
      <c r="UOZ59" s="76"/>
      <c r="UPA59" s="76"/>
      <c r="UPB59" s="76"/>
      <c r="UPC59" s="76"/>
      <c r="UPD59" s="76"/>
      <c r="UPE59" s="76"/>
      <c r="UPF59" s="76"/>
      <c r="UPG59" s="76"/>
      <c r="UPH59" s="76"/>
      <c r="UPI59" s="76"/>
      <c r="UPJ59" s="76"/>
      <c r="UPK59" s="76"/>
      <c r="UPL59" s="76"/>
      <c r="UPM59" s="76"/>
      <c r="UPN59" s="76"/>
      <c r="UPO59" s="76"/>
      <c r="UPP59" s="76"/>
      <c r="UPQ59" s="76"/>
      <c r="UPR59" s="76"/>
      <c r="UPS59" s="76"/>
      <c r="UPT59" s="76"/>
      <c r="UPU59" s="76"/>
      <c r="UPV59" s="76"/>
      <c r="UPW59" s="76"/>
      <c r="UPX59" s="76"/>
      <c r="UPY59" s="76"/>
      <c r="UPZ59" s="76"/>
      <c r="UQA59" s="76"/>
      <c r="UQB59" s="76"/>
      <c r="UQC59" s="76"/>
      <c r="UQD59" s="76"/>
      <c r="UQE59" s="76"/>
      <c r="UQF59" s="76"/>
      <c r="UQG59" s="76"/>
      <c r="UQH59" s="76"/>
      <c r="UQI59" s="76"/>
      <c r="UQJ59" s="76"/>
      <c r="UQK59" s="76"/>
      <c r="UQL59" s="76"/>
      <c r="UQM59" s="76"/>
      <c r="UQN59" s="76"/>
      <c r="UQO59" s="76"/>
      <c r="UQP59" s="76"/>
      <c r="UQQ59" s="76"/>
      <c r="UQR59" s="76"/>
      <c r="UQS59" s="76"/>
      <c r="UQT59" s="76"/>
      <c r="UQU59" s="76"/>
      <c r="UQV59" s="76"/>
      <c r="UQW59" s="76"/>
      <c r="UQX59" s="76"/>
      <c r="UQY59" s="76"/>
      <c r="UQZ59" s="76"/>
      <c r="URA59" s="76"/>
      <c r="URB59" s="76"/>
      <c r="URC59" s="76"/>
      <c r="URD59" s="76"/>
      <c r="URE59" s="76"/>
      <c r="URF59" s="76"/>
      <c r="URG59" s="76"/>
      <c r="URH59" s="76"/>
      <c r="URI59" s="76"/>
      <c r="URJ59" s="76"/>
      <c r="URK59" s="76"/>
      <c r="URL59" s="76"/>
      <c r="URM59" s="76"/>
      <c r="URN59" s="76"/>
      <c r="URO59" s="76"/>
      <c r="URP59" s="76"/>
      <c r="URQ59" s="76"/>
      <c r="URR59" s="76"/>
      <c r="URS59" s="76"/>
      <c r="URT59" s="76"/>
      <c r="URU59" s="76"/>
      <c r="URV59" s="76"/>
      <c r="URW59" s="76"/>
      <c r="URX59" s="76"/>
      <c r="URY59" s="76"/>
      <c r="URZ59" s="76"/>
      <c r="USA59" s="76"/>
      <c r="USB59" s="76"/>
      <c r="USC59" s="76"/>
      <c r="USD59" s="76"/>
      <c r="USE59" s="76"/>
      <c r="USF59" s="76"/>
      <c r="USG59" s="76"/>
      <c r="USH59" s="76"/>
      <c r="USI59" s="76"/>
      <c r="USJ59" s="76"/>
      <c r="USK59" s="76"/>
      <c r="USL59" s="76"/>
      <c r="USM59" s="76"/>
      <c r="USN59" s="76"/>
      <c r="USO59" s="76"/>
      <c r="USP59" s="76"/>
      <c r="USQ59" s="76"/>
      <c r="USR59" s="76"/>
      <c r="USS59" s="76"/>
      <c r="UST59" s="76"/>
      <c r="USU59" s="76"/>
      <c r="USV59" s="76"/>
      <c r="USW59" s="76"/>
      <c r="USX59" s="76"/>
      <c r="USY59" s="76"/>
      <c r="USZ59" s="76"/>
      <c r="UTA59" s="76"/>
      <c r="UTB59" s="76"/>
      <c r="UTC59" s="76"/>
      <c r="UTD59" s="76"/>
      <c r="UTE59" s="76"/>
      <c r="UTF59" s="76"/>
      <c r="UTG59" s="76"/>
      <c r="UTH59" s="76"/>
      <c r="UTI59" s="76"/>
      <c r="UTJ59" s="76"/>
      <c r="UTK59" s="76"/>
      <c r="UTL59" s="76"/>
      <c r="UTM59" s="76"/>
      <c r="UTN59" s="76"/>
      <c r="UTO59" s="76"/>
      <c r="UTP59" s="76"/>
      <c r="UTQ59" s="76"/>
      <c r="UTR59" s="76"/>
      <c r="UTS59" s="76"/>
      <c r="UTT59" s="76"/>
      <c r="UTU59" s="76"/>
      <c r="UTV59" s="76"/>
      <c r="UTW59" s="76"/>
      <c r="UTX59" s="76"/>
      <c r="UTY59" s="76"/>
      <c r="UTZ59" s="76"/>
      <c r="UUA59" s="76"/>
      <c r="UUB59" s="76"/>
      <c r="UUC59" s="76"/>
      <c r="UUD59" s="76"/>
      <c r="UUE59" s="76"/>
      <c r="UUF59" s="76"/>
      <c r="UUG59" s="76"/>
      <c r="UUH59" s="76"/>
      <c r="UUI59" s="76"/>
      <c r="UUJ59" s="76"/>
      <c r="UUK59" s="76"/>
      <c r="UUL59" s="76"/>
      <c r="UUM59" s="76"/>
      <c r="UUN59" s="76"/>
      <c r="UUO59" s="76"/>
      <c r="UUP59" s="76"/>
      <c r="UUQ59" s="76"/>
      <c r="UUR59" s="76"/>
      <c r="UUS59" s="76"/>
      <c r="UUT59" s="76"/>
      <c r="UUU59" s="76"/>
      <c r="UUV59" s="76"/>
      <c r="UUW59" s="76"/>
      <c r="UUX59" s="76"/>
      <c r="UUY59" s="76"/>
      <c r="UUZ59" s="76"/>
      <c r="UVA59" s="76"/>
      <c r="UVB59" s="76"/>
      <c r="UVC59" s="76"/>
      <c r="UVD59" s="76"/>
      <c r="UVE59" s="76"/>
      <c r="UVF59" s="76"/>
      <c r="UVG59" s="76"/>
      <c r="UVH59" s="76"/>
      <c r="UVI59" s="76"/>
      <c r="UVJ59" s="76"/>
      <c r="UVK59" s="76"/>
      <c r="UVL59" s="76"/>
      <c r="UVM59" s="76"/>
      <c r="UVN59" s="76"/>
      <c r="UVO59" s="76"/>
      <c r="UVP59" s="76"/>
      <c r="UVQ59" s="76"/>
      <c r="UVR59" s="76"/>
      <c r="UVS59" s="76"/>
      <c r="UVT59" s="76"/>
      <c r="UVU59" s="76"/>
      <c r="UVV59" s="76"/>
      <c r="UVW59" s="76"/>
      <c r="UVX59" s="76"/>
      <c r="UVY59" s="76"/>
      <c r="UVZ59" s="76"/>
      <c r="UWA59" s="76"/>
      <c r="UWB59" s="76"/>
      <c r="UWC59" s="76"/>
      <c r="UWD59" s="76"/>
      <c r="UWE59" s="76"/>
      <c r="UWF59" s="76"/>
      <c r="UWG59" s="76"/>
      <c r="UWH59" s="76"/>
      <c r="UWI59" s="76"/>
      <c r="UWJ59" s="76"/>
      <c r="UWK59" s="76"/>
      <c r="UWL59" s="76"/>
      <c r="UWM59" s="76"/>
      <c r="UWN59" s="76"/>
      <c r="UWO59" s="76"/>
      <c r="UWP59" s="76"/>
      <c r="UWQ59" s="76"/>
      <c r="UWR59" s="76"/>
      <c r="UWS59" s="76"/>
      <c r="UWT59" s="76"/>
      <c r="UWU59" s="76"/>
      <c r="UWV59" s="76"/>
      <c r="UWW59" s="76"/>
      <c r="UWX59" s="76"/>
      <c r="UWY59" s="76"/>
      <c r="UWZ59" s="76"/>
      <c r="UXA59" s="76"/>
      <c r="UXB59" s="76"/>
      <c r="UXC59" s="76"/>
      <c r="UXD59" s="76"/>
      <c r="UXE59" s="76"/>
      <c r="UXF59" s="76"/>
      <c r="UXG59" s="76"/>
      <c r="UXH59" s="76"/>
      <c r="UXI59" s="76"/>
      <c r="UXJ59" s="76"/>
      <c r="UXK59" s="76"/>
      <c r="UXL59" s="76"/>
      <c r="UXM59" s="76"/>
      <c r="UXN59" s="76"/>
      <c r="UXO59" s="76"/>
      <c r="UXP59" s="76"/>
      <c r="UXQ59" s="76"/>
      <c r="UXR59" s="76"/>
      <c r="UXS59" s="76"/>
      <c r="UXT59" s="76"/>
      <c r="UXU59" s="76"/>
      <c r="UXV59" s="76"/>
      <c r="UXW59" s="76"/>
      <c r="UXX59" s="76"/>
      <c r="UXY59" s="76"/>
      <c r="UXZ59" s="76"/>
      <c r="UYA59" s="76"/>
      <c r="UYB59" s="76"/>
      <c r="UYC59" s="76"/>
      <c r="UYD59" s="76"/>
      <c r="UYE59" s="76"/>
      <c r="UYF59" s="76"/>
      <c r="UYG59" s="76"/>
      <c r="UYH59" s="76"/>
      <c r="UYI59" s="76"/>
      <c r="UYJ59" s="76"/>
      <c r="UYK59" s="76"/>
      <c r="UYL59" s="76"/>
      <c r="UYM59" s="76"/>
      <c r="UYN59" s="76"/>
      <c r="UYO59" s="76"/>
      <c r="UYP59" s="76"/>
      <c r="UYQ59" s="76"/>
      <c r="UYR59" s="76"/>
      <c r="UYS59" s="76"/>
      <c r="UYT59" s="76"/>
      <c r="UYU59" s="76"/>
      <c r="UYV59" s="76"/>
      <c r="UYW59" s="76"/>
      <c r="UYX59" s="76"/>
      <c r="UYY59" s="76"/>
      <c r="UYZ59" s="76"/>
      <c r="UZA59" s="76"/>
      <c r="UZB59" s="76"/>
      <c r="UZC59" s="76"/>
      <c r="UZD59" s="76"/>
      <c r="UZE59" s="76"/>
      <c r="UZF59" s="76"/>
      <c r="UZG59" s="76"/>
      <c r="UZH59" s="76"/>
      <c r="UZI59" s="76"/>
      <c r="UZJ59" s="76"/>
      <c r="UZK59" s="76"/>
      <c r="UZL59" s="76"/>
      <c r="UZM59" s="76"/>
      <c r="UZN59" s="76"/>
      <c r="UZO59" s="76"/>
      <c r="UZP59" s="76"/>
      <c r="UZQ59" s="76"/>
      <c r="UZR59" s="76"/>
      <c r="UZS59" s="76"/>
      <c r="UZT59" s="76"/>
      <c r="UZU59" s="76"/>
      <c r="UZV59" s="76"/>
      <c r="UZW59" s="76"/>
      <c r="UZX59" s="76"/>
      <c r="UZY59" s="76"/>
      <c r="UZZ59" s="76"/>
      <c r="VAA59" s="76"/>
      <c r="VAB59" s="76"/>
      <c r="VAC59" s="76"/>
      <c r="VAD59" s="76"/>
      <c r="VAE59" s="76"/>
      <c r="VAF59" s="76"/>
      <c r="VAG59" s="76"/>
      <c r="VAH59" s="76"/>
      <c r="VAI59" s="76"/>
      <c r="VAJ59" s="76"/>
      <c r="VAK59" s="76"/>
      <c r="VAL59" s="76"/>
      <c r="VAM59" s="76"/>
      <c r="VAN59" s="76"/>
      <c r="VAO59" s="76"/>
      <c r="VAP59" s="76"/>
      <c r="VAQ59" s="76"/>
      <c r="VAR59" s="76"/>
      <c r="VAS59" s="76"/>
      <c r="VAT59" s="76"/>
      <c r="VAU59" s="76"/>
      <c r="VAV59" s="76"/>
      <c r="VAW59" s="76"/>
      <c r="VAX59" s="76"/>
      <c r="VAY59" s="76"/>
      <c r="VAZ59" s="76"/>
      <c r="VBA59" s="76"/>
      <c r="VBB59" s="76"/>
      <c r="VBC59" s="76"/>
      <c r="VBD59" s="76"/>
      <c r="VBE59" s="76"/>
      <c r="VBF59" s="76"/>
      <c r="VBG59" s="76"/>
      <c r="VBH59" s="76"/>
      <c r="VBI59" s="76"/>
      <c r="VBJ59" s="76"/>
      <c r="VBK59" s="76"/>
      <c r="VBL59" s="76"/>
      <c r="VBM59" s="76"/>
      <c r="VBN59" s="76"/>
      <c r="VBO59" s="76"/>
      <c r="VBP59" s="76"/>
      <c r="VBQ59" s="76"/>
      <c r="VBR59" s="76"/>
      <c r="VBS59" s="76"/>
      <c r="VBT59" s="76"/>
      <c r="VBU59" s="76"/>
      <c r="VBV59" s="76"/>
      <c r="VBW59" s="76"/>
      <c r="VBX59" s="76"/>
      <c r="VBY59" s="76"/>
      <c r="VBZ59" s="76"/>
      <c r="VCA59" s="76"/>
      <c r="VCB59" s="76"/>
      <c r="VCC59" s="76"/>
      <c r="VCD59" s="76"/>
      <c r="VCE59" s="76"/>
      <c r="VCF59" s="76"/>
      <c r="VCG59" s="76"/>
      <c r="VCH59" s="76"/>
      <c r="VCI59" s="76"/>
      <c r="VCJ59" s="76"/>
      <c r="VCK59" s="76"/>
      <c r="VCL59" s="76"/>
      <c r="VCM59" s="76"/>
      <c r="VCN59" s="76"/>
      <c r="VCO59" s="76"/>
      <c r="VCP59" s="76"/>
      <c r="VCQ59" s="76"/>
      <c r="VCR59" s="76"/>
      <c r="VCS59" s="76"/>
      <c r="VCT59" s="76"/>
      <c r="VCU59" s="76"/>
      <c r="VCV59" s="76"/>
      <c r="VCW59" s="76"/>
      <c r="VCX59" s="76"/>
      <c r="VCY59" s="76"/>
      <c r="VCZ59" s="76"/>
      <c r="VDA59" s="76"/>
      <c r="VDB59" s="76"/>
      <c r="VDC59" s="76"/>
      <c r="VDD59" s="76"/>
      <c r="VDE59" s="76"/>
      <c r="VDF59" s="76"/>
      <c r="VDG59" s="76"/>
      <c r="VDH59" s="76"/>
      <c r="VDI59" s="76"/>
      <c r="VDJ59" s="76"/>
      <c r="VDK59" s="76"/>
      <c r="VDL59" s="76"/>
      <c r="VDM59" s="76"/>
      <c r="VDN59" s="76"/>
      <c r="VDO59" s="76"/>
      <c r="VDP59" s="76"/>
      <c r="VDQ59" s="76"/>
      <c r="VDR59" s="76"/>
      <c r="VDS59" s="76"/>
      <c r="VDT59" s="76"/>
      <c r="VDU59" s="76"/>
      <c r="VDV59" s="76"/>
      <c r="VDW59" s="76"/>
      <c r="VDX59" s="76"/>
      <c r="VDY59" s="76"/>
      <c r="VDZ59" s="76"/>
      <c r="VEA59" s="76"/>
      <c r="VEB59" s="76"/>
      <c r="VEC59" s="76"/>
      <c r="VED59" s="76"/>
      <c r="VEE59" s="76"/>
      <c r="VEF59" s="76"/>
      <c r="VEG59" s="76"/>
      <c r="VEH59" s="76"/>
      <c r="VEI59" s="76"/>
      <c r="VEJ59" s="76"/>
      <c r="VEK59" s="76"/>
      <c r="VEL59" s="76"/>
      <c r="VEM59" s="76"/>
      <c r="VEN59" s="76"/>
      <c r="VEO59" s="76"/>
      <c r="VEP59" s="76"/>
      <c r="VEQ59" s="76"/>
      <c r="VER59" s="76"/>
      <c r="VES59" s="76"/>
      <c r="VET59" s="76"/>
      <c r="VEU59" s="76"/>
      <c r="VEV59" s="76"/>
      <c r="VEW59" s="76"/>
      <c r="VEX59" s="76"/>
      <c r="VEY59" s="76"/>
      <c r="VEZ59" s="76"/>
      <c r="VFA59" s="76"/>
      <c r="VFB59" s="76"/>
      <c r="VFC59" s="76"/>
      <c r="VFD59" s="76"/>
      <c r="VFE59" s="76"/>
      <c r="VFF59" s="76"/>
      <c r="VFG59" s="76"/>
      <c r="VFH59" s="76"/>
      <c r="VFI59" s="76"/>
      <c r="VFJ59" s="76"/>
      <c r="VFK59" s="76"/>
      <c r="VFL59" s="76"/>
      <c r="VFM59" s="76"/>
      <c r="VFN59" s="76"/>
      <c r="VFO59" s="76"/>
      <c r="VFP59" s="76"/>
      <c r="VFQ59" s="76"/>
      <c r="VFR59" s="76"/>
      <c r="VFS59" s="76"/>
      <c r="VFT59" s="76"/>
      <c r="VFU59" s="76"/>
      <c r="VFV59" s="76"/>
      <c r="VFW59" s="76"/>
      <c r="VFX59" s="76"/>
      <c r="VFY59" s="76"/>
      <c r="VFZ59" s="76"/>
      <c r="VGA59" s="76"/>
      <c r="VGB59" s="76"/>
      <c r="VGC59" s="76"/>
      <c r="VGD59" s="76"/>
      <c r="VGE59" s="76"/>
      <c r="VGF59" s="76"/>
      <c r="VGG59" s="76"/>
      <c r="VGH59" s="76"/>
      <c r="VGI59" s="76"/>
      <c r="VGJ59" s="76"/>
      <c r="VGK59" s="76"/>
      <c r="VGL59" s="76"/>
      <c r="VGM59" s="76"/>
      <c r="VGN59" s="76"/>
      <c r="VGO59" s="76"/>
      <c r="VGP59" s="76"/>
      <c r="VGQ59" s="76"/>
      <c r="VGR59" s="76"/>
      <c r="VGS59" s="76"/>
      <c r="VGT59" s="76"/>
      <c r="VGU59" s="76"/>
      <c r="VGV59" s="76"/>
      <c r="VGW59" s="76"/>
      <c r="VGX59" s="76"/>
      <c r="VGY59" s="76"/>
      <c r="VGZ59" s="76"/>
      <c r="VHA59" s="76"/>
      <c r="VHB59" s="76"/>
      <c r="VHC59" s="76"/>
      <c r="VHD59" s="76"/>
      <c r="VHE59" s="76"/>
      <c r="VHF59" s="76"/>
      <c r="VHG59" s="76"/>
      <c r="VHH59" s="76"/>
      <c r="VHI59" s="76"/>
      <c r="VHJ59" s="76"/>
      <c r="VHK59" s="76"/>
      <c r="VHL59" s="76"/>
      <c r="VHM59" s="76"/>
      <c r="VHN59" s="76"/>
      <c r="VHO59" s="76"/>
      <c r="VHP59" s="76"/>
      <c r="VHQ59" s="76"/>
      <c r="VHR59" s="76"/>
      <c r="VHS59" s="76"/>
      <c r="VHT59" s="76"/>
      <c r="VHU59" s="76"/>
      <c r="VHV59" s="76"/>
      <c r="VHW59" s="76"/>
      <c r="VHX59" s="76"/>
      <c r="VHY59" s="76"/>
      <c r="VHZ59" s="76"/>
      <c r="VIA59" s="76"/>
      <c r="VIB59" s="76"/>
      <c r="VIC59" s="76"/>
      <c r="VID59" s="76"/>
      <c r="VIE59" s="76"/>
      <c r="VIF59" s="76"/>
      <c r="VIG59" s="76"/>
      <c r="VIH59" s="76"/>
      <c r="VII59" s="76"/>
      <c r="VIJ59" s="76"/>
      <c r="VIK59" s="76"/>
      <c r="VIL59" s="76"/>
      <c r="VIM59" s="76"/>
      <c r="VIN59" s="76"/>
      <c r="VIO59" s="76"/>
      <c r="VIP59" s="76"/>
      <c r="VIQ59" s="76"/>
      <c r="VIR59" s="76"/>
      <c r="VIS59" s="76"/>
      <c r="VIT59" s="76"/>
      <c r="VIU59" s="76"/>
      <c r="VIV59" s="76"/>
      <c r="VIW59" s="76"/>
      <c r="VIX59" s="76"/>
      <c r="VIY59" s="76"/>
      <c r="VIZ59" s="76"/>
      <c r="VJA59" s="76"/>
      <c r="VJB59" s="76"/>
      <c r="VJC59" s="76"/>
      <c r="VJD59" s="76"/>
      <c r="VJE59" s="76"/>
      <c r="VJF59" s="76"/>
      <c r="VJG59" s="76"/>
      <c r="VJH59" s="76"/>
      <c r="VJI59" s="76"/>
      <c r="VJJ59" s="76"/>
      <c r="VJK59" s="76"/>
      <c r="VJL59" s="76"/>
      <c r="VJM59" s="76"/>
      <c r="VJN59" s="76"/>
      <c r="VJO59" s="76"/>
      <c r="VJP59" s="76"/>
      <c r="VJQ59" s="76"/>
      <c r="VJR59" s="76"/>
      <c r="VJS59" s="76"/>
      <c r="VJT59" s="76"/>
      <c r="VJU59" s="76"/>
      <c r="VJV59" s="76"/>
      <c r="VJW59" s="76"/>
      <c r="VJX59" s="76"/>
      <c r="VJY59" s="76"/>
      <c r="VJZ59" s="76"/>
      <c r="VKA59" s="76"/>
      <c r="VKB59" s="76"/>
      <c r="VKC59" s="76"/>
      <c r="VKD59" s="76"/>
      <c r="VKE59" s="76"/>
      <c r="VKF59" s="76"/>
      <c r="VKG59" s="76"/>
      <c r="VKH59" s="76"/>
      <c r="VKI59" s="76"/>
      <c r="VKJ59" s="76"/>
      <c r="VKK59" s="76"/>
      <c r="VKL59" s="76"/>
      <c r="VKM59" s="76"/>
      <c r="VKN59" s="76"/>
      <c r="VKO59" s="76"/>
      <c r="VKP59" s="76"/>
      <c r="VKQ59" s="76"/>
      <c r="VKR59" s="76"/>
      <c r="VKS59" s="76"/>
      <c r="VKT59" s="76"/>
      <c r="VKU59" s="76"/>
      <c r="VKV59" s="76"/>
      <c r="VKW59" s="76"/>
      <c r="VKX59" s="76"/>
      <c r="VKY59" s="76"/>
      <c r="VKZ59" s="76"/>
      <c r="VLA59" s="76"/>
      <c r="VLB59" s="76"/>
      <c r="VLC59" s="76"/>
      <c r="VLD59" s="76"/>
      <c r="VLE59" s="76"/>
      <c r="VLF59" s="76"/>
      <c r="VLG59" s="76"/>
      <c r="VLH59" s="76"/>
      <c r="VLI59" s="76"/>
      <c r="VLJ59" s="76"/>
      <c r="VLK59" s="76"/>
      <c r="VLL59" s="76"/>
      <c r="VLM59" s="76"/>
      <c r="VLN59" s="76"/>
      <c r="VLO59" s="76"/>
      <c r="VLP59" s="76"/>
      <c r="VLQ59" s="76"/>
      <c r="VLR59" s="76"/>
      <c r="VLS59" s="76"/>
      <c r="VLT59" s="76"/>
      <c r="VLU59" s="76"/>
      <c r="VLV59" s="76"/>
      <c r="VLW59" s="76"/>
      <c r="VLX59" s="76"/>
      <c r="VLY59" s="76"/>
      <c r="VLZ59" s="76"/>
      <c r="VMA59" s="76"/>
      <c r="VMB59" s="76"/>
      <c r="VMC59" s="76"/>
      <c r="VMD59" s="76"/>
      <c r="VME59" s="76"/>
      <c r="VMF59" s="76"/>
      <c r="VMG59" s="76"/>
      <c r="VMH59" s="76"/>
      <c r="VMI59" s="76"/>
      <c r="VMJ59" s="76"/>
      <c r="VMK59" s="76"/>
      <c r="VML59" s="76"/>
      <c r="VMM59" s="76"/>
      <c r="VMN59" s="76"/>
      <c r="VMO59" s="76"/>
      <c r="VMP59" s="76"/>
      <c r="VMQ59" s="76"/>
      <c r="VMR59" s="76"/>
      <c r="VMS59" s="76"/>
      <c r="VMT59" s="76"/>
      <c r="VMU59" s="76"/>
      <c r="VMV59" s="76"/>
      <c r="VMW59" s="76"/>
      <c r="VMX59" s="76"/>
      <c r="VMY59" s="76"/>
      <c r="VMZ59" s="76"/>
      <c r="VNA59" s="76"/>
      <c r="VNB59" s="76"/>
      <c r="VNC59" s="76"/>
      <c r="VND59" s="76"/>
      <c r="VNE59" s="76"/>
      <c r="VNF59" s="76"/>
      <c r="VNG59" s="76"/>
      <c r="VNH59" s="76"/>
      <c r="VNI59" s="76"/>
      <c r="VNJ59" s="76"/>
      <c r="VNK59" s="76"/>
      <c r="VNL59" s="76"/>
      <c r="VNM59" s="76"/>
      <c r="VNN59" s="76"/>
      <c r="VNO59" s="76"/>
      <c r="VNP59" s="76"/>
      <c r="VNQ59" s="76"/>
      <c r="VNR59" s="76"/>
      <c r="VNS59" s="76"/>
      <c r="VNT59" s="76"/>
      <c r="VNU59" s="76"/>
      <c r="VNV59" s="76"/>
      <c r="VNW59" s="76"/>
      <c r="VNX59" s="76"/>
      <c r="VNY59" s="76"/>
      <c r="VNZ59" s="76"/>
      <c r="VOA59" s="76"/>
      <c r="VOB59" s="76"/>
      <c r="VOC59" s="76"/>
      <c r="VOD59" s="76"/>
      <c r="VOE59" s="76"/>
      <c r="VOF59" s="76"/>
      <c r="VOG59" s="76"/>
      <c r="VOH59" s="76"/>
      <c r="VOI59" s="76"/>
      <c r="VOJ59" s="76"/>
      <c r="VOK59" s="76"/>
      <c r="VOL59" s="76"/>
      <c r="VOM59" s="76"/>
      <c r="VON59" s="76"/>
      <c r="VOO59" s="76"/>
      <c r="VOP59" s="76"/>
      <c r="VOQ59" s="76"/>
      <c r="VOR59" s="76"/>
      <c r="VOS59" s="76"/>
      <c r="VOT59" s="76"/>
      <c r="VOU59" s="76"/>
      <c r="VOV59" s="76"/>
      <c r="VOW59" s="76"/>
      <c r="VOX59" s="76"/>
      <c r="VOY59" s="76"/>
      <c r="VOZ59" s="76"/>
      <c r="VPA59" s="76"/>
      <c r="VPB59" s="76"/>
      <c r="VPC59" s="76"/>
      <c r="VPD59" s="76"/>
      <c r="VPE59" s="76"/>
      <c r="VPF59" s="76"/>
      <c r="VPG59" s="76"/>
      <c r="VPH59" s="76"/>
      <c r="VPI59" s="76"/>
      <c r="VPJ59" s="76"/>
      <c r="VPK59" s="76"/>
      <c r="VPL59" s="76"/>
      <c r="VPM59" s="76"/>
      <c r="VPN59" s="76"/>
      <c r="VPO59" s="76"/>
      <c r="VPP59" s="76"/>
      <c r="VPQ59" s="76"/>
      <c r="VPR59" s="76"/>
      <c r="VPS59" s="76"/>
      <c r="VPT59" s="76"/>
      <c r="VPU59" s="76"/>
      <c r="VPV59" s="76"/>
      <c r="VPW59" s="76"/>
      <c r="VPX59" s="76"/>
      <c r="VPY59" s="76"/>
      <c r="VPZ59" s="76"/>
      <c r="VQA59" s="76"/>
      <c r="VQB59" s="76"/>
      <c r="VQC59" s="76"/>
      <c r="VQD59" s="76"/>
      <c r="VQE59" s="76"/>
      <c r="VQF59" s="76"/>
      <c r="VQG59" s="76"/>
      <c r="VQH59" s="76"/>
      <c r="VQI59" s="76"/>
      <c r="VQJ59" s="76"/>
      <c r="VQK59" s="76"/>
      <c r="VQL59" s="76"/>
      <c r="VQM59" s="76"/>
      <c r="VQN59" s="76"/>
      <c r="VQO59" s="76"/>
      <c r="VQP59" s="76"/>
      <c r="VQQ59" s="76"/>
      <c r="VQR59" s="76"/>
      <c r="VQS59" s="76"/>
      <c r="VQT59" s="76"/>
      <c r="VQU59" s="76"/>
      <c r="VQV59" s="76"/>
      <c r="VQW59" s="76"/>
      <c r="VQX59" s="76"/>
      <c r="VQY59" s="76"/>
      <c r="VQZ59" s="76"/>
      <c r="VRA59" s="76"/>
      <c r="VRB59" s="76"/>
      <c r="VRC59" s="76"/>
      <c r="VRD59" s="76"/>
      <c r="VRE59" s="76"/>
      <c r="VRF59" s="76"/>
      <c r="VRG59" s="76"/>
      <c r="VRH59" s="76"/>
      <c r="VRI59" s="76"/>
      <c r="VRJ59" s="76"/>
      <c r="VRK59" s="76"/>
      <c r="VRL59" s="76"/>
      <c r="VRM59" s="76"/>
      <c r="VRN59" s="76"/>
      <c r="VRO59" s="76"/>
      <c r="VRP59" s="76"/>
      <c r="VRQ59" s="76"/>
      <c r="VRR59" s="76"/>
      <c r="VRS59" s="76"/>
      <c r="VRT59" s="76"/>
      <c r="VRU59" s="76"/>
      <c r="VRV59" s="76"/>
      <c r="VRW59" s="76"/>
      <c r="VRX59" s="76"/>
      <c r="VRY59" s="76"/>
      <c r="VRZ59" s="76"/>
      <c r="VSA59" s="76"/>
      <c r="VSB59" s="76"/>
      <c r="VSC59" s="76"/>
      <c r="VSD59" s="76"/>
      <c r="VSE59" s="76"/>
      <c r="VSF59" s="76"/>
      <c r="VSG59" s="76"/>
      <c r="VSH59" s="76"/>
      <c r="VSI59" s="76"/>
      <c r="VSJ59" s="76"/>
      <c r="VSK59" s="76"/>
      <c r="VSL59" s="76"/>
      <c r="VSM59" s="76"/>
      <c r="VSN59" s="76"/>
      <c r="VSO59" s="76"/>
      <c r="VSP59" s="76"/>
      <c r="VSQ59" s="76"/>
      <c r="VSR59" s="76"/>
      <c r="VSS59" s="76"/>
      <c r="VST59" s="76"/>
      <c r="VSU59" s="76"/>
      <c r="VSV59" s="76"/>
      <c r="VSW59" s="76"/>
      <c r="VSX59" s="76"/>
      <c r="VSY59" s="76"/>
      <c r="VSZ59" s="76"/>
      <c r="VTA59" s="76"/>
      <c r="VTB59" s="76"/>
      <c r="VTC59" s="76"/>
      <c r="VTD59" s="76"/>
      <c r="VTE59" s="76"/>
      <c r="VTF59" s="76"/>
      <c r="VTG59" s="76"/>
      <c r="VTH59" s="76"/>
      <c r="VTI59" s="76"/>
      <c r="VTJ59" s="76"/>
      <c r="VTK59" s="76"/>
      <c r="VTL59" s="76"/>
      <c r="VTM59" s="76"/>
      <c r="VTN59" s="76"/>
      <c r="VTO59" s="76"/>
      <c r="VTP59" s="76"/>
      <c r="VTQ59" s="76"/>
      <c r="VTR59" s="76"/>
      <c r="VTS59" s="76"/>
      <c r="VTT59" s="76"/>
      <c r="VTU59" s="76"/>
      <c r="VTV59" s="76"/>
      <c r="VTW59" s="76"/>
      <c r="VTX59" s="76"/>
      <c r="VTY59" s="76"/>
      <c r="VTZ59" s="76"/>
      <c r="VUA59" s="76"/>
      <c r="VUB59" s="76"/>
      <c r="VUC59" s="76"/>
      <c r="VUD59" s="76"/>
      <c r="VUE59" s="76"/>
      <c r="VUF59" s="76"/>
      <c r="VUG59" s="76"/>
      <c r="VUH59" s="76"/>
      <c r="VUI59" s="76"/>
      <c r="VUJ59" s="76"/>
      <c r="VUK59" s="76"/>
      <c r="VUL59" s="76"/>
      <c r="VUM59" s="76"/>
      <c r="VUN59" s="76"/>
      <c r="VUO59" s="76"/>
      <c r="VUP59" s="76"/>
      <c r="VUQ59" s="76"/>
      <c r="VUR59" s="76"/>
      <c r="VUS59" s="76"/>
      <c r="VUT59" s="76"/>
      <c r="VUU59" s="76"/>
      <c r="VUV59" s="76"/>
      <c r="VUW59" s="76"/>
      <c r="VUX59" s="76"/>
      <c r="VUY59" s="76"/>
      <c r="VUZ59" s="76"/>
      <c r="VVA59" s="76"/>
      <c r="VVB59" s="76"/>
      <c r="VVC59" s="76"/>
      <c r="VVD59" s="76"/>
      <c r="VVE59" s="76"/>
      <c r="VVF59" s="76"/>
      <c r="VVG59" s="76"/>
      <c r="VVH59" s="76"/>
      <c r="VVI59" s="76"/>
      <c r="VVJ59" s="76"/>
      <c r="VVK59" s="76"/>
      <c r="VVL59" s="76"/>
      <c r="VVM59" s="76"/>
      <c r="VVN59" s="76"/>
      <c r="VVO59" s="76"/>
      <c r="VVP59" s="76"/>
      <c r="VVQ59" s="76"/>
      <c r="VVR59" s="76"/>
      <c r="VVS59" s="76"/>
      <c r="VVT59" s="76"/>
      <c r="VVU59" s="76"/>
      <c r="VVV59" s="76"/>
      <c r="VVW59" s="76"/>
      <c r="VVX59" s="76"/>
      <c r="VVY59" s="76"/>
      <c r="VVZ59" s="76"/>
      <c r="VWA59" s="76"/>
      <c r="VWB59" s="76"/>
      <c r="VWC59" s="76"/>
      <c r="VWD59" s="76"/>
      <c r="VWE59" s="76"/>
      <c r="VWF59" s="76"/>
      <c r="VWG59" s="76"/>
      <c r="VWH59" s="76"/>
      <c r="VWI59" s="76"/>
      <c r="VWJ59" s="76"/>
      <c r="VWK59" s="76"/>
      <c r="VWL59" s="76"/>
      <c r="VWM59" s="76"/>
      <c r="VWN59" s="76"/>
      <c r="VWO59" s="76"/>
      <c r="VWP59" s="76"/>
      <c r="VWQ59" s="76"/>
      <c r="VWR59" s="76"/>
      <c r="VWS59" s="76"/>
      <c r="VWT59" s="76"/>
      <c r="VWU59" s="76"/>
      <c r="VWV59" s="76"/>
      <c r="VWW59" s="76"/>
      <c r="VWX59" s="76"/>
      <c r="VWY59" s="76"/>
      <c r="VWZ59" s="76"/>
      <c r="VXA59" s="76"/>
      <c r="VXB59" s="76"/>
      <c r="VXC59" s="76"/>
      <c r="VXD59" s="76"/>
      <c r="VXE59" s="76"/>
      <c r="VXF59" s="76"/>
      <c r="VXG59" s="76"/>
      <c r="VXH59" s="76"/>
      <c r="VXI59" s="76"/>
      <c r="VXJ59" s="76"/>
      <c r="VXK59" s="76"/>
      <c r="VXL59" s="76"/>
      <c r="VXM59" s="76"/>
      <c r="VXN59" s="76"/>
      <c r="VXO59" s="76"/>
      <c r="VXP59" s="76"/>
      <c r="VXQ59" s="76"/>
      <c r="VXR59" s="76"/>
      <c r="VXS59" s="76"/>
      <c r="VXT59" s="76"/>
      <c r="VXU59" s="76"/>
      <c r="VXV59" s="76"/>
      <c r="VXW59" s="76"/>
      <c r="VXX59" s="76"/>
      <c r="VXY59" s="76"/>
      <c r="VXZ59" s="76"/>
      <c r="VYA59" s="76"/>
      <c r="VYB59" s="76"/>
      <c r="VYC59" s="76"/>
      <c r="VYD59" s="76"/>
      <c r="VYE59" s="76"/>
      <c r="VYF59" s="76"/>
      <c r="VYG59" s="76"/>
      <c r="VYH59" s="76"/>
      <c r="VYI59" s="76"/>
      <c r="VYJ59" s="76"/>
      <c r="VYK59" s="76"/>
      <c r="VYL59" s="76"/>
      <c r="VYM59" s="76"/>
      <c r="VYN59" s="76"/>
      <c r="VYO59" s="76"/>
      <c r="VYP59" s="76"/>
      <c r="VYQ59" s="76"/>
      <c r="VYR59" s="76"/>
      <c r="VYS59" s="76"/>
      <c r="VYT59" s="76"/>
      <c r="VYU59" s="76"/>
      <c r="VYV59" s="76"/>
      <c r="VYW59" s="76"/>
      <c r="VYX59" s="76"/>
      <c r="VYY59" s="76"/>
      <c r="VYZ59" s="76"/>
      <c r="VZA59" s="76"/>
      <c r="VZB59" s="76"/>
      <c r="VZC59" s="76"/>
      <c r="VZD59" s="76"/>
      <c r="VZE59" s="76"/>
      <c r="VZF59" s="76"/>
      <c r="VZG59" s="76"/>
      <c r="VZH59" s="76"/>
      <c r="VZI59" s="76"/>
      <c r="VZJ59" s="76"/>
      <c r="VZK59" s="76"/>
      <c r="VZL59" s="76"/>
      <c r="VZM59" s="76"/>
      <c r="VZN59" s="76"/>
      <c r="VZO59" s="76"/>
      <c r="VZP59" s="76"/>
      <c r="VZQ59" s="76"/>
      <c r="VZR59" s="76"/>
      <c r="VZS59" s="76"/>
      <c r="VZT59" s="76"/>
      <c r="VZU59" s="76"/>
      <c r="VZV59" s="76"/>
      <c r="VZW59" s="76"/>
      <c r="VZX59" s="76"/>
      <c r="VZY59" s="76"/>
      <c r="VZZ59" s="76"/>
      <c r="WAA59" s="76"/>
      <c r="WAB59" s="76"/>
      <c r="WAC59" s="76"/>
      <c r="WAD59" s="76"/>
      <c r="WAE59" s="76"/>
      <c r="WAF59" s="76"/>
      <c r="WAG59" s="76"/>
      <c r="WAH59" s="76"/>
      <c r="WAI59" s="76"/>
      <c r="WAJ59" s="76"/>
      <c r="WAK59" s="76"/>
      <c r="WAL59" s="76"/>
      <c r="WAM59" s="76"/>
      <c r="WAN59" s="76"/>
      <c r="WAO59" s="76"/>
      <c r="WAP59" s="76"/>
      <c r="WAQ59" s="76"/>
      <c r="WAR59" s="76"/>
      <c r="WAS59" s="76"/>
      <c r="WAT59" s="76"/>
      <c r="WAU59" s="76"/>
      <c r="WAV59" s="76"/>
      <c r="WAW59" s="76"/>
      <c r="WAX59" s="76"/>
      <c r="WAY59" s="76"/>
      <c r="WAZ59" s="76"/>
      <c r="WBA59" s="76"/>
      <c r="WBB59" s="76"/>
      <c r="WBC59" s="76"/>
      <c r="WBD59" s="76"/>
      <c r="WBE59" s="76"/>
      <c r="WBF59" s="76"/>
      <c r="WBG59" s="76"/>
      <c r="WBH59" s="76"/>
      <c r="WBI59" s="76"/>
      <c r="WBJ59" s="76"/>
      <c r="WBK59" s="76"/>
      <c r="WBL59" s="76"/>
      <c r="WBM59" s="76"/>
      <c r="WBN59" s="76"/>
      <c r="WBO59" s="76"/>
      <c r="WBP59" s="76"/>
      <c r="WBQ59" s="76"/>
      <c r="WBR59" s="76"/>
      <c r="WBS59" s="76"/>
      <c r="WBT59" s="76"/>
      <c r="WBU59" s="76"/>
      <c r="WBV59" s="76"/>
      <c r="WBW59" s="76"/>
      <c r="WBX59" s="76"/>
      <c r="WBY59" s="76"/>
      <c r="WBZ59" s="76"/>
      <c r="WCA59" s="76"/>
      <c r="WCB59" s="76"/>
      <c r="WCC59" s="76"/>
      <c r="WCD59" s="76"/>
      <c r="WCE59" s="76"/>
      <c r="WCF59" s="76"/>
      <c r="WCG59" s="76"/>
      <c r="WCH59" s="76"/>
      <c r="WCI59" s="76"/>
      <c r="WCJ59" s="76"/>
      <c r="WCK59" s="76"/>
      <c r="WCL59" s="76"/>
      <c r="WCM59" s="76"/>
      <c r="WCN59" s="76"/>
      <c r="WCO59" s="76"/>
      <c r="WCP59" s="76"/>
      <c r="WCQ59" s="76"/>
      <c r="WCR59" s="76"/>
      <c r="WCS59" s="76"/>
      <c r="WCT59" s="76"/>
      <c r="WCU59" s="76"/>
      <c r="WCV59" s="76"/>
      <c r="WCW59" s="76"/>
      <c r="WCX59" s="76"/>
      <c r="WCY59" s="76"/>
      <c r="WCZ59" s="76"/>
      <c r="WDA59" s="76"/>
      <c r="WDB59" s="76"/>
      <c r="WDC59" s="76"/>
      <c r="WDD59" s="76"/>
      <c r="WDE59" s="76"/>
      <c r="WDF59" s="76"/>
      <c r="WDG59" s="76"/>
      <c r="WDH59" s="76"/>
      <c r="WDI59" s="76"/>
      <c r="WDJ59" s="76"/>
      <c r="WDK59" s="76"/>
      <c r="WDL59" s="76"/>
      <c r="WDM59" s="76"/>
      <c r="WDN59" s="76"/>
      <c r="WDO59" s="76"/>
      <c r="WDP59" s="76"/>
      <c r="WDQ59" s="76"/>
      <c r="WDR59" s="76"/>
      <c r="WDS59" s="76"/>
      <c r="WDT59" s="76"/>
      <c r="WDU59" s="76"/>
      <c r="WDV59" s="76"/>
      <c r="WDW59" s="76"/>
      <c r="WDX59" s="76"/>
      <c r="WDY59" s="76"/>
      <c r="WDZ59" s="76"/>
      <c r="WEA59" s="76"/>
      <c r="WEB59" s="76"/>
      <c r="WEC59" s="76"/>
      <c r="WED59" s="76"/>
      <c r="WEE59" s="76"/>
      <c r="WEF59" s="76"/>
      <c r="WEG59" s="76"/>
      <c r="WEH59" s="76"/>
      <c r="WEI59" s="76"/>
      <c r="WEJ59" s="76"/>
      <c r="WEK59" s="76"/>
      <c r="WEL59" s="76"/>
      <c r="WEM59" s="76"/>
      <c r="WEN59" s="76"/>
      <c r="WEO59" s="76"/>
      <c r="WEP59" s="76"/>
      <c r="WEQ59" s="76"/>
      <c r="WER59" s="76"/>
      <c r="WES59" s="76"/>
      <c r="WET59" s="76"/>
      <c r="WEU59" s="76"/>
      <c r="WEV59" s="76"/>
      <c r="WEW59" s="76"/>
      <c r="WEX59" s="76"/>
      <c r="WEY59" s="76"/>
      <c r="WEZ59" s="76"/>
      <c r="WFA59" s="76"/>
      <c r="WFB59" s="76"/>
      <c r="WFC59" s="76"/>
      <c r="WFD59" s="76"/>
      <c r="WFE59" s="76"/>
      <c r="WFF59" s="76"/>
      <c r="WFG59" s="76"/>
      <c r="WFH59" s="76"/>
      <c r="WFI59" s="76"/>
      <c r="WFJ59" s="76"/>
      <c r="WFK59" s="76"/>
      <c r="WFL59" s="76"/>
      <c r="WFM59" s="76"/>
      <c r="WFN59" s="76"/>
      <c r="WFO59" s="76"/>
      <c r="WFP59" s="76"/>
      <c r="WFQ59" s="76"/>
      <c r="WFR59" s="76"/>
      <c r="WFS59" s="76"/>
      <c r="WFT59" s="76"/>
      <c r="WFU59" s="76"/>
      <c r="WFV59" s="76"/>
      <c r="WFW59" s="76"/>
      <c r="WFX59" s="76"/>
      <c r="WFY59" s="76"/>
      <c r="WFZ59" s="76"/>
      <c r="WGA59" s="76"/>
      <c r="WGB59" s="76"/>
      <c r="WGC59" s="76"/>
      <c r="WGD59" s="76"/>
      <c r="WGE59" s="76"/>
      <c r="WGF59" s="76"/>
      <c r="WGG59" s="76"/>
      <c r="WGH59" s="76"/>
      <c r="WGI59" s="76"/>
      <c r="WGJ59" s="76"/>
      <c r="WGK59" s="76"/>
      <c r="WGL59" s="76"/>
      <c r="WGM59" s="76"/>
      <c r="WGN59" s="76"/>
      <c r="WGO59" s="76"/>
      <c r="WGP59" s="76"/>
      <c r="WGQ59" s="76"/>
      <c r="WGR59" s="76"/>
      <c r="WGS59" s="76"/>
      <c r="WGT59" s="76"/>
      <c r="WGU59" s="76"/>
      <c r="WGV59" s="76"/>
      <c r="WGW59" s="76"/>
      <c r="WGX59" s="76"/>
      <c r="WGY59" s="76"/>
      <c r="WGZ59" s="76"/>
      <c r="WHA59" s="76"/>
      <c r="WHB59" s="76"/>
      <c r="WHC59" s="76"/>
      <c r="WHD59" s="76"/>
      <c r="WHE59" s="76"/>
      <c r="WHF59" s="76"/>
      <c r="WHG59" s="76"/>
      <c r="WHH59" s="76"/>
      <c r="WHI59" s="76"/>
      <c r="WHJ59" s="76"/>
      <c r="WHK59" s="76"/>
      <c r="WHL59" s="76"/>
      <c r="WHM59" s="76"/>
      <c r="WHN59" s="76"/>
      <c r="WHO59" s="76"/>
      <c r="WHP59" s="76"/>
      <c r="WHQ59" s="76"/>
      <c r="WHR59" s="76"/>
      <c r="WHS59" s="76"/>
      <c r="WHT59" s="76"/>
      <c r="WHU59" s="76"/>
      <c r="WHV59" s="76"/>
      <c r="WHW59" s="76"/>
      <c r="WHX59" s="76"/>
      <c r="WHY59" s="76"/>
      <c r="WHZ59" s="76"/>
      <c r="WIA59" s="76"/>
      <c r="WIB59" s="76"/>
      <c r="WIC59" s="76"/>
      <c r="WID59" s="76"/>
      <c r="WIE59" s="76"/>
      <c r="WIF59" s="76"/>
      <c r="WIG59" s="76"/>
      <c r="WIH59" s="76"/>
      <c r="WII59" s="76"/>
      <c r="WIJ59" s="76"/>
      <c r="WIK59" s="76"/>
      <c r="WIL59" s="76"/>
      <c r="WIM59" s="76"/>
      <c r="WIN59" s="76"/>
      <c r="WIO59" s="76"/>
      <c r="WIP59" s="76"/>
      <c r="WIQ59" s="76"/>
      <c r="WIR59" s="76"/>
      <c r="WIS59" s="76"/>
      <c r="WIT59" s="76"/>
      <c r="WIU59" s="76"/>
      <c r="WIV59" s="76"/>
      <c r="WIW59" s="76"/>
      <c r="WIX59" s="76"/>
      <c r="WIY59" s="76"/>
      <c r="WIZ59" s="76"/>
      <c r="WJA59" s="76"/>
      <c r="WJB59" s="76"/>
      <c r="WJC59" s="76"/>
      <c r="WJD59" s="76"/>
      <c r="WJE59" s="76"/>
      <c r="WJF59" s="76"/>
      <c r="WJG59" s="76"/>
      <c r="WJH59" s="76"/>
      <c r="WJI59" s="76"/>
      <c r="WJJ59" s="76"/>
      <c r="WJK59" s="76"/>
      <c r="WJL59" s="76"/>
      <c r="WJM59" s="76"/>
      <c r="WJN59" s="76"/>
      <c r="WJO59" s="76"/>
      <c r="WJP59" s="76"/>
      <c r="WJQ59" s="76"/>
      <c r="WJR59" s="76"/>
      <c r="WJS59" s="76"/>
      <c r="WJT59" s="76"/>
      <c r="WJU59" s="76"/>
      <c r="WJV59" s="76"/>
      <c r="WJW59" s="76"/>
      <c r="WJX59" s="76"/>
      <c r="WJY59" s="76"/>
      <c r="WJZ59" s="76"/>
      <c r="WKA59" s="76"/>
      <c r="WKB59" s="76"/>
      <c r="WKC59" s="76"/>
      <c r="WKD59" s="76"/>
      <c r="WKE59" s="76"/>
      <c r="WKF59" s="76"/>
      <c r="WKG59" s="76"/>
      <c r="WKH59" s="76"/>
      <c r="WKI59" s="76"/>
      <c r="WKJ59" s="76"/>
      <c r="WKK59" s="76"/>
      <c r="WKL59" s="76"/>
      <c r="WKM59" s="76"/>
      <c r="WKN59" s="76"/>
      <c r="WKO59" s="76"/>
      <c r="WKP59" s="76"/>
      <c r="WKQ59" s="76"/>
      <c r="WKR59" s="76"/>
      <c r="WKS59" s="76"/>
      <c r="WKT59" s="76"/>
      <c r="WKU59" s="76"/>
      <c r="WKV59" s="76"/>
      <c r="WKW59" s="76"/>
      <c r="WKX59" s="76"/>
      <c r="WKY59" s="76"/>
      <c r="WKZ59" s="76"/>
      <c r="WLA59" s="76"/>
      <c r="WLB59" s="76"/>
      <c r="WLC59" s="76"/>
      <c r="WLD59" s="76"/>
      <c r="WLE59" s="76"/>
      <c r="WLF59" s="76"/>
      <c r="WLG59" s="76"/>
      <c r="WLH59" s="76"/>
      <c r="WLI59" s="76"/>
      <c r="WLJ59" s="76"/>
      <c r="WLK59" s="76"/>
      <c r="WLL59" s="76"/>
      <c r="WLM59" s="76"/>
      <c r="WLN59" s="76"/>
      <c r="WLO59" s="76"/>
      <c r="WLP59" s="76"/>
      <c r="WLQ59" s="76"/>
      <c r="WLR59" s="76"/>
      <c r="WLS59" s="76"/>
      <c r="WLT59" s="76"/>
      <c r="WLU59" s="76"/>
      <c r="WLV59" s="76"/>
      <c r="WLW59" s="76"/>
      <c r="WLX59" s="76"/>
      <c r="WLY59" s="76"/>
      <c r="WLZ59" s="76"/>
      <c r="WMA59" s="76"/>
      <c r="WMB59" s="76"/>
      <c r="WMC59" s="76"/>
      <c r="WMD59" s="76"/>
      <c r="WME59" s="76"/>
      <c r="WMF59" s="76"/>
      <c r="WMG59" s="76"/>
      <c r="WMH59" s="76"/>
      <c r="WMI59" s="76"/>
      <c r="WMJ59" s="76"/>
      <c r="WMK59" s="76"/>
      <c r="WML59" s="76"/>
      <c r="WMM59" s="76"/>
      <c r="WMN59" s="76"/>
      <c r="WMO59" s="76"/>
      <c r="WMP59" s="76"/>
      <c r="WMQ59" s="76"/>
      <c r="WMR59" s="76"/>
      <c r="WMS59" s="76"/>
      <c r="WMT59" s="76"/>
      <c r="WMU59" s="76"/>
      <c r="WMV59" s="76"/>
      <c r="WMW59" s="76"/>
      <c r="WMX59" s="76"/>
      <c r="WMY59" s="76"/>
      <c r="WMZ59" s="76"/>
      <c r="WNA59" s="76"/>
      <c r="WNB59" s="76"/>
      <c r="WNC59" s="76"/>
      <c r="WND59" s="76"/>
      <c r="WNE59" s="76"/>
      <c r="WNF59" s="76"/>
      <c r="WNG59" s="76"/>
      <c r="WNH59" s="76"/>
      <c r="WNI59" s="76"/>
      <c r="WNJ59" s="76"/>
      <c r="WNK59" s="76"/>
      <c r="WNL59" s="76"/>
      <c r="WNM59" s="76"/>
      <c r="WNN59" s="76"/>
      <c r="WNO59" s="76"/>
      <c r="WNP59" s="76"/>
      <c r="WNQ59" s="76"/>
      <c r="WNR59" s="76"/>
      <c r="WNS59" s="76"/>
      <c r="WNT59" s="76"/>
      <c r="WNU59" s="76"/>
      <c r="WNV59" s="76"/>
      <c r="WNW59" s="76"/>
      <c r="WNX59" s="76"/>
      <c r="WNY59" s="76"/>
      <c r="WNZ59" s="76"/>
      <c r="WOA59" s="76"/>
      <c r="WOB59" s="76"/>
      <c r="WOC59" s="76"/>
      <c r="WOD59" s="76"/>
      <c r="WOE59" s="76"/>
      <c r="WOF59" s="76"/>
      <c r="WOG59" s="76"/>
      <c r="WOH59" s="76"/>
      <c r="WOI59" s="76"/>
      <c r="WOJ59" s="76"/>
      <c r="WOK59" s="76"/>
      <c r="WOL59" s="76"/>
      <c r="WOM59" s="76"/>
      <c r="WON59" s="76"/>
      <c r="WOO59" s="76"/>
      <c r="WOP59" s="76"/>
      <c r="WOQ59" s="76"/>
      <c r="WOR59" s="76"/>
      <c r="WOS59" s="76"/>
      <c r="WOT59" s="76"/>
      <c r="WOU59" s="76"/>
      <c r="WOV59" s="76"/>
      <c r="WOW59" s="76"/>
      <c r="WOX59" s="76"/>
      <c r="WOY59" s="76"/>
      <c r="WOZ59" s="76"/>
      <c r="WPA59" s="76"/>
      <c r="WPB59" s="76"/>
      <c r="WPC59" s="76"/>
      <c r="WPD59" s="76"/>
      <c r="WPE59" s="76"/>
      <c r="WPF59" s="76"/>
      <c r="WPG59" s="76"/>
      <c r="WPH59" s="76"/>
      <c r="WPI59" s="76"/>
      <c r="WPJ59" s="76"/>
      <c r="WPK59" s="76"/>
      <c r="WPL59" s="76"/>
      <c r="WPM59" s="76"/>
      <c r="WPN59" s="76"/>
      <c r="WPO59" s="76"/>
      <c r="WPP59" s="76"/>
      <c r="WPQ59" s="76"/>
      <c r="WPR59" s="76"/>
      <c r="WPS59" s="76"/>
      <c r="WPT59" s="76"/>
      <c r="WPU59" s="76"/>
      <c r="WPV59" s="76"/>
      <c r="WPW59" s="76"/>
      <c r="WPX59" s="76"/>
      <c r="WPY59" s="76"/>
      <c r="WPZ59" s="76"/>
      <c r="WQA59" s="76"/>
      <c r="WQB59" s="76"/>
      <c r="WQC59" s="76"/>
      <c r="WQD59" s="76"/>
      <c r="WQE59" s="76"/>
      <c r="WQF59" s="76"/>
      <c r="WQG59" s="76"/>
      <c r="WQH59" s="76"/>
      <c r="WQI59" s="76"/>
      <c r="WQJ59" s="76"/>
      <c r="WQK59" s="76"/>
      <c r="WQL59" s="76"/>
      <c r="WQM59" s="76"/>
      <c r="WQN59" s="76"/>
      <c r="WQO59" s="76"/>
      <c r="WQP59" s="76"/>
      <c r="WQQ59" s="76"/>
      <c r="WQR59" s="76"/>
      <c r="WQS59" s="76"/>
      <c r="WQT59" s="76"/>
      <c r="WQU59" s="76"/>
      <c r="WQV59" s="76"/>
      <c r="WQW59" s="76"/>
      <c r="WQX59" s="76"/>
      <c r="WQY59" s="76"/>
      <c r="WQZ59" s="76"/>
      <c r="WRA59" s="76"/>
      <c r="WRB59" s="76"/>
      <c r="WRC59" s="76"/>
      <c r="WRD59" s="76"/>
      <c r="WRE59" s="76"/>
      <c r="WRF59" s="76"/>
      <c r="WRG59" s="76"/>
      <c r="WRH59" s="76"/>
      <c r="WRI59" s="76"/>
      <c r="WRJ59" s="76"/>
      <c r="WRK59" s="76"/>
      <c r="WRL59" s="76"/>
      <c r="WRM59" s="76"/>
      <c r="WRN59" s="76"/>
      <c r="WRO59" s="76"/>
      <c r="WRP59" s="76"/>
      <c r="WRQ59" s="76"/>
      <c r="WRR59" s="76"/>
      <c r="WRS59" s="76"/>
      <c r="WRT59" s="76"/>
      <c r="WRU59" s="76"/>
      <c r="WRV59" s="76"/>
      <c r="WRW59" s="76"/>
      <c r="WRX59" s="76"/>
      <c r="WRY59" s="76"/>
      <c r="WRZ59" s="76"/>
      <c r="WSA59" s="76"/>
      <c r="WSB59" s="76"/>
      <c r="WSC59" s="76"/>
      <c r="WSD59" s="76"/>
      <c r="WSE59" s="76"/>
      <c r="WSF59" s="76"/>
      <c r="WSG59" s="76"/>
      <c r="WSH59" s="76"/>
      <c r="WSI59" s="76"/>
      <c r="WSJ59" s="76"/>
      <c r="WSK59" s="76"/>
      <c r="WSL59" s="76"/>
      <c r="WSM59" s="76"/>
      <c r="WSN59" s="76"/>
      <c r="WSO59" s="76"/>
      <c r="WSP59" s="76"/>
      <c r="WSQ59" s="76"/>
      <c r="WSR59" s="76"/>
      <c r="WSS59" s="76"/>
      <c r="WST59" s="76"/>
      <c r="WSU59" s="76"/>
      <c r="WSV59" s="76"/>
      <c r="WSW59" s="76"/>
      <c r="WSX59" s="76"/>
      <c r="WSY59" s="76"/>
      <c r="WSZ59" s="76"/>
      <c r="WTA59" s="76"/>
      <c r="WTB59" s="76"/>
      <c r="WTC59" s="76"/>
      <c r="WTD59" s="76"/>
      <c r="WTE59" s="76"/>
      <c r="WTF59" s="76"/>
      <c r="WTG59" s="76"/>
      <c r="WTH59" s="76"/>
      <c r="WTI59" s="76"/>
      <c r="WTJ59" s="76"/>
      <c r="WTK59" s="76"/>
      <c r="WTL59" s="76"/>
      <c r="WTM59" s="76"/>
      <c r="WTN59" s="76"/>
      <c r="WTO59" s="76"/>
      <c r="WTP59" s="76"/>
      <c r="WTQ59" s="76"/>
      <c r="WTR59" s="76"/>
      <c r="WTS59" s="76"/>
      <c r="WTT59" s="76"/>
      <c r="WTU59" s="76"/>
      <c r="WTV59" s="76"/>
      <c r="WTW59" s="76"/>
      <c r="WTX59" s="76"/>
      <c r="WTY59" s="76"/>
      <c r="WTZ59" s="76"/>
      <c r="WUA59" s="76"/>
      <c r="WUB59" s="76"/>
      <c r="WUC59" s="76"/>
      <c r="WUD59" s="76"/>
      <c r="WUE59" s="76"/>
      <c r="WUF59" s="76"/>
      <c r="WUG59" s="76"/>
      <c r="WUH59" s="76"/>
      <c r="WUI59" s="76"/>
      <c r="WUJ59" s="76"/>
      <c r="WUK59" s="76"/>
      <c r="WUL59" s="76"/>
      <c r="WUM59" s="76"/>
      <c r="WUN59" s="76"/>
      <c r="WUO59" s="76"/>
      <c r="WUP59" s="76"/>
      <c r="WUQ59" s="76"/>
      <c r="WUR59" s="76"/>
      <c r="WUS59" s="76"/>
      <c r="WUT59" s="76"/>
      <c r="WUU59" s="76"/>
      <c r="WUV59" s="76"/>
      <c r="WUW59" s="76"/>
      <c r="WUX59" s="76"/>
      <c r="WUY59" s="76"/>
      <c r="WUZ59" s="76"/>
      <c r="WVA59" s="76"/>
      <c r="WVB59" s="76"/>
      <c r="WVC59" s="76"/>
      <c r="WVD59" s="76"/>
      <c r="WVE59" s="76"/>
      <c r="WVF59" s="76"/>
      <c r="WVG59" s="76"/>
      <c r="WVH59" s="76"/>
      <c r="WVI59" s="76"/>
      <c r="WVJ59" s="76"/>
      <c r="WVK59" s="76"/>
      <c r="WVL59" s="76"/>
      <c r="WVM59" s="76"/>
      <c r="WVN59" s="76"/>
      <c r="WVO59" s="76"/>
      <c r="WVP59" s="76"/>
      <c r="WVQ59" s="76"/>
      <c r="WVR59" s="76"/>
      <c r="WVS59" s="76"/>
      <c r="WVT59" s="76"/>
      <c r="WVU59" s="76"/>
      <c r="WVV59" s="76"/>
      <c r="WVW59" s="76"/>
      <c r="WVX59" s="76"/>
      <c r="WVY59" s="76"/>
      <c r="WVZ59" s="76"/>
      <c r="WWA59" s="76"/>
      <c r="WWB59" s="76"/>
      <c r="WWC59" s="76"/>
      <c r="WWD59" s="76"/>
      <c r="WWE59" s="76"/>
      <c r="WWF59" s="76"/>
      <c r="WWG59" s="76"/>
      <c r="WWH59" s="76"/>
      <c r="WWI59" s="76"/>
      <c r="WWJ59" s="76"/>
      <c r="WWK59" s="76"/>
      <c r="WWL59" s="76"/>
      <c r="WWM59" s="76"/>
      <c r="WWN59" s="76"/>
      <c r="WWO59" s="76"/>
      <c r="WWP59" s="76"/>
      <c r="WWQ59" s="76"/>
      <c r="WWR59" s="76"/>
      <c r="WWS59" s="76"/>
      <c r="WWT59" s="76"/>
      <c r="WWU59" s="76"/>
      <c r="WWV59" s="76"/>
      <c r="WWW59" s="76"/>
      <c r="WWX59" s="76"/>
      <c r="WWY59" s="76"/>
      <c r="WWZ59" s="76"/>
      <c r="WXA59" s="76"/>
    </row>
    <row r="60" spans="1:16173" s="77" customFormat="1" ht="34" customHeight="1" x14ac:dyDescent="0.55000000000000004">
      <c r="A60" s="76"/>
      <c r="B60" s="76"/>
      <c r="C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  <c r="CC60" s="76"/>
      <c r="CD60" s="76"/>
      <c r="CE60" s="76"/>
      <c r="CF60" s="76"/>
      <c r="CG60" s="76"/>
      <c r="CH60" s="76"/>
      <c r="CI60" s="76"/>
      <c r="CJ60" s="76"/>
      <c r="CK60" s="76"/>
      <c r="CL60" s="76"/>
      <c r="CM60" s="76"/>
      <c r="CN60" s="76"/>
      <c r="CO60" s="76"/>
      <c r="CP60" s="76"/>
      <c r="CQ60" s="76"/>
      <c r="CR60" s="76"/>
      <c r="CS60" s="76"/>
      <c r="CT60" s="76"/>
      <c r="CU60" s="76"/>
      <c r="CV60" s="76"/>
      <c r="CW60" s="76"/>
      <c r="CX60" s="76"/>
      <c r="CY60" s="76"/>
      <c r="CZ60" s="76"/>
      <c r="DA60" s="76"/>
      <c r="DB60" s="76"/>
      <c r="DC60" s="76"/>
      <c r="DD60" s="76"/>
      <c r="DE60" s="76"/>
      <c r="DF60" s="76"/>
      <c r="DG60" s="76"/>
      <c r="DH60" s="76"/>
      <c r="DI60" s="76"/>
      <c r="DJ60" s="76"/>
      <c r="DK60" s="76"/>
      <c r="DL60" s="76"/>
      <c r="DM60" s="76"/>
      <c r="DN60" s="76"/>
      <c r="DO60" s="76"/>
      <c r="DP60" s="76"/>
      <c r="DQ60" s="76"/>
      <c r="DR60" s="76"/>
      <c r="DS60" s="76"/>
      <c r="DT60" s="76"/>
      <c r="DU60" s="76"/>
      <c r="DV60" s="76"/>
      <c r="DW60" s="76"/>
      <c r="DX60" s="76"/>
      <c r="DY60" s="76"/>
      <c r="DZ60" s="76"/>
      <c r="EA60" s="76"/>
      <c r="EB60" s="76"/>
      <c r="EC60" s="76"/>
      <c r="ED60" s="76"/>
      <c r="EE60" s="76"/>
      <c r="EF60" s="76"/>
      <c r="EG60" s="76"/>
      <c r="EH60" s="76"/>
      <c r="EI60" s="76"/>
      <c r="EJ60" s="76"/>
      <c r="EK60" s="76"/>
      <c r="EL60" s="76"/>
      <c r="EM60" s="76"/>
      <c r="EN60" s="76"/>
      <c r="EO60" s="76"/>
      <c r="EP60" s="76"/>
      <c r="EQ60" s="76"/>
      <c r="ER60" s="76"/>
      <c r="ES60" s="76"/>
      <c r="ET60" s="76"/>
      <c r="EU60" s="76"/>
      <c r="EV60" s="76"/>
      <c r="EW60" s="76"/>
      <c r="EX60" s="76"/>
      <c r="EY60" s="76"/>
      <c r="EZ60" s="76"/>
      <c r="FA60" s="76"/>
      <c r="FB60" s="76"/>
      <c r="FC60" s="76"/>
      <c r="FD60" s="76"/>
      <c r="FE60" s="76"/>
      <c r="FF60" s="76"/>
      <c r="FG60" s="76"/>
      <c r="FH60" s="76"/>
      <c r="FI60" s="76"/>
      <c r="FJ60" s="76"/>
      <c r="FK60" s="76"/>
      <c r="FL60" s="76"/>
      <c r="FM60" s="76"/>
      <c r="FN60" s="76"/>
      <c r="FO60" s="76"/>
      <c r="FP60" s="76"/>
      <c r="FQ60" s="76"/>
      <c r="FR60" s="76"/>
      <c r="FS60" s="76"/>
      <c r="FT60" s="76"/>
      <c r="FU60" s="76"/>
      <c r="FV60" s="76"/>
      <c r="FW60" s="76"/>
      <c r="FX60" s="76"/>
      <c r="FY60" s="76"/>
      <c r="FZ60" s="76"/>
      <c r="GA60" s="76"/>
      <c r="GB60" s="76"/>
      <c r="GC60" s="76"/>
      <c r="GD60" s="76"/>
      <c r="GE60" s="76"/>
      <c r="GF60" s="76"/>
      <c r="GG60" s="76"/>
      <c r="GH60" s="76"/>
      <c r="GI60" s="76"/>
      <c r="GJ60" s="76"/>
      <c r="GK60" s="76"/>
      <c r="GL60" s="76"/>
      <c r="GM60" s="76"/>
      <c r="GN60" s="76"/>
      <c r="GO60" s="76"/>
      <c r="GP60" s="76"/>
      <c r="GQ60" s="76"/>
      <c r="GR60" s="76"/>
      <c r="GS60" s="76"/>
      <c r="GT60" s="76"/>
      <c r="GU60" s="76"/>
      <c r="GV60" s="76"/>
      <c r="GW60" s="76"/>
      <c r="GX60" s="76"/>
      <c r="GY60" s="76"/>
      <c r="GZ60" s="76"/>
      <c r="HA60" s="76"/>
      <c r="HB60" s="76"/>
      <c r="HC60" s="76"/>
      <c r="HD60" s="76"/>
      <c r="HE60" s="76"/>
      <c r="HF60" s="76"/>
      <c r="HG60" s="76"/>
      <c r="HH60" s="76"/>
      <c r="HI60" s="76"/>
      <c r="HJ60" s="76"/>
      <c r="HK60" s="76"/>
      <c r="HL60" s="76"/>
      <c r="HM60" s="76"/>
      <c r="HN60" s="76"/>
      <c r="HO60" s="76"/>
      <c r="HP60" s="76"/>
      <c r="HQ60" s="76"/>
      <c r="HR60" s="76"/>
      <c r="HS60" s="76"/>
      <c r="HT60" s="76"/>
      <c r="HU60" s="76"/>
      <c r="HV60" s="76"/>
      <c r="HW60" s="76"/>
      <c r="HX60" s="76"/>
      <c r="HY60" s="76"/>
      <c r="HZ60" s="76"/>
      <c r="IA60" s="76"/>
      <c r="IB60" s="76"/>
      <c r="IC60" s="76"/>
      <c r="ID60" s="76"/>
      <c r="IE60" s="76"/>
      <c r="IF60" s="76"/>
      <c r="IG60" s="76"/>
      <c r="IH60" s="76"/>
      <c r="II60" s="76"/>
      <c r="IJ60" s="76"/>
      <c r="IK60" s="76"/>
      <c r="IL60" s="76"/>
      <c r="IM60" s="76"/>
      <c r="IN60" s="76"/>
      <c r="IO60" s="76"/>
      <c r="IP60" s="76"/>
      <c r="IQ60" s="76"/>
      <c r="IR60" s="76"/>
      <c r="IS60" s="76"/>
      <c r="IT60" s="76"/>
      <c r="IU60" s="76"/>
      <c r="IV60" s="76"/>
      <c r="IW60" s="76"/>
      <c r="IX60" s="76"/>
      <c r="IY60" s="76"/>
      <c r="IZ60" s="76"/>
      <c r="JA60" s="76"/>
      <c r="JB60" s="76"/>
      <c r="JC60" s="76"/>
      <c r="JD60" s="76"/>
      <c r="JE60" s="76"/>
      <c r="JF60" s="76"/>
      <c r="JG60" s="76"/>
      <c r="JH60" s="76"/>
      <c r="JI60" s="76"/>
      <c r="JJ60" s="76"/>
      <c r="JK60" s="76"/>
      <c r="JL60" s="76"/>
      <c r="JM60" s="76"/>
      <c r="JN60" s="76"/>
      <c r="JO60" s="76"/>
      <c r="JP60" s="76"/>
      <c r="JQ60" s="76"/>
      <c r="JR60" s="76"/>
      <c r="JS60" s="76"/>
      <c r="JT60" s="76"/>
      <c r="JU60" s="76"/>
      <c r="JV60" s="76"/>
      <c r="JW60" s="76"/>
      <c r="JX60" s="76"/>
      <c r="JY60" s="76"/>
      <c r="JZ60" s="76"/>
      <c r="KA60" s="76"/>
      <c r="KB60" s="76"/>
      <c r="KC60" s="76"/>
      <c r="KD60" s="76"/>
      <c r="KE60" s="76"/>
      <c r="KF60" s="76"/>
      <c r="KG60" s="76"/>
      <c r="KH60" s="76"/>
      <c r="KI60" s="76"/>
      <c r="KJ60" s="76"/>
      <c r="KK60" s="76"/>
      <c r="KL60" s="76"/>
      <c r="KM60" s="76"/>
      <c r="KN60" s="76"/>
      <c r="KO60" s="76"/>
      <c r="KP60" s="76"/>
      <c r="KQ60" s="76"/>
      <c r="KR60" s="76"/>
      <c r="KS60" s="76"/>
      <c r="KT60" s="76"/>
      <c r="KU60" s="76"/>
      <c r="KV60" s="76"/>
      <c r="KW60" s="76"/>
      <c r="KX60" s="76"/>
      <c r="KY60" s="76"/>
      <c r="KZ60" s="76"/>
      <c r="LA60" s="76"/>
      <c r="LB60" s="76"/>
      <c r="LC60" s="76"/>
      <c r="LD60" s="76"/>
      <c r="LE60" s="76"/>
      <c r="LF60" s="76"/>
      <c r="LG60" s="76"/>
      <c r="LH60" s="76"/>
      <c r="LI60" s="76"/>
      <c r="LJ60" s="76"/>
      <c r="LK60" s="76"/>
      <c r="LL60" s="76"/>
      <c r="LM60" s="76"/>
      <c r="LN60" s="76"/>
      <c r="LO60" s="76"/>
      <c r="LP60" s="76"/>
      <c r="LQ60" s="76"/>
      <c r="LR60" s="76"/>
      <c r="LS60" s="76"/>
      <c r="LT60" s="76"/>
      <c r="LU60" s="76"/>
      <c r="LV60" s="76"/>
      <c r="LW60" s="76"/>
      <c r="LX60" s="76"/>
      <c r="LY60" s="76"/>
      <c r="LZ60" s="76"/>
      <c r="MA60" s="76"/>
      <c r="MB60" s="76"/>
      <c r="MC60" s="76"/>
      <c r="MD60" s="76"/>
      <c r="ME60" s="76"/>
      <c r="MF60" s="76"/>
      <c r="MG60" s="76"/>
      <c r="MH60" s="76"/>
      <c r="MI60" s="76"/>
      <c r="MJ60" s="76"/>
      <c r="MK60" s="76"/>
      <c r="ML60" s="76"/>
      <c r="MM60" s="76"/>
      <c r="MN60" s="76"/>
      <c r="MO60" s="76"/>
      <c r="MP60" s="76"/>
      <c r="MQ60" s="76"/>
      <c r="MR60" s="76"/>
      <c r="MS60" s="76"/>
      <c r="MT60" s="76"/>
      <c r="MU60" s="76"/>
      <c r="MV60" s="76"/>
      <c r="MW60" s="76"/>
      <c r="MX60" s="76"/>
      <c r="MY60" s="76"/>
      <c r="MZ60" s="76"/>
      <c r="NA60" s="76"/>
      <c r="NB60" s="76"/>
      <c r="NC60" s="76"/>
      <c r="ND60" s="76"/>
      <c r="NE60" s="76"/>
      <c r="NF60" s="76"/>
      <c r="NG60" s="76"/>
      <c r="NH60" s="76"/>
      <c r="NI60" s="76"/>
      <c r="NJ60" s="76"/>
      <c r="NK60" s="76"/>
      <c r="NL60" s="76"/>
      <c r="NM60" s="76"/>
      <c r="NN60" s="76"/>
      <c r="NO60" s="76"/>
      <c r="NP60" s="76"/>
      <c r="NQ60" s="76"/>
      <c r="NR60" s="76"/>
      <c r="NS60" s="76"/>
      <c r="NT60" s="76"/>
      <c r="NU60" s="76"/>
      <c r="NV60" s="76"/>
      <c r="NW60" s="76"/>
      <c r="NX60" s="76"/>
      <c r="NY60" s="76"/>
      <c r="NZ60" s="76"/>
      <c r="OA60" s="76"/>
      <c r="OB60" s="76"/>
      <c r="OC60" s="76"/>
      <c r="OD60" s="76"/>
      <c r="OE60" s="76"/>
      <c r="OF60" s="76"/>
      <c r="OG60" s="76"/>
      <c r="OH60" s="76"/>
      <c r="OI60" s="76"/>
      <c r="OJ60" s="76"/>
      <c r="OK60" s="76"/>
      <c r="OL60" s="76"/>
      <c r="OM60" s="76"/>
      <c r="ON60" s="76"/>
      <c r="OO60" s="76"/>
      <c r="OP60" s="76"/>
      <c r="OQ60" s="76"/>
      <c r="OR60" s="76"/>
      <c r="OS60" s="76"/>
      <c r="OT60" s="76"/>
      <c r="OU60" s="76"/>
      <c r="OV60" s="76"/>
      <c r="OW60" s="76"/>
      <c r="OX60" s="76"/>
      <c r="OY60" s="76"/>
      <c r="OZ60" s="76"/>
      <c r="PA60" s="76"/>
      <c r="PB60" s="76"/>
      <c r="PC60" s="76"/>
      <c r="PD60" s="76"/>
      <c r="PE60" s="76"/>
      <c r="PF60" s="76"/>
      <c r="PG60" s="76"/>
      <c r="PH60" s="76"/>
      <c r="PI60" s="76"/>
      <c r="PJ60" s="76"/>
      <c r="PK60" s="76"/>
      <c r="PL60" s="76"/>
      <c r="PM60" s="76"/>
      <c r="PN60" s="76"/>
      <c r="PO60" s="76"/>
      <c r="PP60" s="76"/>
      <c r="PQ60" s="76"/>
      <c r="PR60" s="76"/>
      <c r="PS60" s="76"/>
      <c r="PT60" s="76"/>
      <c r="PU60" s="76"/>
      <c r="PV60" s="76"/>
      <c r="PW60" s="76"/>
      <c r="PX60" s="76"/>
      <c r="PY60" s="76"/>
      <c r="PZ60" s="76"/>
      <c r="QA60" s="76"/>
      <c r="QB60" s="76"/>
      <c r="QC60" s="76"/>
      <c r="QD60" s="76"/>
      <c r="QE60" s="76"/>
      <c r="QF60" s="76"/>
      <c r="QG60" s="76"/>
      <c r="QH60" s="76"/>
      <c r="QI60" s="76"/>
      <c r="QJ60" s="76"/>
      <c r="QK60" s="76"/>
      <c r="QL60" s="76"/>
      <c r="QM60" s="76"/>
      <c r="QN60" s="76"/>
      <c r="QO60" s="76"/>
      <c r="QP60" s="76"/>
      <c r="QQ60" s="76"/>
      <c r="QR60" s="76"/>
      <c r="QS60" s="76"/>
      <c r="QT60" s="76"/>
      <c r="QU60" s="76"/>
      <c r="QV60" s="76"/>
      <c r="QW60" s="76"/>
      <c r="QX60" s="76"/>
      <c r="QY60" s="76"/>
      <c r="QZ60" s="76"/>
      <c r="RA60" s="76"/>
      <c r="RB60" s="76"/>
      <c r="RC60" s="76"/>
      <c r="RD60" s="76"/>
      <c r="RE60" s="76"/>
      <c r="RF60" s="76"/>
      <c r="RG60" s="76"/>
      <c r="RH60" s="76"/>
      <c r="RI60" s="76"/>
      <c r="RJ60" s="76"/>
      <c r="RK60" s="76"/>
      <c r="RL60" s="76"/>
      <c r="RM60" s="76"/>
      <c r="RN60" s="76"/>
      <c r="RO60" s="76"/>
      <c r="RP60" s="76"/>
      <c r="RQ60" s="76"/>
      <c r="RR60" s="76"/>
      <c r="RS60" s="76"/>
      <c r="RT60" s="76"/>
      <c r="RU60" s="76"/>
      <c r="RV60" s="76"/>
      <c r="RW60" s="76"/>
      <c r="RX60" s="76"/>
      <c r="RY60" s="76"/>
      <c r="RZ60" s="76"/>
      <c r="SA60" s="76"/>
      <c r="SB60" s="76"/>
      <c r="SC60" s="76"/>
      <c r="SD60" s="76"/>
      <c r="SE60" s="76"/>
      <c r="SF60" s="76"/>
      <c r="SG60" s="76"/>
      <c r="SH60" s="76"/>
      <c r="SI60" s="76"/>
      <c r="SJ60" s="76"/>
      <c r="SK60" s="76"/>
      <c r="SL60" s="76"/>
      <c r="SM60" s="76"/>
      <c r="SN60" s="76"/>
      <c r="SO60" s="76"/>
      <c r="SP60" s="76"/>
      <c r="SQ60" s="76"/>
      <c r="SR60" s="76"/>
      <c r="SS60" s="76"/>
      <c r="ST60" s="76"/>
      <c r="SU60" s="76"/>
      <c r="SV60" s="76"/>
      <c r="SW60" s="76"/>
      <c r="SX60" s="76"/>
      <c r="SY60" s="76"/>
      <c r="SZ60" s="76"/>
      <c r="TA60" s="76"/>
      <c r="TB60" s="76"/>
      <c r="TC60" s="76"/>
      <c r="TD60" s="76"/>
      <c r="TE60" s="76"/>
      <c r="TF60" s="76"/>
      <c r="TG60" s="76"/>
      <c r="TH60" s="76"/>
      <c r="TI60" s="76"/>
      <c r="TJ60" s="76"/>
      <c r="TK60" s="76"/>
      <c r="TL60" s="76"/>
      <c r="TM60" s="76"/>
      <c r="TN60" s="76"/>
      <c r="TO60" s="76"/>
      <c r="TP60" s="76"/>
      <c r="TQ60" s="76"/>
      <c r="TR60" s="76"/>
      <c r="TS60" s="76"/>
      <c r="TT60" s="76"/>
      <c r="TU60" s="76"/>
      <c r="TV60" s="76"/>
      <c r="TW60" s="76"/>
      <c r="TX60" s="76"/>
      <c r="TY60" s="76"/>
      <c r="TZ60" s="76"/>
      <c r="UA60" s="76"/>
      <c r="UB60" s="76"/>
      <c r="UC60" s="76"/>
      <c r="UD60" s="76"/>
      <c r="UE60" s="76"/>
      <c r="UF60" s="76"/>
      <c r="UG60" s="76"/>
      <c r="UH60" s="76"/>
      <c r="UI60" s="76"/>
      <c r="UJ60" s="76"/>
      <c r="UK60" s="76"/>
      <c r="UL60" s="76"/>
      <c r="UM60" s="76"/>
      <c r="UN60" s="76"/>
      <c r="UO60" s="76"/>
      <c r="UP60" s="76"/>
      <c r="UQ60" s="76"/>
      <c r="UR60" s="76"/>
      <c r="US60" s="76"/>
      <c r="UT60" s="76"/>
      <c r="UU60" s="76"/>
      <c r="UV60" s="76"/>
      <c r="UW60" s="76"/>
      <c r="UX60" s="76"/>
      <c r="UY60" s="76"/>
      <c r="UZ60" s="76"/>
      <c r="VA60" s="76"/>
      <c r="VB60" s="76"/>
      <c r="VC60" s="76"/>
      <c r="VD60" s="76"/>
      <c r="VE60" s="76"/>
      <c r="VF60" s="76"/>
      <c r="VG60" s="76"/>
      <c r="VH60" s="76"/>
      <c r="VI60" s="76"/>
      <c r="VJ60" s="76"/>
      <c r="VK60" s="76"/>
      <c r="VL60" s="76"/>
      <c r="VM60" s="76"/>
      <c r="VN60" s="76"/>
      <c r="VO60" s="76"/>
      <c r="VP60" s="76"/>
      <c r="VQ60" s="76"/>
      <c r="VR60" s="76"/>
      <c r="VS60" s="76"/>
      <c r="VT60" s="76"/>
      <c r="VU60" s="76"/>
      <c r="VV60" s="76"/>
      <c r="VW60" s="76"/>
      <c r="VX60" s="76"/>
      <c r="VY60" s="76"/>
      <c r="VZ60" s="76"/>
      <c r="WA60" s="76"/>
      <c r="WB60" s="76"/>
      <c r="WC60" s="76"/>
      <c r="WD60" s="76"/>
      <c r="WE60" s="76"/>
      <c r="WF60" s="76"/>
      <c r="WG60" s="76"/>
      <c r="WH60" s="76"/>
      <c r="WI60" s="76"/>
      <c r="WJ60" s="76"/>
      <c r="WK60" s="76"/>
      <c r="WL60" s="76"/>
      <c r="WM60" s="76"/>
      <c r="WN60" s="76"/>
      <c r="WO60" s="76"/>
      <c r="WP60" s="76"/>
      <c r="WQ60" s="76"/>
      <c r="WR60" s="76"/>
      <c r="WS60" s="76"/>
      <c r="WT60" s="76"/>
      <c r="WU60" s="76"/>
      <c r="WV60" s="76"/>
      <c r="WW60" s="76"/>
      <c r="WX60" s="76"/>
      <c r="WY60" s="76"/>
      <c r="WZ60" s="76"/>
      <c r="XA60" s="76"/>
      <c r="XB60" s="76"/>
      <c r="XC60" s="76"/>
      <c r="XD60" s="76"/>
      <c r="XE60" s="76"/>
      <c r="XF60" s="76"/>
      <c r="XG60" s="76"/>
      <c r="XH60" s="76"/>
      <c r="XI60" s="76"/>
      <c r="XJ60" s="76"/>
      <c r="XK60" s="76"/>
      <c r="XL60" s="76"/>
      <c r="XM60" s="76"/>
      <c r="XN60" s="76"/>
      <c r="XO60" s="76"/>
      <c r="XP60" s="76"/>
      <c r="XQ60" s="76"/>
      <c r="XR60" s="76"/>
      <c r="XS60" s="76"/>
      <c r="XT60" s="76"/>
      <c r="XU60" s="76"/>
      <c r="XV60" s="76"/>
      <c r="XW60" s="76"/>
      <c r="XX60" s="76"/>
      <c r="XY60" s="76"/>
      <c r="XZ60" s="76"/>
      <c r="YA60" s="76"/>
      <c r="YB60" s="76"/>
      <c r="YC60" s="76"/>
      <c r="YD60" s="76"/>
      <c r="YE60" s="76"/>
      <c r="YF60" s="76"/>
      <c r="YG60" s="76"/>
      <c r="YH60" s="76"/>
      <c r="YI60" s="76"/>
      <c r="YJ60" s="76"/>
      <c r="YK60" s="76"/>
      <c r="YL60" s="76"/>
      <c r="YM60" s="76"/>
      <c r="YN60" s="76"/>
      <c r="YO60" s="76"/>
      <c r="YP60" s="76"/>
      <c r="YQ60" s="76"/>
      <c r="YR60" s="76"/>
      <c r="YS60" s="76"/>
      <c r="YT60" s="76"/>
      <c r="YU60" s="76"/>
      <c r="YV60" s="76"/>
      <c r="YW60" s="76"/>
      <c r="YX60" s="76"/>
      <c r="YY60" s="76"/>
      <c r="YZ60" s="76"/>
      <c r="ZA60" s="76"/>
      <c r="ZB60" s="76"/>
      <c r="ZC60" s="76"/>
      <c r="ZD60" s="76"/>
      <c r="ZE60" s="76"/>
      <c r="ZF60" s="76"/>
      <c r="ZG60" s="76"/>
      <c r="ZH60" s="76"/>
      <c r="ZI60" s="76"/>
      <c r="ZJ60" s="76"/>
      <c r="ZK60" s="76"/>
      <c r="ZL60" s="76"/>
      <c r="ZM60" s="76"/>
      <c r="ZN60" s="76"/>
      <c r="ZO60" s="76"/>
      <c r="ZP60" s="76"/>
      <c r="ZQ60" s="76"/>
      <c r="ZR60" s="76"/>
      <c r="ZS60" s="76"/>
      <c r="ZT60" s="76"/>
      <c r="ZU60" s="76"/>
      <c r="ZV60" s="76"/>
      <c r="ZW60" s="76"/>
      <c r="ZX60" s="76"/>
      <c r="ZY60" s="76"/>
      <c r="ZZ60" s="76"/>
      <c r="AAA60" s="76"/>
      <c r="AAB60" s="76"/>
      <c r="AAC60" s="76"/>
      <c r="AAD60" s="76"/>
      <c r="AAE60" s="76"/>
      <c r="AAF60" s="76"/>
      <c r="AAG60" s="76"/>
      <c r="AAH60" s="76"/>
      <c r="AAI60" s="76"/>
      <c r="AAJ60" s="76"/>
      <c r="AAK60" s="76"/>
      <c r="AAL60" s="76"/>
      <c r="AAM60" s="76"/>
      <c r="AAN60" s="76"/>
      <c r="AAO60" s="76"/>
      <c r="AAP60" s="76"/>
      <c r="AAQ60" s="76"/>
      <c r="AAR60" s="76"/>
      <c r="AAS60" s="76"/>
      <c r="AAT60" s="76"/>
      <c r="AAU60" s="76"/>
      <c r="AAV60" s="76"/>
      <c r="AAW60" s="76"/>
      <c r="AAX60" s="76"/>
      <c r="AAY60" s="76"/>
      <c r="AAZ60" s="76"/>
      <c r="ABA60" s="76"/>
      <c r="ABB60" s="76"/>
      <c r="ABC60" s="76"/>
      <c r="ABD60" s="76"/>
      <c r="ABE60" s="76"/>
      <c r="ABF60" s="76"/>
      <c r="ABG60" s="76"/>
      <c r="ABH60" s="76"/>
      <c r="ABI60" s="76"/>
      <c r="ABJ60" s="76"/>
      <c r="ABK60" s="76"/>
      <c r="ABL60" s="76"/>
      <c r="ABM60" s="76"/>
      <c r="ABN60" s="76"/>
      <c r="ABO60" s="76"/>
      <c r="ABP60" s="76"/>
      <c r="ABQ60" s="76"/>
      <c r="ABR60" s="76"/>
      <c r="ABS60" s="76"/>
      <c r="ABT60" s="76"/>
      <c r="ABU60" s="76"/>
      <c r="ABV60" s="76"/>
      <c r="ABW60" s="76"/>
      <c r="ABX60" s="76"/>
      <c r="ABY60" s="76"/>
      <c r="ABZ60" s="76"/>
      <c r="ACA60" s="76"/>
      <c r="ACB60" s="76"/>
      <c r="ACC60" s="76"/>
      <c r="ACD60" s="76"/>
      <c r="ACE60" s="76"/>
      <c r="ACF60" s="76"/>
      <c r="ACG60" s="76"/>
      <c r="ACH60" s="76"/>
      <c r="ACI60" s="76"/>
      <c r="ACJ60" s="76"/>
      <c r="ACK60" s="76"/>
      <c r="ACL60" s="76"/>
      <c r="ACM60" s="76"/>
      <c r="ACN60" s="76"/>
      <c r="ACO60" s="76"/>
      <c r="ACP60" s="76"/>
      <c r="ACQ60" s="76"/>
      <c r="ACR60" s="76"/>
      <c r="ACS60" s="76"/>
      <c r="ACT60" s="76"/>
      <c r="ACU60" s="76"/>
      <c r="ACV60" s="76"/>
      <c r="ACW60" s="76"/>
      <c r="ACX60" s="76"/>
      <c r="ACY60" s="76"/>
      <c r="ACZ60" s="76"/>
      <c r="ADA60" s="76"/>
      <c r="ADB60" s="76"/>
      <c r="ADC60" s="76"/>
      <c r="ADD60" s="76"/>
      <c r="ADE60" s="76"/>
      <c r="ADF60" s="76"/>
      <c r="ADG60" s="76"/>
      <c r="ADH60" s="76"/>
      <c r="ADI60" s="76"/>
      <c r="ADJ60" s="76"/>
      <c r="ADK60" s="76"/>
      <c r="ADL60" s="76"/>
      <c r="ADM60" s="76"/>
      <c r="ADN60" s="76"/>
      <c r="ADO60" s="76"/>
      <c r="ADP60" s="76"/>
      <c r="ADQ60" s="76"/>
      <c r="ADR60" s="76"/>
      <c r="ADS60" s="76"/>
      <c r="ADT60" s="76"/>
      <c r="ADU60" s="76"/>
      <c r="ADV60" s="76"/>
      <c r="ADW60" s="76"/>
      <c r="ADX60" s="76"/>
      <c r="ADY60" s="76"/>
      <c r="ADZ60" s="76"/>
      <c r="AEA60" s="76"/>
      <c r="AEB60" s="76"/>
      <c r="AEC60" s="76"/>
      <c r="AED60" s="76"/>
      <c r="AEE60" s="76"/>
      <c r="AEF60" s="76"/>
      <c r="AEG60" s="76"/>
      <c r="AEH60" s="76"/>
      <c r="AEI60" s="76"/>
      <c r="AEJ60" s="76"/>
      <c r="AEK60" s="76"/>
      <c r="AEL60" s="76"/>
      <c r="AEM60" s="76"/>
      <c r="AEN60" s="76"/>
      <c r="AEO60" s="76"/>
      <c r="AEP60" s="76"/>
      <c r="AEQ60" s="76"/>
      <c r="AER60" s="76"/>
      <c r="AES60" s="76"/>
      <c r="AET60" s="76"/>
      <c r="AEU60" s="76"/>
      <c r="AEV60" s="76"/>
      <c r="AEW60" s="76"/>
      <c r="AEX60" s="76"/>
      <c r="AEY60" s="76"/>
      <c r="AEZ60" s="76"/>
      <c r="AFA60" s="76"/>
      <c r="AFB60" s="76"/>
      <c r="AFC60" s="76"/>
      <c r="AFD60" s="76"/>
      <c r="AFE60" s="76"/>
      <c r="AFF60" s="76"/>
      <c r="AFG60" s="76"/>
      <c r="AFH60" s="76"/>
      <c r="AFI60" s="76"/>
      <c r="AFJ60" s="76"/>
      <c r="AFK60" s="76"/>
      <c r="AFL60" s="76"/>
      <c r="AFM60" s="76"/>
      <c r="AFN60" s="76"/>
      <c r="AFO60" s="76"/>
      <c r="AFP60" s="76"/>
      <c r="AFQ60" s="76"/>
      <c r="AFR60" s="76"/>
      <c r="AFS60" s="76"/>
      <c r="AFT60" s="76"/>
      <c r="AFU60" s="76"/>
      <c r="AFV60" s="76"/>
      <c r="AFW60" s="76"/>
      <c r="AFX60" s="76"/>
      <c r="AFY60" s="76"/>
      <c r="AFZ60" s="76"/>
      <c r="AGA60" s="76"/>
      <c r="AGB60" s="76"/>
      <c r="AGC60" s="76"/>
      <c r="AGD60" s="76"/>
      <c r="AGE60" s="76"/>
      <c r="AGF60" s="76"/>
      <c r="AGG60" s="76"/>
      <c r="AGH60" s="76"/>
      <c r="AGI60" s="76"/>
      <c r="AGJ60" s="76"/>
      <c r="AGK60" s="76"/>
      <c r="AGL60" s="76"/>
      <c r="AGM60" s="76"/>
      <c r="AGN60" s="76"/>
      <c r="AGO60" s="76"/>
      <c r="AGP60" s="76"/>
      <c r="AGQ60" s="76"/>
      <c r="AGR60" s="76"/>
      <c r="AGS60" s="76"/>
      <c r="AGT60" s="76"/>
      <c r="AGU60" s="76"/>
      <c r="AGV60" s="76"/>
      <c r="AGW60" s="76"/>
      <c r="AGX60" s="76"/>
      <c r="AGY60" s="76"/>
      <c r="AGZ60" s="76"/>
      <c r="AHA60" s="76"/>
      <c r="AHB60" s="76"/>
      <c r="AHC60" s="76"/>
      <c r="AHD60" s="76"/>
      <c r="AHE60" s="76"/>
      <c r="AHF60" s="76"/>
      <c r="AHG60" s="76"/>
      <c r="AHH60" s="76"/>
      <c r="AHI60" s="76"/>
      <c r="AHJ60" s="76"/>
      <c r="AHK60" s="76"/>
      <c r="AHL60" s="76"/>
      <c r="AHM60" s="76"/>
      <c r="AHN60" s="76"/>
      <c r="AHO60" s="76"/>
      <c r="AHP60" s="76"/>
      <c r="AHQ60" s="76"/>
      <c r="AHR60" s="76"/>
      <c r="AHS60" s="76"/>
      <c r="AHT60" s="76"/>
      <c r="AHU60" s="76"/>
      <c r="AHV60" s="76"/>
      <c r="AHW60" s="76"/>
      <c r="AHX60" s="76"/>
      <c r="AHY60" s="76"/>
      <c r="AHZ60" s="76"/>
      <c r="AIA60" s="76"/>
      <c r="AIB60" s="76"/>
      <c r="AIC60" s="76"/>
      <c r="AID60" s="76"/>
      <c r="AIE60" s="76"/>
      <c r="AIF60" s="76"/>
      <c r="AIG60" s="76"/>
      <c r="AIH60" s="76"/>
      <c r="AII60" s="76"/>
      <c r="AIJ60" s="76"/>
      <c r="AIK60" s="76"/>
      <c r="AIL60" s="76"/>
      <c r="AIM60" s="76"/>
      <c r="AIN60" s="76"/>
      <c r="AIO60" s="76"/>
      <c r="AIP60" s="76"/>
      <c r="AIQ60" s="76"/>
      <c r="AIR60" s="76"/>
      <c r="AIS60" s="76"/>
      <c r="AIT60" s="76"/>
      <c r="AIU60" s="76"/>
      <c r="AIV60" s="76"/>
      <c r="AIW60" s="76"/>
      <c r="AIX60" s="76"/>
      <c r="AIY60" s="76"/>
      <c r="AIZ60" s="76"/>
      <c r="AJA60" s="76"/>
      <c r="AJB60" s="76"/>
      <c r="AJC60" s="76"/>
      <c r="AJD60" s="76"/>
      <c r="AJE60" s="76"/>
      <c r="AJF60" s="76"/>
      <c r="AJG60" s="76"/>
      <c r="AJH60" s="76"/>
      <c r="AJI60" s="76"/>
      <c r="AJJ60" s="76"/>
      <c r="AJK60" s="76"/>
      <c r="AJL60" s="76"/>
      <c r="AJM60" s="76"/>
      <c r="AJN60" s="76"/>
      <c r="AJO60" s="76"/>
      <c r="AJP60" s="76"/>
      <c r="AJQ60" s="76"/>
      <c r="AJR60" s="76"/>
      <c r="AJS60" s="76"/>
      <c r="AJT60" s="76"/>
      <c r="AJU60" s="76"/>
      <c r="AJV60" s="76"/>
      <c r="AJW60" s="76"/>
      <c r="AJX60" s="76"/>
      <c r="AJY60" s="76"/>
      <c r="AJZ60" s="76"/>
      <c r="AKA60" s="76"/>
      <c r="AKB60" s="76"/>
      <c r="AKC60" s="76"/>
      <c r="AKD60" s="76"/>
      <c r="AKE60" s="76"/>
      <c r="AKF60" s="76"/>
      <c r="AKG60" s="76"/>
      <c r="AKH60" s="76"/>
      <c r="AKI60" s="76"/>
      <c r="AKJ60" s="76"/>
      <c r="AKK60" s="76"/>
      <c r="AKL60" s="76"/>
      <c r="AKM60" s="76"/>
      <c r="AKN60" s="76"/>
      <c r="AKO60" s="76"/>
      <c r="AKP60" s="76"/>
      <c r="AKQ60" s="76"/>
      <c r="AKR60" s="76"/>
      <c r="AKS60" s="76"/>
      <c r="AKT60" s="76"/>
      <c r="AKU60" s="76"/>
      <c r="AKV60" s="76"/>
      <c r="AKW60" s="76"/>
      <c r="AKX60" s="76"/>
      <c r="AKY60" s="76"/>
      <c r="AKZ60" s="76"/>
      <c r="ALA60" s="76"/>
      <c r="ALB60" s="76"/>
      <c r="ALC60" s="76"/>
      <c r="ALD60" s="76"/>
      <c r="ALE60" s="76"/>
      <c r="ALF60" s="76"/>
      <c r="ALG60" s="76"/>
      <c r="ALH60" s="76"/>
      <c r="ALI60" s="76"/>
      <c r="ALJ60" s="76"/>
      <c r="ALK60" s="76"/>
      <c r="ALL60" s="76"/>
      <c r="ALM60" s="76"/>
      <c r="ALN60" s="76"/>
      <c r="ALO60" s="76"/>
      <c r="ALP60" s="76"/>
      <c r="ALQ60" s="76"/>
      <c r="ALR60" s="76"/>
      <c r="ALS60" s="76"/>
      <c r="ALT60" s="76"/>
      <c r="ALU60" s="76"/>
      <c r="ALV60" s="76"/>
      <c r="ALW60" s="76"/>
      <c r="ALX60" s="76"/>
      <c r="ALY60" s="76"/>
      <c r="ALZ60" s="76"/>
      <c r="AMA60" s="76"/>
      <c r="AMB60" s="76"/>
      <c r="AMC60" s="76"/>
      <c r="AMD60" s="76"/>
      <c r="AME60" s="76"/>
      <c r="AMF60" s="76"/>
      <c r="AMG60" s="76"/>
      <c r="AMH60" s="76"/>
      <c r="AMI60" s="76"/>
      <c r="AMJ60" s="76"/>
      <c r="AMK60" s="76"/>
      <c r="AML60" s="76"/>
      <c r="AMM60" s="76"/>
      <c r="AMN60" s="76"/>
      <c r="AMO60" s="76"/>
      <c r="AMP60" s="76"/>
      <c r="AMQ60" s="76"/>
      <c r="AMR60" s="76"/>
      <c r="AMS60" s="76"/>
      <c r="AMT60" s="76"/>
      <c r="AMU60" s="76"/>
      <c r="AMV60" s="76"/>
      <c r="AMW60" s="76"/>
      <c r="AMX60" s="76"/>
      <c r="AMY60" s="76"/>
      <c r="AMZ60" s="76"/>
      <c r="ANA60" s="76"/>
      <c r="ANB60" s="76"/>
      <c r="ANC60" s="76"/>
      <c r="AND60" s="76"/>
      <c r="ANE60" s="76"/>
      <c r="ANF60" s="76"/>
      <c r="ANG60" s="76"/>
      <c r="ANH60" s="76"/>
      <c r="ANI60" s="76"/>
      <c r="ANJ60" s="76"/>
      <c r="ANK60" s="76"/>
      <c r="ANL60" s="76"/>
      <c r="ANM60" s="76"/>
      <c r="ANN60" s="76"/>
      <c r="ANO60" s="76"/>
      <c r="ANP60" s="76"/>
      <c r="ANQ60" s="76"/>
      <c r="ANR60" s="76"/>
      <c r="ANS60" s="76"/>
      <c r="ANT60" s="76"/>
      <c r="ANU60" s="76"/>
      <c r="ANV60" s="76"/>
      <c r="ANW60" s="76"/>
      <c r="ANX60" s="76"/>
      <c r="ANY60" s="76"/>
      <c r="ANZ60" s="76"/>
      <c r="AOA60" s="76"/>
      <c r="AOB60" s="76"/>
      <c r="AOC60" s="76"/>
      <c r="AOD60" s="76"/>
      <c r="AOE60" s="76"/>
      <c r="AOF60" s="76"/>
      <c r="AOG60" s="76"/>
      <c r="AOH60" s="76"/>
      <c r="AOI60" s="76"/>
      <c r="AOJ60" s="76"/>
      <c r="AOK60" s="76"/>
      <c r="AOL60" s="76"/>
      <c r="AOM60" s="76"/>
      <c r="AON60" s="76"/>
      <c r="AOO60" s="76"/>
      <c r="AOP60" s="76"/>
      <c r="AOQ60" s="76"/>
      <c r="AOR60" s="76"/>
      <c r="AOS60" s="76"/>
      <c r="AOT60" s="76"/>
      <c r="AOU60" s="76"/>
      <c r="AOV60" s="76"/>
      <c r="AOW60" s="76"/>
      <c r="AOX60" s="76"/>
      <c r="AOY60" s="76"/>
      <c r="AOZ60" s="76"/>
      <c r="APA60" s="76"/>
      <c r="APB60" s="76"/>
      <c r="APC60" s="76"/>
      <c r="APD60" s="76"/>
      <c r="APE60" s="76"/>
      <c r="APF60" s="76"/>
      <c r="APG60" s="76"/>
      <c r="APH60" s="76"/>
      <c r="API60" s="76"/>
      <c r="APJ60" s="76"/>
      <c r="APK60" s="76"/>
      <c r="APL60" s="76"/>
      <c r="APM60" s="76"/>
      <c r="APN60" s="76"/>
      <c r="APO60" s="76"/>
      <c r="APP60" s="76"/>
      <c r="APQ60" s="76"/>
      <c r="APR60" s="76"/>
      <c r="APS60" s="76"/>
      <c r="APT60" s="76"/>
      <c r="APU60" s="76"/>
      <c r="APV60" s="76"/>
      <c r="APW60" s="76"/>
      <c r="APX60" s="76"/>
      <c r="APY60" s="76"/>
      <c r="APZ60" s="76"/>
      <c r="AQA60" s="76"/>
      <c r="AQB60" s="76"/>
      <c r="AQC60" s="76"/>
      <c r="AQD60" s="76"/>
      <c r="AQE60" s="76"/>
      <c r="AQF60" s="76"/>
      <c r="AQG60" s="76"/>
      <c r="AQH60" s="76"/>
      <c r="AQI60" s="76"/>
      <c r="AQJ60" s="76"/>
      <c r="AQK60" s="76"/>
      <c r="AQL60" s="76"/>
      <c r="AQM60" s="76"/>
      <c r="AQN60" s="76"/>
      <c r="AQO60" s="76"/>
      <c r="AQP60" s="76"/>
      <c r="AQQ60" s="76"/>
      <c r="AQR60" s="76"/>
      <c r="AQS60" s="76"/>
      <c r="AQT60" s="76"/>
      <c r="AQU60" s="76"/>
      <c r="AQV60" s="76"/>
      <c r="AQW60" s="76"/>
      <c r="AQX60" s="76"/>
      <c r="AQY60" s="76"/>
      <c r="AQZ60" s="76"/>
      <c r="ARA60" s="76"/>
      <c r="ARB60" s="76"/>
      <c r="ARC60" s="76"/>
      <c r="ARD60" s="76"/>
      <c r="ARE60" s="76"/>
      <c r="ARF60" s="76"/>
      <c r="ARG60" s="76"/>
      <c r="ARH60" s="76"/>
      <c r="ARI60" s="76"/>
      <c r="ARJ60" s="76"/>
      <c r="ARK60" s="76"/>
      <c r="ARL60" s="76"/>
      <c r="ARM60" s="76"/>
      <c r="ARN60" s="76"/>
      <c r="ARO60" s="76"/>
      <c r="ARP60" s="76"/>
      <c r="ARQ60" s="76"/>
      <c r="ARR60" s="76"/>
      <c r="ARS60" s="76"/>
      <c r="ART60" s="76"/>
      <c r="ARU60" s="76"/>
      <c r="ARV60" s="76"/>
      <c r="ARW60" s="76"/>
      <c r="ARX60" s="76"/>
      <c r="ARY60" s="76"/>
      <c r="ARZ60" s="76"/>
      <c r="ASA60" s="76"/>
      <c r="ASB60" s="76"/>
      <c r="ASC60" s="76"/>
      <c r="ASD60" s="76"/>
      <c r="ASE60" s="76"/>
      <c r="ASF60" s="76"/>
      <c r="ASG60" s="76"/>
      <c r="ASH60" s="76"/>
      <c r="ASI60" s="76"/>
      <c r="ASJ60" s="76"/>
      <c r="ASK60" s="76"/>
      <c r="ASL60" s="76"/>
      <c r="ASM60" s="76"/>
      <c r="ASN60" s="76"/>
      <c r="ASO60" s="76"/>
      <c r="ASP60" s="76"/>
      <c r="ASQ60" s="76"/>
      <c r="ASR60" s="76"/>
      <c r="ASS60" s="76"/>
      <c r="AST60" s="76"/>
      <c r="ASU60" s="76"/>
      <c r="ASV60" s="76"/>
      <c r="ASW60" s="76"/>
      <c r="ASX60" s="76"/>
      <c r="ASY60" s="76"/>
      <c r="ASZ60" s="76"/>
      <c r="ATA60" s="76"/>
      <c r="ATB60" s="76"/>
      <c r="ATC60" s="76"/>
      <c r="ATD60" s="76"/>
      <c r="ATE60" s="76"/>
      <c r="ATF60" s="76"/>
      <c r="ATG60" s="76"/>
      <c r="ATH60" s="76"/>
      <c r="ATI60" s="76"/>
      <c r="ATJ60" s="76"/>
      <c r="ATK60" s="76"/>
      <c r="ATL60" s="76"/>
      <c r="ATM60" s="76"/>
      <c r="ATN60" s="76"/>
      <c r="ATO60" s="76"/>
      <c r="ATP60" s="76"/>
      <c r="ATQ60" s="76"/>
      <c r="ATR60" s="76"/>
      <c r="ATS60" s="76"/>
      <c r="ATT60" s="76"/>
      <c r="ATU60" s="76"/>
      <c r="ATV60" s="76"/>
      <c r="ATW60" s="76"/>
      <c r="ATX60" s="76"/>
      <c r="ATY60" s="76"/>
      <c r="ATZ60" s="76"/>
      <c r="AUA60" s="76"/>
      <c r="AUB60" s="76"/>
      <c r="AUC60" s="76"/>
      <c r="AUD60" s="76"/>
      <c r="AUE60" s="76"/>
      <c r="AUF60" s="76"/>
      <c r="AUG60" s="76"/>
      <c r="AUH60" s="76"/>
      <c r="AUI60" s="76"/>
      <c r="AUJ60" s="76"/>
      <c r="AUK60" s="76"/>
      <c r="AUL60" s="76"/>
      <c r="AUM60" s="76"/>
      <c r="AUN60" s="76"/>
      <c r="AUO60" s="76"/>
      <c r="AUP60" s="76"/>
      <c r="AUQ60" s="76"/>
      <c r="AUR60" s="76"/>
      <c r="AUS60" s="76"/>
      <c r="AUT60" s="76"/>
      <c r="AUU60" s="76"/>
      <c r="AUV60" s="76"/>
      <c r="AUW60" s="76"/>
      <c r="AUX60" s="76"/>
      <c r="AUY60" s="76"/>
      <c r="AUZ60" s="76"/>
      <c r="AVA60" s="76"/>
      <c r="AVB60" s="76"/>
      <c r="AVC60" s="76"/>
      <c r="AVD60" s="76"/>
      <c r="AVE60" s="76"/>
      <c r="AVF60" s="76"/>
      <c r="AVG60" s="76"/>
      <c r="AVH60" s="76"/>
      <c r="AVI60" s="76"/>
      <c r="AVJ60" s="76"/>
      <c r="AVK60" s="76"/>
      <c r="AVL60" s="76"/>
      <c r="AVM60" s="76"/>
      <c r="AVN60" s="76"/>
      <c r="AVO60" s="76"/>
      <c r="AVP60" s="76"/>
      <c r="AVQ60" s="76"/>
      <c r="AVR60" s="76"/>
      <c r="AVS60" s="76"/>
      <c r="AVT60" s="76"/>
      <c r="AVU60" s="76"/>
      <c r="AVV60" s="76"/>
      <c r="AVW60" s="76"/>
      <c r="AVX60" s="76"/>
      <c r="AVY60" s="76"/>
      <c r="AVZ60" s="76"/>
      <c r="AWA60" s="76"/>
      <c r="AWB60" s="76"/>
      <c r="AWC60" s="76"/>
      <c r="AWD60" s="76"/>
      <c r="AWE60" s="76"/>
      <c r="AWF60" s="76"/>
      <c r="AWG60" s="76"/>
      <c r="AWH60" s="76"/>
      <c r="AWI60" s="76"/>
      <c r="AWJ60" s="76"/>
      <c r="AWK60" s="76"/>
      <c r="AWL60" s="76"/>
      <c r="AWM60" s="76"/>
      <c r="AWN60" s="76"/>
      <c r="AWO60" s="76"/>
      <c r="AWP60" s="76"/>
      <c r="AWQ60" s="76"/>
      <c r="AWR60" s="76"/>
      <c r="AWS60" s="76"/>
      <c r="AWT60" s="76"/>
      <c r="AWU60" s="76"/>
      <c r="AWV60" s="76"/>
      <c r="AWW60" s="76"/>
      <c r="AWX60" s="76"/>
      <c r="AWY60" s="76"/>
      <c r="AWZ60" s="76"/>
      <c r="AXA60" s="76"/>
      <c r="AXB60" s="76"/>
      <c r="AXC60" s="76"/>
      <c r="AXD60" s="76"/>
      <c r="AXE60" s="76"/>
      <c r="AXF60" s="76"/>
      <c r="AXG60" s="76"/>
      <c r="AXH60" s="76"/>
      <c r="AXI60" s="76"/>
      <c r="AXJ60" s="76"/>
      <c r="AXK60" s="76"/>
      <c r="AXL60" s="76"/>
      <c r="AXM60" s="76"/>
      <c r="AXN60" s="76"/>
      <c r="AXO60" s="76"/>
      <c r="AXP60" s="76"/>
      <c r="AXQ60" s="76"/>
      <c r="AXR60" s="76"/>
      <c r="AXS60" s="76"/>
      <c r="AXT60" s="76"/>
      <c r="AXU60" s="76"/>
      <c r="AXV60" s="76"/>
      <c r="AXW60" s="76"/>
      <c r="AXX60" s="76"/>
      <c r="AXY60" s="76"/>
      <c r="AXZ60" s="76"/>
      <c r="AYA60" s="76"/>
      <c r="AYB60" s="76"/>
      <c r="AYC60" s="76"/>
      <c r="AYD60" s="76"/>
      <c r="AYE60" s="76"/>
      <c r="AYF60" s="76"/>
      <c r="AYG60" s="76"/>
      <c r="AYH60" s="76"/>
      <c r="AYI60" s="76"/>
      <c r="AYJ60" s="76"/>
      <c r="AYK60" s="76"/>
      <c r="AYL60" s="76"/>
      <c r="AYM60" s="76"/>
      <c r="AYN60" s="76"/>
      <c r="AYO60" s="76"/>
      <c r="AYP60" s="76"/>
      <c r="AYQ60" s="76"/>
      <c r="AYR60" s="76"/>
      <c r="AYS60" s="76"/>
      <c r="AYT60" s="76"/>
      <c r="AYU60" s="76"/>
      <c r="AYV60" s="76"/>
      <c r="AYW60" s="76"/>
      <c r="AYX60" s="76"/>
      <c r="AYY60" s="76"/>
      <c r="AYZ60" s="76"/>
      <c r="AZA60" s="76"/>
      <c r="AZB60" s="76"/>
      <c r="AZC60" s="76"/>
      <c r="AZD60" s="76"/>
      <c r="AZE60" s="76"/>
      <c r="AZF60" s="76"/>
      <c r="AZG60" s="76"/>
      <c r="AZH60" s="76"/>
      <c r="AZI60" s="76"/>
      <c r="AZJ60" s="76"/>
      <c r="AZK60" s="76"/>
      <c r="AZL60" s="76"/>
      <c r="AZM60" s="76"/>
      <c r="AZN60" s="76"/>
      <c r="AZO60" s="76"/>
      <c r="AZP60" s="76"/>
      <c r="AZQ60" s="76"/>
      <c r="AZR60" s="76"/>
      <c r="AZS60" s="76"/>
      <c r="AZT60" s="76"/>
      <c r="AZU60" s="76"/>
      <c r="AZV60" s="76"/>
      <c r="AZW60" s="76"/>
      <c r="AZX60" s="76"/>
      <c r="AZY60" s="76"/>
      <c r="AZZ60" s="76"/>
      <c r="BAA60" s="76"/>
      <c r="BAB60" s="76"/>
      <c r="BAC60" s="76"/>
      <c r="BAD60" s="76"/>
      <c r="BAE60" s="76"/>
      <c r="BAF60" s="76"/>
      <c r="BAG60" s="76"/>
      <c r="BAH60" s="76"/>
      <c r="BAI60" s="76"/>
      <c r="BAJ60" s="76"/>
      <c r="BAK60" s="76"/>
      <c r="BAL60" s="76"/>
      <c r="BAM60" s="76"/>
      <c r="BAN60" s="76"/>
      <c r="BAO60" s="76"/>
      <c r="BAP60" s="76"/>
      <c r="BAQ60" s="76"/>
      <c r="BAR60" s="76"/>
      <c r="BAS60" s="76"/>
      <c r="BAT60" s="76"/>
      <c r="BAU60" s="76"/>
      <c r="BAV60" s="76"/>
      <c r="BAW60" s="76"/>
      <c r="BAX60" s="76"/>
      <c r="BAY60" s="76"/>
      <c r="BAZ60" s="76"/>
      <c r="BBA60" s="76"/>
      <c r="BBB60" s="76"/>
      <c r="BBC60" s="76"/>
      <c r="BBD60" s="76"/>
      <c r="BBE60" s="76"/>
      <c r="BBF60" s="76"/>
      <c r="BBG60" s="76"/>
      <c r="BBH60" s="76"/>
      <c r="BBI60" s="76"/>
      <c r="BBJ60" s="76"/>
      <c r="BBK60" s="76"/>
      <c r="BBL60" s="76"/>
      <c r="BBM60" s="76"/>
      <c r="BBN60" s="76"/>
      <c r="BBO60" s="76"/>
      <c r="BBP60" s="76"/>
      <c r="BBQ60" s="76"/>
      <c r="BBR60" s="76"/>
      <c r="BBS60" s="76"/>
      <c r="BBT60" s="76"/>
      <c r="BBU60" s="76"/>
      <c r="BBV60" s="76"/>
      <c r="BBW60" s="76"/>
      <c r="BBX60" s="76"/>
      <c r="BBY60" s="76"/>
      <c r="BBZ60" s="76"/>
      <c r="BCA60" s="76"/>
      <c r="BCB60" s="76"/>
      <c r="BCC60" s="76"/>
      <c r="BCD60" s="76"/>
      <c r="BCE60" s="76"/>
      <c r="BCF60" s="76"/>
      <c r="BCG60" s="76"/>
      <c r="BCH60" s="76"/>
      <c r="BCI60" s="76"/>
      <c r="BCJ60" s="76"/>
      <c r="BCK60" s="76"/>
      <c r="BCL60" s="76"/>
      <c r="BCM60" s="76"/>
      <c r="BCN60" s="76"/>
      <c r="BCO60" s="76"/>
      <c r="BCP60" s="76"/>
      <c r="BCQ60" s="76"/>
      <c r="BCR60" s="76"/>
      <c r="BCS60" s="76"/>
      <c r="BCT60" s="76"/>
      <c r="BCU60" s="76"/>
      <c r="BCV60" s="76"/>
      <c r="BCW60" s="76"/>
      <c r="BCX60" s="76"/>
      <c r="BCY60" s="76"/>
      <c r="BCZ60" s="76"/>
      <c r="BDA60" s="76"/>
      <c r="BDB60" s="76"/>
      <c r="BDC60" s="76"/>
      <c r="BDD60" s="76"/>
      <c r="BDE60" s="76"/>
      <c r="BDF60" s="76"/>
      <c r="BDG60" s="76"/>
      <c r="BDH60" s="76"/>
      <c r="BDI60" s="76"/>
      <c r="BDJ60" s="76"/>
      <c r="BDK60" s="76"/>
      <c r="BDL60" s="76"/>
      <c r="BDM60" s="76"/>
      <c r="BDN60" s="76"/>
      <c r="BDO60" s="76"/>
      <c r="BDP60" s="76"/>
      <c r="BDQ60" s="76"/>
      <c r="BDR60" s="76"/>
      <c r="BDS60" s="76"/>
      <c r="BDT60" s="76"/>
      <c r="BDU60" s="76"/>
      <c r="BDV60" s="76"/>
      <c r="BDW60" s="76"/>
      <c r="BDX60" s="76"/>
      <c r="BDY60" s="76"/>
      <c r="BDZ60" s="76"/>
      <c r="BEA60" s="76"/>
      <c r="BEB60" s="76"/>
      <c r="BEC60" s="76"/>
      <c r="BED60" s="76"/>
      <c r="BEE60" s="76"/>
      <c r="BEF60" s="76"/>
      <c r="BEG60" s="76"/>
      <c r="BEH60" s="76"/>
      <c r="BEI60" s="76"/>
      <c r="BEJ60" s="76"/>
      <c r="BEK60" s="76"/>
      <c r="BEL60" s="76"/>
      <c r="BEM60" s="76"/>
      <c r="BEN60" s="76"/>
      <c r="BEO60" s="76"/>
      <c r="BEP60" s="76"/>
      <c r="BEQ60" s="76"/>
      <c r="BER60" s="76"/>
      <c r="BES60" s="76"/>
      <c r="BET60" s="76"/>
      <c r="BEU60" s="76"/>
      <c r="BEV60" s="76"/>
      <c r="BEW60" s="76"/>
      <c r="BEX60" s="76"/>
      <c r="BEY60" s="76"/>
      <c r="BEZ60" s="76"/>
      <c r="BFA60" s="76"/>
      <c r="BFB60" s="76"/>
      <c r="BFC60" s="76"/>
      <c r="BFD60" s="76"/>
      <c r="BFE60" s="76"/>
      <c r="BFF60" s="76"/>
      <c r="BFG60" s="76"/>
      <c r="BFH60" s="76"/>
      <c r="BFI60" s="76"/>
      <c r="BFJ60" s="76"/>
      <c r="BFK60" s="76"/>
      <c r="BFL60" s="76"/>
      <c r="BFM60" s="76"/>
      <c r="BFN60" s="76"/>
      <c r="BFO60" s="76"/>
      <c r="BFP60" s="76"/>
      <c r="BFQ60" s="76"/>
      <c r="BFR60" s="76"/>
      <c r="BFS60" s="76"/>
      <c r="BFT60" s="76"/>
      <c r="BFU60" s="76"/>
      <c r="BFV60" s="76"/>
      <c r="BFW60" s="76"/>
      <c r="BFX60" s="76"/>
      <c r="BFY60" s="76"/>
      <c r="BFZ60" s="76"/>
      <c r="BGA60" s="76"/>
      <c r="BGB60" s="76"/>
      <c r="BGC60" s="76"/>
      <c r="BGD60" s="76"/>
      <c r="BGE60" s="76"/>
      <c r="BGF60" s="76"/>
      <c r="BGG60" s="76"/>
      <c r="BGH60" s="76"/>
      <c r="BGI60" s="76"/>
      <c r="BGJ60" s="76"/>
      <c r="BGK60" s="76"/>
      <c r="BGL60" s="76"/>
      <c r="BGM60" s="76"/>
      <c r="BGN60" s="76"/>
      <c r="BGO60" s="76"/>
      <c r="BGP60" s="76"/>
      <c r="BGQ60" s="76"/>
      <c r="BGR60" s="76"/>
      <c r="BGS60" s="76"/>
      <c r="BGT60" s="76"/>
      <c r="BGU60" s="76"/>
      <c r="BGV60" s="76"/>
      <c r="BGW60" s="76"/>
      <c r="BGX60" s="76"/>
      <c r="BGY60" s="76"/>
      <c r="BGZ60" s="76"/>
      <c r="BHA60" s="76"/>
      <c r="BHB60" s="76"/>
      <c r="BHC60" s="76"/>
      <c r="BHD60" s="76"/>
      <c r="BHE60" s="76"/>
      <c r="BHF60" s="76"/>
      <c r="BHG60" s="76"/>
      <c r="BHH60" s="76"/>
      <c r="BHI60" s="76"/>
      <c r="BHJ60" s="76"/>
      <c r="BHK60" s="76"/>
      <c r="BHL60" s="76"/>
      <c r="BHM60" s="76"/>
      <c r="BHN60" s="76"/>
      <c r="BHO60" s="76"/>
      <c r="BHP60" s="76"/>
      <c r="BHQ60" s="76"/>
      <c r="BHR60" s="76"/>
      <c r="BHS60" s="76"/>
      <c r="BHT60" s="76"/>
      <c r="BHU60" s="76"/>
      <c r="BHV60" s="76"/>
      <c r="BHW60" s="76"/>
      <c r="BHX60" s="76"/>
      <c r="BHY60" s="76"/>
      <c r="BHZ60" s="76"/>
      <c r="BIA60" s="76"/>
      <c r="BIB60" s="76"/>
      <c r="BIC60" s="76"/>
      <c r="BID60" s="76"/>
      <c r="BIE60" s="76"/>
      <c r="BIF60" s="76"/>
      <c r="BIG60" s="76"/>
      <c r="BIH60" s="76"/>
      <c r="BII60" s="76"/>
      <c r="BIJ60" s="76"/>
      <c r="BIK60" s="76"/>
      <c r="BIL60" s="76"/>
      <c r="BIM60" s="76"/>
      <c r="BIN60" s="76"/>
      <c r="BIO60" s="76"/>
      <c r="BIP60" s="76"/>
      <c r="BIQ60" s="76"/>
      <c r="BIR60" s="76"/>
      <c r="BIS60" s="76"/>
      <c r="BIT60" s="76"/>
      <c r="BIU60" s="76"/>
      <c r="BIV60" s="76"/>
      <c r="BIW60" s="76"/>
      <c r="BIX60" s="76"/>
      <c r="BIY60" s="76"/>
      <c r="BIZ60" s="76"/>
      <c r="BJA60" s="76"/>
      <c r="BJB60" s="76"/>
      <c r="BJC60" s="76"/>
      <c r="BJD60" s="76"/>
      <c r="BJE60" s="76"/>
      <c r="BJF60" s="76"/>
      <c r="BJG60" s="76"/>
      <c r="BJH60" s="76"/>
      <c r="BJI60" s="76"/>
      <c r="BJJ60" s="76"/>
      <c r="BJK60" s="76"/>
      <c r="BJL60" s="76"/>
      <c r="BJM60" s="76"/>
      <c r="BJN60" s="76"/>
      <c r="BJO60" s="76"/>
      <c r="BJP60" s="76"/>
      <c r="BJQ60" s="76"/>
      <c r="BJR60" s="76"/>
      <c r="BJS60" s="76"/>
      <c r="BJT60" s="76"/>
      <c r="BJU60" s="76"/>
      <c r="BJV60" s="76"/>
      <c r="BJW60" s="76"/>
      <c r="BJX60" s="76"/>
      <c r="BJY60" s="76"/>
      <c r="BJZ60" s="76"/>
      <c r="BKA60" s="76"/>
      <c r="BKB60" s="76"/>
      <c r="BKC60" s="76"/>
      <c r="BKD60" s="76"/>
      <c r="BKE60" s="76"/>
      <c r="BKF60" s="76"/>
      <c r="BKG60" s="76"/>
      <c r="BKH60" s="76"/>
      <c r="BKI60" s="76"/>
      <c r="BKJ60" s="76"/>
      <c r="BKK60" s="76"/>
      <c r="BKL60" s="76"/>
      <c r="BKM60" s="76"/>
      <c r="BKN60" s="76"/>
      <c r="BKO60" s="76"/>
      <c r="BKP60" s="76"/>
      <c r="BKQ60" s="76"/>
      <c r="BKR60" s="76"/>
      <c r="BKS60" s="76"/>
      <c r="BKT60" s="76"/>
      <c r="BKU60" s="76"/>
      <c r="BKV60" s="76"/>
      <c r="BKW60" s="76"/>
      <c r="BKX60" s="76"/>
      <c r="BKY60" s="76"/>
      <c r="BKZ60" s="76"/>
      <c r="BLA60" s="76"/>
      <c r="BLB60" s="76"/>
      <c r="BLC60" s="76"/>
      <c r="BLD60" s="76"/>
      <c r="BLE60" s="76"/>
      <c r="BLF60" s="76"/>
      <c r="BLG60" s="76"/>
      <c r="BLH60" s="76"/>
      <c r="BLI60" s="76"/>
      <c r="BLJ60" s="76"/>
      <c r="BLK60" s="76"/>
      <c r="BLL60" s="76"/>
      <c r="BLM60" s="76"/>
      <c r="BLN60" s="76"/>
      <c r="BLO60" s="76"/>
      <c r="BLP60" s="76"/>
      <c r="BLQ60" s="76"/>
      <c r="BLR60" s="76"/>
      <c r="BLS60" s="76"/>
      <c r="BLT60" s="76"/>
      <c r="BLU60" s="76"/>
      <c r="BLV60" s="76"/>
      <c r="BLW60" s="76"/>
      <c r="BLX60" s="76"/>
      <c r="BLY60" s="76"/>
      <c r="BLZ60" s="76"/>
      <c r="BMA60" s="76"/>
      <c r="BMB60" s="76"/>
      <c r="BMC60" s="76"/>
      <c r="BMD60" s="76"/>
      <c r="BME60" s="76"/>
      <c r="BMF60" s="76"/>
      <c r="BMG60" s="76"/>
      <c r="BMH60" s="76"/>
      <c r="BMI60" s="76"/>
      <c r="BMJ60" s="76"/>
      <c r="BMK60" s="76"/>
      <c r="BML60" s="76"/>
      <c r="BMM60" s="76"/>
      <c r="BMN60" s="76"/>
      <c r="BMO60" s="76"/>
      <c r="BMP60" s="76"/>
      <c r="BMQ60" s="76"/>
      <c r="BMR60" s="76"/>
      <c r="BMS60" s="76"/>
      <c r="BMT60" s="76"/>
      <c r="BMU60" s="76"/>
      <c r="BMV60" s="76"/>
      <c r="BMW60" s="76"/>
      <c r="BMX60" s="76"/>
      <c r="BMY60" s="76"/>
      <c r="BMZ60" s="76"/>
      <c r="BNA60" s="76"/>
      <c r="BNB60" s="76"/>
      <c r="BNC60" s="76"/>
      <c r="BND60" s="76"/>
      <c r="BNE60" s="76"/>
      <c r="BNF60" s="76"/>
      <c r="BNG60" s="76"/>
      <c r="BNH60" s="76"/>
      <c r="BNI60" s="76"/>
      <c r="BNJ60" s="76"/>
      <c r="BNK60" s="76"/>
      <c r="BNL60" s="76"/>
      <c r="BNM60" s="76"/>
      <c r="BNN60" s="76"/>
      <c r="BNO60" s="76"/>
      <c r="BNP60" s="76"/>
      <c r="BNQ60" s="76"/>
      <c r="BNR60" s="76"/>
      <c r="BNS60" s="76"/>
      <c r="BNT60" s="76"/>
      <c r="BNU60" s="76"/>
      <c r="BNV60" s="76"/>
      <c r="BNW60" s="76"/>
      <c r="BNX60" s="76"/>
      <c r="BNY60" s="76"/>
      <c r="BNZ60" s="76"/>
      <c r="BOA60" s="76"/>
      <c r="BOB60" s="76"/>
      <c r="BOC60" s="76"/>
      <c r="BOD60" s="76"/>
      <c r="BOE60" s="76"/>
      <c r="BOF60" s="76"/>
      <c r="BOG60" s="76"/>
      <c r="BOH60" s="76"/>
      <c r="BOI60" s="76"/>
      <c r="BOJ60" s="76"/>
      <c r="BOK60" s="76"/>
      <c r="BOL60" s="76"/>
      <c r="BOM60" s="76"/>
      <c r="BON60" s="76"/>
      <c r="BOO60" s="76"/>
      <c r="BOP60" s="76"/>
      <c r="BOQ60" s="76"/>
      <c r="BOR60" s="76"/>
      <c r="BOS60" s="76"/>
      <c r="BOT60" s="76"/>
      <c r="BOU60" s="76"/>
      <c r="BOV60" s="76"/>
      <c r="BOW60" s="76"/>
      <c r="BOX60" s="76"/>
      <c r="BOY60" s="76"/>
      <c r="BOZ60" s="76"/>
      <c r="BPA60" s="76"/>
      <c r="BPB60" s="76"/>
      <c r="BPC60" s="76"/>
      <c r="BPD60" s="76"/>
      <c r="BPE60" s="76"/>
      <c r="BPF60" s="76"/>
      <c r="BPG60" s="76"/>
      <c r="BPH60" s="76"/>
      <c r="BPI60" s="76"/>
      <c r="BPJ60" s="76"/>
      <c r="BPK60" s="76"/>
      <c r="BPL60" s="76"/>
      <c r="BPM60" s="76"/>
      <c r="BPN60" s="76"/>
      <c r="BPO60" s="76"/>
      <c r="BPP60" s="76"/>
      <c r="BPQ60" s="76"/>
      <c r="BPR60" s="76"/>
      <c r="BPS60" s="76"/>
      <c r="BPT60" s="76"/>
      <c r="BPU60" s="76"/>
      <c r="BPV60" s="76"/>
      <c r="BPW60" s="76"/>
      <c r="BPX60" s="76"/>
      <c r="BPY60" s="76"/>
      <c r="BPZ60" s="76"/>
      <c r="BQA60" s="76"/>
      <c r="BQB60" s="76"/>
      <c r="BQC60" s="76"/>
      <c r="BQD60" s="76"/>
      <c r="BQE60" s="76"/>
      <c r="BQF60" s="76"/>
      <c r="BQG60" s="76"/>
      <c r="BQH60" s="76"/>
      <c r="BQI60" s="76"/>
      <c r="BQJ60" s="76"/>
      <c r="BQK60" s="76"/>
      <c r="BQL60" s="76"/>
      <c r="BQM60" s="76"/>
      <c r="BQN60" s="76"/>
      <c r="BQO60" s="76"/>
      <c r="BQP60" s="76"/>
      <c r="BQQ60" s="76"/>
      <c r="BQR60" s="76"/>
      <c r="BQS60" s="76"/>
      <c r="BQT60" s="76"/>
      <c r="BQU60" s="76"/>
      <c r="BQV60" s="76"/>
      <c r="BQW60" s="76"/>
      <c r="BQX60" s="76"/>
      <c r="BQY60" s="76"/>
      <c r="BQZ60" s="76"/>
      <c r="BRA60" s="76"/>
      <c r="BRB60" s="76"/>
      <c r="BRC60" s="76"/>
      <c r="BRD60" s="76"/>
      <c r="BRE60" s="76"/>
      <c r="BRF60" s="76"/>
      <c r="BRG60" s="76"/>
      <c r="BRH60" s="76"/>
      <c r="BRI60" s="76"/>
      <c r="BRJ60" s="76"/>
      <c r="BRK60" s="76"/>
      <c r="BRL60" s="76"/>
      <c r="BRM60" s="76"/>
      <c r="BRN60" s="76"/>
      <c r="BRO60" s="76"/>
      <c r="BRP60" s="76"/>
      <c r="BRQ60" s="76"/>
      <c r="BRR60" s="76"/>
      <c r="BRS60" s="76"/>
      <c r="BRT60" s="76"/>
      <c r="BRU60" s="76"/>
      <c r="BRV60" s="76"/>
      <c r="BRW60" s="76"/>
      <c r="BRX60" s="76"/>
      <c r="BRY60" s="76"/>
      <c r="BRZ60" s="76"/>
      <c r="BSA60" s="76"/>
      <c r="BSB60" s="76"/>
      <c r="BSC60" s="76"/>
      <c r="BSD60" s="76"/>
      <c r="BSE60" s="76"/>
      <c r="BSF60" s="76"/>
      <c r="BSG60" s="76"/>
      <c r="BSH60" s="76"/>
      <c r="BSI60" s="76"/>
      <c r="BSJ60" s="76"/>
      <c r="BSK60" s="76"/>
      <c r="BSL60" s="76"/>
      <c r="BSM60" s="76"/>
      <c r="BSN60" s="76"/>
      <c r="BSO60" s="76"/>
      <c r="BSP60" s="76"/>
      <c r="BSQ60" s="76"/>
      <c r="BSR60" s="76"/>
      <c r="BSS60" s="76"/>
      <c r="BST60" s="76"/>
      <c r="BSU60" s="76"/>
      <c r="BSV60" s="76"/>
      <c r="BSW60" s="76"/>
      <c r="BSX60" s="76"/>
      <c r="BSY60" s="76"/>
      <c r="BSZ60" s="76"/>
      <c r="BTA60" s="76"/>
      <c r="BTB60" s="76"/>
      <c r="BTC60" s="76"/>
      <c r="BTD60" s="76"/>
      <c r="BTE60" s="76"/>
      <c r="BTF60" s="76"/>
      <c r="BTG60" s="76"/>
      <c r="BTH60" s="76"/>
      <c r="BTI60" s="76"/>
      <c r="BTJ60" s="76"/>
      <c r="BTK60" s="76"/>
      <c r="BTL60" s="76"/>
      <c r="BTM60" s="76"/>
      <c r="BTN60" s="76"/>
      <c r="BTO60" s="76"/>
      <c r="BTP60" s="76"/>
      <c r="BTQ60" s="76"/>
      <c r="BTR60" s="76"/>
      <c r="BTS60" s="76"/>
      <c r="BTT60" s="76"/>
      <c r="BTU60" s="76"/>
      <c r="BTV60" s="76"/>
      <c r="BTW60" s="76"/>
      <c r="BTX60" s="76"/>
      <c r="BTY60" s="76"/>
      <c r="BTZ60" s="76"/>
      <c r="BUA60" s="76"/>
      <c r="BUB60" s="76"/>
      <c r="BUC60" s="76"/>
      <c r="BUD60" s="76"/>
      <c r="BUE60" s="76"/>
      <c r="BUF60" s="76"/>
      <c r="BUG60" s="76"/>
      <c r="BUH60" s="76"/>
      <c r="BUI60" s="76"/>
      <c r="BUJ60" s="76"/>
      <c r="BUK60" s="76"/>
      <c r="BUL60" s="76"/>
      <c r="BUM60" s="76"/>
      <c r="BUN60" s="76"/>
      <c r="BUO60" s="76"/>
      <c r="BUP60" s="76"/>
      <c r="BUQ60" s="76"/>
      <c r="BUR60" s="76"/>
      <c r="BUS60" s="76"/>
      <c r="BUT60" s="76"/>
      <c r="BUU60" s="76"/>
      <c r="BUV60" s="76"/>
      <c r="BUW60" s="76"/>
      <c r="BUX60" s="76"/>
      <c r="BUY60" s="76"/>
      <c r="BUZ60" s="76"/>
      <c r="BVA60" s="76"/>
      <c r="BVB60" s="76"/>
      <c r="BVC60" s="76"/>
      <c r="BVD60" s="76"/>
      <c r="BVE60" s="76"/>
      <c r="BVF60" s="76"/>
      <c r="BVG60" s="76"/>
      <c r="BVH60" s="76"/>
      <c r="BVI60" s="76"/>
      <c r="BVJ60" s="76"/>
      <c r="BVK60" s="76"/>
      <c r="BVL60" s="76"/>
      <c r="BVM60" s="76"/>
      <c r="BVN60" s="76"/>
      <c r="BVO60" s="76"/>
      <c r="BVP60" s="76"/>
      <c r="BVQ60" s="76"/>
      <c r="BVR60" s="76"/>
      <c r="BVS60" s="76"/>
      <c r="BVT60" s="76"/>
      <c r="BVU60" s="76"/>
      <c r="BVV60" s="76"/>
      <c r="BVW60" s="76"/>
      <c r="BVX60" s="76"/>
      <c r="BVY60" s="76"/>
      <c r="BVZ60" s="76"/>
      <c r="BWA60" s="76"/>
      <c r="BWB60" s="76"/>
      <c r="BWC60" s="76"/>
      <c r="BWD60" s="76"/>
      <c r="BWE60" s="76"/>
      <c r="BWF60" s="76"/>
      <c r="BWG60" s="76"/>
      <c r="BWH60" s="76"/>
      <c r="BWI60" s="76"/>
      <c r="BWJ60" s="76"/>
      <c r="BWK60" s="76"/>
      <c r="BWL60" s="76"/>
      <c r="BWM60" s="76"/>
      <c r="BWN60" s="76"/>
      <c r="BWO60" s="76"/>
      <c r="BWP60" s="76"/>
      <c r="BWQ60" s="76"/>
      <c r="BWR60" s="76"/>
      <c r="BWS60" s="76"/>
      <c r="BWT60" s="76"/>
      <c r="BWU60" s="76"/>
      <c r="BWV60" s="76"/>
      <c r="BWW60" s="76"/>
      <c r="BWX60" s="76"/>
      <c r="BWY60" s="76"/>
      <c r="BWZ60" s="76"/>
      <c r="BXA60" s="76"/>
      <c r="BXB60" s="76"/>
      <c r="BXC60" s="76"/>
      <c r="BXD60" s="76"/>
      <c r="BXE60" s="76"/>
      <c r="BXF60" s="76"/>
      <c r="BXG60" s="76"/>
      <c r="BXH60" s="76"/>
      <c r="BXI60" s="76"/>
      <c r="BXJ60" s="76"/>
      <c r="BXK60" s="76"/>
      <c r="BXL60" s="76"/>
      <c r="BXM60" s="76"/>
      <c r="BXN60" s="76"/>
      <c r="BXO60" s="76"/>
      <c r="BXP60" s="76"/>
      <c r="BXQ60" s="76"/>
      <c r="BXR60" s="76"/>
      <c r="BXS60" s="76"/>
      <c r="BXT60" s="76"/>
      <c r="BXU60" s="76"/>
      <c r="BXV60" s="76"/>
      <c r="BXW60" s="76"/>
      <c r="BXX60" s="76"/>
      <c r="BXY60" s="76"/>
      <c r="BXZ60" s="76"/>
      <c r="BYA60" s="76"/>
      <c r="BYB60" s="76"/>
      <c r="BYC60" s="76"/>
      <c r="BYD60" s="76"/>
      <c r="BYE60" s="76"/>
      <c r="BYF60" s="76"/>
      <c r="BYG60" s="76"/>
      <c r="BYH60" s="76"/>
      <c r="BYI60" s="76"/>
      <c r="BYJ60" s="76"/>
      <c r="BYK60" s="76"/>
      <c r="BYL60" s="76"/>
      <c r="BYM60" s="76"/>
      <c r="BYN60" s="76"/>
      <c r="BYO60" s="76"/>
      <c r="BYP60" s="76"/>
      <c r="BYQ60" s="76"/>
      <c r="BYR60" s="76"/>
      <c r="BYS60" s="76"/>
      <c r="BYT60" s="76"/>
      <c r="BYU60" s="76"/>
      <c r="BYV60" s="76"/>
      <c r="BYW60" s="76"/>
      <c r="BYX60" s="76"/>
      <c r="BYY60" s="76"/>
      <c r="BYZ60" s="76"/>
      <c r="BZA60" s="76"/>
      <c r="BZB60" s="76"/>
      <c r="BZC60" s="76"/>
      <c r="BZD60" s="76"/>
      <c r="BZE60" s="76"/>
      <c r="BZF60" s="76"/>
      <c r="BZG60" s="76"/>
      <c r="BZH60" s="76"/>
      <c r="BZI60" s="76"/>
      <c r="BZJ60" s="76"/>
      <c r="BZK60" s="76"/>
      <c r="BZL60" s="76"/>
      <c r="BZM60" s="76"/>
      <c r="BZN60" s="76"/>
      <c r="BZO60" s="76"/>
      <c r="BZP60" s="76"/>
      <c r="BZQ60" s="76"/>
      <c r="BZR60" s="76"/>
      <c r="BZS60" s="76"/>
      <c r="BZT60" s="76"/>
      <c r="BZU60" s="76"/>
      <c r="BZV60" s="76"/>
      <c r="BZW60" s="76"/>
      <c r="BZX60" s="76"/>
      <c r="BZY60" s="76"/>
      <c r="BZZ60" s="76"/>
      <c r="CAA60" s="76"/>
      <c r="CAB60" s="76"/>
      <c r="CAC60" s="76"/>
      <c r="CAD60" s="76"/>
      <c r="CAE60" s="76"/>
      <c r="CAF60" s="76"/>
      <c r="CAG60" s="76"/>
      <c r="CAH60" s="76"/>
      <c r="CAI60" s="76"/>
      <c r="CAJ60" s="76"/>
      <c r="CAK60" s="76"/>
      <c r="CAL60" s="76"/>
      <c r="CAM60" s="76"/>
      <c r="CAN60" s="76"/>
      <c r="CAO60" s="76"/>
      <c r="CAP60" s="76"/>
      <c r="CAQ60" s="76"/>
      <c r="CAR60" s="76"/>
      <c r="CAS60" s="76"/>
      <c r="CAT60" s="76"/>
      <c r="CAU60" s="76"/>
      <c r="CAV60" s="76"/>
      <c r="CAW60" s="76"/>
      <c r="CAX60" s="76"/>
      <c r="CAY60" s="76"/>
      <c r="CAZ60" s="76"/>
      <c r="CBA60" s="76"/>
      <c r="CBB60" s="76"/>
      <c r="CBC60" s="76"/>
      <c r="CBD60" s="76"/>
      <c r="CBE60" s="76"/>
      <c r="CBF60" s="76"/>
      <c r="CBG60" s="76"/>
      <c r="CBH60" s="76"/>
      <c r="CBI60" s="76"/>
      <c r="CBJ60" s="76"/>
      <c r="CBK60" s="76"/>
      <c r="CBL60" s="76"/>
      <c r="CBM60" s="76"/>
      <c r="CBN60" s="76"/>
      <c r="CBO60" s="76"/>
      <c r="CBP60" s="76"/>
      <c r="CBQ60" s="76"/>
      <c r="CBR60" s="76"/>
      <c r="CBS60" s="76"/>
      <c r="CBT60" s="76"/>
      <c r="CBU60" s="76"/>
      <c r="CBV60" s="76"/>
      <c r="CBW60" s="76"/>
      <c r="CBX60" s="76"/>
      <c r="CBY60" s="76"/>
      <c r="CBZ60" s="76"/>
      <c r="CCA60" s="76"/>
      <c r="CCB60" s="76"/>
      <c r="CCC60" s="76"/>
      <c r="CCD60" s="76"/>
      <c r="CCE60" s="76"/>
      <c r="CCF60" s="76"/>
      <c r="CCG60" s="76"/>
      <c r="CCH60" s="76"/>
      <c r="CCI60" s="76"/>
      <c r="CCJ60" s="76"/>
      <c r="CCK60" s="76"/>
      <c r="CCL60" s="76"/>
      <c r="CCM60" s="76"/>
      <c r="CCN60" s="76"/>
      <c r="CCO60" s="76"/>
      <c r="CCP60" s="76"/>
      <c r="CCQ60" s="76"/>
      <c r="CCR60" s="76"/>
      <c r="CCS60" s="76"/>
      <c r="CCT60" s="76"/>
      <c r="CCU60" s="76"/>
      <c r="CCV60" s="76"/>
      <c r="CCW60" s="76"/>
      <c r="CCX60" s="76"/>
      <c r="CCY60" s="76"/>
      <c r="CCZ60" s="76"/>
      <c r="CDA60" s="76"/>
      <c r="CDB60" s="76"/>
      <c r="CDC60" s="76"/>
      <c r="CDD60" s="76"/>
      <c r="CDE60" s="76"/>
      <c r="CDF60" s="76"/>
      <c r="CDG60" s="76"/>
      <c r="CDH60" s="76"/>
      <c r="CDI60" s="76"/>
      <c r="CDJ60" s="76"/>
      <c r="CDK60" s="76"/>
      <c r="CDL60" s="76"/>
      <c r="CDM60" s="76"/>
      <c r="CDN60" s="76"/>
      <c r="CDO60" s="76"/>
      <c r="CDP60" s="76"/>
      <c r="CDQ60" s="76"/>
      <c r="CDR60" s="76"/>
      <c r="CDS60" s="76"/>
      <c r="CDT60" s="76"/>
      <c r="CDU60" s="76"/>
      <c r="CDV60" s="76"/>
      <c r="CDW60" s="76"/>
      <c r="CDX60" s="76"/>
      <c r="CDY60" s="76"/>
      <c r="CDZ60" s="76"/>
      <c r="CEA60" s="76"/>
      <c r="CEB60" s="76"/>
      <c r="CEC60" s="76"/>
      <c r="CED60" s="76"/>
      <c r="CEE60" s="76"/>
      <c r="CEF60" s="76"/>
      <c r="CEG60" s="76"/>
      <c r="CEH60" s="76"/>
      <c r="CEI60" s="76"/>
      <c r="CEJ60" s="76"/>
      <c r="CEK60" s="76"/>
      <c r="CEL60" s="76"/>
      <c r="CEM60" s="76"/>
      <c r="CEN60" s="76"/>
      <c r="CEO60" s="76"/>
      <c r="CEP60" s="76"/>
      <c r="CEQ60" s="76"/>
      <c r="CER60" s="76"/>
      <c r="CES60" s="76"/>
      <c r="CET60" s="76"/>
      <c r="CEU60" s="76"/>
      <c r="CEV60" s="76"/>
      <c r="CEW60" s="76"/>
      <c r="CEX60" s="76"/>
      <c r="CEY60" s="76"/>
      <c r="CEZ60" s="76"/>
      <c r="CFA60" s="76"/>
      <c r="CFB60" s="76"/>
      <c r="CFC60" s="76"/>
      <c r="CFD60" s="76"/>
      <c r="CFE60" s="76"/>
      <c r="CFF60" s="76"/>
      <c r="CFG60" s="76"/>
      <c r="CFH60" s="76"/>
      <c r="CFI60" s="76"/>
      <c r="CFJ60" s="76"/>
      <c r="CFK60" s="76"/>
      <c r="CFL60" s="76"/>
      <c r="CFM60" s="76"/>
      <c r="CFN60" s="76"/>
      <c r="CFO60" s="76"/>
      <c r="CFP60" s="76"/>
      <c r="CFQ60" s="76"/>
      <c r="CFR60" s="76"/>
      <c r="CFS60" s="76"/>
      <c r="CFT60" s="76"/>
      <c r="CFU60" s="76"/>
      <c r="CFV60" s="76"/>
      <c r="CFW60" s="76"/>
      <c r="CFX60" s="76"/>
      <c r="CFY60" s="76"/>
      <c r="CFZ60" s="76"/>
      <c r="CGA60" s="76"/>
      <c r="CGB60" s="76"/>
      <c r="CGC60" s="76"/>
      <c r="CGD60" s="76"/>
      <c r="CGE60" s="76"/>
      <c r="CGF60" s="76"/>
      <c r="CGG60" s="76"/>
      <c r="CGH60" s="76"/>
      <c r="CGI60" s="76"/>
      <c r="CGJ60" s="76"/>
      <c r="CGK60" s="76"/>
      <c r="CGL60" s="76"/>
      <c r="CGM60" s="76"/>
      <c r="CGN60" s="76"/>
      <c r="CGO60" s="76"/>
      <c r="CGP60" s="76"/>
      <c r="CGQ60" s="76"/>
      <c r="CGR60" s="76"/>
      <c r="CGS60" s="76"/>
      <c r="CGT60" s="76"/>
      <c r="CGU60" s="76"/>
      <c r="CGV60" s="76"/>
      <c r="CGW60" s="76"/>
      <c r="CGX60" s="76"/>
      <c r="CGY60" s="76"/>
      <c r="CGZ60" s="76"/>
      <c r="CHA60" s="76"/>
      <c r="CHB60" s="76"/>
      <c r="CHC60" s="76"/>
      <c r="CHD60" s="76"/>
      <c r="CHE60" s="76"/>
      <c r="CHF60" s="76"/>
      <c r="CHG60" s="76"/>
      <c r="CHH60" s="76"/>
      <c r="CHI60" s="76"/>
      <c r="CHJ60" s="76"/>
      <c r="CHK60" s="76"/>
      <c r="CHL60" s="76"/>
      <c r="CHM60" s="76"/>
      <c r="CHN60" s="76"/>
      <c r="CHO60" s="76"/>
      <c r="CHP60" s="76"/>
      <c r="CHQ60" s="76"/>
      <c r="CHR60" s="76"/>
      <c r="CHS60" s="76"/>
      <c r="CHT60" s="76"/>
      <c r="CHU60" s="76"/>
      <c r="CHV60" s="76"/>
      <c r="CHW60" s="76"/>
      <c r="CHX60" s="76"/>
      <c r="CHY60" s="76"/>
      <c r="CHZ60" s="76"/>
      <c r="CIA60" s="76"/>
      <c r="CIB60" s="76"/>
      <c r="CIC60" s="76"/>
      <c r="CID60" s="76"/>
      <c r="CIE60" s="76"/>
      <c r="CIF60" s="76"/>
      <c r="CIG60" s="76"/>
      <c r="CIH60" s="76"/>
      <c r="CII60" s="76"/>
      <c r="CIJ60" s="76"/>
      <c r="CIK60" s="76"/>
      <c r="CIL60" s="76"/>
      <c r="CIM60" s="76"/>
      <c r="CIN60" s="76"/>
      <c r="CIO60" s="76"/>
      <c r="CIP60" s="76"/>
      <c r="CIQ60" s="76"/>
      <c r="CIR60" s="76"/>
      <c r="CIS60" s="76"/>
      <c r="CIT60" s="76"/>
      <c r="CIU60" s="76"/>
      <c r="CIV60" s="76"/>
      <c r="CIW60" s="76"/>
      <c r="CIX60" s="76"/>
      <c r="CIY60" s="76"/>
      <c r="CIZ60" s="76"/>
      <c r="CJA60" s="76"/>
      <c r="CJB60" s="76"/>
      <c r="CJC60" s="76"/>
      <c r="CJD60" s="76"/>
      <c r="CJE60" s="76"/>
      <c r="CJF60" s="76"/>
      <c r="CJG60" s="76"/>
      <c r="CJH60" s="76"/>
      <c r="CJI60" s="76"/>
      <c r="CJJ60" s="76"/>
      <c r="CJK60" s="76"/>
      <c r="CJL60" s="76"/>
      <c r="CJM60" s="76"/>
      <c r="CJN60" s="76"/>
      <c r="CJO60" s="76"/>
      <c r="CJP60" s="76"/>
      <c r="CJQ60" s="76"/>
      <c r="CJR60" s="76"/>
      <c r="CJS60" s="76"/>
      <c r="CJT60" s="76"/>
      <c r="CJU60" s="76"/>
      <c r="CJV60" s="76"/>
      <c r="CJW60" s="76"/>
      <c r="CJX60" s="76"/>
      <c r="CJY60" s="76"/>
      <c r="CJZ60" s="76"/>
      <c r="CKA60" s="76"/>
      <c r="CKB60" s="76"/>
      <c r="CKC60" s="76"/>
      <c r="CKD60" s="76"/>
      <c r="CKE60" s="76"/>
      <c r="CKF60" s="76"/>
      <c r="CKG60" s="76"/>
      <c r="CKH60" s="76"/>
      <c r="CKI60" s="76"/>
      <c r="CKJ60" s="76"/>
      <c r="CKK60" s="76"/>
      <c r="CKL60" s="76"/>
      <c r="CKM60" s="76"/>
      <c r="CKN60" s="76"/>
      <c r="CKO60" s="76"/>
      <c r="CKP60" s="76"/>
      <c r="CKQ60" s="76"/>
      <c r="CKR60" s="76"/>
      <c r="CKS60" s="76"/>
      <c r="CKT60" s="76"/>
      <c r="CKU60" s="76"/>
      <c r="CKV60" s="76"/>
      <c r="CKW60" s="76"/>
      <c r="CKX60" s="76"/>
      <c r="CKY60" s="76"/>
      <c r="CKZ60" s="76"/>
      <c r="CLA60" s="76"/>
      <c r="CLB60" s="76"/>
      <c r="CLC60" s="76"/>
      <c r="CLD60" s="76"/>
      <c r="CLE60" s="76"/>
      <c r="CLF60" s="76"/>
      <c r="CLG60" s="76"/>
      <c r="CLH60" s="76"/>
      <c r="CLI60" s="76"/>
      <c r="CLJ60" s="76"/>
      <c r="CLK60" s="76"/>
      <c r="CLL60" s="76"/>
      <c r="CLM60" s="76"/>
      <c r="CLN60" s="76"/>
      <c r="CLO60" s="76"/>
      <c r="CLP60" s="76"/>
      <c r="CLQ60" s="76"/>
      <c r="CLR60" s="76"/>
      <c r="CLS60" s="76"/>
      <c r="CLT60" s="76"/>
      <c r="CLU60" s="76"/>
      <c r="CLV60" s="76"/>
      <c r="CLW60" s="76"/>
      <c r="CLX60" s="76"/>
      <c r="CLY60" s="76"/>
      <c r="CLZ60" s="76"/>
      <c r="CMA60" s="76"/>
      <c r="CMB60" s="76"/>
      <c r="CMC60" s="76"/>
      <c r="CMD60" s="76"/>
      <c r="CME60" s="76"/>
      <c r="CMF60" s="76"/>
      <c r="CMG60" s="76"/>
      <c r="CMH60" s="76"/>
      <c r="CMI60" s="76"/>
      <c r="CMJ60" s="76"/>
      <c r="CMK60" s="76"/>
      <c r="CML60" s="76"/>
      <c r="CMM60" s="76"/>
      <c r="CMN60" s="76"/>
      <c r="CMO60" s="76"/>
      <c r="CMP60" s="76"/>
      <c r="CMQ60" s="76"/>
      <c r="CMR60" s="76"/>
      <c r="CMS60" s="76"/>
      <c r="CMT60" s="76"/>
      <c r="CMU60" s="76"/>
      <c r="CMV60" s="76"/>
      <c r="CMW60" s="76"/>
      <c r="CMX60" s="76"/>
      <c r="CMY60" s="76"/>
      <c r="CMZ60" s="76"/>
      <c r="CNA60" s="76"/>
      <c r="CNB60" s="76"/>
      <c r="CNC60" s="76"/>
      <c r="CND60" s="76"/>
      <c r="CNE60" s="76"/>
      <c r="CNF60" s="76"/>
      <c r="CNG60" s="76"/>
      <c r="CNH60" s="76"/>
      <c r="CNI60" s="76"/>
      <c r="CNJ60" s="76"/>
      <c r="CNK60" s="76"/>
      <c r="CNL60" s="76"/>
      <c r="CNM60" s="76"/>
      <c r="CNN60" s="76"/>
      <c r="CNO60" s="76"/>
      <c r="CNP60" s="76"/>
      <c r="CNQ60" s="76"/>
      <c r="CNR60" s="76"/>
      <c r="CNS60" s="76"/>
      <c r="CNT60" s="76"/>
      <c r="CNU60" s="76"/>
      <c r="CNV60" s="76"/>
      <c r="CNW60" s="76"/>
      <c r="CNX60" s="76"/>
      <c r="CNY60" s="76"/>
      <c r="CNZ60" s="76"/>
      <c r="COA60" s="76"/>
      <c r="COB60" s="76"/>
      <c r="COC60" s="76"/>
      <c r="COD60" s="76"/>
      <c r="COE60" s="76"/>
      <c r="COF60" s="76"/>
      <c r="COG60" s="76"/>
      <c r="COH60" s="76"/>
      <c r="COI60" s="76"/>
      <c r="COJ60" s="76"/>
      <c r="COK60" s="76"/>
      <c r="COL60" s="76"/>
      <c r="COM60" s="76"/>
      <c r="CON60" s="76"/>
      <c r="COO60" s="76"/>
      <c r="COP60" s="76"/>
      <c r="COQ60" s="76"/>
      <c r="COR60" s="76"/>
      <c r="COS60" s="76"/>
      <c r="COT60" s="76"/>
      <c r="COU60" s="76"/>
      <c r="COV60" s="76"/>
      <c r="COW60" s="76"/>
      <c r="COX60" s="76"/>
      <c r="COY60" s="76"/>
      <c r="COZ60" s="76"/>
      <c r="CPA60" s="76"/>
      <c r="CPB60" s="76"/>
      <c r="CPC60" s="76"/>
      <c r="CPD60" s="76"/>
      <c r="CPE60" s="76"/>
      <c r="CPF60" s="76"/>
      <c r="CPG60" s="76"/>
      <c r="CPH60" s="76"/>
      <c r="CPI60" s="76"/>
      <c r="CPJ60" s="76"/>
      <c r="CPK60" s="76"/>
      <c r="CPL60" s="76"/>
      <c r="CPM60" s="76"/>
      <c r="CPN60" s="76"/>
      <c r="CPO60" s="76"/>
      <c r="CPP60" s="76"/>
      <c r="CPQ60" s="76"/>
      <c r="CPR60" s="76"/>
      <c r="CPS60" s="76"/>
      <c r="CPT60" s="76"/>
      <c r="CPU60" s="76"/>
      <c r="CPV60" s="76"/>
      <c r="CPW60" s="76"/>
      <c r="CPX60" s="76"/>
      <c r="CPY60" s="76"/>
      <c r="CPZ60" s="76"/>
      <c r="CQA60" s="76"/>
      <c r="CQB60" s="76"/>
      <c r="CQC60" s="76"/>
      <c r="CQD60" s="76"/>
      <c r="CQE60" s="76"/>
      <c r="CQF60" s="76"/>
      <c r="CQG60" s="76"/>
      <c r="CQH60" s="76"/>
      <c r="CQI60" s="76"/>
      <c r="CQJ60" s="76"/>
      <c r="CQK60" s="76"/>
      <c r="CQL60" s="76"/>
      <c r="CQM60" s="76"/>
      <c r="CQN60" s="76"/>
      <c r="CQO60" s="76"/>
      <c r="CQP60" s="76"/>
      <c r="CQQ60" s="76"/>
      <c r="CQR60" s="76"/>
      <c r="CQS60" s="76"/>
      <c r="CQT60" s="76"/>
      <c r="CQU60" s="76"/>
      <c r="CQV60" s="76"/>
      <c r="CQW60" s="76"/>
      <c r="CQX60" s="76"/>
      <c r="CQY60" s="76"/>
      <c r="CQZ60" s="76"/>
      <c r="CRA60" s="76"/>
      <c r="CRB60" s="76"/>
      <c r="CRC60" s="76"/>
      <c r="CRD60" s="76"/>
      <c r="CRE60" s="76"/>
      <c r="CRF60" s="76"/>
      <c r="CRG60" s="76"/>
      <c r="CRH60" s="76"/>
      <c r="CRI60" s="76"/>
      <c r="CRJ60" s="76"/>
      <c r="CRK60" s="76"/>
      <c r="CRL60" s="76"/>
      <c r="CRM60" s="76"/>
      <c r="CRN60" s="76"/>
      <c r="CRO60" s="76"/>
      <c r="CRP60" s="76"/>
      <c r="CRQ60" s="76"/>
      <c r="CRR60" s="76"/>
      <c r="CRS60" s="76"/>
      <c r="CRT60" s="76"/>
      <c r="CRU60" s="76"/>
      <c r="CRV60" s="76"/>
      <c r="CRW60" s="76"/>
      <c r="CRX60" s="76"/>
      <c r="CRY60" s="76"/>
      <c r="CRZ60" s="76"/>
      <c r="CSA60" s="76"/>
      <c r="CSB60" s="76"/>
      <c r="CSC60" s="76"/>
      <c r="CSD60" s="76"/>
      <c r="CSE60" s="76"/>
      <c r="CSF60" s="76"/>
      <c r="CSG60" s="76"/>
      <c r="CSH60" s="76"/>
      <c r="CSI60" s="76"/>
      <c r="CSJ60" s="76"/>
      <c r="CSK60" s="76"/>
      <c r="CSL60" s="76"/>
      <c r="CSM60" s="76"/>
      <c r="CSN60" s="76"/>
      <c r="CSO60" s="76"/>
      <c r="CSP60" s="76"/>
      <c r="CSQ60" s="76"/>
      <c r="CSR60" s="76"/>
      <c r="CSS60" s="76"/>
      <c r="CST60" s="76"/>
      <c r="CSU60" s="76"/>
      <c r="CSV60" s="76"/>
      <c r="CSW60" s="76"/>
      <c r="CSX60" s="76"/>
      <c r="CSY60" s="76"/>
      <c r="CSZ60" s="76"/>
      <c r="CTA60" s="76"/>
      <c r="CTB60" s="76"/>
      <c r="CTC60" s="76"/>
      <c r="CTD60" s="76"/>
      <c r="CTE60" s="76"/>
      <c r="CTF60" s="76"/>
      <c r="CTG60" s="76"/>
      <c r="CTH60" s="76"/>
      <c r="CTI60" s="76"/>
      <c r="CTJ60" s="76"/>
      <c r="CTK60" s="76"/>
      <c r="CTL60" s="76"/>
      <c r="CTM60" s="76"/>
      <c r="CTN60" s="76"/>
      <c r="CTO60" s="76"/>
      <c r="CTP60" s="76"/>
      <c r="CTQ60" s="76"/>
      <c r="CTR60" s="76"/>
      <c r="CTS60" s="76"/>
      <c r="CTT60" s="76"/>
      <c r="CTU60" s="76"/>
      <c r="CTV60" s="76"/>
      <c r="CTW60" s="76"/>
      <c r="CTX60" s="76"/>
      <c r="CTY60" s="76"/>
      <c r="CTZ60" s="76"/>
      <c r="CUA60" s="76"/>
      <c r="CUB60" s="76"/>
      <c r="CUC60" s="76"/>
      <c r="CUD60" s="76"/>
      <c r="CUE60" s="76"/>
      <c r="CUF60" s="76"/>
      <c r="CUG60" s="76"/>
      <c r="CUH60" s="76"/>
      <c r="CUI60" s="76"/>
      <c r="CUJ60" s="76"/>
      <c r="CUK60" s="76"/>
      <c r="CUL60" s="76"/>
      <c r="CUM60" s="76"/>
      <c r="CUN60" s="76"/>
      <c r="CUO60" s="76"/>
      <c r="CUP60" s="76"/>
      <c r="CUQ60" s="76"/>
      <c r="CUR60" s="76"/>
      <c r="CUS60" s="76"/>
      <c r="CUT60" s="76"/>
      <c r="CUU60" s="76"/>
      <c r="CUV60" s="76"/>
      <c r="CUW60" s="76"/>
      <c r="CUX60" s="76"/>
      <c r="CUY60" s="76"/>
      <c r="CUZ60" s="76"/>
      <c r="CVA60" s="76"/>
      <c r="CVB60" s="76"/>
      <c r="CVC60" s="76"/>
      <c r="CVD60" s="76"/>
      <c r="CVE60" s="76"/>
      <c r="CVF60" s="76"/>
      <c r="CVG60" s="76"/>
      <c r="CVH60" s="76"/>
      <c r="CVI60" s="76"/>
      <c r="CVJ60" s="76"/>
      <c r="CVK60" s="76"/>
      <c r="CVL60" s="76"/>
      <c r="CVM60" s="76"/>
      <c r="CVN60" s="76"/>
      <c r="CVO60" s="76"/>
      <c r="CVP60" s="76"/>
      <c r="CVQ60" s="76"/>
      <c r="CVR60" s="76"/>
      <c r="CVS60" s="76"/>
      <c r="CVT60" s="76"/>
      <c r="CVU60" s="76"/>
      <c r="CVV60" s="76"/>
      <c r="CVW60" s="76"/>
      <c r="CVX60" s="76"/>
      <c r="CVY60" s="76"/>
      <c r="CVZ60" s="76"/>
      <c r="CWA60" s="76"/>
      <c r="CWB60" s="76"/>
      <c r="CWC60" s="76"/>
      <c r="CWD60" s="76"/>
      <c r="CWE60" s="76"/>
      <c r="CWF60" s="76"/>
      <c r="CWG60" s="76"/>
      <c r="CWH60" s="76"/>
      <c r="CWI60" s="76"/>
      <c r="CWJ60" s="76"/>
      <c r="CWK60" s="76"/>
      <c r="CWL60" s="76"/>
      <c r="CWM60" s="76"/>
      <c r="CWN60" s="76"/>
      <c r="CWO60" s="76"/>
      <c r="CWP60" s="76"/>
      <c r="CWQ60" s="76"/>
      <c r="CWR60" s="76"/>
      <c r="CWS60" s="76"/>
      <c r="CWT60" s="76"/>
      <c r="CWU60" s="76"/>
      <c r="CWV60" s="76"/>
      <c r="CWW60" s="76"/>
      <c r="CWX60" s="76"/>
      <c r="CWY60" s="76"/>
      <c r="CWZ60" s="76"/>
      <c r="CXA60" s="76"/>
      <c r="CXB60" s="76"/>
      <c r="CXC60" s="76"/>
      <c r="CXD60" s="76"/>
      <c r="CXE60" s="76"/>
      <c r="CXF60" s="76"/>
      <c r="CXG60" s="76"/>
      <c r="CXH60" s="76"/>
      <c r="CXI60" s="76"/>
      <c r="CXJ60" s="76"/>
      <c r="CXK60" s="76"/>
      <c r="CXL60" s="76"/>
      <c r="CXM60" s="76"/>
      <c r="CXN60" s="76"/>
      <c r="CXO60" s="76"/>
      <c r="CXP60" s="76"/>
      <c r="CXQ60" s="76"/>
      <c r="CXR60" s="76"/>
      <c r="CXS60" s="76"/>
      <c r="CXT60" s="76"/>
      <c r="CXU60" s="76"/>
      <c r="CXV60" s="76"/>
      <c r="CXW60" s="76"/>
      <c r="CXX60" s="76"/>
      <c r="CXY60" s="76"/>
      <c r="CXZ60" s="76"/>
      <c r="CYA60" s="76"/>
      <c r="CYB60" s="76"/>
      <c r="CYC60" s="76"/>
      <c r="CYD60" s="76"/>
      <c r="CYE60" s="76"/>
      <c r="CYF60" s="76"/>
      <c r="CYG60" s="76"/>
      <c r="CYH60" s="76"/>
      <c r="CYI60" s="76"/>
      <c r="CYJ60" s="76"/>
      <c r="CYK60" s="76"/>
      <c r="CYL60" s="76"/>
      <c r="CYM60" s="76"/>
      <c r="CYN60" s="76"/>
      <c r="CYO60" s="76"/>
      <c r="CYP60" s="76"/>
      <c r="CYQ60" s="76"/>
      <c r="CYR60" s="76"/>
      <c r="CYS60" s="76"/>
      <c r="CYT60" s="76"/>
      <c r="CYU60" s="76"/>
      <c r="CYV60" s="76"/>
      <c r="CYW60" s="76"/>
      <c r="CYX60" s="76"/>
      <c r="CYY60" s="76"/>
      <c r="CYZ60" s="76"/>
      <c r="CZA60" s="76"/>
      <c r="CZB60" s="76"/>
      <c r="CZC60" s="76"/>
      <c r="CZD60" s="76"/>
      <c r="CZE60" s="76"/>
      <c r="CZF60" s="76"/>
      <c r="CZG60" s="76"/>
      <c r="CZH60" s="76"/>
      <c r="CZI60" s="76"/>
      <c r="CZJ60" s="76"/>
      <c r="CZK60" s="76"/>
      <c r="CZL60" s="76"/>
      <c r="CZM60" s="76"/>
      <c r="CZN60" s="76"/>
      <c r="CZO60" s="76"/>
      <c r="CZP60" s="76"/>
      <c r="CZQ60" s="76"/>
      <c r="CZR60" s="76"/>
      <c r="CZS60" s="76"/>
      <c r="CZT60" s="76"/>
      <c r="CZU60" s="76"/>
      <c r="CZV60" s="76"/>
      <c r="CZW60" s="76"/>
      <c r="CZX60" s="76"/>
      <c r="CZY60" s="76"/>
      <c r="CZZ60" s="76"/>
      <c r="DAA60" s="76"/>
      <c r="DAB60" s="76"/>
      <c r="DAC60" s="76"/>
      <c r="DAD60" s="76"/>
      <c r="DAE60" s="76"/>
      <c r="DAF60" s="76"/>
      <c r="DAG60" s="76"/>
      <c r="DAH60" s="76"/>
      <c r="DAI60" s="76"/>
      <c r="DAJ60" s="76"/>
      <c r="DAK60" s="76"/>
      <c r="DAL60" s="76"/>
      <c r="DAM60" s="76"/>
      <c r="DAN60" s="76"/>
      <c r="DAO60" s="76"/>
      <c r="DAP60" s="76"/>
      <c r="DAQ60" s="76"/>
      <c r="DAR60" s="76"/>
      <c r="DAS60" s="76"/>
      <c r="DAT60" s="76"/>
      <c r="DAU60" s="76"/>
      <c r="DAV60" s="76"/>
      <c r="DAW60" s="76"/>
      <c r="DAX60" s="76"/>
      <c r="DAY60" s="76"/>
      <c r="DAZ60" s="76"/>
      <c r="DBA60" s="76"/>
      <c r="DBB60" s="76"/>
      <c r="DBC60" s="76"/>
      <c r="DBD60" s="76"/>
      <c r="DBE60" s="76"/>
      <c r="DBF60" s="76"/>
      <c r="DBG60" s="76"/>
      <c r="DBH60" s="76"/>
      <c r="DBI60" s="76"/>
      <c r="DBJ60" s="76"/>
      <c r="DBK60" s="76"/>
      <c r="DBL60" s="76"/>
      <c r="DBM60" s="76"/>
      <c r="DBN60" s="76"/>
      <c r="DBO60" s="76"/>
      <c r="DBP60" s="76"/>
      <c r="DBQ60" s="76"/>
      <c r="DBR60" s="76"/>
      <c r="DBS60" s="76"/>
      <c r="DBT60" s="76"/>
      <c r="DBU60" s="76"/>
      <c r="DBV60" s="76"/>
      <c r="DBW60" s="76"/>
      <c r="DBX60" s="76"/>
      <c r="DBY60" s="76"/>
      <c r="DBZ60" s="76"/>
      <c r="DCA60" s="76"/>
      <c r="DCB60" s="76"/>
      <c r="DCC60" s="76"/>
      <c r="DCD60" s="76"/>
      <c r="DCE60" s="76"/>
      <c r="DCF60" s="76"/>
      <c r="DCG60" s="76"/>
      <c r="DCH60" s="76"/>
      <c r="DCI60" s="76"/>
      <c r="DCJ60" s="76"/>
      <c r="DCK60" s="76"/>
      <c r="DCL60" s="76"/>
      <c r="DCM60" s="76"/>
      <c r="DCN60" s="76"/>
      <c r="DCO60" s="76"/>
      <c r="DCP60" s="76"/>
      <c r="DCQ60" s="76"/>
      <c r="DCR60" s="76"/>
      <c r="DCS60" s="76"/>
      <c r="DCT60" s="76"/>
      <c r="DCU60" s="76"/>
      <c r="DCV60" s="76"/>
      <c r="DCW60" s="76"/>
      <c r="DCX60" s="76"/>
      <c r="DCY60" s="76"/>
      <c r="DCZ60" s="76"/>
      <c r="DDA60" s="76"/>
      <c r="DDB60" s="76"/>
      <c r="DDC60" s="76"/>
      <c r="DDD60" s="76"/>
      <c r="DDE60" s="76"/>
      <c r="DDF60" s="76"/>
      <c r="DDG60" s="76"/>
      <c r="DDH60" s="76"/>
      <c r="DDI60" s="76"/>
      <c r="DDJ60" s="76"/>
      <c r="DDK60" s="76"/>
      <c r="DDL60" s="76"/>
      <c r="DDM60" s="76"/>
      <c r="DDN60" s="76"/>
      <c r="DDO60" s="76"/>
      <c r="DDP60" s="76"/>
      <c r="DDQ60" s="76"/>
      <c r="DDR60" s="76"/>
      <c r="DDS60" s="76"/>
      <c r="DDT60" s="76"/>
      <c r="DDU60" s="76"/>
      <c r="DDV60" s="76"/>
      <c r="DDW60" s="76"/>
      <c r="DDX60" s="76"/>
      <c r="DDY60" s="76"/>
      <c r="DDZ60" s="76"/>
      <c r="DEA60" s="76"/>
      <c r="DEB60" s="76"/>
      <c r="DEC60" s="76"/>
      <c r="DED60" s="76"/>
      <c r="DEE60" s="76"/>
      <c r="DEF60" s="76"/>
      <c r="DEG60" s="76"/>
      <c r="DEH60" s="76"/>
      <c r="DEI60" s="76"/>
      <c r="DEJ60" s="76"/>
      <c r="DEK60" s="76"/>
      <c r="DEL60" s="76"/>
      <c r="DEM60" s="76"/>
      <c r="DEN60" s="76"/>
      <c r="DEO60" s="76"/>
      <c r="DEP60" s="76"/>
      <c r="DEQ60" s="76"/>
      <c r="DER60" s="76"/>
      <c r="DES60" s="76"/>
      <c r="DET60" s="76"/>
      <c r="DEU60" s="76"/>
      <c r="DEV60" s="76"/>
      <c r="DEW60" s="76"/>
      <c r="DEX60" s="76"/>
      <c r="DEY60" s="76"/>
      <c r="DEZ60" s="76"/>
      <c r="DFA60" s="76"/>
      <c r="DFB60" s="76"/>
      <c r="DFC60" s="76"/>
      <c r="DFD60" s="76"/>
      <c r="DFE60" s="76"/>
      <c r="DFF60" s="76"/>
      <c r="DFG60" s="76"/>
      <c r="DFH60" s="76"/>
      <c r="DFI60" s="76"/>
      <c r="DFJ60" s="76"/>
      <c r="DFK60" s="76"/>
      <c r="DFL60" s="76"/>
      <c r="DFM60" s="76"/>
      <c r="DFN60" s="76"/>
      <c r="DFO60" s="76"/>
      <c r="DFP60" s="76"/>
      <c r="DFQ60" s="76"/>
      <c r="DFR60" s="76"/>
      <c r="DFS60" s="76"/>
      <c r="DFT60" s="76"/>
      <c r="DFU60" s="76"/>
      <c r="DFV60" s="76"/>
      <c r="DFW60" s="76"/>
      <c r="DFX60" s="76"/>
      <c r="DFY60" s="76"/>
      <c r="DFZ60" s="76"/>
      <c r="DGA60" s="76"/>
      <c r="DGB60" s="76"/>
      <c r="DGC60" s="76"/>
      <c r="DGD60" s="76"/>
      <c r="DGE60" s="76"/>
      <c r="DGF60" s="76"/>
      <c r="DGG60" s="76"/>
      <c r="DGH60" s="76"/>
      <c r="DGI60" s="76"/>
      <c r="DGJ60" s="76"/>
      <c r="DGK60" s="76"/>
      <c r="DGL60" s="76"/>
      <c r="DGM60" s="76"/>
      <c r="DGN60" s="76"/>
      <c r="DGO60" s="76"/>
      <c r="DGP60" s="76"/>
      <c r="DGQ60" s="76"/>
      <c r="DGR60" s="76"/>
      <c r="DGS60" s="76"/>
      <c r="DGT60" s="76"/>
      <c r="DGU60" s="76"/>
      <c r="DGV60" s="76"/>
      <c r="DGW60" s="76"/>
      <c r="DGX60" s="76"/>
      <c r="DGY60" s="76"/>
      <c r="DGZ60" s="76"/>
      <c r="DHA60" s="76"/>
      <c r="DHB60" s="76"/>
      <c r="DHC60" s="76"/>
      <c r="DHD60" s="76"/>
      <c r="DHE60" s="76"/>
      <c r="DHF60" s="76"/>
      <c r="DHG60" s="76"/>
      <c r="DHH60" s="76"/>
      <c r="DHI60" s="76"/>
      <c r="DHJ60" s="76"/>
      <c r="DHK60" s="76"/>
      <c r="DHL60" s="76"/>
      <c r="DHM60" s="76"/>
      <c r="DHN60" s="76"/>
      <c r="DHO60" s="76"/>
      <c r="DHP60" s="76"/>
      <c r="DHQ60" s="76"/>
      <c r="DHR60" s="76"/>
      <c r="DHS60" s="76"/>
      <c r="DHT60" s="76"/>
      <c r="DHU60" s="76"/>
      <c r="DHV60" s="76"/>
      <c r="DHW60" s="76"/>
      <c r="DHX60" s="76"/>
      <c r="DHY60" s="76"/>
      <c r="DHZ60" s="76"/>
      <c r="DIA60" s="76"/>
      <c r="DIB60" s="76"/>
      <c r="DIC60" s="76"/>
      <c r="DID60" s="76"/>
      <c r="DIE60" s="76"/>
      <c r="DIF60" s="76"/>
      <c r="DIG60" s="76"/>
      <c r="DIH60" s="76"/>
      <c r="DII60" s="76"/>
      <c r="DIJ60" s="76"/>
      <c r="DIK60" s="76"/>
      <c r="DIL60" s="76"/>
      <c r="DIM60" s="76"/>
      <c r="DIN60" s="76"/>
      <c r="DIO60" s="76"/>
      <c r="DIP60" s="76"/>
      <c r="DIQ60" s="76"/>
      <c r="DIR60" s="76"/>
      <c r="DIS60" s="76"/>
      <c r="DIT60" s="76"/>
      <c r="DIU60" s="76"/>
      <c r="DIV60" s="76"/>
      <c r="DIW60" s="76"/>
      <c r="DIX60" s="76"/>
      <c r="DIY60" s="76"/>
      <c r="DIZ60" s="76"/>
      <c r="DJA60" s="76"/>
      <c r="DJB60" s="76"/>
      <c r="DJC60" s="76"/>
      <c r="DJD60" s="76"/>
      <c r="DJE60" s="76"/>
      <c r="DJF60" s="76"/>
      <c r="DJG60" s="76"/>
      <c r="DJH60" s="76"/>
      <c r="DJI60" s="76"/>
      <c r="DJJ60" s="76"/>
      <c r="DJK60" s="76"/>
      <c r="DJL60" s="76"/>
      <c r="DJM60" s="76"/>
      <c r="DJN60" s="76"/>
      <c r="DJO60" s="76"/>
      <c r="DJP60" s="76"/>
      <c r="DJQ60" s="76"/>
      <c r="DJR60" s="76"/>
      <c r="DJS60" s="76"/>
      <c r="DJT60" s="76"/>
      <c r="DJU60" s="76"/>
      <c r="DJV60" s="76"/>
      <c r="DJW60" s="76"/>
      <c r="DJX60" s="76"/>
      <c r="DJY60" s="76"/>
      <c r="DJZ60" s="76"/>
      <c r="DKA60" s="76"/>
      <c r="DKB60" s="76"/>
      <c r="DKC60" s="76"/>
      <c r="DKD60" s="76"/>
      <c r="DKE60" s="76"/>
      <c r="DKF60" s="76"/>
      <c r="DKG60" s="76"/>
      <c r="DKH60" s="76"/>
      <c r="DKI60" s="76"/>
      <c r="DKJ60" s="76"/>
      <c r="DKK60" s="76"/>
      <c r="DKL60" s="76"/>
      <c r="DKM60" s="76"/>
      <c r="DKN60" s="76"/>
      <c r="DKO60" s="76"/>
      <c r="DKP60" s="76"/>
      <c r="DKQ60" s="76"/>
      <c r="DKR60" s="76"/>
      <c r="DKS60" s="76"/>
      <c r="DKT60" s="76"/>
      <c r="DKU60" s="76"/>
      <c r="DKV60" s="76"/>
      <c r="DKW60" s="76"/>
      <c r="DKX60" s="76"/>
      <c r="DKY60" s="76"/>
      <c r="DKZ60" s="76"/>
      <c r="DLA60" s="76"/>
      <c r="DLB60" s="76"/>
      <c r="DLC60" s="76"/>
      <c r="DLD60" s="76"/>
      <c r="DLE60" s="76"/>
      <c r="DLF60" s="76"/>
      <c r="DLG60" s="76"/>
      <c r="DLH60" s="76"/>
      <c r="DLI60" s="76"/>
      <c r="DLJ60" s="76"/>
      <c r="DLK60" s="76"/>
      <c r="DLL60" s="76"/>
      <c r="DLM60" s="76"/>
      <c r="DLN60" s="76"/>
      <c r="DLO60" s="76"/>
      <c r="DLP60" s="76"/>
      <c r="DLQ60" s="76"/>
      <c r="DLR60" s="76"/>
      <c r="DLS60" s="76"/>
      <c r="DLT60" s="76"/>
      <c r="DLU60" s="76"/>
      <c r="DLV60" s="76"/>
      <c r="DLW60" s="76"/>
      <c r="DLX60" s="76"/>
      <c r="DLY60" s="76"/>
      <c r="DLZ60" s="76"/>
      <c r="DMA60" s="76"/>
      <c r="DMB60" s="76"/>
      <c r="DMC60" s="76"/>
      <c r="DMD60" s="76"/>
      <c r="DME60" s="76"/>
      <c r="DMF60" s="76"/>
      <c r="DMG60" s="76"/>
      <c r="DMH60" s="76"/>
      <c r="DMI60" s="76"/>
      <c r="DMJ60" s="76"/>
      <c r="DMK60" s="76"/>
      <c r="DML60" s="76"/>
      <c r="DMM60" s="76"/>
      <c r="DMN60" s="76"/>
      <c r="DMO60" s="76"/>
      <c r="DMP60" s="76"/>
      <c r="DMQ60" s="76"/>
      <c r="DMR60" s="76"/>
      <c r="DMS60" s="76"/>
      <c r="DMT60" s="76"/>
      <c r="DMU60" s="76"/>
      <c r="DMV60" s="76"/>
      <c r="DMW60" s="76"/>
      <c r="DMX60" s="76"/>
      <c r="DMY60" s="76"/>
      <c r="DMZ60" s="76"/>
      <c r="DNA60" s="76"/>
      <c r="DNB60" s="76"/>
      <c r="DNC60" s="76"/>
      <c r="DND60" s="76"/>
      <c r="DNE60" s="76"/>
      <c r="DNF60" s="76"/>
      <c r="DNG60" s="76"/>
      <c r="DNH60" s="76"/>
      <c r="DNI60" s="76"/>
      <c r="DNJ60" s="76"/>
      <c r="DNK60" s="76"/>
      <c r="DNL60" s="76"/>
      <c r="DNM60" s="76"/>
      <c r="DNN60" s="76"/>
      <c r="DNO60" s="76"/>
      <c r="DNP60" s="76"/>
      <c r="DNQ60" s="76"/>
      <c r="DNR60" s="76"/>
      <c r="DNS60" s="76"/>
      <c r="DNT60" s="76"/>
      <c r="DNU60" s="76"/>
      <c r="DNV60" s="76"/>
      <c r="DNW60" s="76"/>
      <c r="DNX60" s="76"/>
      <c r="DNY60" s="76"/>
      <c r="DNZ60" s="76"/>
      <c r="DOA60" s="76"/>
      <c r="DOB60" s="76"/>
      <c r="DOC60" s="76"/>
      <c r="DOD60" s="76"/>
      <c r="DOE60" s="76"/>
      <c r="DOF60" s="76"/>
      <c r="DOG60" s="76"/>
      <c r="DOH60" s="76"/>
      <c r="DOI60" s="76"/>
      <c r="DOJ60" s="76"/>
      <c r="DOK60" s="76"/>
      <c r="DOL60" s="76"/>
      <c r="DOM60" s="76"/>
      <c r="DON60" s="76"/>
      <c r="DOO60" s="76"/>
      <c r="DOP60" s="76"/>
      <c r="DOQ60" s="76"/>
      <c r="DOR60" s="76"/>
      <c r="DOS60" s="76"/>
      <c r="DOT60" s="76"/>
      <c r="DOU60" s="76"/>
      <c r="DOV60" s="76"/>
      <c r="DOW60" s="76"/>
      <c r="DOX60" s="76"/>
      <c r="DOY60" s="76"/>
      <c r="DOZ60" s="76"/>
      <c r="DPA60" s="76"/>
      <c r="DPB60" s="76"/>
      <c r="DPC60" s="76"/>
      <c r="DPD60" s="76"/>
      <c r="DPE60" s="76"/>
      <c r="DPF60" s="76"/>
      <c r="DPG60" s="76"/>
      <c r="DPH60" s="76"/>
      <c r="DPI60" s="76"/>
      <c r="DPJ60" s="76"/>
      <c r="DPK60" s="76"/>
      <c r="DPL60" s="76"/>
      <c r="DPM60" s="76"/>
      <c r="DPN60" s="76"/>
      <c r="DPO60" s="76"/>
      <c r="DPP60" s="76"/>
      <c r="DPQ60" s="76"/>
      <c r="DPR60" s="76"/>
      <c r="DPS60" s="76"/>
      <c r="DPT60" s="76"/>
      <c r="DPU60" s="76"/>
      <c r="DPV60" s="76"/>
      <c r="DPW60" s="76"/>
      <c r="DPX60" s="76"/>
      <c r="DPY60" s="76"/>
      <c r="DPZ60" s="76"/>
      <c r="DQA60" s="76"/>
      <c r="DQB60" s="76"/>
      <c r="DQC60" s="76"/>
      <c r="DQD60" s="76"/>
      <c r="DQE60" s="76"/>
      <c r="DQF60" s="76"/>
      <c r="DQG60" s="76"/>
      <c r="DQH60" s="76"/>
      <c r="DQI60" s="76"/>
      <c r="DQJ60" s="76"/>
      <c r="DQK60" s="76"/>
      <c r="DQL60" s="76"/>
      <c r="DQM60" s="76"/>
      <c r="DQN60" s="76"/>
      <c r="DQO60" s="76"/>
      <c r="DQP60" s="76"/>
      <c r="DQQ60" s="76"/>
      <c r="DQR60" s="76"/>
      <c r="DQS60" s="76"/>
      <c r="DQT60" s="76"/>
      <c r="DQU60" s="76"/>
      <c r="DQV60" s="76"/>
      <c r="DQW60" s="76"/>
      <c r="DQX60" s="76"/>
      <c r="DQY60" s="76"/>
      <c r="DQZ60" s="76"/>
      <c r="DRA60" s="76"/>
      <c r="DRB60" s="76"/>
      <c r="DRC60" s="76"/>
      <c r="DRD60" s="76"/>
      <c r="DRE60" s="76"/>
      <c r="DRF60" s="76"/>
      <c r="DRG60" s="76"/>
      <c r="DRH60" s="76"/>
      <c r="DRI60" s="76"/>
      <c r="DRJ60" s="76"/>
      <c r="DRK60" s="76"/>
      <c r="DRL60" s="76"/>
      <c r="DRM60" s="76"/>
      <c r="DRN60" s="76"/>
      <c r="DRO60" s="76"/>
      <c r="DRP60" s="76"/>
      <c r="DRQ60" s="76"/>
      <c r="DRR60" s="76"/>
      <c r="DRS60" s="76"/>
      <c r="DRT60" s="76"/>
      <c r="DRU60" s="76"/>
      <c r="DRV60" s="76"/>
      <c r="DRW60" s="76"/>
      <c r="DRX60" s="76"/>
      <c r="DRY60" s="76"/>
      <c r="DRZ60" s="76"/>
      <c r="DSA60" s="76"/>
      <c r="DSB60" s="76"/>
      <c r="DSC60" s="76"/>
      <c r="DSD60" s="76"/>
      <c r="DSE60" s="76"/>
      <c r="DSF60" s="76"/>
      <c r="DSG60" s="76"/>
      <c r="DSH60" s="76"/>
      <c r="DSI60" s="76"/>
      <c r="DSJ60" s="76"/>
      <c r="DSK60" s="76"/>
      <c r="DSL60" s="76"/>
      <c r="DSM60" s="76"/>
      <c r="DSN60" s="76"/>
      <c r="DSO60" s="76"/>
      <c r="DSP60" s="76"/>
      <c r="DSQ60" s="76"/>
      <c r="DSR60" s="76"/>
      <c r="DSS60" s="76"/>
      <c r="DST60" s="76"/>
      <c r="DSU60" s="76"/>
      <c r="DSV60" s="76"/>
      <c r="DSW60" s="76"/>
      <c r="DSX60" s="76"/>
      <c r="DSY60" s="76"/>
      <c r="DSZ60" s="76"/>
      <c r="DTA60" s="76"/>
      <c r="DTB60" s="76"/>
      <c r="DTC60" s="76"/>
      <c r="DTD60" s="76"/>
      <c r="DTE60" s="76"/>
      <c r="DTF60" s="76"/>
      <c r="DTG60" s="76"/>
      <c r="DTH60" s="76"/>
      <c r="DTI60" s="76"/>
      <c r="DTJ60" s="76"/>
      <c r="DTK60" s="76"/>
      <c r="DTL60" s="76"/>
      <c r="DTM60" s="76"/>
      <c r="DTN60" s="76"/>
      <c r="DTO60" s="76"/>
      <c r="DTP60" s="76"/>
      <c r="DTQ60" s="76"/>
      <c r="DTR60" s="76"/>
      <c r="DTS60" s="76"/>
      <c r="DTT60" s="76"/>
      <c r="DTU60" s="76"/>
      <c r="DTV60" s="76"/>
      <c r="DTW60" s="76"/>
      <c r="DTX60" s="76"/>
      <c r="DTY60" s="76"/>
      <c r="DTZ60" s="76"/>
      <c r="DUA60" s="76"/>
      <c r="DUB60" s="76"/>
      <c r="DUC60" s="76"/>
      <c r="DUD60" s="76"/>
      <c r="DUE60" s="76"/>
      <c r="DUF60" s="76"/>
      <c r="DUG60" s="76"/>
      <c r="DUH60" s="76"/>
      <c r="DUI60" s="76"/>
      <c r="DUJ60" s="76"/>
      <c r="DUK60" s="76"/>
      <c r="DUL60" s="76"/>
      <c r="DUM60" s="76"/>
      <c r="DUN60" s="76"/>
      <c r="DUO60" s="76"/>
      <c r="DUP60" s="76"/>
      <c r="DUQ60" s="76"/>
      <c r="DUR60" s="76"/>
      <c r="DUS60" s="76"/>
      <c r="DUT60" s="76"/>
      <c r="DUU60" s="76"/>
      <c r="DUV60" s="76"/>
      <c r="DUW60" s="76"/>
      <c r="DUX60" s="76"/>
      <c r="DUY60" s="76"/>
      <c r="DUZ60" s="76"/>
      <c r="DVA60" s="76"/>
      <c r="DVB60" s="76"/>
      <c r="DVC60" s="76"/>
      <c r="DVD60" s="76"/>
      <c r="DVE60" s="76"/>
      <c r="DVF60" s="76"/>
      <c r="DVG60" s="76"/>
      <c r="DVH60" s="76"/>
      <c r="DVI60" s="76"/>
      <c r="DVJ60" s="76"/>
      <c r="DVK60" s="76"/>
      <c r="DVL60" s="76"/>
      <c r="DVM60" s="76"/>
      <c r="DVN60" s="76"/>
      <c r="DVO60" s="76"/>
      <c r="DVP60" s="76"/>
      <c r="DVQ60" s="76"/>
      <c r="DVR60" s="76"/>
      <c r="DVS60" s="76"/>
      <c r="DVT60" s="76"/>
      <c r="DVU60" s="76"/>
      <c r="DVV60" s="76"/>
      <c r="DVW60" s="76"/>
      <c r="DVX60" s="76"/>
      <c r="DVY60" s="76"/>
      <c r="DVZ60" s="76"/>
      <c r="DWA60" s="76"/>
      <c r="DWB60" s="76"/>
      <c r="DWC60" s="76"/>
      <c r="DWD60" s="76"/>
      <c r="DWE60" s="76"/>
      <c r="DWF60" s="76"/>
      <c r="DWG60" s="76"/>
      <c r="DWH60" s="76"/>
      <c r="DWI60" s="76"/>
      <c r="DWJ60" s="76"/>
      <c r="DWK60" s="76"/>
      <c r="DWL60" s="76"/>
      <c r="DWM60" s="76"/>
      <c r="DWN60" s="76"/>
      <c r="DWO60" s="76"/>
      <c r="DWP60" s="76"/>
      <c r="DWQ60" s="76"/>
      <c r="DWR60" s="76"/>
      <c r="DWS60" s="76"/>
      <c r="DWT60" s="76"/>
      <c r="DWU60" s="76"/>
      <c r="DWV60" s="76"/>
      <c r="DWW60" s="76"/>
      <c r="DWX60" s="76"/>
      <c r="DWY60" s="76"/>
      <c r="DWZ60" s="76"/>
      <c r="DXA60" s="76"/>
      <c r="DXB60" s="76"/>
      <c r="DXC60" s="76"/>
      <c r="DXD60" s="76"/>
      <c r="DXE60" s="76"/>
      <c r="DXF60" s="76"/>
      <c r="DXG60" s="76"/>
      <c r="DXH60" s="76"/>
      <c r="DXI60" s="76"/>
      <c r="DXJ60" s="76"/>
      <c r="DXK60" s="76"/>
      <c r="DXL60" s="76"/>
      <c r="DXM60" s="76"/>
      <c r="DXN60" s="76"/>
      <c r="DXO60" s="76"/>
      <c r="DXP60" s="76"/>
      <c r="DXQ60" s="76"/>
      <c r="DXR60" s="76"/>
      <c r="DXS60" s="76"/>
      <c r="DXT60" s="76"/>
      <c r="DXU60" s="76"/>
      <c r="DXV60" s="76"/>
      <c r="DXW60" s="76"/>
      <c r="DXX60" s="76"/>
      <c r="DXY60" s="76"/>
      <c r="DXZ60" s="76"/>
      <c r="DYA60" s="76"/>
      <c r="DYB60" s="76"/>
      <c r="DYC60" s="76"/>
      <c r="DYD60" s="76"/>
      <c r="DYE60" s="76"/>
      <c r="DYF60" s="76"/>
      <c r="DYG60" s="76"/>
      <c r="DYH60" s="76"/>
      <c r="DYI60" s="76"/>
      <c r="DYJ60" s="76"/>
      <c r="DYK60" s="76"/>
      <c r="DYL60" s="76"/>
      <c r="DYM60" s="76"/>
      <c r="DYN60" s="76"/>
      <c r="DYO60" s="76"/>
      <c r="DYP60" s="76"/>
      <c r="DYQ60" s="76"/>
      <c r="DYR60" s="76"/>
      <c r="DYS60" s="76"/>
      <c r="DYT60" s="76"/>
      <c r="DYU60" s="76"/>
      <c r="DYV60" s="76"/>
      <c r="DYW60" s="76"/>
      <c r="DYX60" s="76"/>
      <c r="DYY60" s="76"/>
      <c r="DYZ60" s="76"/>
      <c r="DZA60" s="76"/>
      <c r="DZB60" s="76"/>
      <c r="DZC60" s="76"/>
      <c r="DZD60" s="76"/>
      <c r="DZE60" s="76"/>
      <c r="DZF60" s="76"/>
      <c r="DZG60" s="76"/>
      <c r="DZH60" s="76"/>
      <c r="DZI60" s="76"/>
      <c r="DZJ60" s="76"/>
      <c r="DZK60" s="76"/>
      <c r="DZL60" s="76"/>
      <c r="DZM60" s="76"/>
      <c r="DZN60" s="76"/>
      <c r="DZO60" s="76"/>
      <c r="DZP60" s="76"/>
      <c r="DZQ60" s="76"/>
      <c r="DZR60" s="76"/>
      <c r="DZS60" s="76"/>
      <c r="DZT60" s="76"/>
      <c r="DZU60" s="76"/>
      <c r="DZV60" s="76"/>
      <c r="DZW60" s="76"/>
      <c r="DZX60" s="76"/>
      <c r="DZY60" s="76"/>
      <c r="DZZ60" s="76"/>
      <c r="EAA60" s="76"/>
      <c r="EAB60" s="76"/>
      <c r="EAC60" s="76"/>
      <c r="EAD60" s="76"/>
      <c r="EAE60" s="76"/>
      <c r="EAF60" s="76"/>
      <c r="EAG60" s="76"/>
      <c r="EAH60" s="76"/>
      <c r="EAI60" s="76"/>
      <c r="EAJ60" s="76"/>
      <c r="EAK60" s="76"/>
      <c r="EAL60" s="76"/>
      <c r="EAM60" s="76"/>
      <c r="EAN60" s="76"/>
      <c r="EAO60" s="76"/>
      <c r="EAP60" s="76"/>
      <c r="EAQ60" s="76"/>
      <c r="EAR60" s="76"/>
      <c r="EAS60" s="76"/>
      <c r="EAT60" s="76"/>
      <c r="EAU60" s="76"/>
      <c r="EAV60" s="76"/>
      <c r="EAW60" s="76"/>
      <c r="EAX60" s="76"/>
      <c r="EAY60" s="76"/>
      <c r="EAZ60" s="76"/>
      <c r="EBA60" s="76"/>
      <c r="EBB60" s="76"/>
      <c r="EBC60" s="76"/>
      <c r="EBD60" s="76"/>
      <c r="EBE60" s="76"/>
      <c r="EBF60" s="76"/>
      <c r="EBG60" s="76"/>
      <c r="EBH60" s="76"/>
      <c r="EBI60" s="76"/>
      <c r="EBJ60" s="76"/>
      <c r="EBK60" s="76"/>
      <c r="EBL60" s="76"/>
      <c r="EBM60" s="76"/>
      <c r="EBN60" s="76"/>
      <c r="EBO60" s="76"/>
      <c r="EBP60" s="76"/>
      <c r="EBQ60" s="76"/>
      <c r="EBR60" s="76"/>
      <c r="EBS60" s="76"/>
      <c r="EBT60" s="76"/>
      <c r="EBU60" s="76"/>
      <c r="EBV60" s="76"/>
      <c r="EBW60" s="76"/>
      <c r="EBX60" s="76"/>
      <c r="EBY60" s="76"/>
      <c r="EBZ60" s="76"/>
      <c r="ECA60" s="76"/>
      <c r="ECB60" s="76"/>
      <c r="ECC60" s="76"/>
      <c r="ECD60" s="76"/>
      <c r="ECE60" s="76"/>
      <c r="ECF60" s="76"/>
      <c r="ECG60" s="76"/>
      <c r="ECH60" s="76"/>
      <c r="ECI60" s="76"/>
      <c r="ECJ60" s="76"/>
      <c r="ECK60" s="76"/>
      <c r="ECL60" s="76"/>
      <c r="ECM60" s="76"/>
      <c r="ECN60" s="76"/>
      <c r="ECO60" s="76"/>
      <c r="ECP60" s="76"/>
      <c r="ECQ60" s="76"/>
      <c r="ECR60" s="76"/>
      <c r="ECS60" s="76"/>
      <c r="ECT60" s="76"/>
      <c r="ECU60" s="76"/>
      <c r="ECV60" s="76"/>
      <c r="ECW60" s="76"/>
      <c r="ECX60" s="76"/>
      <c r="ECY60" s="76"/>
      <c r="ECZ60" s="76"/>
      <c r="EDA60" s="76"/>
      <c r="EDB60" s="76"/>
      <c r="EDC60" s="76"/>
      <c r="EDD60" s="76"/>
      <c r="EDE60" s="76"/>
      <c r="EDF60" s="76"/>
      <c r="EDG60" s="76"/>
      <c r="EDH60" s="76"/>
      <c r="EDI60" s="76"/>
      <c r="EDJ60" s="76"/>
      <c r="EDK60" s="76"/>
      <c r="EDL60" s="76"/>
      <c r="EDM60" s="76"/>
      <c r="EDN60" s="76"/>
      <c r="EDO60" s="76"/>
      <c r="EDP60" s="76"/>
      <c r="EDQ60" s="76"/>
      <c r="EDR60" s="76"/>
      <c r="EDS60" s="76"/>
      <c r="EDT60" s="76"/>
      <c r="EDU60" s="76"/>
      <c r="EDV60" s="76"/>
      <c r="EDW60" s="76"/>
      <c r="EDX60" s="76"/>
      <c r="EDY60" s="76"/>
      <c r="EDZ60" s="76"/>
      <c r="EEA60" s="76"/>
      <c r="EEB60" s="76"/>
      <c r="EEC60" s="76"/>
      <c r="EED60" s="76"/>
      <c r="EEE60" s="76"/>
      <c r="EEF60" s="76"/>
      <c r="EEG60" s="76"/>
      <c r="EEH60" s="76"/>
      <c r="EEI60" s="76"/>
      <c r="EEJ60" s="76"/>
      <c r="EEK60" s="76"/>
      <c r="EEL60" s="76"/>
      <c r="EEM60" s="76"/>
      <c r="EEN60" s="76"/>
      <c r="EEO60" s="76"/>
      <c r="EEP60" s="76"/>
      <c r="EEQ60" s="76"/>
      <c r="EER60" s="76"/>
      <c r="EES60" s="76"/>
      <c r="EET60" s="76"/>
      <c r="EEU60" s="76"/>
      <c r="EEV60" s="76"/>
      <c r="EEW60" s="76"/>
      <c r="EEX60" s="76"/>
      <c r="EEY60" s="76"/>
      <c r="EEZ60" s="76"/>
      <c r="EFA60" s="76"/>
      <c r="EFB60" s="76"/>
      <c r="EFC60" s="76"/>
      <c r="EFD60" s="76"/>
      <c r="EFE60" s="76"/>
      <c r="EFF60" s="76"/>
      <c r="EFG60" s="76"/>
      <c r="EFH60" s="76"/>
      <c r="EFI60" s="76"/>
      <c r="EFJ60" s="76"/>
      <c r="EFK60" s="76"/>
      <c r="EFL60" s="76"/>
      <c r="EFM60" s="76"/>
      <c r="EFN60" s="76"/>
      <c r="EFO60" s="76"/>
      <c r="EFP60" s="76"/>
      <c r="EFQ60" s="76"/>
      <c r="EFR60" s="76"/>
      <c r="EFS60" s="76"/>
      <c r="EFT60" s="76"/>
      <c r="EFU60" s="76"/>
      <c r="EFV60" s="76"/>
      <c r="EFW60" s="76"/>
      <c r="EFX60" s="76"/>
      <c r="EFY60" s="76"/>
      <c r="EFZ60" s="76"/>
      <c r="EGA60" s="76"/>
      <c r="EGB60" s="76"/>
      <c r="EGC60" s="76"/>
      <c r="EGD60" s="76"/>
      <c r="EGE60" s="76"/>
      <c r="EGF60" s="76"/>
      <c r="EGG60" s="76"/>
      <c r="EGH60" s="76"/>
      <c r="EGI60" s="76"/>
      <c r="EGJ60" s="76"/>
      <c r="EGK60" s="76"/>
      <c r="EGL60" s="76"/>
      <c r="EGM60" s="76"/>
      <c r="EGN60" s="76"/>
      <c r="EGO60" s="76"/>
      <c r="EGP60" s="76"/>
      <c r="EGQ60" s="76"/>
      <c r="EGR60" s="76"/>
      <c r="EGS60" s="76"/>
      <c r="EGT60" s="76"/>
      <c r="EGU60" s="76"/>
      <c r="EGV60" s="76"/>
      <c r="EGW60" s="76"/>
      <c r="EGX60" s="76"/>
      <c r="EGY60" s="76"/>
      <c r="EGZ60" s="76"/>
      <c r="EHA60" s="76"/>
      <c r="EHB60" s="76"/>
      <c r="EHC60" s="76"/>
      <c r="EHD60" s="76"/>
      <c r="EHE60" s="76"/>
      <c r="EHF60" s="76"/>
      <c r="EHG60" s="76"/>
      <c r="EHH60" s="76"/>
      <c r="EHI60" s="76"/>
      <c r="EHJ60" s="76"/>
      <c r="EHK60" s="76"/>
      <c r="EHL60" s="76"/>
      <c r="EHM60" s="76"/>
      <c r="EHN60" s="76"/>
      <c r="EHO60" s="76"/>
      <c r="EHP60" s="76"/>
      <c r="EHQ60" s="76"/>
      <c r="EHR60" s="76"/>
      <c r="EHS60" s="76"/>
      <c r="EHT60" s="76"/>
      <c r="EHU60" s="76"/>
      <c r="EHV60" s="76"/>
      <c r="EHW60" s="76"/>
      <c r="EHX60" s="76"/>
      <c r="EHY60" s="76"/>
      <c r="EHZ60" s="76"/>
      <c r="EIA60" s="76"/>
      <c r="EIB60" s="76"/>
      <c r="EIC60" s="76"/>
      <c r="EID60" s="76"/>
      <c r="EIE60" s="76"/>
      <c r="EIF60" s="76"/>
      <c r="EIG60" s="76"/>
      <c r="EIH60" s="76"/>
      <c r="EII60" s="76"/>
      <c r="EIJ60" s="76"/>
      <c r="EIK60" s="76"/>
      <c r="EIL60" s="76"/>
      <c r="EIM60" s="76"/>
      <c r="EIN60" s="76"/>
      <c r="EIO60" s="76"/>
      <c r="EIP60" s="76"/>
      <c r="EIQ60" s="76"/>
      <c r="EIR60" s="76"/>
      <c r="EIS60" s="76"/>
      <c r="EIT60" s="76"/>
      <c r="EIU60" s="76"/>
      <c r="EIV60" s="76"/>
      <c r="EIW60" s="76"/>
      <c r="EIX60" s="76"/>
      <c r="EIY60" s="76"/>
      <c r="EIZ60" s="76"/>
      <c r="EJA60" s="76"/>
      <c r="EJB60" s="76"/>
      <c r="EJC60" s="76"/>
      <c r="EJD60" s="76"/>
      <c r="EJE60" s="76"/>
      <c r="EJF60" s="76"/>
      <c r="EJG60" s="76"/>
      <c r="EJH60" s="76"/>
      <c r="EJI60" s="76"/>
      <c r="EJJ60" s="76"/>
      <c r="EJK60" s="76"/>
      <c r="EJL60" s="76"/>
      <c r="EJM60" s="76"/>
      <c r="EJN60" s="76"/>
      <c r="EJO60" s="76"/>
      <c r="EJP60" s="76"/>
      <c r="EJQ60" s="76"/>
      <c r="EJR60" s="76"/>
      <c r="EJS60" s="76"/>
      <c r="EJT60" s="76"/>
      <c r="EJU60" s="76"/>
      <c r="EJV60" s="76"/>
      <c r="EJW60" s="76"/>
      <c r="EJX60" s="76"/>
      <c r="EJY60" s="76"/>
      <c r="EJZ60" s="76"/>
      <c r="EKA60" s="76"/>
      <c r="EKB60" s="76"/>
      <c r="EKC60" s="76"/>
      <c r="EKD60" s="76"/>
      <c r="EKE60" s="76"/>
      <c r="EKF60" s="76"/>
      <c r="EKG60" s="76"/>
      <c r="EKH60" s="76"/>
      <c r="EKI60" s="76"/>
      <c r="EKJ60" s="76"/>
      <c r="EKK60" s="76"/>
      <c r="EKL60" s="76"/>
      <c r="EKM60" s="76"/>
      <c r="EKN60" s="76"/>
      <c r="EKO60" s="76"/>
      <c r="EKP60" s="76"/>
      <c r="EKQ60" s="76"/>
      <c r="EKR60" s="76"/>
      <c r="EKS60" s="76"/>
      <c r="EKT60" s="76"/>
      <c r="EKU60" s="76"/>
      <c r="EKV60" s="76"/>
      <c r="EKW60" s="76"/>
      <c r="EKX60" s="76"/>
      <c r="EKY60" s="76"/>
      <c r="EKZ60" s="76"/>
      <c r="ELA60" s="76"/>
      <c r="ELB60" s="76"/>
      <c r="ELC60" s="76"/>
      <c r="ELD60" s="76"/>
      <c r="ELE60" s="76"/>
      <c r="ELF60" s="76"/>
      <c r="ELG60" s="76"/>
      <c r="ELH60" s="76"/>
      <c r="ELI60" s="76"/>
      <c r="ELJ60" s="76"/>
      <c r="ELK60" s="76"/>
      <c r="ELL60" s="76"/>
      <c r="ELM60" s="76"/>
      <c r="ELN60" s="76"/>
      <c r="ELO60" s="76"/>
      <c r="ELP60" s="76"/>
      <c r="ELQ60" s="76"/>
      <c r="ELR60" s="76"/>
      <c r="ELS60" s="76"/>
      <c r="ELT60" s="76"/>
      <c r="ELU60" s="76"/>
      <c r="ELV60" s="76"/>
      <c r="ELW60" s="76"/>
      <c r="ELX60" s="76"/>
      <c r="ELY60" s="76"/>
      <c r="ELZ60" s="76"/>
      <c r="EMA60" s="76"/>
      <c r="EMB60" s="76"/>
      <c r="EMC60" s="76"/>
      <c r="EMD60" s="76"/>
      <c r="EME60" s="76"/>
      <c r="EMF60" s="76"/>
      <c r="EMG60" s="76"/>
      <c r="EMH60" s="76"/>
      <c r="EMI60" s="76"/>
      <c r="EMJ60" s="76"/>
      <c r="EMK60" s="76"/>
      <c r="EML60" s="76"/>
      <c r="EMM60" s="76"/>
      <c r="EMN60" s="76"/>
      <c r="EMO60" s="76"/>
      <c r="EMP60" s="76"/>
      <c r="EMQ60" s="76"/>
      <c r="EMR60" s="76"/>
      <c r="EMS60" s="76"/>
      <c r="EMT60" s="76"/>
      <c r="EMU60" s="76"/>
      <c r="EMV60" s="76"/>
      <c r="EMW60" s="76"/>
      <c r="EMX60" s="76"/>
      <c r="EMY60" s="76"/>
      <c r="EMZ60" s="76"/>
      <c r="ENA60" s="76"/>
      <c r="ENB60" s="76"/>
      <c r="ENC60" s="76"/>
      <c r="END60" s="76"/>
      <c r="ENE60" s="76"/>
      <c r="ENF60" s="76"/>
      <c r="ENG60" s="76"/>
      <c r="ENH60" s="76"/>
      <c r="ENI60" s="76"/>
      <c r="ENJ60" s="76"/>
      <c r="ENK60" s="76"/>
      <c r="ENL60" s="76"/>
      <c r="ENM60" s="76"/>
      <c r="ENN60" s="76"/>
      <c r="ENO60" s="76"/>
      <c r="ENP60" s="76"/>
      <c r="ENQ60" s="76"/>
      <c r="ENR60" s="76"/>
      <c r="ENS60" s="76"/>
      <c r="ENT60" s="76"/>
      <c r="ENU60" s="76"/>
      <c r="ENV60" s="76"/>
      <c r="ENW60" s="76"/>
      <c r="ENX60" s="76"/>
      <c r="ENY60" s="76"/>
      <c r="ENZ60" s="76"/>
      <c r="EOA60" s="76"/>
      <c r="EOB60" s="76"/>
      <c r="EOC60" s="76"/>
      <c r="EOD60" s="76"/>
      <c r="EOE60" s="76"/>
      <c r="EOF60" s="76"/>
      <c r="EOG60" s="76"/>
      <c r="EOH60" s="76"/>
      <c r="EOI60" s="76"/>
      <c r="EOJ60" s="76"/>
      <c r="EOK60" s="76"/>
      <c r="EOL60" s="76"/>
      <c r="EOM60" s="76"/>
      <c r="EON60" s="76"/>
      <c r="EOO60" s="76"/>
      <c r="EOP60" s="76"/>
      <c r="EOQ60" s="76"/>
      <c r="EOR60" s="76"/>
      <c r="EOS60" s="76"/>
      <c r="EOT60" s="76"/>
      <c r="EOU60" s="76"/>
      <c r="EOV60" s="76"/>
      <c r="EOW60" s="76"/>
      <c r="EOX60" s="76"/>
      <c r="EOY60" s="76"/>
      <c r="EOZ60" s="76"/>
      <c r="EPA60" s="76"/>
      <c r="EPB60" s="76"/>
      <c r="EPC60" s="76"/>
      <c r="EPD60" s="76"/>
      <c r="EPE60" s="76"/>
      <c r="EPF60" s="76"/>
      <c r="EPG60" s="76"/>
      <c r="EPH60" s="76"/>
      <c r="EPI60" s="76"/>
      <c r="EPJ60" s="76"/>
      <c r="EPK60" s="76"/>
      <c r="EPL60" s="76"/>
      <c r="EPM60" s="76"/>
      <c r="EPN60" s="76"/>
      <c r="EPO60" s="76"/>
      <c r="EPP60" s="76"/>
      <c r="EPQ60" s="76"/>
      <c r="EPR60" s="76"/>
      <c r="EPS60" s="76"/>
      <c r="EPT60" s="76"/>
      <c r="EPU60" s="76"/>
      <c r="EPV60" s="76"/>
      <c r="EPW60" s="76"/>
      <c r="EPX60" s="76"/>
      <c r="EPY60" s="76"/>
      <c r="EPZ60" s="76"/>
      <c r="EQA60" s="76"/>
      <c r="EQB60" s="76"/>
      <c r="EQC60" s="76"/>
      <c r="EQD60" s="76"/>
      <c r="EQE60" s="76"/>
      <c r="EQF60" s="76"/>
      <c r="EQG60" s="76"/>
      <c r="EQH60" s="76"/>
      <c r="EQI60" s="76"/>
      <c r="EQJ60" s="76"/>
      <c r="EQK60" s="76"/>
      <c r="EQL60" s="76"/>
      <c r="EQM60" s="76"/>
      <c r="EQN60" s="76"/>
      <c r="EQO60" s="76"/>
      <c r="EQP60" s="76"/>
      <c r="EQQ60" s="76"/>
      <c r="EQR60" s="76"/>
      <c r="EQS60" s="76"/>
      <c r="EQT60" s="76"/>
      <c r="EQU60" s="76"/>
      <c r="EQV60" s="76"/>
      <c r="EQW60" s="76"/>
      <c r="EQX60" s="76"/>
      <c r="EQY60" s="76"/>
      <c r="EQZ60" s="76"/>
      <c r="ERA60" s="76"/>
      <c r="ERB60" s="76"/>
      <c r="ERC60" s="76"/>
      <c r="ERD60" s="76"/>
      <c r="ERE60" s="76"/>
      <c r="ERF60" s="76"/>
      <c r="ERG60" s="76"/>
      <c r="ERH60" s="76"/>
      <c r="ERI60" s="76"/>
      <c r="ERJ60" s="76"/>
      <c r="ERK60" s="76"/>
      <c r="ERL60" s="76"/>
      <c r="ERM60" s="76"/>
      <c r="ERN60" s="76"/>
      <c r="ERO60" s="76"/>
      <c r="ERP60" s="76"/>
      <c r="ERQ60" s="76"/>
      <c r="ERR60" s="76"/>
      <c r="ERS60" s="76"/>
      <c r="ERT60" s="76"/>
      <c r="ERU60" s="76"/>
      <c r="ERV60" s="76"/>
      <c r="ERW60" s="76"/>
      <c r="ERX60" s="76"/>
      <c r="ERY60" s="76"/>
      <c r="ERZ60" s="76"/>
      <c r="ESA60" s="76"/>
      <c r="ESB60" s="76"/>
      <c r="ESC60" s="76"/>
      <c r="ESD60" s="76"/>
      <c r="ESE60" s="76"/>
      <c r="ESF60" s="76"/>
      <c r="ESG60" s="76"/>
      <c r="ESH60" s="76"/>
      <c r="ESI60" s="76"/>
      <c r="ESJ60" s="76"/>
      <c r="ESK60" s="76"/>
      <c r="ESL60" s="76"/>
      <c r="ESM60" s="76"/>
      <c r="ESN60" s="76"/>
      <c r="ESO60" s="76"/>
      <c r="ESP60" s="76"/>
      <c r="ESQ60" s="76"/>
      <c r="ESR60" s="76"/>
      <c r="ESS60" s="76"/>
      <c r="EST60" s="76"/>
      <c r="ESU60" s="76"/>
      <c r="ESV60" s="76"/>
      <c r="ESW60" s="76"/>
      <c r="ESX60" s="76"/>
      <c r="ESY60" s="76"/>
      <c r="ESZ60" s="76"/>
      <c r="ETA60" s="76"/>
      <c r="ETB60" s="76"/>
      <c r="ETC60" s="76"/>
      <c r="ETD60" s="76"/>
      <c r="ETE60" s="76"/>
      <c r="ETF60" s="76"/>
      <c r="ETG60" s="76"/>
      <c r="ETH60" s="76"/>
      <c r="ETI60" s="76"/>
      <c r="ETJ60" s="76"/>
      <c r="ETK60" s="76"/>
      <c r="ETL60" s="76"/>
      <c r="ETM60" s="76"/>
      <c r="ETN60" s="76"/>
      <c r="ETO60" s="76"/>
      <c r="ETP60" s="76"/>
      <c r="ETQ60" s="76"/>
      <c r="ETR60" s="76"/>
      <c r="ETS60" s="76"/>
      <c r="ETT60" s="76"/>
      <c r="ETU60" s="76"/>
      <c r="ETV60" s="76"/>
      <c r="ETW60" s="76"/>
      <c r="ETX60" s="76"/>
      <c r="ETY60" s="76"/>
      <c r="ETZ60" s="76"/>
      <c r="EUA60" s="76"/>
      <c r="EUB60" s="76"/>
      <c r="EUC60" s="76"/>
      <c r="EUD60" s="76"/>
      <c r="EUE60" s="76"/>
      <c r="EUF60" s="76"/>
      <c r="EUG60" s="76"/>
      <c r="EUH60" s="76"/>
      <c r="EUI60" s="76"/>
      <c r="EUJ60" s="76"/>
      <c r="EUK60" s="76"/>
      <c r="EUL60" s="76"/>
      <c r="EUM60" s="76"/>
      <c r="EUN60" s="76"/>
      <c r="EUO60" s="76"/>
      <c r="EUP60" s="76"/>
      <c r="EUQ60" s="76"/>
      <c r="EUR60" s="76"/>
      <c r="EUS60" s="76"/>
      <c r="EUT60" s="76"/>
      <c r="EUU60" s="76"/>
      <c r="EUV60" s="76"/>
      <c r="EUW60" s="76"/>
      <c r="EUX60" s="76"/>
      <c r="EUY60" s="76"/>
      <c r="EUZ60" s="76"/>
      <c r="EVA60" s="76"/>
      <c r="EVB60" s="76"/>
      <c r="EVC60" s="76"/>
      <c r="EVD60" s="76"/>
      <c r="EVE60" s="76"/>
      <c r="EVF60" s="76"/>
      <c r="EVG60" s="76"/>
      <c r="EVH60" s="76"/>
      <c r="EVI60" s="76"/>
      <c r="EVJ60" s="76"/>
      <c r="EVK60" s="76"/>
      <c r="EVL60" s="76"/>
      <c r="EVM60" s="76"/>
      <c r="EVN60" s="76"/>
      <c r="EVO60" s="76"/>
      <c r="EVP60" s="76"/>
      <c r="EVQ60" s="76"/>
      <c r="EVR60" s="76"/>
      <c r="EVS60" s="76"/>
      <c r="EVT60" s="76"/>
      <c r="EVU60" s="76"/>
      <c r="EVV60" s="76"/>
      <c r="EVW60" s="76"/>
      <c r="EVX60" s="76"/>
      <c r="EVY60" s="76"/>
      <c r="EVZ60" s="76"/>
      <c r="EWA60" s="76"/>
      <c r="EWB60" s="76"/>
      <c r="EWC60" s="76"/>
      <c r="EWD60" s="76"/>
      <c r="EWE60" s="76"/>
      <c r="EWF60" s="76"/>
      <c r="EWG60" s="76"/>
      <c r="EWH60" s="76"/>
      <c r="EWI60" s="76"/>
      <c r="EWJ60" s="76"/>
      <c r="EWK60" s="76"/>
      <c r="EWL60" s="76"/>
      <c r="EWM60" s="76"/>
      <c r="EWN60" s="76"/>
      <c r="EWO60" s="76"/>
      <c r="EWP60" s="76"/>
      <c r="EWQ60" s="76"/>
      <c r="EWR60" s="76"/>
      <c r="EWS60" s="76"/>
      <c r="EWT60" s="76"/>
      <c r="EWU60" s="76"/>
      <c r="EWV60" s="76"/>
      <c r="EWW60" s="76"/>
      <c r="EWX60" s="76"/>
      <c r="EWY60" s="76"/>
      <c r="EWZ60" s="76"/>
      <c r="EXA60" s="76"/>
      <c r="EXB60" s="76"/>
      <c r="EXC60" s="76"/>
      <c r="EXD60" s="76"/>
      <c r="EXE60" s="76"/>
      <c r="EXF60" s="76"/>
      <c r="EXG60" s="76"/>
      <c r="EXH60" s="76"/>
      <c r="EXI60" s="76"/>
      <c r="EXJ60" s="76"/>
      <c r="EXK60" s="76"/>
      <c r="EXL60" s="76"/>
      <c r="EXM60" s="76"/>
      <c r="EXN60" s="76"/>
      <c r="EXO60" s="76"/>
      <c r="EXP60" s="76"/>
      <c r="EXQ60" s="76"/>
      <c r="EXR60" s="76"/>
      <c r="EXS60" s="76"/>
      <c r="EXT60" s="76"/>
      <c r="EXU60" s="76"/>
      <c r="EXV60" s="76"/>
      <c r="EXW60" s="76"/>
      <c r="EXX60" s="76"/>
      <c r="EXY60" s="76"/>
      <c r="EXZ60" s="76"/>
      <c r="EYA60" s="76"/>
      <c r="EYB60" s="76"/>
      <c r="EYC60" s="76"/>
      <c r="EYD60" s="76"/>
      <c r="EYE60" s="76"/>
      <c r="EYF60" s="76"/>
      <c r="EYG60" s="76"/>
      <c r="EYH60" s="76"/>
      <c r="EYI60" s="76"/>
      <c r="EYJ60" s="76"/>
      <c r="EYK60" s="76"/>
      <c r="EYL60" s="76"/>
      <c r="EYM60" s="76"/>
      <c r="EYN60" s="76"/>
      <c r="EYO60" s="76"/>
      <c r="EYP60" s="76"/>
      <c r="EYQ60" s="76"/>
      <c r="EYR60" s="76"/>
      <c r="EYS60" s="76"/>
      <c r="EYT60" s="76"/>
      <c r="EYU60" s="76"/>
      <c r="EYV60" s="76"/>
      <c r="EYW60" s="76"/>
      <c r="EYX60" s="76"/>
      <c r="EYY60" s="76"/>
      <c r="EYZ60" s="76"/>
      <c r="EZA60" s="76"/>
      <c r="EZB60" s="76"/>
      <c r="EZC60" s="76"/>
      <c r="EZD60" s="76"/>
      <c r="EZE60" s="76"/>
      <c r="EZF60" s="76"/>
      <c r="EZG60" s="76"/>
      <c r="EZH60" s="76"/>
      <c r="EZI60" s="76"/>
      <c r="EZJ60" s="76"/>
      <c r="EZK60" s="76"/>
      <c r="EZL60" s="76"/>
      <c r="EZM60" s="76"/>
      <c r="EZN60" s="76"/>
      <c r="EZO60" s="76"/>
      <c r="EZP60" s="76"/>
      <c r="EZQ60" s="76"/>
      <c r="EZR60" s="76"/>
      <c r="EZS60" s="76"/>
      <c r="EZT60" s="76"/>
      <c r="EZU60" s="76"/>
      <c r="EZV60" s="76"/>
      <c r="EZW60" s="76"/>
      <c r="EZX60" s="76"/>
      <c r="EZY60" s="76"/>
      <c r="EZZ60" s="76"/>
      <c r="FAA60" s="76"/>
      <c r="FAB60" s="76"/>
      <c r="FAC60" s="76"/>
      <c r="FAD60" s="76"/>
      <c r="FAE60" s="76"/>
      <c r="FAF60" s="76"/>
      <c r="FAG60" s="76"/>
      <c r="FAH60" s="76"/>
      <c r="FAI60" s="76"/>
      <c r="FAJ60" s="76"/>
      <c r="FAK60" s="76"/>
      <c r="FAL60" s="76"/>
      <c r="FAM60" s="76"/>
      <c r="FAN60" s="76"/>
      <c r="FAO60" s="76"/>
      <c r="FAP60" s="76"/>
      <c r="FAQ60" s="76"/>
      <c r="FAR60" s="76"/>
      <c r="FAS60" s="76"/>
      <c r="FAT60" s="76"/>
      <c r="FAU60" s="76"/>
      <c r="FAV60" s="76"/>
      <c r="FAW60" s="76"/>
      <c r="FAX60" s="76"/>
      <c r="FAY60" s="76"/>
      <c r="FAZ60" s="76"/>
      <c r="FBA60" s="76"/>
      <c r="FBB60" s="76"/>
      <c r="FBC60" s="76"/>
      <c r="FBD60" s="76"/>
      <c r="FBE60" s="76"/>
      <c r="FBF60" s="76"/>
      <c r="FBG60" s="76"/>
      <c r="FBH60" s="76"/>
      <c r="FBI60" s="76"/>
      <c r="FBJ60" s="76"/>
      <c r="FBK60" s="76"/>
      <c r="FBL60" s="76"/>
      <c r="FBM60" s="76"/>
      <c r="FBN60" s="76"/>
      <c r="FBO60" s="76"/>
      <c r="FBP60" s="76"/>
      <c r="FBQ60" s="76"/>
      <c r="FBR60" s="76"/>
      <c r="FBS60" s="76"/>
      <c r="FBT60" s="76"/>
      <c r="FBU60" s="76"/>
      <c r="FBV60" s="76"/>
      <c r="FBW60" s="76"/>
      <c r="FBX60" s="76"/>
      <c r="FBY60" s="76"/>
      <c r="FBZ60" s="76"/>
      <c r="FCA60" s="76"/>
      <c r="FCB60" s="76"/>
      <c r="FCC60" s="76"/>
      <c r="FCD60" s="76"/>
      <c r="FCE60" s="76"/>
      <c r="FCF60" s="76"/>
      <c r="FCG60" s="76"/>
      <c r="FCH60" s="76"/>
      <c r="FCI60" s="76"/>
      <c r="FCJ60" s="76"/>
      <c r="FCK60" s="76"/>
      <c r="FCL60" s="76"/>
      <c r="FCM60" s="76"/>
      <c r="FCN60" s="76"/>
      <c r="FCO60" s="76"/>
      <c r="FCP60" s="76"/>
      <c r="FCQ60" s="76"/>
      <c r="FCR60" s="76"/>
      <c r="FCS60" s="76"/>
      <c r="FCT60" s="76"/>
      <c r="FCU60" s="76"/>
      <c r="FCV60" s="76"/>
      <c r="FCW60" s="76"/>
      <c r="FCX60" s="76"/>
      <c r="FCY60" s="76"/>
      <c r="FCZ60" s="76"/>
      <c r="FDA60" s="76"/>
      <c r="FDB60" s="76"/>
      <c r="FDC60" s="76"/>
      <c r="FDD60" s="76"/>
      <c r="FDE60" s="76"/>
      <c r="FDF60" s="76"/>
      <c r="FDG60" s="76"/>
      <c r="FDH60" s="76"/>
      <c r="FDI60" s="76"/>
      <c r="FDJ60" s="76"/>
      <c r="FDK60" s="76"/>
      <c r="FDL60" s="76"/>
      <c r="FDM60" s="76"/>
      <c r="FDN60" s="76"/>
      <c r="FDO60" s="76"/>
      <c r="FDP60" s="76"/>
      <c r="FDQ60" s="76"/>
      <c r="FDR60" s="76"/>
      <c r="FDS60" s="76"/>
      <c r="FDT60" s="76"/>
      <c r="FDU60" s="76"/>
      <c r="FDV60" s="76"/>
      <c r="FDW60" s="76"/>
      <c r="FDX60" s="76"/>
      <c r="FDY60" s="76"/>
      <c r="FDZ60" s="76"/>
      <c r="FEA60" s="76"/>
      <c r="FEB60" s="76"/>
      <c r="FEC60" s="76"/>
      <c r="FED60" s="76"/>
      <c r="FEE60" s="76"/>
      <c r="FEF60" s="76"/>
      <c r="FEG60" s="76"/>
      <c r="FEH60" s="76"/>
      <c r="FEI60" s="76"/>
      <c r="FEJ60" s="76"/>
      <c r="FEK60" s="76"/>
      <c r="FEL60" s="76"/>
      <c r="FEM60" s="76"/>
      <c r="FEN60" s="76"/>
      <c r="FEO60" s="76"/>
      <c r="FEP60" s="76"/>
      <c r="FEQ60" s="76"/>
      <c r="FER60" s="76"/>
      <c r="FES60" s="76"/>
      <c r="FET60" s="76"/>
      <c r="FEU60" s="76"/>
      <c r="FEV60" s="76"/>
      <c r="FEW60" s="76"/>
      <c r="FEX60" s="76"/>
      <c r="FEY60" s="76"/>
      <c r="FEZ60" s="76"/>
      <c r="FFA60" s="76"/>
      <c r="FFB60" s="76"/>
      <c r="FFC60" s="76"/>
      <c r="FFD60" s="76"/>
      <c r="FFE60" s="76"/>
      <c r="FFF60" s="76"/>
      <c r="FFG60" s="76"/>
      <c r="FFH60" s="76"/>
      <c r="FFI60" s="76"/>
      <c r="FFJ60" s="76"/>
      <c r="FFK60" s="76"/>
      <c r="FFL60" s="76"/>
      <c r="FFM60" s="76"/>
      <c r="FFN60" s="76"/>
      <c r="FFO60" s="76"/>
      <c r="FFP60" s="76"/>
      <c r="FFQ60" s="76"/>
      <c r="FFR60" s="76"/>
      <c r="FFS60" s="76"/>
      <c r="FFT60" s="76"/>
      <c r="FFU60" s="76"/>
      <c r="FFV60" s="76"/>
      <c r="FFW60" s="76"/>
      <c r="FFX60" s="76"/>
      <c r="FFY60" s="76"/>
      <c r="FFZ60" s="76"/>
      <c r="FGA60" s="76"/>
      <c r="FGB60" s="76"/>
      <c r="FGC60" s="76"/>
      <c r="FGD60" s="76"/>
      <c r="FGE60" s="76"/>
      <c r="FGF60" s="76"/>
      <c r="FGG60" s="76"/>
      <c r="FGH60" s="76"/>
      <c r="FGI60" s="76"/>
      <c r="FGJ60" s="76"/>
      <c r="FGK60" s="76"/>
      <c r="FGL60" s="76"/>
      <c r="FGM60" s="76"/>
      <c r="FGN60" s="76"/>
      <c r="FGO60" s="76"/>
      <c r="FGP60" s="76"/>
      <c r="FGQ60" s="76"/>
      <c r="FGR60" s="76"/>
      <c r="FGS60" s="76"/>
      <c r="FGT60" s="76"/>
      <c r="FGU60" s="76"/>
      <c r="FGV60" s="76"/>
      <c r="FGW60" s="76"/>
      <c r="FGX60" s="76"/>
      <c r="FGY60" s="76"/>
      <c r="FGZ60" s="76"/>
      <c r="FHA60" s="76"/>
      <c r="FHB60" s="76"/>
      <c r="FHC60" s="76"/>
      <c r="FHD60" s="76"/>
      <c r="FHE60" s="76"/>
      <c r="FHF60" s="76"/>
      <c r="FHG60" s="76"/>
      <c r="FHH60" s="76"/>
      <c r="FHI60" s="76"/>
      <c r="FHJ60" s="76"/>
      <c r="FHK60" s="76"/>
      <c r="FHL60" s="76"/>
      <c r="FHM60" s="76"/>
      <c r="FHN60" s="76"/>
      <c r="FHO60" s="76"/>
      <c r="FHP60" s="76"/>
      <c r="FHQ60" s="76"/>
      <c r="FHR60" s="76"/>
      <c r="FHS60" s="76"/>
      <c r="FHT60" s="76"/>
      <c r="FHU60" s="76"/>
      <c r="FHV60" s="76"/>
      <c r="FHW60" s="76"/>
      <c r="FHX60" s="76"/>
      <c r="FHY60" s="76"/>
      <c r="FHZ60" s="76"/>
      <c r="FIA60" s="76"/>
      <c r="FIB60" s="76"/>
      <c r="FIC60" s="76"/>
      <c r="FID60" s="76"/>
      <c r="FIE60" s="76"/>
      <c r="FIF60" s="76"/>
      <c r="FIG60" s="76"/>
      <c r="FIH60" s="76"/>
      <c r="FII60" s="76"/>
      <c r="FIJ60" s="76"/>
      <c r="FIK60" s="76"/>
      <c r="FIL60" s="76"/>
      <c r="FIM60" s="76"/>
      <c r="FIN60" s="76"/>
      <c r="FIO60" s="76"/>
      <c r="FIP60" s="76"/>
      <c r="FIQ60" s="76"/>
      <c r="FIR60" s="76"/>
      <c r="FIS60" s="76"/>
      <c r="FIT60" s="76"/>
      <c r="FIU60" s="76"/>
      <c r="FIV60" s="76"/>
      <c r="FIW60" s="76"/>
      <c r="FIX60" s="76"/>
      <c r="FIY60" s="76"/>
      <c r="FIZ60" s="76"/>
      <c r="FJA60" s="76"/>
      <c r="FJB60" s="76"/>
      <c r="FJC60" s="76"/>
      <c r="FJD60" s="76"/>
      <c r="FJE60" s="76"/>
      <c r="FJF60" s="76"/>
      <c r="FJG60" s="76"/>
      <c r="FJH60" s="76"/>
      <c r="FJI60" s="76"/>
      <c r="FJJ60" s="76"/>
      <c r="FJK60" s="76"/>
      <c r="FJL60" s="76"/>
      <c r="FJM60" s="76"/>
      <c r="FJN60" s="76"/>
      <c r="FJO60" s="76"/>
      <c r="FJP60" s="76"/>
      <c r="FJQ60" s="76"/>
      <c r="FJR60" s="76"/>
      <c r="FJS60" s="76"/>
      <c r="FJT60" s="76"/>
      <c r="FJU60" s="76"/>
      <c r="FJV60" s="76"/>
      <c r="FJW60" s="76"/>
      <c r="FJX60" s="76"/>
      <c r="FJY60" s="76"/>
      <c r="FJZ60" s="76"/>
      <c r="FKA60" s="76"/>
      <c r="FKB60" s="76"/>
      <c r="FKC60" s="76"/>
      <c r="FKD60" s="76"/>
      <c r="FKE60" s="76"/>
      <c r="FKF60" s="76"/>
      <c r="FKG60" s="76"/>
      <c r="FKH60" s="76"/>
      <c r="FKI60" s="76"/>
      <c r="FKJ60" s="76"/>
      <c r="FKK60" s="76"/>
      <c r="FKL60" s="76"/>
      <c r="FKM60" s="76"/>
      <c r="FKN60" s="76"/>
      <c r="FKO60" s="76"/>
      <c r="FKP60" s="76"/>
      <c r="FKQ60" s="76"/>
      <c r="FKR60" s="76"/>
      <c r="FKS60" s="76"/>
      <c r="FKT60" s="76"/>
      <c r="FKU60" s="76"/>
      <c r="FKV60" s="76"/>
      <c r="FKW60" s="76"/>
      <c r="FKX60" s="76"/>
      <c r="FKY60" s="76"/>
      <c r="FKZ60" s="76"/>
      <c r="FLA60" s="76"/>
      <c r="FLB60" s="76"/>
      <c r="FLC60" s="76"/>
      <c r="FLD60" s="76"/>
      <c r="FLE60" s="76"/>
      <c r="FLF60" s="76"/>
      <c r="FLG60" s="76"/>
      <c r="FLH60" s="76"/>
      <c r="FLI60" s="76"/>
      <c r="FLJ60" s="76"/>
      <c r="FLK60" s="76"/>
      <c r="FLL60" s="76"/>
      <c r="FLM60" s="76"/>
      <c r="FLN60" s="76"/>
      <c r="FLO60" s="76"/>
      <c r="FLP60" s="76"/>
      <c r="FLQ60" s="76"/>
      <c r="FLR60" s="76"/>
      <c r="FLS60" s="76"/>
      <c r="FLT60" s="76"/>
      <c r="FLU60" s="76"/>
      <c r="FLV60" s="76"/>
      <c r="FLW60" s="76"/>
      <c r="FLX60" s="76"/>
      <c r="FLY60" s="76"/>
      <c r="FLZ60" s="76"/>
      <c r="FMA60" s="76"/>
      <c r="FMB60" s="76"/>
      <c r="FMC60" s="76"/>
      <c r="FMD60" s="76"/>
      <c r="FME60" s="76"/>
      <c r="FMF60" s="76"/>
      <c r="FMG60" s="76"/>
      <c r="FMH60" s="76"/>
      <c r="FMI60" s="76"/>
      <c r="FMJ60" s="76"/>
      <c r="FMK60" s="76"/>
      <c r="FML60" s="76"/>
      <c r="FMM60" s="76"/>
      <c r="FMN60" s="76"/>
      <c r="FMO60" s="76"/>
      <c r="FMP60" s="76"/>
      <c r="FMQ60" s="76"/>
      <c r="FMR60" s="76"/>
      <c r="FMS60" s="76"/>
      <c r="FMT60" s="76"/>
      <c r="FMU60" s="76"/>
      <c r="FMV60" s="76"/>
      <c r="FMW60" s="76"/>
      <c r="FMX60" s="76"/>
      <c r="FMY60" s="76"/>
      <c r="FMZ60" s="76"/>
      <c r="FNA60" s="76"/>
      <c r="FNB60" s="76"/>
      <c r="FNC60" s="76"/>
      <c r="FND60" s="76"/>
      <c r="FNE60" s="76"/>
      <c r="FNF60" s="76"/>
      <c r="FNG60" s="76"/>
      <c r="FNH60" s="76"/>
      <c r="FNI60" s="76"/>
      <c r="FNJ60" s="76"/>
      <c r="FNK60" s="76"/>
      <c r="FNL60" s="76"/>
      <c r="FNM60" s="76"/>
      <c r="FNN60" s="76"/>
      <c r="FNO60" s="76"/>
      <c r="FNP60" s="76"/>
      <c r="FNQ60" s="76"/>
      <c r="FNR60" s="76"/>
      <c r="FNS60" s="76"/>
      <c r="FNT60" s="76"/>
      <c r="FNU60" s="76"/>
      <c r="FNV60" s="76"/>
      <c r="FNW60" s="76"/>
      <c r="FNX60" s="76"/>
      <c r="FNY60" s="76"/>
      <c r="FNZ60" s="76"/>
      <c r="FOA60" s="76"/>
      <c r="FOB60" s="76"/>
      <c r="FOC60" s="76"/>
      <c r="FOD60" s="76"/>
      <c r="FOE60" s="76"/>
      <c r="FOF60" s="76"/>
      <c r="FOG60" s="76"/>
      <c r="FOH60" s="76"/>
      <c r="FOI60" s="76"/>
      <c r="FOJ60" s="76"/>
      <c r="FOK60" s="76"/>
      <c r="FOL60" s="76"/>
      <c r="FOM60" s="76"/>
      <c r="FON60" s="76"/>
      <c r="FOO60" s="76"/>
      <c r="FOP60" s="76"/>
      <c r="FOQ60" s="76"/>
      <c r="FOR60" s="76"/>
      <c r="FOS60" s="76"/>
      <c r="FOT60" s="76"/>
      <c r="FOU60" s="76"/>
      <c r="FOV60" s="76"/>
      <c r="FOW60" s="76"/>
      <c r="FOX60" s="76"/>
      <c r="FOY60" s="76"/>
      <c r="FOZ60" s="76"/>
      <c r="FPA60" s="76"/>
      <c r="FPB60" s="76"/>
      <c r="FPC60" s="76"/>
      <c r="FPD60" s="76"/>
      <c r="FPE60" s="76"/>
      <c r="FPF60" s="76"/>
      <c r="FPG60" s="76"/>
      <c r="FPH60" s="76"/>
      <c r="FPI60" s="76"/>
      <c r="FPJ60" s="76"/>
      <c r="FPK60" s="76"/>
      <c r="FPL60" s="76"/>
      <c r="FPM60" s="76"/>
      <c r="FPN60" s="76"/>
      <c r="FPO60" s="76"/>
      <c r="FPP60" s="76"/>
      <c r="FPQ60" s="76"/>
      <c r="FPR60" s="76"/>
      <c r="FPS60" s="76"/>
      <c r="FPT60" s="76"/>
      <c r="FPU60" s="76"/>
      <c r="FPV60" s="76"/>
      <c r="FPW60" s="76"/>
      <c r="FPX60" s="76"/>
      <c r="FPY60" s="76"/>
      <c r="FPZ60" s="76"/>
      <c r="FQA60" s="76"/>
      <c r="FQB60" s="76"/>
      <c r="FQC60" s="76"/>
      <c r="FQD60" s="76"/>
      <c r="FQE60" s="76"/>
      <c r="FQF60" s="76"/>
      <c r="FQG60" s="76"/>
      <c r="FQH60" s="76"/>
      <c r="FQI60" s="76"/>
      <c r="FQJ60" s="76"/>
      <c r="FQK60" s="76"/>
      <c r="FQL60" s="76"/>
      <c r="FQM60" s="76"/>
      <c r="FQN60" s="76"/>
      <c r="FQO60" s="76"/>
      <c r="FQP60" s="76"/>
      <c r="FQQ60" s="76"/>
      <c r="FQR60" s="76"/>
      <c r="FQS60" s="76"/>
      <c r="FQT60" s="76"/>
      <c r="FQU60" s="76"/>
      <c r="FQV60" s="76"/>
      <c r="FQW60" s="76"/>
      <c r="FQX60" s="76"/>
      <c r="FQY60" s="76"/>
      <c r="FQZ60" s="76"/>
      <c r="FRA60" s="76"/>
      <c r="FRB60" s="76"/>
      <c r="FRC60" s="76"/>
      <c r="FRD60" s="76"/>
      <c r="FRE60" s="76"/>
      <c r="FRF60" s="76"/>
      <c r="FRG60" s="76"/>
      <c r="FRH60" s="76"/>
      <c r="FRI60" s="76"/>
      <c r="FRJ60" s="76"/>
      <c r="FRK60" s="76"/>
      <c r="FRL60" s="76"/>
      <c r="FRM60" s="76"/>
      <c r="FRN60" s="76"/>
      <c r="FRO60" s="76"/>
      <c r="FRP60" s="76"/>
      <c r="FRQ60" s="76"/>
      <c r="FRR60" s="76"/>
      <c r="FRS60" s="76"/>
      <c r="FRT60" s="76"/>
      <c r="FRU60" s="76"/>
      <c r="FRV60" s="76"/>
      <c r="FRW60" s="76"/>
      <c r="FRX60" s="76"/>
      <c r="FRY60" s="76"/>
      <c r="FRZ60" s="76"/>
      <c r="FSA60" s="76"/>
      <c r="FSB60" s="76"/>
      <c r="FSC60" s="76"/>
      <c r="FSD60" s="76"/>
      <c r="FSE60" s="76"/>
      <c r="FSF60" s="76"/>
      <c r="FSG60" s="76"/>
      <c r="FSH60" s="76"/>
      <c r="FSI60" s="76"/>
      <c r="FSJ60" s="76"/>
      <c r="FSK60" s="76"/>
      <c r="FSL60" s="76"/>
      <c r="FSM60" s="76"/>
      <c r="FSN60" s="76"/>
      <c r="FSO60" s="76"/>
      <c r="FSP60" s="76"/>
      <c r="FSQ60" s="76"/>
      <c r="FSR60" s="76"/>
      <c r="FSS60" s="76"/>
      <c r="FST60" s="76"/>
      <c r="FSU60" s="76"/>
      <c r="FSV60" s="76"/>
      <c r="FSW60" s="76"/>
      <c r="FSX60" s="76"/>
      <c r="FSY60" s="76"/>
      <c r="FSZ60" s="76"/>
      <c r="FTA60" s="76"/>
      <c r="FTB60" s="76"/>
      <c r="FTC60" s="76"/>
      <c r="FTD60" s="76"/>
      <c r="FTE60" s="76"/>
      <c r="FTF60" s="76"/>
      <c r="FTG60" s="76"/>
      <c r="FTH60" s="76"/>
      <c r="FTI60" s="76"/>
      <c r="FTJ60" s="76"/>
      <c r="FTK60" s="76"/>
      <c r="FTL60" s="76"/>
      <c r="FTM60" s="76"/>
      <c r="FTN60" s="76"/>
      <c r="FTO60" s="76"/>
      <c r="FTP60" s="76"/>
      <c r="FTQ60" s="76"/>
      <c r="FTR60" s="76"/>
      <c r="FTS60" s="76"/>
      <c r="FTT60" s="76"/>
      <c r="FTU60" s="76"/>
      <c r="FTV60" s="76"/>
      <c r="FTW60" s="76"/>
      <c r="FTX60" s="76"/>
      <c r="FTY60" s="76"/>
      <c r="FTZ60" s="76"/>
      <c r="FUA60" s="76"/>
      <c r="FUB60" s="76"/>
      <c r="FUC60" s="76"/>
      <c r="FUD60" s="76"/>
      <c r="FUE60" s="76"/>
      <c r="FUF60" s="76"/>
      <c r="FUG60" s="76"/>
      <c r="FUH60" s="76"/>
      <c r="FUI60" s="76"/>
      <c r="FUJ60" s="76"/>
      <c r="FUK60" s="76"/>
      <c r="FUL60" s="76"/>
      <c r="FUM60" s="76"/>
      <c r="FUN60" s="76"/>
      <c r="FUO60" s="76"/>
      <c r="FUP60" s="76"/>
      <c r="FUQ60" s="76"/>
      <c r="FUR60" s="76"/>
      <c r="FUS60" s="76"/>
      <c r="FUT60" s="76"/>
      <c r="FUU60" s="76"/>
      <c r="FUV60" s="76"/>
      <c r="FUW60" s="76"/>
      <c r="FUX60" s="76"/>
      <c r="FUY60" s="76"/>
      <c r="FUZ60" s="76"/>
      <c r="FVA60" s="76"/>
      <c r="FVB60" s="76"/>
      <c r="FVC60" s="76"/>
      <c r="FVD60" s="76"/>
      <c r="FVE60" s="76"/>
      <c r="FVF60" s="76"/>
      <c r="FVG60" s="76"/>
      <c r="FVH60" s="76"/>
      <c r="FVI60" s="76"/>
      <c r="FVJ60" s="76"/>
      <c r="FVK60" s="76"/>
      <c r="FVL60" s="76"/>
      <c r="FVM60" s="76"/>
      <c r="FVN60" s="76"/>
      <c r="FVO60" s="76"/>
      <c r="FVP60" s="76"/>
      <c r="FVQ60" s="76"/>
      <c r="FVR60" s="76"/>
      <c r="FVS60" s="76"/>
      <c r="FVT60" s="76"/>
      <c r="FVU60" s="76"/>
      <c r="FVV60" s="76"/>
      <c r="FVW60" s="76"/>
      <c r="FVX60" s="76"/>
      <c r="FVY60" s="76"/>
      <c r="FVZ60" s="76"/>
      <c r="FWA60" s="76"/>
      <c r="FWB60" s="76"/>
      <c r="FWC60" s="76"/>
      <c r="FWD60" s="76"/>
      <c r="FWE60" s="76"/>
      <c r="FWF60" s="76"/>
      <c r="FWG60" s="76"/>
      <c r="FWH60" s="76"/>
      <c r="FWI60" s="76"/>
      <c r="FWJ60" s="76"/>
      <c r="FWK60" s="76"/>
      <c r="FWL60" s="76"/>
      <c r="FWM60" s="76"/>
      <c r="FWN60" s="76"/>
      <c r="FWO60" s="76"/>
      <c r="FWP60" s="76"/>
      <c r="FWQ60" s="76"/>
      <c r="FWR60" s="76"/>
      <c r="FWS60" s="76"/>
      <c r="FWT60" s="76"/>
      <c r="FWU60" s="76"/>
      <c r="FWV60" s="76"/>
      <c r="FWW60" s="76"/>
      <c r="FWX60" s="76"/>
      <c r="FWY60" s="76"/>
      <c r="FWZ60" s="76"/>
      <c r="FXA60" s="76"/>
      <c r="FXB60" s="76"/>
      <c r="FXC60" s="76"/>
      <c r="FXD60" s="76"/>
      <c r="FXE60" s="76"/>
      <c r="FXF60" s="76"/>
      <c r="FXG60" s="76"/>
      <c r="FXH60" s="76"/>
      <c r="FXI60" s="76"/>
      <c r="FXJ60" s="76"/>
      <c r="FXK60" s="76"/>
      <c r="FXL60" s="76"/>
      <c r="FXM60" s="76"/>
      <c r="FXN60" s="76"/>
      <c r="FXO60" s="76"/>
      <c r="FXP60" s="76"/>
      <c r="FXQ60" s="76"/>
      <c r="FXR60" s="76"/>
      <c r="FXS60" s="76"/>
      <c r="FXT60" s="76"/>
      <c r="FXU60" s="76"/>
      <c r="FXV60" s="76"/>
      <c r="FXW60" s="76"/>
      <c r="FXX60" s="76"/>
      <c r="FXY60" s="76"/>
      <c r="FXZ60" s="76"/>
      <c r="FYA60" s="76"/>
      <c r="FYB60" s="76"/>
      <c r="FYC60" s="76"/>
      <c r="FYD60" s="76"/>
      <c r="FYE60" s="76"/>
      <c r="FYF60" s="76"/>
      <c r="FYG60" s="76"/>
      <c r="FYH60" s="76"/>
      <c r="FYI60" s="76"/>
      <c r="FYJ60" s="76"/>
      <c r="FYK60" s="76"/>
      <c r="FYL60" s="76"/>
      <c r="FYM60" s="76"/>
      <c r="FYN60" s="76"/>
      <c r="FYO60" s="76"/>
      <c r="FYP60" s="76"/>
      <c r="FYQ60" s="76"/>
      <c r="FYR60" s="76"/>
      <c r="FYS60" s="76"/>
      <c r="FYT60" s="76"/>
      <c r="FYU60" s="76"/>
      <c r="FYV60" s="76"/>
      <c r="FYW60" s="76"/>
      <c r="FYX60" s="76"/>
      <c r="FYY60" s="76"/>
      <c r="FYZ60" s="76"/>
      <c r="FZA60" s="76"/>
      <c r="FZB60" s="76"/>
      <c r="FZC60" s="76"/>
      <c r="FZD60" s="76"/>
      <c r="FZE60" s="76"/>
      <c r="FZF60" s="76"/>
      <c r="FZG60" s="76"/>
      <c r="FZH60" s="76"/>
      <c r="FZI60" s="76"/>
      <c r="FZJ60" s="76"/>
      <c r="FZK60" s="76"/>
      <c r="FZL60" s="76"/>
      <c r="FZM60" s="76"/>
      <c r="FZN60" s="76"/>
      <c r="FZO60" s="76"/>
      <c r="FZP60" s="76"/>
      <c r="FZQ60" s="76"/>
      <c r="FZR60" s="76"/>
      <c r="FZS60" s="76"/>
      <c r="FZT60" s="76"/>
      <c r="FZU60" s="76"/>
      <c r="FZV60" s="76"/>
      <c r="FZW60" s="76"/>
      <c r="FZX60" s="76"/>
      <c r="FZY60" s="76"/>
      <c r="FZZ60" s="76"/>
      <c r="GAA60" s="76"/>
      <c r="GAB60" s="76"/>
      <c r="GAC60" s="76"/>
      <c r="GAD60" s="76"/>
      <c r="GAE60" s="76"/>
      <c r="GAF60" s="76"/>
      <c r="GAG60" s="76"/>
      <c r="GAH60" s="76"/>
      <c r="GAI60" s="76"/>
      <c r="GAJ60" s="76"/>
      <c r="GAK60" s="76"/>
      <c r="GAL60" s="76"/>
      <c r="GAM60" s="76"/>
      <c r="GAN60" s="76"/>
      <c r="GAO60" s="76"/>
      <c r="GAP60" s="76"/>
      <c r="GAQ60" s="76"/>
      <c r="GAR60" s="76"/>
      <c r="GAS60" s="76"/>
      <c r="GAT60" s="76"/>
      <c r="GAU60" s="76"/>
      <c r="GAV60" s="76"/>
      <c r="GAW60" s="76"/>
      <c r="GAX60" s="76"/>
      <c r="GAY60" s="76"/>
      <c r="GAZ60" s="76"/>
      <c r="GBA60" s="76"/>
      <c r="GBB60" s="76"/>
      <c r="GBC60" s="76"/>
      <c r="GBD60" s="76"/>
      <c r="GBE60" s="76"/>
      <c r="GBF60" s="76"/>
      <c r="GBG60" s="76"/>
      <c r="GBH60" s="76"/>
      <c r="GBI60" s="76"/>
      <c r="GBJ60" s="76"/>
      <c r="GBK60" s="76"/>
      <c r="GBL60" s="76"/>
      <c r="GBM60" s="76"/>
      <c r="GBN60" s="76"/>
      <c r="GBO60" s="76"/>
      <c r="GBP60" s="76"/>
      <c r="GBQ60" s="76"/>
      <c r="GBR60" s="76"/>
      <c r="GBS60" s="76"/>
      <c r="GBT60" s="76"/>
      <c r="GBU60" s="76"/>
      <c r="GBV60" s="76"/>
      <c r="GBW60" s="76"/>
      <c r="GBX60" s="76"/>
      <c r="GBY60" s="76"/>
      <c r="GBZ60" s="76"/>
      <c r="GCA60" s="76"/>
      <c r="GCB60" s="76"/>
      <c r="GCC60" s="76"/>
      <c r="GCD60" s="76"/>
      <c r="GCE60" s="76"/>
      <c r="GCF60" s="76"/>
      <c r="GCG60" s="76"/>
      <c r="GCH60" s="76"/>
      <c r="GCI60" s="76"/>
      <c r="GCJ60" s="76"/>
      <c r="GCK60" s="76"/>
      <c r="GCL60" s="76"/>
      <c r="GCM60" s="76"/>
      <c r="GCN60" s="76"/>
      <c r="GCO60" s="76"/>
      <c r="GCP60" s="76"/>
      <c r="GCQ60" s="76"/>
      <c r="GCR60" s="76"/>
      <c r="GCS60" s="76"/>
      <c r="GCT60" s="76"/>
      <c r="GCU60" s="76"/>
      <c r="GCV60" s="76"/>
      <c r="GCW60" s="76"/>
      <c r="GCX60" s="76"/>
      <c r="GCY60" s="76"/>
      <c r="GCZ60" s="76"/>
      <c r="GDA60" s="76"/>
      <c r="GDB60" s="76"/>
      <c r="GDC60" s="76"/>
      <c r="GDD60" s="76"/>
      <c r="GDE60" s="76"/>
      <c r="GDF60" s="76"/>
      <c r="GDG60" s="76"/>
      <c r="GDH60" s="76"/>
      <c r="GDI60" s="76"/>
      <c r="GDJ60" s="76"/>
      <c r="GDK60" s="76"/>
      <c r="GDL60" s="76"/>
      <c r="GDM60" s="76"/>
      <c r="GDN60" s="76"/>
      <c r="GDO60" s="76"/>
      <c r="GDP60" s="76"/>
      <c r="GDQ60" s="76"/>
      <c r="GDR60" s="76"/>
      <c r="GDS60" s="76"/>
      <c r="GDT60" s="76"/>
      <c r="GDU60" s="76"/>
      <c r="GDV60" s="76"/>
      <c r="GDW60" s="76"/>
      <c r="GDX60" s="76"/>
      <c r="GDY60" s="76"/>
      <c r="GDZ60" s="76"/>
      <c r="GEA60" s="76"/>
      <c r="GEB60" s="76"/>
      <c r="GEC60" s="76"/>
      <c r="GED60" s="76"/>
      <c r="GEE60" s="76"/>
      <c r="GEF60" s="76"/>
      <c r="GEG60" s="76"/>
      <c r="GEH60" s="76"/>
      <c r="GEI60" s="76"/>
      <c r="GEJ60" s="76"/>
      <c r="GEK60" s="76"/>
      <c r="GEL60" s="76"/>
      <c r="GEM60" s="76"/>
      <c r="GEN60" s="76"/>
      <c r="GEO60" s="76"/>
      <c r="GEP60" s="76"/>
      <c r="GEQ60" s="76"/>
      <c r="GER60" s="76"/>
      <c r="GES60" s="76"/>
      <c r="GET60" s="76"/>
      <c r="GEU60" s="76"/>
      <c r="GEV60" s="76"/>
      <c r="GEW60" s="76"/>
      <c r="GEX60" s="76"/>
      <c r="GEY60" s="76"/>
      <c r="GEZ60" s="76"/>
      <c r="GFA60" s="76"/>
      <c r="GFB60" s="76"/>
      <c r="GFC60" s="76"/>
      <c r="GFD60" s="76"/>
      <c r="GFE60" s="76"/>
      <c r="GFF60" s="76"/>
      <c r="GFG60" s="76"/>
      <c r="GFH60" s="76"/>
      <c r="GFI60" s="76"/>
      <c r="GFJ60" s="76"/>
      <c r="GFK60" s="76"/>
      <c r="GFL60" s="76"/>
      <c r="GFM60" s="76"/>
      <c r="GFN60" s="76"/>
      <c r="GFO60" s="76"/>
      <c r="GFP60" s="76"/>
      <c r="GFQ60" s="76"/>
      <c r="GFR60" s="76"/>
      <c r="GFS60" s="76"/>
      <c r="GFT60" s="76"/>
      <c r="GFU60" s="76"/>
      <c r="GFV60" s="76"/>
      <c r="GFW60" s="76"/>
      <c r="GFX60" s="76"/>
      <c r="GFY60" s="76"/>
      <c r="GFZ60" s="76"/>
      <c r="GGA60" s="76"/>
      <c r="GGB60" s="76"/>
      <c r="GGC60" s="76"/>
      <c r="GGD60" s="76"/>
      <c r="GGE60" s="76"/>
      <c r="GGF60" s="76"/>
      <c r="GGG60" s="76"/>
      <c r="GGH60" s="76"/>
      <c r="GGI60" s="76"/>
      <c r="GGJ60" s="76"/>
      <c r="GGK60" s="76"/>
      <c r="GGL60" s="76"/>
      <c r="GGM60" s="76"/>
      <c r="GGN60" s="76"/>
      <c r="GGO60" s="76"/>
      <c r="GGP60" s="76"/>
      <c r="GGQ60" s="76"/>
      <c r="GGR60" s="76"/>
      <c r="GGS60" s="76"/>
      <c r="GGT60" s="76"/>
      <c r="GGU60" s="76"/>
      <c r="GGV60" s="76"/>
      <c r="GGW60" s="76"/>
      <c r="GGX60" s="76"/>
      <c r="GGY60" s="76"/>
      <c r="GGZ60" s="76"/>
      <c r="GHA60" s="76"/>
      <c r="GHB60" s="76"/>
      <c r="GHC60" s="76"/>
      <c r="GHD60" s="76"/>
      <c r="GHE60" s="76"/>
      <c r="GHF60" s="76"/>
      <c r="GHG60" s="76"/>
      <c r="GHH60" s="76"/>
      <c r="GHI60" s="76"/>
      <c r="GHJ60" s="76"/>
      <c r="GHK60" s="76"/>
      <c r="GHL60" s="76"/>
      <c r="GHM60" s="76"/>
      <c r="GHN60" s="76"/>
      <c r="GHO60" s="76"/>
      <c r="GHP60" s="76"/>
      <c r="GHQ60" s="76"/>
      <c r="GHR60" s="76"/>
      <c r="GHS60" s="76"/>
      <c r="GHT60" s="76"/>
      <c r="GHU60" s="76"/>
      <c r="GHV60" s="76"/>
      <c r="GHW60" s="76"/>
      <c r="GHX60" s="76"/>
      <c r="GHY60" s="76"/>
      <c r="GHZ60" s="76"/>
      <c r="GIA60" s="76"/>
      <c r="GIB60" s="76"/>
      <c r="GIC60" s="76"/>
      <c r="GID60" s="76"/>
      <c r="GIE60" s="76"/>
      <c r="GIF60" s="76"/>
      <c r="GIG60" s="76"/>
      <c r="GIH60" s="76"/>
      <c r="GII60" s="76"/>
      <c r="GIJ60" s="76"/>
      <c r="GIK60" s="76"/>
      <c r="GIL60" s="76"/>
      <c r="GIM60" s="76"/>
      <c r="GIN60" s="76"/>
      <c r="GIO60" s="76"/>
      <c r="GIP60" s="76"/>
      <c r="GIQ60" s="76"/>
      <c r="GIR60" s="76"/>
      <c r="GIS60" s="76"/>
      <c r="GIT60" s="76"/>
      <c r="GIU60" s="76"/>
      <c r="GIV60" s="76"/>
      <c r="GIW60" s="76"/>
      <c r="GIX60" s="76"/>
      <c r="GIY60" s="76"/>
      <c r="GIZ60" s="76"/>
      <c r="GJA60" s="76"/>
      <c r="GJB60" s="76"/>
      <c r="GJC60" s="76"/>
      <c r="GJD60" s="76"/>
      <c r="GJE60" s="76"/>
      <c r="GJF60" s="76"/>
      <c r="GJG60" s="76"/>
      <c r="GJH60" s="76"/>
      <c r="GJI60" s="76"/>
      <c r="GJJ60" s="76"/>
      <c r="GJK60" s="76"/>
      <c r="GJL60" s="76"/>
      <c r="GJM60" s="76"/>
      <c r="GJN60" s="76"/>
      <c r="GJO60" s="76"/>
      <c r="GJP60" s="76"/>
      <c r="GJQ60" s="76"/>
      <c r="GJR60" s="76"/>
      <c r="GJS60" s="76"/>
      <c r="GJT60" s="76"/>
      <c r="GJU60" s="76"/>
      <c r="GJV60" s="76"/>
      <c r="GJW60" s="76"/>
      <c r="GJX60" s="76"/>
      <c r="GJY60" s="76"/>
      <c r="GJZ60" s="76"/>
      <c r="GKA60" s="76"/>
      <c r="GKB60" s="76"/>
      <c r="GKC60" s="76"/>
      <c r="GKD60" s="76"/>
      <c r="GKE60" s="76"/>
      <c r="GKF60" s="76"/>
      <c r="GKG60" s="76"/>
      <c r="GKH60" s="76"/>
      <c r="GKI60" s="76"/>
      <c r="GKJ60" s="76"/>
      <c r="GKK60" s="76"/>
      <c r="GKL60" s="76"/>
      <c r="GKM60" s="76"/>
      <c r="GKN60" s="76"/>
      <c r="GKO60" s="76"/>
      <c r="GKP60" s="76"/>
      <c r="GKQ60" s="76"/>
      <c r="GKR60" s="76"/>
      <c r="GKS60" s="76"/>
      <c r="GKT60" s="76"/>
      <c r="GKU60" s="76"/>
      <c r="GKV60" s="76"/>
      <c r="GKW60" s="76"/>
      <c r="GKX60" s="76"/>
      <c r="GKY60" s="76"/>
      <c r="GKZ60" s="76"/>
      <c r="GLA60" s="76"/>
      <c r="GLB60" s="76"/>
      <c r="GLC60" s="76"/>
      <c r="GLD60" s="76"/>
      <c r="GLE60" s="76"/>
      <c r="GLF60" s="76"/>
      <c r="GLG60" s="76"/>
      <c r="GLH60" s="76"/>
      <c r="GLI60" s="76"/>
      <c r="GLJ60" s="76"/>
      <c r="GLK60" s="76"/>
      <c r="GLL60" s="76"/>
      <c r="GLM60" s="76"/>
      <c r="GLN60" s="76"/>
      <c r="GLO60" s="76"/>
      <c r="GLP60" s="76"/>
      <c r="GLQ60" s="76"/>
      <c r="GLR60" s="76"/>
      <c r="GLS60" s="76"/>
      <c r="GLT60" s="76"/>
      <c r="GLU60" s="76"/>
      <c r="GLV60" s="76"/>
      <c r="GLW60" s="76"/>
      <c r="GLX60" s="76"/>
      <c r="GLY60" s="76"/>
      <c r="GLZ60" s="76"/>
      <c r="GMA60" s="76"/>
      <c r="GMB60" s="76"/>
      <c r="GMC60" s="76"/>
      <c r="GMD60" s="76"/>
      <c r="GME60" s="76"/>
      <c r="GMF60" s="76"/>
      <c r="GMG60" s="76"/>
      <c r="GMH60" s="76"/>
      <c r="GMI60" s="76"/>
      <c r="GMJ60" s="76"/>
      <c r="GMK60" s="76"/>
      <c r="GML60" s="76"/>
      <c r="GMM60" s="76"/>
      <c r="GMN60" s="76"/>
      <c r="GMO60" s="76"/>
      <c r="GMP60" s="76"/>
      <c r="GMQ60" s="76"/>
      <c r="GMR60" s="76"/>
      <c r="GMS60" s="76"/>
      <c r="GMT60" s="76"/>
      <c r="GMU60" s="76"/>
      <c r="GMV60" s="76"/>
      <c r="GMW60" s="76"/>
      <c r="GMX60" s="76"/>
      <c r="GMY60" s="76"/>
      <c r="GMZ60" s="76"/>
      <c r="GNA60" s="76"/>
      <c r="GNB60" s="76"/>
      <c r="GNC60" s="76"/>
      <c r="GND60" s="76"/>
      <c r="GNE60" s="76"/>
      <c r="GNF60" s="76"/>
      <c r="GNG60" s="76"/>
      <c r="GNH60" s="76"/>
      <c r="GNI60" s="76"/>
      <c r="GNJ60" s="76"/>
      <c r="GNK60" s="76"/>
      <c r="GNL60" s="76"/>
      <c r="GNM60" s="76"/>
      <c r="GNN60" s="76"/>
      <c r="GNO60" s="76"/>
      <c r="GNP60" s="76"/>
      <c r="GNQ60" s="76"/>
      <c r="GNR60" s="76"/>
      <c r="GNS60" s="76"/>
      <c r="GNT60" s="76"/>
      <c r="GNU60" s="76"/>
      <c r="GNV60" s="76"/>
      <c r="GNW60" s="76"/>
      <c r="GNX60" s="76"/>
      <c r="GNY60" s="76"/>
      <c r="GNZ60" s="76"/>
      <c r="GOA60" s="76"/>
      <c r="GOB60" s="76"/>
      <c r="GOC60" s="76"/>
      <c r="GOD60" s="76"/>
      <c r="GOE60" s="76"/>
      <c r="GOF60" s="76"/>
      <c r="GOG60" s="76"/>
      <c r="GOH60" s="76"/>
      <c r="GOI60" s="76"/>
      <c r="GOJ60" s="76"/>
      <c r="GOK60" s="76"/>
      <c r="GOL60" s="76"/>
      <c r="GOM60" s="76"/>
      <c r="GON60" s="76"/>
      <c r="GOO60" s="76"/>
      <c r="GOP60" s="76"/>
      <c r="GOQ60" s="76"/>
      <c r="GOR60" s="76"/>
      <c r="GOS60" s="76"/>
      <c r="GOT60" s="76"/>
      <c r="GOU60" s="76"/>
      <c r="GOV60" s="76"/>
      <c r="GOW60" s="76"/>
      <c r="GOX60" s="76"/>
      <c r="GOY60" s="76"/>
      <c r="GOZ60" s="76"/>
      <c r="GPA60" s="76"/>
      <c r="GPB60" s="76"/>
      <c r="GPC60" s="76"/>
      <c r="GPD60" s="76"/>
      <c r="GPE60" s="76"/>
      <c r="GPF60" s="76"/>
      <c r="GPG60" s="76"/>
      <c r="GPH60" s="76"/>
      <c r="GPI60" s="76"/>
      <c r="GPJ60" s="76"/>
      <c r="GPK60" s="76"/>
      <c r="GPL60" s="76"/>
      <c r="GPM60" s="76"/>
      <c r="GPN60" s="76"/>
      <c r="GPO60" s="76"/>
      <c r="GPP60" s="76"/>
      <c r="GPQ60" s="76"/>
      <c r="GPR60" s="76"/>
      <c r="GPS60" s="76"/>
      <c r="GPT60" s="76"/>
      <c r="GPU60" s="76"/>
      <c r="GPV60" s="76"/>
      <c r="GPW60" s="76"/>
      <c r="GPX60" s="76"/>
      <c r="GPY60" s="76"/>
      <c r="GPZ60" s="76"/>
      <c r="GQA60" s="76"/>
      <c r="GQB60" s="76"/>
      <c r="GQC60" s="76"/>
      <c r="GQD60" s="76"/>
      <c r="GQE60" s="76"/>
      <c r="GQF60" s="76"/>
      <c r="GQG60" s="76"/>
      <c r="GQH60" s="76"/>
      <c r="GQI60" s="76"/>
      <c r="GQJ60" s="76"/>
      <c r="GQK60" s="76"/>
      <c r="GQL60" s="76"/>
      <c r="GQM60" s="76"/>
      <c r="GQN60" s="76"/>
      <c r="GQO60" s="76"/>
      <c r="GQP60" s="76"/>
      <c r="GQQ60" s="76"/>
      <c r="GQR60" s="76"/>
      <c r="GQS60" s="76"/>
      <c r="GQT60" s="76"/>
      <c r="GQU60" s="76"/>
      <c r="GQV60" s="76"/>
      <c r="GQW60" s="76"/>
      <c r="GQX60" s="76"/>
      <c r="GQY60" s="76"/>
      <c r="GQZ60" s="76"/>
      <c r="GRA60" s="76"/>
      <c r="GRB60" s="76"/>
      <c r="GRC60" s="76"/>
      <c r="GRD60" s="76"/>
      <c r="GRE60" s="76"/>
      <c r="GRF60" s="76"/>
      <c r="GRG60" s="76"/>
      <c r="GRH60" s="76"/>
      <c r="GRI60" s="76"/>
      <c r="GRJ60" s="76"/>
      <c r="GRK60" s="76"/>
      <c r="GRL60" s="76"/>
      <c r="GRM60" s="76"/>
      <c r="GRN60" s="76"/>
      <c r="GRO60" s="76"/>
      <c r="GRP60" s="76"/>
      <c r="GRQ60" s="76"/>
      <c r="GRR60" s="76"/>
      <c r="GRS60" s="76"/>
      <c r="GRT60" s="76"/>
      <c r="GRU60" s="76"/>
      <c r="GRV60" s="76"/>
      <c r="GRW60" s="76"/>
      <c r="GRX60" s="76"/>
      <c r="GRY60" s="76"/>
      <c r="GRZ60" s="76"/>
      <c r="GSA60" s="76"/>
      <c r="GSB60" s="76"/>
      <c r="GSC60" s="76"/>
      <c r="GSD60" s="76"/>
      <c r="GSE60" s="76"/>
      <c r="GSF60" s="76"/>
      <c r="GSG60" s="76"/>
      <c r="GSH60" s="76"/>
      <c r="GSI60" s="76"/>
      <c r="GSJ60" s="76"/>
      <c r="GSK60" s="76"/>
      <c r="GSL60" s="76"/>
      <c r="GSM60" s="76"/>
      <c r="GSN60" s="76"/>
      <c r="GSO60" s="76"/>
      <c r="GSP60" s="76"/>
      <c r="GSQ60" s="76"/>
      <c r="GSR60" s="76"/>
      <c r="GSS60" s="76"/>
      <c r="GST60" s="76"/>
      <c r="GSU60" s="76"/>
      <c r="GSV60" s="76"/>
      <c r="GSW60" s="76"/>
      <c r="GSX60" s="76"/>
      <c r="GSY60" s="76"/>
      <c r="GSZ60" s="76"/>
      <c r="GTA60" s="76"/>
      <c r="GTB60" s="76"/>
      <c r="GTC60" s="76"/>
      <c r="GTD60" s="76"/>
      <c r="GTE60" s="76"/>
      <c r="GTF60" s="76"/>
      <c r="GTG60" s="76"/>
      <c r="GTH60" s="76"/>
      <c r="GTI60" s="76"/>
      <c r="GTJ60" s="76"/>
      <c r="GTK60" s="76"/>
      <c r="GTL60" s="76"/>
      <c r="GTM60" s="76"/>
      <c r="GTN60" s="76"/>
      <c r="GTO60" s="76"/>
      <c r="GTP60" s="76"/>
      <c r="GTQ60" s="76"/>
      <c r="GTR60" s="76"/>
      <c r="GTS60" s="76"/>
      <c r="GTT60" s="76"/>
      <c r="GTU60" s="76"/>
      <c r="GTV60" s="76"/>
      <c r="GTW60" s="76"/>
      <c r="GTX60" s="76"/>
      <c r="GTY60" s="76"/>
      <c r="GTZ60" s="76"/>
      <c r="GUA60" s="76"/>
      <c r="GUB60" s="76"/>
      <c r="GUC60" s="76"/>
      <c r="GUD60" s="76"/>
      <c r="GUE60" s="76"/>
      <c r="GUF60" s="76"/>
      <c r="GUG60" s="76"/>
      <c r="GUH60" s="76"/>
      <c r="GUI60" s="76"/>
      <c r="GUJ60" s="76"/>
      <c r="GUK60" s="76"/>
      <c r="GUL60" s="76"/>
      <c r="GUM60" s="76"/>
      <c r="GUN60" s="76"/>
      <c r="GUO60" s="76"/>
      <c r="GUP60" s="76"/>
      <c r="GUQ60" s="76"/>
      <c r="GUR60" s="76"/>
      <c r="GUS60" s="76"/>
      <c r="GUT60" s="76"/>
      <c r="GUU60" s="76"/>
      <c r="GUV60" s="76"/>
      <c r="GUW60" s="76"/>
      <c r="GUX60" s="76"/>
      <c r="GUY60" s="76"/>
      <c r="GUZ60" s="76"/>
      <c r="GVA60" s="76"/>
      <c r="GVB60" s="76"/>
      <c r="GVC60" s="76"/>
      <c r="GVD60" s="76"/>
      <c r="GVE60" s="76"/>
      <c r="GVF60" s="76"/>
      <c r="GVG60" s="76"/>
      <c r="GVH60" s="76"/>
      <c r="GVI60" s="76"/>
      <c r="GVJ60" s="76"/>
      <c r="GVK60" s="76"/>
      <c r="GVL60" s="76"/>
      <c r="GVM60" s="76"/>
      <c r="GVN60" s="76"/>
      <c r="GVO60" s="76"/>
      <c r="GVP60" s="76"/>
      <c r="GVQ60" s="76"/>
      <c r="GVR60" s="76"/>
      <c r="GVS60" s="76"/>
      <c r="GVT60" s="76"/>
      <c r="GVU60" s="76"/>
      <c r="GVV60" s="76"/>
      <c r="GVW60" s="76"/>
      <c r="GVX60" s="76"/>
      <c r="GVY60" s="76"/>
      <c r="GVZ60" s="76"/>
      <c r="GWA60" s="76"/>
      <c r="GWB60" s="76"/>
      <c r="GWC60" s="76"/>
      <c r="GWD60" s="76"/>
      <c r="GWE60" s="76"/>
      <c r="GWF60" s="76"/>
      <c r="GWG60" s="76"/>
      <c r="GWH60" s="76"/>
      <c r="GWI60" s="76"/>
      <c r="GWJ60" s="76"/>
      <c r="GWK60" s="76"/>
      <c r="GWL60" s="76"/>
      <c r="GWM60" s="76"/>
      <c r="GWN60" s="76"/>
      <c r="GWO60" s="76"/>
      <c r="GWP60" s="76"/>
      <c r="GWQ60" s="76"/>
      <c r="GWR60" s="76"/>
      <c r="GWS60" s="76"/>
      <c r="GWT60" s="76"/>
      <c r="GWU60" s="76"/>
      <c r="GWV60" s="76"/>
      <c r="GWW60" s="76"/>
      <c r="GWX60" s="76"/>
      <c r="GWY60" s="76"/>
      <c r="GWZ60" s="76"/>
      <c r="GXA60" s="76"/>
      <c r="GXB60" s="76"/>
      <c r="GXC60" s="76"/>
      <c r="GXD60" s="76"/>
      <c r="GXE60" s="76"/>
      <c r="GXF60" s="76"/>
      <c r="GXG60" s="76"/>
      <c r="GXH60" s="76"/>
      <c r="GXI60" s="76"/>
      <c r="GXJ60" s="76"/>
      <c r="GXK60" s="76"/>
      <c r="GXL60" s="76"/>
      <c r="GXM60" s="76"/>
      <c r="GXN60" s="76"/>
      <c r="GXO60" s="76"/>
      <c r="GXP60" s="76"/>
      <c r="GXQ60" s="76"/>
      <c r="GXR60" s="76"/>
      <c r="GXS60" s="76"/>
      <c r="GXT60" s="76"/>
      <c r="GXU60" s="76"/>
      <c r="GXV60" s="76"/>
      <c r="GXW60" s="76"/>
      <c r="GXX60" s="76"/>
      <c r="GXY60" s="76"/>
      <c r="GXZ60" s="76"/>
      <c r="GYA60" s="76"/>
      <c r="GYB60" s="76"/>
      <c r="GYC60" s="76"/>
      <c r="GYD60" s="76"/>
      <c r="GYE60" s="76"/>
      <c r="GYF60" s="76"/>
      <c r="GYG60" s="76"/>
      <c r="GYH60" s="76"/>
      <c r="GYI60" s="76"/>
      <c r="GYJ60" s="76"/>
      <c r="GYK60" s="76"/>
      <c r="GYL60" s="76"/>
      <c r="GYM60" s="76"/>
      <c r="GYN60" s="76"/>
      <c r="GYO60" s="76"/>
      <c r="GYP60" s="76"/>
      <c r="GYQ60" s="76"/>
      <c r="GYR60" s="76"/>
      <c r="GYS60" s="76"/>
      <c r="GYT60" s="76"/>
      <c r="GYU60" s="76"/>
      <c r="GYV60" s="76"/>
      <c r="GYW60" s="76"/>
      <c r="GYX60" s="76"/>
      <c r="GYY60" s="76"/>
      <c r="GYZ60" s="76"/>
      <c r="GZA60" s="76"/>
      <c r="GZB60" s="76"/>
      <c r="GZC60" s="76"/>
      <c r="GZD60" s="76"/>
      <c r="GZE60" s="76"/>
      <c r="GZF60" s="76"/>
      <c r="GZG60" s="76"/>
      <c r="GZH60" s="76"/>
      <c r="GZI60" s="76"/>
      <c r="GZJ60" s="76"/>
      <c r="GZK60" s="76"/>
      <c r="GZL60" s="76"/>
      <c r="GZM60" s="76"/>
      <c r="GZN60" s="76"/>
      <c r="GZO60" s="76"/>
      <c r="GZP60" s="76"/>
      <c r="GZQ60" s="76"/>
      <c r="GZR60" s="76"/>
      <c r="GZS60" s="76"/>
      <c r="GZT60" s="76"/>
      <c r="GZU60" s="76"/>
      <c r="GZV60" s="76"/>
      <c r="GZW60" s="76"/>
      <c r="GZX60" s="76"/>
      <c r="GZY60" s="76"/>
      <c r="GZZ60" s="76"/>
      <c r="HAA60" s="76"/>
      <c r="HAB60" s="76"/>
      <c r="HAC60" s="76"/>
      <c r="HAD60" s="76"/>
      <c r="HAE60" s="76"/>
      <c r="HAF60" s="76"/>
      <c r="HAG60" s="76"/>
      <c r="HAH60" s="76"/>
      <c r="HAI60" s="76"/>
      <c r="HAJ60" s="76"/>
      <c r="HAK60" s="76"/>
      <c r="HAL60" s="76"/>
      <c r="HAM60" s="76"/>
      <c r="HAN60" s="76"/>
      <c r="HAO60" s="76"/>
      <c r="HAP60" s="76"/>
      <c r="HAQ60" s="76"/>
      <c r="HAR60" s="76"/>
      <c r="HAS60" s="76"/>
      <c r="HAT60" s="76"/>
      <c r="HAU60" s="76"/>
      <c r="HAV60" s="76"/>
      <c r="HAW60" s="76"/>
      <c r="HAX60" s="76"/>
      <c r="HAY60" s="76"/>
      <c r="HAZ60" s="76"/>
      <c r="HBA60" s="76"/>
      <c r="HBB60" s="76"/>
      <c r="HBC60" s="76"/>
      <c r="HBD60" s="76"/>
      <c r="HBE60" s="76"/>
      <c r="HBF60" s="76"/>
      <c r="HBG60" s="76"/>
      <c r="HBH60" s="76"/>
      <c r="HBI60" s="76"/>
      <c r="HBJ60" s="76"/>
      <c r="HBK60" s="76"/>
      <c r="HBL60" s="76"/>
      <c r="HBM60" s="76"/>
      <c r="HBN60" s="76"/>
      <c r="HBO60" s="76"/>
      <c r="HBP60" s="76"/>
      <c r="HBQ60" s="76"/>
      <c r="HBR60" s="76"/>
      <c r="HBS60" s="76"/>
      <c r="HBT60" s="76"/>
      <c r="HBU60" s="76"/>
      <c r="HBV60" s="76"/>
      <c r="HBW60" s="76"/>
      <c r="HBX60" s="76"/>
      <c r="HBY60" s="76"/>
      <c r="HBZ60" s="76"/>
      <c r="HCA60" s="76"/>
      <c r="HCB60" s="76"/>
      <c r="HCC60" s="76"/>
      <c r="HCD60" s="76"/>
      <c r="HCE60" s="76"/>
      <c r="HCF60" s="76"/>
      <c r="HCG60" s="76"/>
      <c r="HCH60" s="76"/>
      <c r="HCI60" s="76"/>
      <c r="HCJ60" s="76"/>
      <c r="HCK60" s="76"/>
      <c r="HCL60" s="76"/>
      <c r="HCM60" s="76"/>
      <c r="HCN60" s="76"/>
      <c r="HCO60" s="76"/>
      <c r="HCP60" s="76"/>
      <c r="HCQ60" s="76"/>
      <c r="HCR60" s="76"/>
      <c r="HCS60" s="76"/>
      <c r="HCT60" s="76"/>
      <c r="HCU60" s="76"/>
      <c r="HCV60" s="76"/>
      <c r="HCW60" s="76"/>
      <c r="HCX60" s="76"/>
      <c r="HCY60" s="76"/>
      <c r="HCZ60" s="76"/>
      <c r="HDA60" s="76"/>
      <c r="HDB60" s="76"/>
      <c r="HDC60" s="76"/>
      <c r="HDD60" s="76"/>
      <c r="HDE60" s="76"/>
      <c r="HDF60" s="76"/>
      <c r="HDG60" s="76"/>
      <c r="HDH60" s="76"/>
      <c r="HDI60" s="76"/>
      <c r="HDJ60" s="76"/>
      <c r="HDK60" s="76"/>
      <c r="HDL60" s="76"/>
      <c r="HDM60" s="76"/>
      <c r="HDN60" s="76"/>
      <c r="HDO60" s="76"/>
      <c r="HDP60" s="76"/>
      <c r="HDQ60" s="76"/>
      <c r="HDR60" s="76"/>
      <c r="HDS60" s="76"/>
      <c r="HDT60" s="76"/>
      <c r="HDU60" s="76"/>
      <c r="HDV60" s="76"/>
      <c r="HDW60" s="76"/>
      <c r="HDX60" s="76"/>
      <c r="HDY60" s="76"/>
      <c r="HDZ60" s="76"/>
      <c r="HEA60" s="76"/>
      <c r="HEB60" s="76"/>
      <c r="HEC60" s="76"/>
      <c r="HED60" s="76"/>
      <c r="HEE60" s="76"/>
      <c r="HEF60" s="76"/>
      <c r="HEG60" s="76"/>
      <c r="HEH60" s="76"/>
      <c r="HEI60" s="76"/>
      <c r="HEJ60" s="76"/>
      <c r="HEK60" s="76"/>
      <c r="HEL60" s="76"/>
      <c r="HEM60" s="76"/>
      <c r="HEN60" s="76"/>
      <c r="HEO60" s="76"/>
      <c r="HEP60" s="76"/>
      <c r="HEQ60" s="76"/>
      <c r="HER60" s="76"/>
      <c r="HES60" s="76"/>
      <c r="HET60" s="76"/>
      <c r="HEU60" s="76"/>
      <c r="HEV60" s="76"/>
      <c r="HEW60" s="76"/>
      <c r="HEX60" s="76"/>
      <c r="HEY60" s="76"/>
      <c r="HEZ60" s="76"/>
      <c r="HFA60" s="76"/>
      <c r="HFB60" s="76"/>
      <c r="HFC60" s="76"/>
      <c r="HFD60" s="76"/>
      <c r="HFE60" s="76"/>
      <c r="HFF60" s="76"/>
      <c r="HFG60" s="76"/>
      <c r="HFH60" s="76"/>
      <c r="HFI60" s="76"/>
      <c r="HFJ60" s="76"/>
      <c r="HFK60" s="76"/>
      <c r="HFL60" s="76"/>
      <c r="HFM60" s="76"/>
      <c r="HFN60" s="76"/>
      <c r="HFO60" s="76"/>
      <c r="HFP60" s="76"/>
      <c r="HFQ60" s="76"/>
      <c r="HFR60" s="76"/>
      <c r="HFS60" s="76"/>
      <c r="HFT60" s="76"/>
      <c r="HFU60" s="76"/>
      <c r="HFV60" s="76"/>
      <c r="HFW60" s="76"/>
      <c r="HFX60" s="76"/>
      <c r="HFY60" s="76"/>
      <c r="HFZ60" s="76"/>
      <c r="HGA60" s="76"/>
      <c r="HGB60" s="76"/>
      <c r="HGC60" s="76"/>
      <c r="HGD60" s="76"/>
      <c r="HGE60" s="76"/>
      <c r="HGF60" s="76"/>
      <c r="HGG60" s="76"/>
      <c r="HGH60" s="76"/>
      <c r="HGI60" s="76"/>
      <c r="HGJ60" s="76"/>
      <c r="HGK60" s="76"/>
      <c r="HGL60" s="76"/>
      <c r="HGM60" s="76"/>
      <c r="HGN60" s="76"/>
      <c r="HGO60" s="76"/>
      <c r="HGP60" s="76"/>
      <c r="HGQ60" s="76"/>
      <c r="HGR60" s="76"/>
      <c r="HGS60" s="76"/>
      <c r="HGT60" s="76"/>
      <c r="HGU60" s="76"/>
      <c r="HGV60" s="76"/>
      <c r="HGW60" s="76"/>
      <c r="HGX60" s="76"/>
      <c r="HGY60" s="76"/>
      <c r="HGZ60" s="76"/>
      <c r="HHA60" s="76"/>
      <c r="HHB60" s="76"/>
      <c r="HHC60" s="76"/>
      <c r="HHD60" s="76"/>
      <c r="HHE60" s="76"/>
      <c r="HHF60" s="76"/>
      <c r="HHG60" s="76"/>
      <c r="HHH60" s="76"/>
      <c r="HHI60" s="76"/>
      <c r="HHJ60" s="76"/>
      <c r="HHK60" s="76"/>
      <c r="HHL60" s="76"/>
      <c r="HHM60" s="76"/>
      <c r="HHN60" s="76"/>
      <c r="HHO60" s="76"/>
      <c r="HHP60" s="76"/>
      <c r="HHQ60" s="76"/>
      <c r="HHR60" s="76"/>
      <c r="HHS60" s="76"/>
      <c r="HHT60" s="76"/>
      <c r="HHU60" s="76"/>
      <c r="HHV60" s="76"/>
      <c r="HHW60" s="76"/>
      <c r="HHX60" s="76"/>
      <c r="HHY60" s="76"/>
      <c r="HHZ60" s="76"/>
      <c r="HIA60" s="76"/>
      <c r="HIB60" s="76"/>
      <c r="HIC60" s="76"/>
      <c r="HID60" s="76"/>
      <c r="HIE60" s="76"/>
      <c r="HIF60" s="76"/>
      <c r="HIG60" s="76"/>
      <c r="HIH60" s="76"/>
      <c r="HII60" s="76"/>
      <c r="HIJ60" s="76"/>
      <c r="HIK60" s="76"/>
      <c r="HIL60" s="76"/>
      <c r="HIM60" s="76"/>
      <c r="HIN60" s="76"/>
      <c r="HIO60" s="76"/>
      <c r="HIP60" s="76"/>
      <c r="HIQ60" s="76"/>
      <c r="HIR60" s="76"/>
      <c r="HIS60" s="76"/>
      <c r="HIT60" s="76"/>
      <c r="HIU60" s="76"/>
      <c r="HIV60" s="76"/>
      <c r="HIW60" s="76"/>
      <c r="HIX60" s="76"/>
      <c r="HIY60" s="76"/>
      <c r="HIZ60" s="76"/>
      <c r="HJA60" s="76"/>
      <c r="HJB60" s="76"/>
      <c r="HJC60" s="76"/>
      <c r="HJD60" s="76"/>
      <c r="HJE60" s="76"/>
      <c r="HJF60" s="76"/>
      <c r="HJG60" s="76"/>
      <c r="HJH60" s="76"/>
      <c r="HJI60" s="76"/>
      <c r="HJJ60" s="76"/>
      <c r="HJK60" s="76"/>
      <c r="HJL60" s="76"/>
      <c r="HJM60" s="76"/>
      <c r="HJN60" s="76"/>
      <c r="HJO60" s="76"/>
      <c r="HJP60" s="76"/>
      <c r="HJQ60" s="76"/>
      <c r="HJR60" s="76"/>
      <c r="HJS60" s="76"/>
      <c r="HJT60" s="76"/>
      <c r="HJU60" s="76"/>
      <c r="HJV60" s="76"/>
      <c r="HJW60" s="76"/>
      <c r="HJX60" s="76"/>
      <c r="HJY60" s="76"/>
      <c r="HJZ60" s="76"/>
      <c r="HKA60" s="76"/>
      <c r="HKB60" s="76"/>
      <c r="HKC60" s="76"/>
      <c r="HKD60" s="76"/>
      <c r="HKE60" s="76"/>
      <c r="HKF60" s="76"/>
      <c r="HKG60" s="76"/>
      <c r="HKH60" s="76"/>
      <c r="HKI60" s="76"/>
      <c r="HKJ60" s="76"/>
      <c r="HKK60" s="76"/>
      <c r="HKL60" s="76"/>
      <c r="HKM60" s="76"/>
      <c r="HKN60" s="76"/>
      <c r="HKO60" s="76"/>
      <c r="HKP60" s="76"/>
      <c r="HKQ60" s="76"/>
      <c r="HKR60" s="76"/>
      <c r="HKS60" s="76"/>
      <c r="HKT60" s="76"/>
      <c r="HKU60" s="76"/>
      <c r="HKV60" s="76"/>
      <c r="HKW60" s="76"/>
      <c r="HKX60" s="76"/>
      <c r="HKY60" s="76"/>
      <c r="HKZ60" s="76"/>
      <c r="HLA60" s="76"/>
      <c r="HLB60" s="76"/>
      <c r="HLC60" s="76"/>
      <c r="HLD60" s="76"/>
      <c r="HLE60" s="76"/>
      <c r="HLF60" s="76"/>
      <c r="HLG60" s="76"/>
      <c r="HLH60" s="76"/>
      <c r="HLI60" s="76"/>
      <c r="HLJ60" s="76"/>
      <c r="HLK60" s="76"/>
      <c r="HLL60" s="76"/>
      <c r="HLM60" s="76"/>
      <c r="HLN60" s="76"/>
      <c r="HLO60" s="76"/>
      <c r="HLP60" s="76"/>
      <c r="HLQ60" s="76"/>
      <c r="HLR60" s="76"/>
      <c r="HLS60" s="76"/>
      <c r="HLT60" s="76"/>
      <c r="HLU60" s="76"/>
      <c r="HLV60" s="76"/>
      <c r="HLW60" s="76"/>
      <c r="HLX60" s="76"/>
      <c r="HLY60" s="76"/>
      <c r="HLZ60" s="76"/>
      <c r="HMA60" s="76"/>
      <c r="HMB60" s="76"/>
      <c r="HMC60" s="76"/>
      <c r="HMD60" s="76"/>
      <c r="HME60" s="76"/>
      <c r="HMF60" s="76"/>
      <c r="HMG60" s="76"/>
      <c r="HMH60" s="76"/>
      <c r="HMI60" s="76"/>
      <c r="HMJ60" s="76"/>
      <c r="HMK60" s="76"/>
      <c r="HML60" s="76"/>
      <c r="HMM60" s="76"/>
      <c r="HMN60" s="76"/>
      <c r="HMO60" s="76"/>
      <c r="HMP60" s="76"/>
      <c r="HMQ60" s="76"/>
      <c r="HMR60" s="76"/>
      <c r="HMS60" s="76"/>
      <c r="HMT60" s="76"/>
      <c r="HMU60" s="76"/>
      <c r="HMV60" s="76"/>
      <c r="HMW60" s="76"/>
      <c r="HMX60" s="76"/>
      <c r="HMY60" s="76"/>
      <c r="HMZ60" s="76"/>
      <c r="HNA60" s="76"/>
      <c r="HNB60" s="76"/>
      <c r="HNC60" s="76"/>
      <c r="HND60" s="76"/>
      <c r="HNE60" s="76"/>
      <c r="HNF60" s="76"/>
      <c r="HNG60" s="76"/>
      <c r="HNH60" s="76"/>
      <c r="HNI60" s="76"/>
      <c r="HNJ60" s="76"/>
      <c r="HNK60" s="76"/>
      <c r="HNL60" s="76"/>
      <c r="HNM60" s="76"/>
      <c r="HNN60" s="76"/>
      <c r="HNO60" s="76"/>
      <c r="HNP60" s="76"/>
      <c r="HNQ60" s="76"/>
      <c r="HNR60" s="76"/>
      <c r="HNS60" s="76"/>
      <c r="HNT60" s="76"/>
      <c r="HNU60" s="76"/>
      <c r="HNV60" s="76"/>
      <c r="HNW60" s="76"/>
      <c r="HNX60" s="76"/>
      <c r="HNY60" s="76"/>
      <c r="HNZ60" s="76"/>
      <c r="HOA60" s="76"/>
      <c r="HOB60" s="76"/>
      <c r="HOC60" s="76"/>
      <c r="HOD60" s="76"/>
      <c r="HOE60" s="76"/>
      <c r="HOF60" s="76"/>
      <c r="HOG60" s="76"/>
      <c r="HOH60" s="76"/>
      <c r="HOI60" s="76"/>
      <c r="HOJ60" s="76"/>
      <c r="HOK60" s="76"/>
      <c r="HOL60" s="76"/>
      <c r="HOM60" s="76"/>
      <c r="HON60" s="76"/>
      <c r="HOO60" s="76"/>
      <c r="HOP60" s="76"/>
      <c r="HOQ60" s="76"/>
      <c r="HOR60" s="76"/>
      <c r="HOS60" s="76"/>
      <c r="HOT60" s="76"/>
      <c r="HOU60" s="76"/>
      <c r="HOV60" s="76"/>
      <c r="HOW60" s="76"/>
      <c r="HOX60" s="76"/>
      <c r="HOY60" s="76"/>
      <c r="HOZ60" s="76"/>
      <c r="HPA60" s="76"/>
      <c r="HPB60" s="76"/>
      <c r="HPC60" s="76"/>
      <c r="HPD60" s="76"/>
      <c r="HPE60" s="76"/>
      <c r="HPF60" s="76"/>
      <c r="HPG60" s="76"/>
      <c r="HPH60" s="76"/>
      <c r="HPI60" s="76"/>
      <c r="HPJ60" s="76"/>
      <c r="HPK60" s="76"/>
      <c r="HPL60" s="76"/>
      <c r="HPM60" s="76"/>
      <c r="HPN60" s="76"/>
      <c r="HPO60" s="76"/>
      <c r="HPP60" s="76"/>
      <c r="HPQ60" s="76"/>
      <c r="HPR60" s="76"/>
      <c r="HPS60" s="76"/>
      <c r="HPT60" s="76"/>
      <c r="HPU60" s="76"/>
      <c r="HPV60" s="76"/>
      <c r="HPW60" s="76"/>
      <c r="HPX60" s="76"/>
      <c r="HPY60" s="76"/>
      <c r="HPZ60" s="76"/>
      <c r="HQA60" s="76"/>
      <c r="HQB60" s="76"/>
      <c r="HQC60" s="76"/>
      <c r="HQD60" s="76"/>
      <c r="HQE60" s="76"/>
      <c r="HQF60" s="76"/>
      <c r="HQG60" s="76"/>
      <c r="HQH60" s="76"/>
      <c r="HQI60" s="76"/>
      <c r="HQJ60" s="76"/>
      <c r="HQK60" s="76"/>
      <c r="HQL60" s="76"/>
      <c r="HQM60" s="76"/>
      <c r="HQN60" s="76"/>
      <c r="HQO60" s="76"/>
      <c r="HQP60" s="76"/>
      <c r="HQQ60" s="76"/>
      <c r="HQR60" s="76"/>
      <c r="HQS60" s="76"/>
      <c r="HQT60" s="76"/>
      <c r="HQU60" s="76"/>
      <c r="HQV60" s="76"/>
      <c r="HQW60" s="76"/>
      <c r="HQX60" s="76"/>
      <c r="HQY60" s="76"/>
      <c r="HQZ60" s="76"/>
      <c r="HRA60" s="76"/>
      <c r="HRB60" s="76"/>
      <c r="HRC60" s="76"/>
      <c r="HRD60" s="76"/>
      <c r="HRE60" s="76"/>
      <c r="HRF60" s="76"/>
      <c r="HRG60" s="76"/>
      <c r="HRH60" s="76"/>
      <c r="HRI60" s="76"/>
      <c r="HRJ60" s="76"/>
      <c r="HRK60" s="76"/>
      <c r="HRL60" s="76"/>
      <c r="HRM60" s="76"/>
      <c r="HRN60" s="76"/>
      <c r="HRO60" s="76"/>
      <c r="HRP60" s="76"/>
      <c r="HRQ60" s="76"/>
      <c r="HRR60" s="76"/>
      <c r="HRS60" s="76"/>
      <c r="HRT60" s="76"/>
      <c r="HRU60" s="76"/>
      <c r="HRV60" s="76"/>
      <c r="HRW60" s="76"/>
      <c r="HRX60" s="76"/>
      <c r="HRY60" s="76"/>
      <c r="HRZ60" s="76"/>
      <c r="HSA60" s="76"/>
      <c r="HSB60" s="76"/>
      <c r="HSC60" s="76"/>
      <c r="HSD60" s="76"/>
      <c r="HSE60" s="76"/>
      <c r="HSF60" s="76"/>
      <c r="HSG60" s="76"/>
      <c r="HSH60" s="76"/>
      <c r="HSI60" s="76"/>
      <c r="HSJ60" s="76"/>
      <c r="HSK60" s="76"/>
      <c r="HSL60" s="76"/>
      <c r="HSM60" s="76"/>
      <c r="HSN60" s="76"/>
      <c r="HSO60" s="76"/>
      <c r="HSP60" s="76"/>
      <c r="HSQ60" s="76"/>
      <c r="HSR60" s="76"/>
      <c r="HSS60" s="76"/>
      <c r="HST60" s="76"/>
      <c r="HSU60" s="76"/>
      <c r="HSV60" s="76"/>
      <c r="HSW60" s="76"/>
      <c r="HSX60" s="76"/>
      <c r="HSY60" s="76"/>
      <c r="HSZ60" s="76"/>
      <c r="HTA60" s="76"/>
      <c r="HTB60" s="76"/>
      <c r="HTC60" s="76"/>
      <c r="HTD60" s="76"/>
      <c r="HTE60" s="76"/>
      <c r="HTF60" s="76"/>
      <c r="HTG60" s="76"/>
      <c r="HTH60" s="76"/>
      <c r="HTI60" s="76"/>
      <c r="HTJ60" s="76"/>
      <c r="HTK60" s="76"/>
      <c r="HTL60" s="76"/>
      <c r="HTM60" s="76"/>
      <c r="HTN60" s="76"/>
      <c r="HTO60" s="76"/>
      <c r="HTP60" s="76"/>
      <c r="HTQ60" s="76"/>
      <c r="HTR60" s="76"/>
      <c r="HTS60" s="76"/>
      <c r="HTT60" s="76"/>
      <c r="HTU60" s="76"/>
      <c r="HTV60" s="76"/>
      <c r="HTW60" s="76"/>
      <c r="HTX60" s="76"/>
      <c r="HTY60" s="76"/>
      <c r="HTZ60" s="76"/>
      <c r="HUA60" s="76"/>
      <c r="HUB60" s="76"/>
      <c r="HUC60" s="76"/>
      <c r="HUD60" s="76"/>
      <c r="HUE60" s="76"/>
      <c r="HUF60" s="76"/>
      <c r="HUG60" s="76"/>
      <c r="HUH60" s="76"/>
      <c r="HUI60" s="76"/>
      <c r="HUJ60" s="76"/>
      <c r="HUK60" s="76"/>
      <c r="HUL60" s="76"/>
      <c r="HUM60" s="76"/>
      <c r="HUN60" s="76"/>
      <c r="HUO60" s="76"/>
      <c r="HUP60" s="76"/>
      <c r="HUQ60" s="76"/>
      <c r="HUR60" s="76"/>
      <c r="HUS60" s="76"/>
      <c r="HUT60" s="76"/>
      <c r="HUU60" s="76"/>
      <c r="HUV60" s="76"/>
      <c r="HUW60" s="76"/>
      <c r="HUX60" s="76"/>
      <c r="HUY60" s="76"/>
      <c r="HUZ60" s="76"/>
      <c r="HVA60" s="76"/>
      <c r="HVB60" s="76"/>
      <c r="HVC60" s="76"/>
      <c r="HVD60" s="76"/>
      <c r="HVE60" s="76"/>
      <c r="HVF60" s="76"/>
      <c r="HVG60" s="76"/>
      <c r="HVH60" s="76"/>
      <c r="HVI60" s="76"/>
      <c r="HVJ60" s="76"/>
      <c r="HVK60" s="76"/>
      <c r="HVL60" s="76"/>
      <c r="HVM60" s="76"/>
      <c r="HVN60" s="76"/>
      <c r="HVO60" s="76"/>
      <c r="HVP60" s="76"/>
      <c r="HVQ60" s="76"/>
      <c r="HVR60" s="76"/>
      <c r="HVS60" s="76"/>
      <c r="HVT60" s="76"/>
      <c r="HVU60" s="76"/>
      <c r="HVV60" s="76"/>
      <c r="HVW60" s="76"/>
      <c r="HVX60" s="76"/>
      <c r="HVY60" s="76"/>
      <c r="HVZ60" s="76"/>
      <c r="HWA60" s="76"/>
      <c r="HWB60" s="76"/>
      <c r="HWC60" s="76"/>
      <c r="HWD60" s="76"/>
      <c r="HWE60" s="76"/>
      <c r="HWF60" s="76"/>
      <c r="HWG60" s="76"/>
      <c r="HWH60" s="76"/>
      <c r="HWI60" s="76"/>
      <c r="HWJ60" s="76"/>
      <c r="HWK60" s="76"/>
      <c r="HWL60" s="76"/>
      <c r="HWM60" s="76"/>
      <c r="HWN60" s="76"/>
      <c r="HWO60" s="76"/>
      <c r="HWP60" s="76"/>
      <c r="HWQ60" s="76"/>
      <c r="HWR60" s="76"/>
      <c r="HWS60" s="76"/>
      <c r="HWT60" s="76"/>
      <c r="HWU60" s="76"/>
      <c r="HWV60" s="76"/>
      <c r="HWW60" s="76"/>
      <c r="HWX60" s="76"/>
      <c r="HWY60" s="76"/>
      <c r="HWZ60" s="76"/>
      <c r="HXA60" s="76"/>
      <c r="HXB60" s="76"/>
      <c r="HXC60" s="76"/>
      <c r="HXD60" s="76"/>
      <c r="HXE60" s="76"/>
      <c r="HXF60" s="76"/>
      <c r="HXG60" s="76"/>
      <c r="HXH60" s="76"/>
      <c r="HXI60" s="76"/>
      <c r="HXJ60" s="76"/>
      <c r="HXK60" s="76"/>
      <c r="HXL60" s="76"/>
      <c r="HXM60" s="76"/>
      <c r="HXN60" s="76"/>
      <c r="HXO60" s="76"/>
      <c r="HXP60" s="76"/>
      <c r="HXQ60" s="76"/>
      <c r="HXR60" s="76"/>
      <c r="HXS60" s="76"/>
      <c r="HXT60" s="76"/>
      <c r="HXU60" s="76"/>
      <c r="HXV60" s="76"/>
      <c r="HXW60" s="76"/>
      <c r="HXX60" s="76"/>
      <c r="HXY60" s="76"/>
      <c r="HXZ60" s="76"/>
      <c r="HYA60" s="76"/>
      <c r="HYB60" s="76"/>
      <c r="HYC60" s="76"/>
      <c r="HYD60" s="76"/>
      <c r="HYE60" s="76"/>
      <c r="HYF60" s="76"/>
      <c r="HYG60" s="76"/>
      <c r="HYH60" s="76"/>
      <c r="HYI60" s="76"/>
      <c r="HYJ60" s="76"/>
      <c r="HYK60" s="76"/>
      <c r="HYL60" s="76"/>
      <c r="HYM60" s="76"/>
      <c r="HYN60" s="76"/>
      <c r="HYO60" s="76"/>
      <c r="HYP60" s="76"/>
      <c r="HYQ60" s="76"/>
      <c r="HYR60" s="76"/>
      <c r="HYS60" s="76"/>
      <c r="HYT60" s="76"/>
      <c r="HYU60" s="76"/>
      <c r="HYV60" s="76"/>
      <c r="HYW60" s="76"/>
      <c r="HYX60" s="76"/>
      <c r="HYY60" s="76"/>
      <c r="HYZ60" s="76"/>
      <c r="HZA60" s="76"/>
      <c r="HZB60" s="76"/>
      <c r="HZC60" s="76"/>
      <c r="HZD60" s="76"/>
      <c r="HZE60" s="76"/>
      <c r="HZF60" s="76"/>
      <c r="HZG60" s="76"/>
      <c r="HZH60" s="76"/>
      <c r="HZI60" s="76"/>
      <c r="HZJ60" s="76"/>
      <c r="HZK60" s="76"/>
      <c r="HZL60" s="76"/>
      <c r="HZM60" s="76"/>
      <c r="HZN60" s="76"/>
      <c r="HZO60" s="76"/>
      <c r="HZP60" s="76"/>
      <c r="HZQ60" s="76"/>
      <c r="HZR60" s="76"/>
      <c r="HZS60" s="76"/>
      <c r="HZT60" s="76"/>
      <c r="HZU60" s="76"/>
      <c r="HZV60" s="76"/>
      <c r="HZW60" s="76"/>
      <c r="HZX60" s="76"/>
      <c r="HZY60" s="76"/>
      <c r="HZZ60" s="76"/>
      <c r="IAA60" s="76"/>
      <c r="IAB60" s="76"/>
      <c r="IAC60" s="76"/>
      <c r="IAD60" s="76"/>
      <c r="IAE60" s="76"/>
      <c r="IAF60" s="76"/>
      <c r="IAG60" s="76"/>
      <c r="IAH60" s="76"/>
      <c r="IAI60" s="76"/>
      <c r="IAJ60" s="76"/>
      <c r="IAK60" s="76"/>
      <c r="IAL60" s="76"/>
      <c r="IAM60" s="76"/>
      <c r="IAN60" s="76"/>
      <c r="IAO60" s="76"/>
      <c r="IAP60" s="76"/>
      <c r="IAQ60" s="76"/>
      <c r="IAR60" s="76"/>
      <c r="IAS60" s="76"/>
      <c r="IAT60" s="76"/>
      <c r="IAU60" s="76"/>
      <c r="IAV60" s="76"/>
      <c r="IAW60" s="76"/>
      <c r="IAX60" s="76"/>
      <c r="IAY60" s="76"/>
      <c r="IAZ60" s="76"/>
      <c r="IBA60" s="76"/>
      <c r="IBB60" s="76"/>
      <c r="IBC60" s="76"/>
      <c r="IBD60" s="76"/>
      <c r="IBE60" s="76"/>
      <c r="IBF60" s="76"/>
      <c r="IBG60" s="76"/>
      <c r="IBH60" s="76"/>
      <c r="IBI60" s="76"/>
      <c r="IBJ60" s="76"/>
      <c r="IBK60" s="76"/>
      <c r="IBL60" s="76"/>
      <c r="IBM60" s="76"/>
      <c r="IBN60" s="76"/>
      <c r="IBO60" s="76"/>
      <c r="IBP60" s="76"/>
      <c r="IBQ60" s="76"/>
      <c r="IBR60" s="76"/>
      <c r="IBS60" s="76"/>
      <c r="IBT60" s="76"/>
      <c r="IBU60" s="76"/>
      <c r="IBV60" s="76"/>
      <c r="IBW60" s="76"/>
      <c r="IBX60" s="76"/>
      <c r="IBY60" s="76"/>
      <c r="IBZ60" s="76"/>
      <c r="ICA60" s="76"/>
      <c r="ICB60" s="76"/>
      <c r="ICC60" s="76"/>
      <c r="ICD60" s="76"/>
      <c r="ICE60" s="76"/>
      <c r="ICF60" s="76"/>
      <c r="ICG60" s="76"/>
      <c r="ICH60" s="76"/>
      <c r="ICI60" s="76"/>
      <c r="ICJ60" s="76"/>
      <c r="ICK60" s="76"/>
      <c r="ICL60" s="76"/>
      <c r="ICM60" s="76"/>
      <c r="ICN60" s="76"/>
      <c r="ICO60" s="76"/>
      <c r="ICP60" s="76"/>
      <c r="ICQ60" s="76"/>
      <c r="ICR60" s="76"/>
      <c r="ICS60" s="76"/>
      <c r="ICT60" s="76"/>
      <c r="ICU60" s="76"/>
      <c r="ICV60" s="76"/>
      <c r="ICW60" s="76"/>
      <c r="ICX60" s="76"/>
      <c r="ICY60" s="76"/>
      <c r="ICZ60" s="76"/>
      <c r="IDA60" s="76"/>
      <c r="IDB60" s="76"/>
      <c r="IDC60" s="76"/>
      <c r="IDD60" s="76"/>
      <c r="IDE60" s="76"/>
      <c r="IDF60" s="76"/>
      <c r="IDG60" s="76"/>
      <c r="IDH60" s="76"/>
      <c r="IDI60" s="76"/>
      <c r="IDJ60" s="76"/>
      <c r="IDK60" s="76"/>
      <c r="IDL60" s="76"/>
      <c r="IDM60" s="76"/>
      <c r="IDN60" s="76"/>
      <c r="IDO60" s="76"/>
      <c r="IDP60" s="76"/>
      <c r="IDQ60" s="76"/>
      <c r="IDR60" s="76"/>
      <c r="IDS60" s="76"/>
      <c r="IDT60" s="76"/>
      <c r="IDU60" s="76"/>
      <c r="IDV60" s="76"/>
      <c r="IDW60" s="76"/>
      <c r="IDX60" s="76"/>
      <c r="IDY60" s="76"/>
      <c r="IDZ60" s="76"/>
      <c r="IEA60" s="76"/>
      <c r="IEB60" s="76"/>
      <c r="IEC60" s="76"/>
      <c r="IED60" s="76"/>
      <c r="IEE60" s="76"/>
      <c r="IEF60" s="76"/>
      <c r="IEG60" s="76"/>
      <c r="IEH60" s="76"/>
      <c r="IEI60" s="76"/>
      <c r="IEJ60" s="76"/>
      <c r="IEK60" s="76"/>
      <c r="IEL60" s="76"/>
      <c r="IEM60" s="76"/>
      <c r="IEN60" s="76"/>
      <c r="IEO60" s="76"/>
      <c r="IEP60" s="76"/>
      <c r="IEQ60" s="76"/>
      <c r="IER60" s="76"/>
      <c r="IES60" s="76"/>
      <c r="IET60" s="76"/>
      <c r="IEU60" s="76"/>
      <c r="IEV60" s="76"/>
      <c r="IEW60" s="76"/>
      <c r="IEX60" s="76"/>
      <c r="IEY60" s="76"/>
      <c r="IEZ60" s="76"/>
      <c r="IFA60" s="76"/>
      <c r="IFB60" s="76"/>
      <c r="IFC60" s="76"/>
      <c r="IFD60" s="76"/>
      <c r="IFE60" s="76"/>
      <c r="IFF60" s="76"/>
      <c r="IFG60" s="76"/>
      <c r="IFH60" s="76"/>
      <c r="IFI60" s="76"/>
      <c r="IFJ60" s="76"/>
      <c r="IFK60" s="76"/>
      <c r="IFL60" s="76"/>
      <c r="IFM60" s="76"/>
      <c r="IFN60" s="76"/>
      <c r="IFO60" s="76"/>
      <c r="IFP60" s="76"/>
      <c r="IFQ60" s="76"/>
      <c r="IFR60" s="76"/>
      <c r="IFS60" s="76"/>
      <c r="IFT60" s="76"/>
      <c r="IFU60" s="76"/>
      <c r="IFV60" s="76"/>
      <c r="IFW60" s="76"/>
      <c r="IFX60" s="76"/>
      <c r="IFY60" s="76"/>
      <c r="IFZ60" s="76"/>
      <c r="IGA60" s="76"/>
      <c r="IGB60" s="76"/>
      <c r="IGC60" s="76"/>
      <c r="IGD60" s="76"/>
      <c r="IGE60" s="76"/>
      <c r="IGF60" s="76"/>
      <c r="IGG60" s="76"/>
      <c r="IGH60" s="76"/>
      <c r="IGI60" s="76"/>
      <c r="IGJ60" s="76"/>
      <c r="IGK60" s="76"/>
      <c r="IGL60" s="76"/>
      <c r="IGM60" s="76"/>
      <c r="IGN60" s="76"/>
      <c r="IGO60" s="76"/>
      <c r="IGP60" s="76"/>
      <c r="IGQ60" s="76"/>
      <c r="IGR60" s="76"/>
      <c r="IGS60" s="76"/>
      <c r="IGT60" s="76"/>
      <c r="IGU60" s="76"/>
      <c r="IGV60" s="76"/>
      <c r="IGW60" s="76"/>
      <c r="IGX60" s="76"/>
      <c r="IGY60" s="76"/>
      <c r="IGZ60" s="76"/>
      <c r="IHA60" s="76"/>
      <c r="IHB60" s="76"/>
      <c r="IHC60" s="76"/>
      <c r="IHD60" s="76"/>
      <c r="IHE60" s="76"/>
      <c r="IHF60" s="76"/>
      <c r="IHG60" s="76"/>
      <c r="IHH60" s="76"/>
      <c r="IHI60" s="76"/>
      <c r="IHJ60" s="76"/>
      <c r="IHK60" s="76"/>
      <c r="IHL60" s="76"/>
      <c r="IHM60" s="76"/>
      <c r="IHN60" s="76"/>
      <c r="IHO60" s="76"/>
      <c r="IHP60" s="76"/>
      <c r="IHQ60" s="76"/>
      <c r="IHR60" s="76"/>
      <c r="IHS60" s="76"/>
      <c r="IHT60" s="76"/>
      <c r="IHU60" s="76"/>
      <c r="IHV60" s="76"/>
      <c r="IHW60" s="76"/>
      <c r="IHX60" s="76"/>
      <c r="IHY60" s="76"/>
      <c r="IHZ60" s="76"/>
      <c r="IIA60" s="76"/>
      <c r="IIB60" s="76"/>
      <c r="IIC60" s="76"/>
      <c r="IID60" s="76"/>
      <c r="IIE60" s="76"/>
      <c r="IIF60" s="76"/>
      <c r="IIG60" s="76"/>
      <c r="IIH60" s="76"/>
      <c r="III60" s="76"/>
      <c r="IIJ60" s="76"/>
      <c r="IIK60" s="76"/>
      <c r="IIL60" s="76"/>
      <c r="IIM60" s="76"/>
      <c r="IIN60" s="76"/>
      <c r="IIO60" s="76"/>
      <c r="IIP60" s="76"/>
      <c r="IIQ60" s="76"/>
      <c r="IIR60" s="76"/>
      <c r="IIS60" s="76"/>
      <c r="IIT60" s="76"/>
      <c r="IIU60" s="76"/>
      <c r="IIV60" s="76"/>
      <c r="IIW60" s="76"/>
      <c r="IIX60" s="76"/>
      <c r="IIY60" s="76"/>
      <c r="IIZ60" s="76"/>
      <c r="IJA60" s="76"/>
      <c r="IJB60" s="76"/>
      <c r="IJC60" s="76"/>
      <c r="IJD60" s="76"/>
      <c r="IJE60" s="76"/>
      <c r="IJF60" s="76"/>
      <c r="IJG60" s="76"/>
      <c r="IJH60" s="76"/>
      <c r="IJI60" s="76"/>
      <c r="IJJ60" s="76"/>
      <c r="IJK60" s="76"/>
      <c r="IJL60" s="76"/>
      <c r="IJM60" s="76"/>
      <c r="IJN60" s="76"/>
      <c r="IJO60" s="76"/>
      <c r="IJP60" s="76"/>
      <c r="IJQ60" s="76"/>
      <c r="IJR60" s="76"/>
      <c r="IJS60" s="76"/>
      <c r="IJT60" s="76"/>
      <c r="IJU60" s="76"/>
      <c r="IJV60" s="76"/>
      <c r="IJW60" s="76"/>
      <c r="IJX60" s="76"/>
      <c r="IJY60" s="76"/>
      <c r="IJZ60" s="76"/>
      <c r="IKA60" s="76"/>
      <c r="IKB60" s="76"/>
      <c r="IKC60" s="76"/>
      <c r="IKD60" s="76"/>
      <c r="IKE60" s="76"/>
      <c r="IKF60" s="76"/>
      <c r="IKG60" s="76"/>
      <c r="IKH60" s="76"/>
      <c r="IKI60" s="76"/>
      <c r="IKJ60" s="76"/>
      <c r="IKK60" s="76"/>
      <c r="IKL60" s="76"/>
      <c r="IKM60" s="76"/>
      <c r="IKN60" s="76"/>
      <c r="IKO60" s="76"/>
      <c r="IKP60" s="76"/>
      <c r="IKQ60" s="76"/>
      <c r="IKR60" s="76"/>
      <c r="IKS60" s="76"/>
      <c r="IKT60" s="76"/>
      <c r="IKU60" s="76"/>
      <c r="IKV60" s="76"/>
      <c r="IKW60" s="76"/>
      <c r="IKX60" s="76"/>
      <c r="IKY60" s="76"/>
      <c r="IKZ60" s="76"/>
      <c r="ILA60" s="76"/>
      <c r="ILB60" s="76"/>
      <c r="ILC60" s="76"/>
      <c r="ILD60" s="76"/>
      <c r="ILE60" s="76"/>
      <c r="ILF60" s="76"/>
      <c r="ILG60" s="76"/>
      <c r="ILH60" s="76"/>
      <c r="ILI60" s="76"/>
      <c r="ILJ60" s="76"/>
      <c r="ILK60" s="76"/>
      <c r="ILL60" s="76"/>
      <c r="ILM60" s="76"/>
      <c r="ILN60" s="76"/>
      <c r="ILO60" s="76"/>
      <c r="ILP60" s="76"/>
      <c r="ILQ60" s="76"/>
      <c r="ILR60" s="76"/>
      <c r="ILS60" s="76"/>
      <c r="ILT60" s="76"/>
      <c r="ILU60" s="76"/>
      <c r="ILV60" s="76"/>
      <c r="ILW60" s="76"/>
      <c r="ILX60" s="76"/>
      <c r="ILY60" s="76"/>
      <c r="ILZ60" s="76"/>
      <c r="IMA60" s="76"/>
      <c r="IMB60" s="76"/>
      <c r="IMC60" s="76"/>
      <c r="IMD60" s="76"/>
      <c r="IME60" s="76"/>
      <c r="IMF60" s="76"/>
      <c r="IMG60" s="76"/>
      <c r="IMH60" s="76"/>
      <c r="IMI60" s="76"/>
      <c r="IMJ60" s="76"/>
      <c r="IMK60" s="76"/>
      <c r="IML60" s="76"/>
      <c r="IMM60" s="76"/>
      <c r="IMN60" s="76"/>
      <c r="IMO60" s="76"/>
      <c r="IMP60" s="76"/>
      <c r="IMQ60" s="76"/>
      <c r="IMR60" s="76"/>
      <c r="IMS60" s="76"/>
      <c r="IMT60" s="76"/>
      <c r="IMU60" s="76"/>
      <c r="IMV60" s="76"/>
      <c r="IMW60" s="76"/>
      <c r="IMX60" s="76"/>
      <c r="IMY60" s="76"/>
      <c r="IMZ60" s="76"/>
      <c r="INA60" s="76"/>
      <c r="INB60" s="76"/>
      <c r="INC60" s="76"/>
      <c r="IND60" s="76"/>
      <c r="INE60" s="76"/>
      <c r="INF60" s="76"/>
      <c r="ING60" s="76"/>
      <c r="INH60" s="76"/>
      <c r="INI60" s="76"/>
      <c r="INJ60" s="76"/>
      <c r="INK60" s="76"/>
      <c r="INL60" s="76"/>
      <c r="INM60" s="76"/>
      <c r="INN60" s="76"/>
      <c r="INO60" s="76"/>
      <c r="INP60" s="76"/>
      <c r="INQ60" s="76"/>
      <c r="INR60" s="76"/>
      <c r="INS60" s="76"/>
      <c r="INT60" s="76"/>
      <c r="INU60" s="76"/>
      <c r="INV60" s="76"/>
      <c r="INW60" s="76"/>
      <c r="INX60" s="76"/>
      <c r="INY60" s="76"/>
      <c r="INZ60" s="76"/>
      <c r="IOA60" s="76"/>
      <c r="IOB60" s="76"/>
      <c r="IOC60" s="76"/>
      <c r="IOD60" s="76"/>
      <c r="IOE60" s="76"/>
      <c r="IOF60" s="76"/>
      <c r="IOG60" s="76"/>
      <c r="IOH60" s="76"/>
      <c r="IOI60" s="76"/>
      <c r="IOJ60" s="76"/>
      <c r="IOK60" s="76"/>
      <c r="IOL60" s="76"/>
      <c r="IOM60" s="76"/>
      <c r="ION60" s="76"/>
      <c r="IOO60" s="76"/>
      <c r="IOP60" s="76"/>
      <c r="IOQ60" s="76"/>
      <c r="IOR60" s="76"/>
      <c r="IOS60" s="76"/>
      <c r="IOT60" s="76"/>
      <c r="IOU60" s="76"/>
      <c r="IOV60" s="76"/>
      <c r="IOW60" s="76"/>
      <c r="IOX60" s="76"/>
      <c r="IOY60" s="76"/>
      <c r="IOZ60" s="76"/>
      <c r="IPA60" s="76"/>
      <c r="IPB60" s="76"/>
      <c r="IPC60" s="76"/>
      <c r="IPD60" s="76"/>
      <c r="IPE60" s="76"/>
      <c r="IPF60" s="76"/>
      <c r="IPG60" s="76"/>
      <c r="IPH60" s="76"/>
      <c r="IPI60" s="76"/>
      <c r="IPJ60" s="76"/>
      <c r="IPK60" s="76"/>
      <c r="IPL60" s="76"/>
      <c r="IPM60" s="76"/>
      <c r="IPN60" s="76"/>
      <c r="IPO60" s="76"/>
      <c r="IPP60" s="76"/>
      <c r="IPQ60" s="76"/>
      <c r="IPR60" s="76"/>
      <c r="IPS60" s="76"/>
      <c r="IPT60" s="76"/>
      <c r="IPU60" s="76"/>
      <c r="IPV60" s="76"/>
      <c r="IPW60" s="76"/>
      <c r="IPX60" s="76"/>
      <c r="IPY60" s="76"/>
      <c r="IPZ60" s="76"/>
      <c r="IQA60" s="76"/>
      <c r="IQB60" s="76"/>
      <c r="IQC60" s="76"/>
      <c r="IQD60" s="76"/>
      <c r="IQE60" s="76"/>
      <c r="IQF60" s="76"/>
      <c r="IQG60" s="76"/>
      <c r="IQH60" s="76"/>
      <c r="IQI60" s="76"/>
      <c r="IQJ60" s="76"/>
      <c r="IQK60" s="76"/>
      <c r="IQL60" s="76"/>
      <c r="IQM60" s="76"/>
      <c r="IQN60" s="76"/>
      <c r="IQO60" s="76"/>
      <c r="IQP60" s="76"/>
      <c r="IQQ60" s="76"/>
      <c r="IQR60" s="76"/>
      <c r="IQS60" s="76"/>
      <c r="IQT60" s="76"/>
      <c r="IQU60" s="76"/>
      <c r="IQV60" s="76"/>
      <c r="IQW60" s="76"/>
      <c r="IQX60" s="76"/>
      <c r="IQY60" s="76"/>
      <c r="IQZ60" s="76"/>
      <c r="IRA60" s="76"/>
      <c r="IRB60" s="76"/>
      <c r="IRC60" s="76"/>
      <c r="IRD60" s="76"/>
      <c r="IRE60" s="76"/>
      <c r="IRF60" s="76"/>
      <c r="IRG60" s="76"/>
      <c r="IRH60" s="76"/>
      <c r="IRI60" s="76"/>
      <c r="IRJ60" s="76"/>
      <c r="IRK60" s="76"/>
      <c r="IRL60" s="76"/>
      <c r="IRM60" s="76"/>
      <c r="IRN60" s="76"/>
      <c r="IRO60" s="76"/>
      <c r="IRP60" s="76"/>
      <c r="IRQ60" s="76"/>
      <c r="IRR60" s="76"/>
      <c r="IRS60" s="76"/>
      <c r="IRT60" s="76"/>
      <c r="IRU60" s="76"/>
      <c r="IRV60" s="76"/>
      <c r="IRW60" s="76"/>
      <c r="IRX60" s="76"/>
      <c r="IRY60" s="76"/>
      <c r="IRZ60" s="76"/>
      <c r="ISA60" s="76"/>
      <c r="ISB60" s="76"/>
      <c r="ISC60" s="76"/>
      <c r="ISD60" s="76"/>
      <c r="ISE60" s="76"/>
      <c r="ISF60" s="76"/>
      <c r="ISG60" s="76"/>
      <c r="ISH60" s="76"/>
      <c r="ISI60" s="76"/>
      <c r="ISJ60" s="76"/>
      <c r="ISK60" s="76"/>
      <c r="ISL60" s="76"/>
      <c r="ISM60" s="76"/>
      <c r="ISN60" s="76"/>
      <c r="ISO60" s="76"/>
      <c r="ISP60" s="76"/>
      <c r="ISQ60" s="76"/>
      <c r="ISR60" s="76"/>
      <c r="ISS60" s="76"/>
      <c r="IST60" s="76"/>
      <c r="ISU60" s="76"/>
      <c r="ISV60" s="76"/>
      <c r="ISW60" s="76"/>
      <c r="ISX60" s="76"/>
      <c r="ISY60" s="76"/>
      <c r="ISZ60" s="76"/>
      <c r="ITA60" s="76"/>
      <c r="ITB60" s="76"/>
      <c r="ITC60" s="76"/>
      <c r="ITD60" s="76"/>
      <c r="ITE60" s="76"/>
      <c r="ITF60" s="76"/>
      <c r="ITG60" s="76"/>
      <c r="ITH60" s="76"/>
      <c r="ITI60" s="76"/>
      <c r="ITJ60" s="76"/>
      <c r="ITK60" s="76"/>
      <c r="ITL60" s="76"/>
      <c r="ITM60" s="76"/>
      <c r="ITN60" s="76"/>
      <c r="ITO60" s="76"/>
      <c r="ITP60" s="76"/>
      <c r="ITQ60" s="76"/>
      <c r="ITR60" s="76"/>
      <c r="ITS60" s="76"/>
      <c r="ITT60" s="76"/>
      <c r="ITU60" s="76"/>
      <c r="ITV60" s="76"/>
      <c r="ITW60" s="76"/>
      <c r="ITX60" s="76"/>
      <c r="ITY60" s="76"/>
      <c r="ITZ60" s="76"/>
      <c r="IUA60" s="76"/>
      <c r="IUB60" s="76"/>
      <c r="IUC60" s="76"/>
      <c r="IUD60" s="76"/>
      <c r="IUE60" s="76"/>
      <c r="IUF60" s="76"/>
      <c r="IUG60" s="76"/>
      <c r="IUH60" s="76"/>
      <c r="IUI60" s="76"/>
      <c r="IUJ60" s="76"/>
      <c r="IUK60" s="76"/>
      <c r="IUL60" s="76"/>
      <c r="IUM60" s="76"/>
      <c r="IUN60" s="76"/>
      <c r="IUO60" s="76"/>
      <c r="IUP60" s="76"/>
      <c r="IUQ60" s="76"/>
      <c r="IUR60" s="76"/>
      <c r="IUS60" s="76"/>
      <c r="IUT60" s="76"/>
      <c r="IUU60" s="76"/>
      <c r="IUV60" s="76"/>
      <c r="IUW60" s="76"/>
      <c r="IUX60" s="76"/>
      <c r="IUY60" s="76"/>
      <c r="IUZ60" s="76"/>
      <c r="IVA60" s="76"/>
      <c r="IVB60" s="76"/>
      <c r="IVC60" s="76"/>
      <c r="IVD60" s="76"/>
      <c r="IVE60" s="76"/>
      <c r="IVF60" s="76"/>
      <c r="IVG60" s="76"/>
      <c r="IVH60" s="76"/>
      <c r="IVI60" s="76"/>
      <c r="IVJ60" s="76"/>
      <c r="IVK60" s="76"/>
      <c r="IVL60" s="76"/>
      <c r="IVM60" s="76"/>
      <c r="IVN60" s="76"/>
      <c r="IVO60" s="76"/>
      <c r="IVP60" s="76"/>
      <c r="IVQ60" s="76"/>
      <c r="IVR60" s="76"/>
      <c r="IVS60" s="76"/>
      <c r="IVT60" s="76"/>
      <c r="IVU60" s="76"/>
      <c r="IVV60" s="76"/>
      <c r="IVW60" s="76"/>
      <c r="IVX60" s="76"/>
      <c r="IVY60" s="76"/>
      <c r="IVZ60" s="76"/>
      <c r="IWA60" s="76"/>
      <c r="IWB60" s="76"/>
      <c r="IWC60" s="76"/>
      <c r="IWD60" s="76"/>
      <c r="IWE60" s="76"/>
      <c r="IWF60" s="76"/>
      <c r="IWG60" s="76"/>
      <c r="IWH60" s="76"/>
      <c r="IWI60" s="76"/>
      <c r="IWJ60" s="76"/>
      <c r="IWK60" s="76"/>
      <c r="IWL60" s="76"/>
      <c r="IWM60" s="76"/>
      <c r="IWN60" s="76"/>
      <c r="IWO60" s="76"/>
      <c r="IWP60" s="76"/>
      <c r="IWQ60" s="76"/>
      <c r="IWR60" s="76"/>
      <c r="IWS60" s="76"/>
      <c r="IWT60" s="76"/>
      <c r="IWU60" s="76"/>
      <c r="IWV60" s="76"/>
      <c r="IWW60" s="76"/>
      <c r="IWX60" s="76"/>
      <c r="IWY60" s="76"/>
      <c r="IWZ60" s="76"/>
      <c r="IXA60" s="76"/>
      <c r="IXB60" s="76"/>
      <c r="IXC60" s="76"/>
      <c r="IXD60" s="76"/>
      <c r="IXE60" s="76"/>
      <c r="IXF60" s="76"/>
      <c r="IXG60" s="76"/>
      <c r="IXH60" s="76"/>
      <c r="IXI60" s="76"/>
      <c r="IXJ60" s="76"/>
      <c r="IXK60" s="76"/>
      <c r="IXL60" s="76"/>
      <c r="IXM60" s="76"/>
      <c r="IXN60" s="76"/>
      <c r="IXO60" s="76"/>
      <c r="IXP60" s="76"/>
      <c r="IXQ60" s="76"/>
      <c r="IXR60" s="76"/>
      <c r="IXS60" s="76"/>
      <c r="IXT60" s="76"/>
      <c r="IXU60" s="76"/>
      <c r="IXV60" s="76"/>
      <c r="IXW60" s="76"/>
      <c r="IXX60" s="76"/>
      <c r="IXY60" s="76"/>
      <c r="IXZ60" s="76"/>
      <c r="IYA60" s="76"/>
      <c r="IYB60" s="76"/>
      <c r="IYC60" s="76"/>
      <c r="IYD60" s="76"/>
      <c r="IYE60" s="76"/>
      <c r="IYF60" s="76"/>
      <c r="IYG60" s="76"/>
      <c r="IYH60" s="76"/>
      <c r="IYI60" s="76"/>
      <c r="IYJ60" s="76"/>
      <c r="IYK60" s="76"/>
      <c r="IYL60" s="76"/>
      <c r="IYM60" s="76"/>
      <c r="IYN60" s="76"/>
      <c r="IYO60" s="76"/>
      <c r="IYP60" s="76"/>
      <c r="IYQ60" s="76"/>
      <c r="IYR60" s="76"/>
      <c r="IYS60" s="76"/>
      <c r="IYT60" s="76"/>
      <c r="IYU60" s="76"/>
      <c r="IYV60" s="76"/>
      <c r="IYW60" s="76"/>
      <c r="IYX60" s="76"/>
      <c r="IYY60" s="76"/>
      <c r="IYZ60" s="76"/>
      <c r="IZA60" s="76"/>
      <c r="IZB60" s="76"/>
      <c r="IZC60" s="76"/>
      <c r="IZD60" s="76"/>
      <c r="IZE60" s="76"/>
      <c r="IZF60" s="76"/>
      <c r="IZG60" s="76"/>
      <c r="IZH60" s="76"/>
      <c r="IZI60" s="76"/>
      <c r="IZJ60" s="76"/>
      <c r="IZK60" s="76"/>
      <c r="IZL60" s="76"/>
      <c r="IZM60" s="76"/>
      <c r="IZN60" s="76"/>
      <c r="IZO60" s="76"/>
      <c r="IZP60" s="76"/>
      <c r="IZQ60" s="76"/>
      <c r="IZR60" s="76"/>
      <c r="IZS60" s="76"/>
      <c r="IZT60" s="76"/>
      <c r="IZU60" s="76"/>
      <c r="IZV60" s="76"/>
      <c r="IZW60" s="76"/>
      <c r="IZX60" s="76"/>
      <c r="IZY60" s="76"/>
      <c r="IZZ60" s="76"/>
      <c r="JAA60" s="76"/>
      <c r="JAB60" s="76"/>
      <c r="JAC60" s="76"/>
      <c r="JAD60" s="76"/>
      <c r="JAE60" s="76"/>
      <c r="JAF60" s="76"/>
      <c r="JAG60" s="76"/>
      <c r="JAH60" s="76"/>
      <c r="JAI60" s="76"/>
      <c r="JAJ60" s="76"/>
      <c r="JAK60" s="76"/>
      <c r="JAL60" s="76"/>
      <c r="JAM60" s="76"/>
      <c r="JAN60" s="76"/>
      <c r="JAO60" s="76"/>
      <c r="JAP60" s="76"/>
      <c r="JAQ60" s="76"/>
      <c r="JAR60" s="76"/>
      <c r="JAS60" s="76"/>
      <c r="JAT60" s="76"/>
      <c r="JAU60" s="76"/>
      <c r="JAV60" s="76"/>
      <c r="JAW60" s="76"/>
      <c r="JAX60" s="76"/>
      <c r="JAY60" s="76"/>
      <c r="JAZ60" s="76"/>
      <c r="JBA60" s="76"/>
      <c r="JBB60" s="76"/>
      <c r="JBC60" s="76"/>
      <c r="JBD60" s="76"/>
      <c r="JBE60" s="76"/>
      <c r="JBF60" s="76"/>
      <c r="JBG60" s="76"/>
      <c r="JBH60" s="76"/>
      <c r="JBI60" s="76"/>
      <c r="JBJ60" s="76"/>
      <c r="JBK60" s="76"/>
      <c r="JBL60" s="76"/>
      <c r="JBM60" s="76"/>
      <c r="JBN60" s="76"/>
      <c r="JBO60" s="76"/>
      <c r="JBP60" s="76"/>
      <c r="JBQ60" s="76"/>
      <c r="JBR60" s="76"/>
      <c r="JBS60" s="76"/>
      <c r="JBT60" s="76"/>
      <c r="JBU60" s="76"/>
      <c r="JBV60" s="76"/>
      <c r="JBW60" s="76"/>
      <c r="JBX60" s="76"/>
      <c r="JBY60" s="76"/>
      <c r="JBZ60" s="76"/>
      <c r="JCA60" s="76"/>
      <c r="JCB60" s="76"/>
      <c r="JCC60" s="76"/>
      <c r="JCD60" s="76"/>
      <c r="JCE60" s="76"/>
      <c r="JCF60" s="76"/>
      <c r="JCG60" s="76"/>
      <c r="JCH60" s="76"/>
      <c r="JCI60" s="76"/>
      <c r="JCJ60" s="76"/>
      <c r="JCK60" s="76"/>
      <c r="JCL60" s="76"/>
      <c r="JCM60" s="76"/>
      <c r="JCN60" s="76"/>
      <c r="JCO60" s="76"/>
      <c r="JCP60" s="76"/>
      <c r="JCQ60" s="76"/>
      <c r="JCR60" s="76"/>
      <c r="JCS60" s="76"/>
      <c r="JCT60" s="76"/>
      <c r="JCU60" s="76"/>
      <c r="JCV60" s="76"/>
      <c r="JCW60" s="76"/>
      <c r="JCX60" s="76"/>
      <c r="JCY60" s="76"/>
      <c r="JCZ60" s="76"/>
      <c r="JDA60" s="76"/>
      <c r="JDB60" s="76"/>
      <c r="JDC60" s="76"/>
      <c r="JDD60" s="76"/>
      <c r="JDE60" s="76"/>
      <c r="JDF60" s="76"/>
      <c r="JDG60" s="76"/>
      <c r="JDH60" s="76"/>
      <c r="JDI60" s="76"/>
      <c r="JDJ60" s="76"/>
      <c r="JDK60" s="76"/>
      <c r="JDL60" s="76"/>
      <c r="JDM60" s="76"/>
      <c r="JDN60" s="76"/>
      <c r="JDO60" s="76"/>
      <c r="JDP60" s="76"/>
      <c r="JDQ60" s="76"/>
      <c r="JDR60" s="76"/>
      <c r="JDS60" s="76"/>
      <c r="JDT60" s="76"/>
      <c r="JDU60" s="76"/>
      <c r="JDV60" s="76"/>
      <c r="JDW60" s="76"/>
      <c r="JDX60" s="76"/>
      <c r="JDY60" s="76"/>
      <c r="JDZ60" s="76"/>
      <c r="JEA60" s="76"/>
      <c r="JEB60" s="76"/>
      <c r="JEC60" s="76"/>
      <c r="JED60" s="76"/>
      <c r="JEE60" s="76"/>
      <c r="JEF60" s="76"/>
      <c r="JEG60" s="76"/>
      <c r="JEH60" s="76"/>
      <c r="JEI60" s="76"/>
      <c r="JEJ60" s="76"/>
      <c r="JEK60" s="76"/>
      <c r="JEL60" s="76"/>
      <c r="JEM60" s="76"/>
      <c r="JEN60" s="76"/>
      <c r="JEO60" s="76"/>
      <c r="JEP60" s="76"/>
      <c r="JEQ60" s="76"/>
      <c r="JER60" s="76"/>
      <c r="JES60" s="76"/>
      <c r="JET60" s="76"/>
      <c r="JEU60" s="76"/>
      <c r="JEV60" s="76"/>
      <c r="JEW60" s="76"/>
      <c r="JEX60" s="76"/>
      <c r="JEY60" s="76"/>
      <c r="JEZ60" s="76"/>
      <c r="JFA60" s="76"/>
      <c r="JFB60" s="76"/>
      <c r="JFC60" s="76"/>
      <c r="JFD60" s="76"/>
      <c r="JFE60" s="76"/>
      <c r="JFF60" s="76"/>
      <c r="JFG60" s="76"/>
      <c r="JFH60" s="76"/>
      <c r="JFI60" s="76"/>
      <c r="JFJ60" s="76"/>
      <c r="JFK60" s="76"/>
      <c r="JFL60" s="76"/>
      <c r="JFM60" s="76"/>
      <c r="JFN60" s="76"/>
      <c r="JFO60" s="76"/>
      <c r="JFP60" s="76"/>
      <c r="JFQ60" s="76"/>
      <c r="JFR60" s="76"/>
      <c r="JFS60" s="76"/>
      <c r="JFT60" s="76"/>
      <c r="JFU60" s="76"/>
      <c r="JFV60" s="76"/>
      <c r="JFW60" s="76"/>
      <c r="JFX60" s="76"/>
      <c r="JFY60" s="76"/>
      <c r="JFZ60" s="76"/>
      <c r="JGA60" s="76"/>
      <c r="JGB60" s="76"/>
      <c r="JGC60" s="76"/>
      <c r="JGD60" s="76"/>
      <c r="JGE60" s="76"/>
      <c r="JGF60" s="76"/>
      <c r="JGG60" s="76"/>
      <c r="JGH60" s="76"/>
      <c r="JGI60" s="76"/>
      <c r="JGJ60" s="76"/>
      <c r="JGK60" s="76"/>
      <c r="JGL60" s="76"/>
      <c r="JGM60" s="76"/>
      <c r="JGN60" s="76"/>
      <c r="JGO60" s="76"/>
      <c r="JGP60" s="76"/>
      <c r="JGQ60" s="76"/>
      <c r="JGR60" s="76"/>
      <c r="JGS60" s="76"/>
      <c r="JGT60" s="76"/>
      <c r="JGU60" s="76"/>
      <c r="JGV60" s="76"/>
      <c r="JGW60" s="76"/>
      <c r="JGX60" s="76"/>
      <c r="JGY60" s="76"/>
      <c r="JGZ60" s="76"/>
      <c r="JHA60" s="76"/>
      <c r="JHB60" s="76"/>
      <c r="JHC60" s="76"/>
      <c r="JHD60" s="76"/>
      <c r="JHE60" s="76"/>
      <c r="JHF60" s="76"/>
      <c r="JHG60" s="76"/>
      <c r="JHH60" s="76"/>
      <c r="JHI60" s="76"/>
      <c r="JHJ60" s="76"/>
      <c r="JHK60" s="76"/>
      <c r="JHL60" s="76"/>
      <c r="JHM60" s="76"/>
      <c r="JHN60" s="76"/>
      <c r="JHO60" s="76"/>
      <c r="JHP60" s="76"/>
      <c r="JHQ60" s="76"/>
      <c r="JHR60" s="76"/>
      <c r="JHS60" s="76"/>
      <c r="JHT60" s="76"/>
      <c r="JHU60" s="76"/>
      <c r="JHV60" s="76"/>
      <c r="JHW60" s="76"/>
      <c r="JHX60" s="76"/>
      <c r="JHY60" s="76"/>
      <c r="JHZ60" s="76"/>
      <c r="JIA60" s="76"/>
      <c r="JIB60" s="76"/>
      <c r="JIC60" s="76"/>
      <c r="JID60" s="76"/>
      <c r="JIE60" s="76"/>
      <c r="JIF60" s="76"/>
      <c r="JIG60" s="76"/>
      <c r="JIH60" s="76"/>
      <c r="JII60" s="76"/>
      <c r="JIJ60" s="76"/>
      <c r="JIK60" s="76"/>
      <c r="JIL60" s="76"/>
      <c r="JIM60" s="76"/>
      <c r="JIN60" s="76"/>
      <c r="JIO60" s="76"/>
      <c r="JIP60" s="76"/>
      <c r="JIQ60" s="76"/>
      <c r="JIR60" s="76"/>
      <c r="JIS60" s="76"/>
      <c r="JIT60" s="76"/>
      <c r="JIU60" s="76"/>
      <c r="JIV60" s="76"/>
      <c r="JIW60" s="76"/>
      <c r="JIX60" s="76"/>
      <c r="JIY60" s="76"/>
      <c r="JIZ60" s="76"/>
      <c r="JJA60" s="76"/>
      <c r="JJB60" s="76"/>
      <c r="JJC60" s="76"/>
      <c r="JJD60" s="76"/>
      <c r="JJE60" s="76"/>
      <c r="JJF60" s="76"/>
      <c r="JJG60" s="76"/>
      <c r="JJH60" s="76"/>
      <c r="JJI60" s="76"/>
      <c r="JJJ60" s="76"/>
      <c r="JJK60" s="76"/>
      <c r="JJL60" s="76"/>
      <c r="JJM60" s="76"/>
      <c r="JJN60" s="76"/>
      <c r="JJO60" s="76"/>
      <c r="JJP60" s="76"/>
      <c r="JJQ60" s="76"/>
      <c r="JJR60" s="76"/>
      <c r="JJS60" s="76"/>
      <c r="JJT60" s="76"/>
      <c r="JJU60" s="76"/>
      <c r="JJV60" s="76"/>
      <c r="JJW60" s="76"/>
      <c r="JJX60" s="76"/>
      <c r="JJY60" s="76"/>
      <c r="JJZ60" s="76"/>
      <c r="JKA60" s="76"/>
      <c r="JKB60" s="76"/>
      <c r="JKC60" s="76"/>
      <c r="JKD60" s="76"/>
      <c r="JKE60" s="76"/>
      <c r="JKF60" s="76"/>
      <c r="JKG60" s="76"/>
      <c r="JKH60" s="76"/>
      <c r="JKI60" s="76"/>
      <c r="JKJ60" s="76"/>
      <c r="JKK60" s="76"/>
      <c r="JKL60" s="76"/>
      <c r="JKM60" s="76"/>
      <c r="JKN60" s="76"/>
      <c r="JKO60" s="76"/>
      <c r="JKP60" s="76"/>
      <c r="JKQ60" s="76"/>
      <c r="JKR60" s="76"/>
      <c r="JKS60" s="76"/>
      <c r="JKT60" s="76"/>
      <c r="JKU60" s="76"/>
      <c r="JKV60" s="76"/>
      <c r="JKW60" s="76"/>
      <c r="JKX60" s="76"/>
      <c r="JKY60" s="76"/>
      <c r="JKZ60" s="76"/>
      <c r="JLA60" s="76"/>
      <c r="JLB60" s="76"/>
      <c r="JLC60" s="76"/>
      <c r="JLD60" s="76"/>
      <c r="JLE60" s="76"/>
      <c r="JLF60" s="76"/>
      <c r="JLG60" s="76"/>
      <c r="JLH60" s="76"/>
      <c r="JLI60" s="76"/>
      <c r="JLJ60" s="76"/>
      <c r="JLK60" s="76"/>
      <c r="JLL60" s="76"/>
      <c r="JLM60" s="76"/>
      <c r="JLN60" s="76"/>
      <c r="JLO60" s="76"/>
      <c r="JLP60" s="76"/>
      <c r="JLQ60" s="76"/>
      <c r="JLR60" s="76"/>
      <c r="JLS60" s="76"/>
      <c r="JLT60" s="76"/>
      <c r="JLU60" s="76"/>
      <c r="JLV60" s="76"/>
      <c r="JLW60" s="76"/>
      <c r="JLX60" s="76"/>
      <c r="JLY60" s="76"/>
      <c r="JLZ60" s="76"/>
      <c r="JMA60" s="76"/>
      <c r="JMB60" s="76"/>
      <c r="JMC60" s="76"/>
      <c r="JMD60" s="76"/>
      <c r="JME60" s="76"/>
      <c r="JMF60" s="76"/>
      <c r="JMG60" s="76"/>
      <c r="JMH60" s="76"/>
      <c r="JMI60" s="76"/>
      <c r="JMJ60" s="76"/>
      <c r="JMK60" s="76"/>
      <c r="JML60" s="76"/>
      <c r="JMM60" s="76"/>
      <c r="JMN60" s="76"/>
      <c r="JMO60" s="76"/>
      <c r="JMP60" s="76"/>
      <c r="JMQ60" s="76"/>
      <c r="JMR60" s="76"/>
      <c r="JMS60" s="76"/>
      <c r="JMT60" s="76"/>
      <c r="JMU60" s="76"/>
      <c r="JMV60" s="76"/>
      <c r="JMW60" s="76"/>
      <c r="JMX60" s="76"/>
      <c r="JMY60" s="76"/>
      <c r="JMZ60" s="76"/>
      <c r="JNA60" s="76"/>
      <c r="JNB60" s="76"/>
      <c r="JNC60" s="76"/>
      <c r="JND60" s="76"/>
      <c r="JNE60" s="76"/>
      <c r="JNF60" s="76"/>
      <c r="JNG60" s="76"/>
      <c r="JNH60" s="76"/>
      <c r="JNI60" s="76"/>
      <c r="JNJ60" s="76"/>
      <c r="JNK60" s="76"/>
      <c r="JNL60" s="76"/>
      <c r="JNM60" s="76"/>
      <c r="JNN60" s="76"/>
      <c r="JNO60" s="76"/>
      <c r="JNP60" s="76"/>
      <c r="JNQ60" s="76"/>
      <c r="JNR60" s="76"/>
      <c r="JNS60" s="76"/>
      <c r="JNT60" s="76"/>
      <c r="JNU60" s="76"/>
      <c r="JNV60" s="76"/>
      <c r="JNW60" s="76"/>
      <c r="JNX60" s="76"/>
      <c r="JNY60" s="76"/>
      <c r="JNZ60" s="76"/>
      <c r="JOA60" s="76"/>
      <c r="JOB60" s="76"/>
      <c r="JOC60" s="76"/>
      <c r="JOD60" s="76"/>
      <c r="JOE60" s="76"/>
      <c r="JOF60" s="76"/>
      <c r="JOG60" s="76"/>
      <c r="JOH60" s="76"/>
      <c r="JOI60" s="76"/>
      <c r="JOJ60" s="76"/>
      <c r="JOK60" s="76"/>
      <c r="JOL60" s="76"/>
      <c r="JOM60" s="76"/>
      <c r="JON60" s="76"/>
      <c r="JOO60" s="76"/>
      <c r="JOP60" s="76"/>
      <c r="JOQ60" s="76"/>
      <c r="JOR60" s="76"/>
      <c r="JOS60" s="76"/>
      <c r="JOT60" s="76"/>
      <c r="JOU60" s="76"/>
      <c r="JOV60" s="76"/>
      <c r="JOW60" s="76"/>
      <c r="JOX60" s="76"/>
      <c r="JOY60" s="76"/>
      <c r="JOZ60" s="76"/>
      <c r="JPA60" s="76"/>
      <c r="JPB60" s="76"/>
      <c r="JPC60" s="76"/>
      <c r="JPD60" s="76"/>
      <c r="JPE60" s="76"/>
      <c r="JPF60" s="76"/>
      <c r="JPG60" s="76"/>
      <c r="JPH60" s="76"/>
      <c r="JPI60" s="76"/>
      <c r="JPJ60" s="76"/>
      <c r="JPK60" s="76"/>
      <c r="JPL60" s="76"/>
      <c r="JPM60" s="76"/>
      <c r="JPN60" s="76"/>
      <c r="JPO60" s="76"/>
      <c r="JPP60" s="76"/>
      <c r="JPQ60" s="76"/>
      <c r="JPR60" s="76"/>
      <c r="JPS60" s="76"/>
      <c r="JPT60" s="76"/>
      <c r="JPU60" s="76"/>
      <c r="JPV60" s="76"/>
      <c r="JPW60" s="76"/>
      <c r="JPX60" s="76"/>
      <c r="JPY60" s="76"/>
      <c r="JPZ60" s="76"/>
      <c r="JQA60" s="76"/>
      <c r="JQB60" s="76"/>
      <c r="JQC60" s="76"/>
      <c r="JQD60" s="76"/>
      <c r="JQE60" s="76"/>
      <c r="JQF60" s="76"/>
      <c r="JQG60" s="76"/>
      <c r="JQH60" s="76"/>
      <c r="JQI60" s="76"/>
      <c r="JQJ60" s="76"/>
      <c r="JQK60" s="76"/>
      <c r="JQL60" s="76"/>
      <c r="JQM60" s="76"/>
      <c r="JQN60" s="76"/>
      <c r="JQO60" s="76"/>
      <c r="JQP60" s="76"/>
      <c r="JQQ60" s="76"/>
      <c r="JQR60" s="76"/>
      <c r="JQS60" s="76"/>
      <c r="JQT60" s="76"/>
      <c r="JQU60" s="76"/>
      <c r="JQV60" s="76"/>
      <c r="JQW60" s="76"/>
      <c r="JQX60" s="76"/>
      <c r="JQY60" s="76"/>
      <c r="JQZ60" s="76"/>
      <c r="JRA60" s="76"/>
      <c r="JRB60" s="76"/>
      <c r="JRC60" s="76"/>
      <c r="JRD60" s="76"/>
      <c r="JRE60" s="76"/>
      <c r="JRF60" s="76"/>
      <c r="JRG60" s="76"/>
      <c r="JRH60" s="76"/>
      <c r="JRI60" s="76"/>
      <c r="JRJ60" s="76"/>
      <c r="JRK60" s="76"/>
      <c r="JRL60" s="76"/>
      <c r="JRM60" s="76"/>
      <c r="JRN60" s="76"/>
      <c r="JRO60" s="76"/>
      <c r="JRP60" s="76"/>
      <c r="JRQ60" s="76"/>
      <c r="JRR60" s="76"/>
      <c r="JRS60" s="76"/>
      <c r="JRT60" s="76"/>
      <c r="JRU60" s="76"/>
      <c r="JRV60" s="76"/>
      <c r="JRW60" s="76"/>
      <c r="JRX60" s="76"/>
      <c r="JRY60" s="76"/>
      <c r="JRZ60" s="76"/>
      <c r="JSA60" s="76"/>
      <c r="JSB60" s="76"/>
      <c r="JSC60" s="76"/>
      <c r="JSD60" s="76"/>
      <c r="JSE60" s="76"/>
      <c r="JSF60" s="76"/>
      <c r="JSG60" s="76"/>
      <c r="JSH60" s="76"/>
      <c r="JSI60" s="76"/>
      <c r="JSJ60" s="76"/>
      <c r="JSK60" s="76"/>
      <c r="JSL60" s="76"/>
      <c r="JSM60" s="76"/>
      <c r="JSN60" s="76"/>
      <c r="JSO60" s="76"/>
      <c r="JSP60" s="76"/>
      <c r="JSQ60" s="76"/>
      <c r="JSR60" s="76"/>
      <c r="JSS60" s="76"/>
      <c r="JST60" s="76"/>
      <c r="JSU60" s="76"/>
      <c r="JSV60" s="76"/>
      <c r="JSW60" s="76"/>
      <c r="JSX60" s="76"/>
      <c r="JSY60" s="76"/>
      <c r="JSZ60" s="76"/>
      <c r="JTA60" s="76"/>
      <c r="JTB60" s="76"/>
      <c r="JTC60" s="76"/>
      <c r="JTD60" s="76"/>
      <c r="JTE60" s="76"/>
      <c r="JTF60" s="76"/>
      <c r="JTG60" s="76"/>
      <c r="JTH60" s="76"/>
      <c r="JTI60" s="76"/>
      <c r="JTJ60" s="76"/>
      <c r="JTK60" s="76"/>
      <c r="JTL60" s="76"/>
      <c r="JTM60" s="76"/>
      <c r="JTN60" s="76"/>
      <c r="JTO60" s="76"/>
      <c r="JTP60" s="76"/>
      <c r="JTQ60" s="76"/>
      <c r="JTR60" s="76"/>
      <c r="JTS60" s="76"/>
      <c r="JTT60" s="76"/>
      <c r="JTU60" s="76"/>
      <c r="JTV60" s="76"/>
      <c r="JTW60" s="76"/>
      <c r="JTX60" s="76"/>
      <c r="JTY60" s="76"/>
      <c r="JTZ60" s="76"/>
      <c r="JUA60" s="76"/>
      <c r="JUB60" s="76"/>
      <c r="JUC60" s="76"/>
      <c r="JUD60" s="76"/>
      <c r="JUE60" s="76"/>
      <c r="JUF60" s="76"/>
      <c r="JUG60" s="76"/>
      <c r="JUH60" s="76"/>
      <c r="JUI60" s="76"/>
      <c r="JUJ60" s="76"/>
      <c r="JUK60" s="76"/>
      <c r="JUL60" s="76"/>
      <c r="JUM60" s="76"/>
      <c r="JUN60" s="76"/>
      <c r="JUO60" s="76"/>
      <c r="JUP60" s="76"/>
      <c r="JUQ60" s="76"/>
      <c r="JUR60" s="76"/>
      <c r="JUS60" s="76"/>
      <c r="JUT60" s="76"/>
      <c r="JUU60" s="76"/>
      <c r="JUV60" s="76"/>
      <c r="JUW60" s="76"/>
      <c r="JUX60" s="76"/>
      <c r="JUY60" s="76"/>
      <c r="JUZ60" s="76"/>
      <c r="JVA60" s="76"/>
      <c r="JVB60" s="76"/>
      <c r="JVC60" s="76"/>
      <c r="JVD60" s="76"/>
      <c r="JVE60" s="76"/>
      <c r="JVF60" s="76"/>
      <c r="JVG60" s="76"/>
      <c r="JVH60" s="76"/>
      <c r="JVI60" s="76"/>
      <c r="JVJ60" s="76"/>
      <c r="JVK60" s="76"/>
      <c r="JVL60" s="76"/>
      <c r="JVM60" s="76"/>
      <c r="JVN60" s="76"/>
      <c r="JVO60" s="76"/>
      <c r="JVP60" s="76"/>
      <c r="JVQ60" s="76"/>
      <c r="JVR60" s="76"/>
      <c r="JVS60" s="76"/>
      <c r="JVT60" s="76"/>
      <c r="JVU60" s="76"/>
      <c r="JVV60" s="76"/>
      <c r="JVW60" s="76"/>
      <c r="JVX60" s="76"/>
      <c r="JVY60" s="76"/>
      <c r="JVZ60" s="76"/>
      <c r="JWA60" s="76"/>
      <c r="JWB60" s="76"/>
      <c r="JWC60" s="76"/>
      <c r="JWD60" s="76"/>
      <c r="JWE60" s="76"/>
      <c r="JWF60" s="76"/>
      <c r="JWG60" s="76"/>
      <c r="JWH60" s="76"/>
      <c r="JWI60" s="76"/>
      <c r="JWJ60" s="76"/>
      <c r="JWK60" s="76"/>
      <c r="JWL60" s="76"/>
      <c r="JWM60" s="76"/>
      <c r="JWN60" s="76"/>
      <c r="JWO60" s="76"/>
      <c r="JWP60" s="76"/>
      <c r="JWQ60" s="76"/>
      <c r="JWR60" s="76"/>
      <c r="JWS60" s="76"/>
      <c r="JWT60" s="76"/>
      <c r="JWU60" s="76"/>
      <c r="JWV60" s="76"/>
      <c r="JWW60" s="76"/>
      <c r="JWX60" s="76"/>
      <c r="JWY60" s="76"/>
      <c r="JWZ60" s="76"/>
      <c r="JXA60" s="76"/>
      <c r="JXB60" s="76"/>
      <c r="JXC60" s="76"/>
      <c r="JXD60" s="76"/>
      <c r="JXE60" s="76"/>
      <c r="JXF60" s="76"/>
      <c r="JXG60" s="76"/>
      <c r="JXH60" s="76"/>
      <c r="JXI60" s="76"/>
      <c r="JXJ60" s="76"/>
      <c r="JXK60" s="76"/>
      <c r="JXL60" s="76"/>
      <c r="JXM60" s="76"/>
      <c r="JXN60" s="76"/>
      <c r="JXO60" s="76"/>
      <c r="JXP60" s="76"/>
      <c r="JXQ60" s="76"/>
      <c r="JXR60" s="76"/>
      <c r="JXS60" s="76"/>
      <c r="JXT60" s="76"/>
      <c r="JXU60" s="76"/>
      <c r="JXV60" s="76"/>
      <c r="JXW60" s="76"/>
      <c r="JXX60" s="76"/>
      <c r="JXY60" s="76"/>
      <c r="JXZ60" s="76"/>
      <c r="JYA60" s="76"/>
      <c r="JYB60" s="76"/>
      <c r="JYC60" s="76"/>
      <c r="JYD60" s="76"/>
      <c r="JYE60" s="76"/>
      <c r="JYF60" s="76"/>
      <c r="JYG60" s="76"/>
      <c r="JYH60" s="76"/>
      <c r="JYI60" s="76"/>
      <c r="JYJ60" s="76"/>
      <c r="JYK60" s="76"/>
      <c r="JYL60" s="76"/>
      <c r="JYM60" s="76"/>
      <c r="JYN60" s="76"/>
      <c r="JYO60" s="76"/>
      <c r="JYP60" s="76"/>
      <c r="JYQ60" s="76"/>
      <c r="JYR60" s="76"/>
      <c r="JYS60" s="76"/>
      <c r="JYT60" s="76"/>
      <c r="JYU60" s="76"/>
      <c r="JYV60" s="76"/>
      <c r="JYW60" s="76"/>
      <c r="JYX60" s="76"/>
      <c r="JYY60" s="76"/>
      <c r="JYZ60" s="76"/>
      <c r="JZA60" s="76"/>
      <c r="JZB60" s="76"/>
      <c r="JZC60" s="76"/>
      <c r="JZD60" s="76"/>
      <c r="JZE60" s="76"/>
      <c r="JZF60" s="76"/>
      <c r="JZG60" s="76"/>
      <c r="JZH60" s="76"/>
      <c r="JZI60" s="76"/>
      <c r="JZJ60" s="76"/>
      <c r="JZK60" s="76"/>
      <c r="JZL60" s="76"/>
      <c r="JZM60" s="76"/>
      <c r="JZN60" s="76"/>
      <c r="JZO60" s="76"/>
      <c r="JZP60" s="76"/>
      <c r="JZQ60" s="76"/>
      <c r="JZR60" s="76"/>
      <c r="JZS60" s="76"/>
      <c r="JZT60" s="76"/>
      <c r="JZU60" s="76"/>
      <c r="JZV60" s="76"/>
      <c r="JZW60" s="76"/>
      <c r="JZX60" s="76"/>
      <c r="JZY60" s="76"/>
      <c r="JZZ60" s="76"/>
      <c r="KAA60" s="76"/>
      <c r="KAB60" s="76"/>
      <c r="KAC60" s="76"/>
      <c r="KAD60" s="76"/>
      <c r="KAE60" s="76"/>
      <c r="KAF60" s="76"/>
      <c r="KAG60" s="76"/>
      <c r="KAH60" s="76"/>
      <c r="KAI60" s="76"/>
      <c r="KAJ60" s="76"/>
      <c r="KAK60" s="76"/>
      <c r="KAL60" s="76"/>
      <c r="KAM60" s="76"/>
      <c r="KAN60" s="76"/>
      <c r="KAO60" s="76"/>
      <c r="KAP60" s="76"/>
      <c r="KAQ60" s="76"/>
      <c r="KAR60" s="76"/>
      <c r="KAS60" s="76"/>
      <c r="KAT60" s="76"/>
      <c r="KAU60" s="76"/>
      <c r="KAV60" s="76"/>
      <c r="KAW60" s="76"/>
      <c r="KAX60" s="76"/>
      <c r="KAY60" s="76"/>
      <c r="KAZ60" s="76"/>
      <c r="KBA60" s="76"/>
      <c r="KBB60" s="76"/>
      <c r="KBC60" s="76"/>
      <c r="KBD60" s="76"/>
      <c r="KBE60" s="76"/>
      <c r="KBF60" s="76"/>
      <c r="KBG60" s="76"/>
      <c r="KBH60" s="76"/>
      <c r="KBI60" s="76"/>
      <c r="KBJ60" s="76"/>
      <c r="KBK60" s="76"/>
      <c r="KBL60" s="76"/>
      <c r="KBM60" s="76"/>
      <c r="KBN60" s="76"/>
      <c r="KBO60" s="76"/>
      <c r="KBP60" s="76"/>
      <c r="KBQ60" s="76"/>
      <c r="KBR60" s="76"/>
      <c r="KBS60" s="76"/>
      <c r="KBT60" s="76"/>
      <c r="KBU60" s="76"/>
      <c r="KBV60" s="76"/>
      <c r="KBW60" s="76"/>
      <c r="KBX60" s="76"/>
      <c r="KBY60" s="76"/>
      <c r="KBZ60" s="76"/>
      <c r="KCA60" s="76"/>
      <c r="KCB60" s="76"/>
      <c r="KCC60" s="76"/>
      <c r="KCD60" s="76"/>
      <c r="KCE60" s="76"/>
      <c r="KCF60" s="76"/>
      <c r="KCG60" s="76"/>
      <c r="KCH60" s="76"/>
      <c r="KCI60" s="76"/>
      <c r="KCJ60" s="76"/>
      <c r="KCK60" s="76"/>
      <c r="KCL60" s="76"/>
      <c r="KCM60" s="76"/>
      <c r="KCN60" s="76"/>
      <c r="KCO60" s="76"/>
      <c r="KCP60" s="76"/>
      <c r="KCQ60" s="76"/>
      <c r="KCR60" s="76"/>
      <c r="KCS60" s="76"/>
      <c r="KCT60" s="76"/>
      <c r="KCU60" s="76"/>
      <c r="KCV60" s="76"/>
      <c r="KCW60" s="76"/>
      <c r="KCX60" s="76"/>
      <c r="KCY60" s="76"/>
      <c r="KCZ60" s="76"/>
      <c r="KDA60" s="76"/>
      <c r="KDB60" s="76"/>
      <c r="KDC60" s="76"/>
      <c r="KDD60" s="76"/>
      <c r="KDE60" s="76"/>
      <c r="KDF60" s="76"/>
      <c r="KDG60" s="76"/>
      <c r="KDH60" s="76"/>
      <c r="KDI60" s="76"/>
      <c r="KDJ60" s="76"/>
      <c r="KDK60" s="76"/>
      <c r="KDL60" s="76"/>
      <c r="KDM60" s="76"/>
      <c r="KDN60" s="76"/>
      <c r="KDO60" s="76"/>
      <c r="KDP60" s="76"/>
      <c r="KDQ60" s="76"/>
      <c r="KDR60" s="76"/>
      <c r="KDS60" s="76"/>
      <c r="KDT60" s="76"/>
      <c r="KDU60" s="76"/>
      <c r="KDV60" s="76"/>
      <c r="KDW60" s="76"/>
      <c r="KDX60" s="76"/>
      <c r="KDY60" s="76"/>
      <c r="KDZ60" s="76"/>
      <c r="KEA60" s="76"/>
      <c r="KEB60" s="76"/>
      <c r="KEC60" s="76"/>
      <c r="KED60" s="76"/>
      <c r="KEE60" s="76"/>
      <c r="KEF60" s="76"/>
      <c r="KEG60" s="76"/>
      <c r="KEH60" s="76"/>
      <c r="KEI60" s="76"/>
      <c r="KEJ60" s="76"/>
      <c r="KEK60" s="76"/>
      <c r="KEL60" s="76"/>
      <c r="KEM60" s="76"/>
      <c r="KEN60" s="76"/>
      <c r="KEO60" s="76"/>
      <c r="KEP60" s="76"/>
      <c r="KEQ60" s="76"/>
      <c r="KER60" s="76"/>
      <c r="KES60" s="76"/>
      <c r="KET60" s="76"/>
      <c r="KEU60" s="76"/>
      <c r="KEV60" s="76"/>
      <c r="KEW60" s="76"/>
      <c r="KEX60" s="76"/>
      <c r="KEY60" s="76"/>
      <c r="KEZ60" s="76"/>
      <c r="KFA60" s="76"/>
      <c r="KFB60" s="76"/>
      <c r="KFC60" s="76"/>
      <c r="KFD60" s="76"/>
      <c r="KFE60" s="76"/>
      <c r="KFF60" s="76"/>
      <c r="KFG60" s="76"/>
      <c r="KFH60" s="76"/>
      <c r="KFI60" s="76"/>
      <c r="KFJ60" s="76"/>
      <c r="KFK60" s="76"/>
      <c r="KFL60" s="76"/>
      <c r="KFM60" s="76"/>
      <c r="KFN60" s="76"/>
      <c r="KFO60" s="76"/>
      <c r="KFP60" s="76"/>
      <c r="KFQ60" s="76"/>
      <c r="KFR60" s="76"/>
      <c r="KFS60" s="76"/>
      <c r="KFT60" s="76"/>
      <c r="KFU60" s="76"/>
      <c r="KFV60" s="76"/>
      <c r="KFW60" s="76"/>
      <c r="KFX60" s="76"/>
      <c r="KFY60" s="76"/>
      <c r="KFZ60" s="76"/>
      <c r="KGA60" s="76"/>
      <c r="KGB60" s="76"/>
      <c r="KGC60" s="76"/>
      <c r="KGD60" s="76"/>
      <c r="KGE60" s="76"/>
      <c r="KGF60" s="76"/>
      <c r="KGG60" s="76"/>
      <c r="KGH60" s="76"/>
      <c r="KGI60" s="76"/>
      <c r="KGJ60" s="76"/>
      <c r="KGK60" s="76"/>
      <c r="KGL60" s="76"/>
      <c r="KGM60" s="76"/>
      <c r="KGN60" s="76"/>
      <c r="KGO60" s="76"/>
      <c r="KGP60" s="76"/>
      <c r="KGQ60" s="76"/>
      <c r="KGR60" s="76"/>
      <c r="KGS60" s="76"/>
      <c r="KGT60" s="76"/>
      <c r="KGU60" s="76"/>
      <c r="KGV60" s="76"/>
      <c r="KGW60" s="76"/>
      <c r="KGX60" s="76"/>
      <c r="KGY60" s="76"/>
      <c r="KGZ60" s="76"/>
      <c r="KHA60" s="76"/>
      <c r="KHB60" s="76"/>
      <c r="KHC60" s="76"/>
      <c r="KHD60" s="76"/>
      <c r="KHE60" s="76"/>
      <c r="KHF60" s="76"/>
      <c r="KHG60" s="76"/>
      <c r="KHH60" s="76"/>
      <c r="KHI60" s="76"/>
      <c r="KHJ60" s="76"/>
      <c r="KHK60" s="76"/>
      <c r="KHL60" s="76"/>
      <c r="KHM60" s="76"/>
      <c r="KHN60" s="76"/>
      <c r="KHO60" s="76"/>
      <c r="KHP60" s="76"/>
      <c r="KHQ60" s="76"/>
      <c r="KHR60" s="76"/>
      <c r="KHS60" s="76"/>
      <c r="KHT60" s="76"/>
      <c r="KHU60" s="76"/>
      <c r="KHV60" s="76"/>
      <c r="KHW60" s="76"/>
      <c r="KHX60" s="76"/>
      <c r="KHY60" s="76"/>
      <c r="KHZ60" s="76"/>
      <c r="KIA60" s="76"/>
      <c r="KIB60" s="76"/>
      <c r="KIC60" s="76"/>
      <c r="KID60" s="76"/>
      <c r="KIE60" s="76"/>
      <c r="KIF60" s="76"/>
      <c r="KIG60" s="76"/>
      <c r="KIH60" s="76"/>
      <c r="KII60" s="76"/>
      <c r="KIJ60" s="76"/>
      <c r="KIK60" s="76"/>
      <c r="KIL60" s="76"/>
      <c r="KIM60" s="76"/>
      <c r="KIN60" s="76"/>
      <c r="KIO60" s="76"/>
      <c r="KIP60" s="76"/>
      <c r="KIQ60" s="76"/>
      <c r="KIR60" s="76"/>
      <c r="KIS60" s="76"/>
      <c r="KIT60" s="76"/>
      <c r="KIU60" s="76"/>
      <c r="KIV60" s="76"/>
      <c r="KIW60" s="76"/>
      <c r="KIX60" s="76"/>
      <c r="KIY60" s="76"/>
      <c r="KIZ60" s="76"/>
      <c r="KJA60" s="76"/>
      <c r="KJB60" s="76"/>
      <c r="KJC60" s="76"/>
      <c r="KJD60" s="76"/>
      <c r="KJE60" s="76"/>
      <c r="KJF60" s="76"/>
      <c r="KJG60" s="76"/>
      <c r="KJH60" s="76"/>
      <c r="KJI60" s="76"/>
      <c r="KJJ60" s="76"/>
      <c r="KJK60" s="76"/>
      <c r="KJL60" s="76"/>
      <c r="KJM60" s="76"/>
      <c r="KJN60" s="76"/>
      <c r="KJO60" s="76"/>
      <c r="KJP60" s="76"/>
      <c r="KJQ60" s="76"/>
      <c r="KJR60" s="76"/>
      <c r="KJS60" s="76"/>
      <c r="KJT60" s="76"/>
      <c r="KJU60" s="76"/>
      <c r="KJV60" s="76"/>
      <c r="KJW60" s="76"/>
      <c r="KJX60" s="76"/>
      <c r="KJY60" s="76"/>
      <c r="KJZ60" s="76"/>
      <c r="KKA60" s="76"/>
      <c r="KKB60" s="76"/>
      <c r="KKC60" s="76"/>
      <c r="KKD60" s="76"/>
      <c r="KKE60" s="76"/>
      <c r="KKF60" s="76"/>
      <c r="KKG60" s="76"/>
      <c r="KKH60" s="76"/>
      <c r="KKI60" s="76"/>
      <c r="KKJ60" s="76"/>
      <c r="KKK60" s="76"/>
      <c r="KKL60" s="76"/>
      <c r="KKM60" s="76"/>
      <c r="KKN60" s="76"/>
      <c r="KKO60" s="76"/>
      <c r="KKP60" s="76"/>
      <c r="KKQ60" s="76"/>
      <c r="KKR60" s="76"/>
      <c r="KKS60" s="76"/>
      <c r="KKT60" s="76"/>
      <c r="KKU60" s="76"/>
      <c r="KKV60" s="76"/>
      <c r="KKW60" s="76"/>
      <c r="KKX60" s="76"/>
      <c r="KKY60" s="76"/>
      <c r="KKZ60" s="76"/>
      <c r="KLA60" s="76"/>
      <c r="KLB60" s="76"/>
      <c r="KLC60" s="76"/>
      <c r="KLD60" s="76"/>
      <c r="KLE60" s="76"/>
      <c r="KLF60" s="76"/>
      <c r="KLG60" s="76"/>
      <c r="KLH60" s="76"/>
      <c r="KLI60" s="76"/>
      <c r="KLJ60" s="76"/>
      <c r="KLK60" s="76"/>
      <c r="KLL60" s="76"/>
      <c r="KLM60" s="76"/>
      <c r="KLN60" s="76"/>
      <c r="KLO60" s="76"/>
      <c r="KLP60" s="76"/>
      <c r="KLQ60" s="76"/>
      <c r="KLR60" s="76"/>
      <c r="KLS60" s="76"/>
      <c r="KLT60" s="76"/>
      <c r="KLU60" s="76"/>
      <c r="KLV60" s="76"/>
      <c r="KLW60" s="76"/>
      <c r="KLX60" s="76"/>
      <c r="KLY60" s="76"/>
      <c r="KLZ60" s="76"/>
      <c r="KMA60" s="76"/>
      <c r="KMB60" s="76"/>
      <c r="KMC60" s="76"/>
      <c r="KMD60" s="76"/>
      <c r="KME60" s="76"/>
      <c r="KMF60" s="76"/>
      <c r="KMG60" s="76"/>
      <c r="KMH60" s="76"/>
      <c r="KMI60" s="76"/>
      <c r="KMJ60" s="76"/>
      <c r="KMK60" s="76"/>
      <c r="KML60" s="76"/>
      <c r="KMM60" s="76"/>
      <c r="KMN60" s="76"/>
      <c r="KMO60" s="76"/>
      <c r="KMP60" s="76"/>
      <c r="KMQ60" s="76"/>
      <c r="KMR60" s="76"/>
      <c r="KMS60" s="76"/>
      <c r="KMT60" s="76"/>
      <c r="KMU60" s="76"/>
      <c r="KMV60" s="76"/>
      <c r="KMW60" s="76"/>
      <c r="KMX60" s="76"/>
      <c r="KMY60" s="76"/>
      <c r="KMZ60" s="76"/>
      <c r="KNA60" s="76"/>
      <c r="KNB60" s="76"/>
      <c r="KNC60" s="76"/>
      <c r="KND60" s="76"/>
      <c r="KNE60" s="76"/>
      <c r="KNF60" s="76"/>
      <c r="KNG60" s="76"/>
      <c r="KNH60" s="76"/>
      <c r="KNI60" s="76"/>
      <c r="KNJ60" s="76"/>
      <c r="KNK60" s="76"/>
      <c r="KNL60" s="76"/>
      <c r="KNM60" s="76"/>
      <c r="KNN60" s="76"/>
      <c r="KNO60" s="76"/>
      <c r="KNP60" s="76"/>
      <c r="KNQ60" s="76"/>
      <c r="KNR60" s="76"/>
      <c r="KNS60" s="76"/>
      <c r="KNT60" s="76"/>
      <c r="KNU60" s="76"/>
      <c r="KNV60" s="76"/>
      <c r="KNW60" s="76"/>
      <c r="KNX60" s="76"/>
      <c r="KNY60" s="76"/>
      <c r="KNZ60" s="76"/>
      <c r="KOA60" s="76"/>
      <c r="KOB60" s="76"/>
      <c r="KOC60" s="76"/>
      <c r="KOD60" s="76"/>
      <c r="KOE60" s="76"/>
      <c r="KOF60" s="76"/>
      <c r="KOG60" s="76"/>
      <c r="KOH60" s="76"/>
      <c r="KOI60" s="76"/>
      <c r="KOJ60" s="76"/>
      <c r="KOK60" s="76"/>
      <c r="KOL60" s="76"/>
      <c r="KOM60" s="76"/>
      <c r="KON60" s="76"/>
      <c r="KOO60" s="76"/>
      <c r="KOP60" s="76"/>
      <c r="KOQ60" s="76"/>
      <c r="KOR60" s="76"/>
      <c r="KOS60" s="76"/>
      <c r="KOT60" s="76"/>
      <c r="KOU60" s="76"/>
      <c r="KOV60" s="76"/>
      <c r="KOW60" s="76"/>
      <c r="KOX60" s="76"/>
      <c r="KOY60" s="76"/>
      <c r="KOZ60" s="76"/>
      <c r="KPA60" s="76"/>
      <c r="KPB60" s="76"/>
      <c r="KPC60" s="76"/>
      <c r="KPD60" s="76"/>
      <c r="KPE60" s="76"/>
      <c r="KPF60" s="76"/>
      <c r="KPG60" s="76"/>
      <c r="KPH60" s="76"/>
      <c r="KPI60" s="76"/>
      <c r="KPJ60" s="76"/>
      <c r="KPK60" s="76"/>
      <c r="KPL60" s="76"/>
      <c r="KPM60" s="76"/>
      <c r="KPN60" s="76"/>
      <c r="KPO60" s="76"/>
      <c r="KPP60" s="76"/>
      <c r="KPQ60" s="76"/>
      <c r="KPR60" s="76"/>
      <c r="KPS60" s="76"/>
      <c r="KPT60" s="76"/>
      <c r="KPU60" s="76"/>
      <c r="KPV60" s="76"/>
      <c r="KPW60" s="76"/>
      <c r="KPX60" s="76"/>
      <c r="KPY60" s="76"/>
      <c r="KPZ60" s="76"/>
      <c r="KQA60" s="76"/>
      <c r="KQB60" s="76"/>
      <c r="KQC60" s="76"/>
      <c r="KQD60" s="76"/>
      <c r="KQE60" s="76"/>
      <c r="KQF60" s="76"/>
      <c r="KQG60" s="76"/>
      <c r="KQH60" s="76"/>
      <c r="KQI60" s="76"/>
      <c r="KQJ60" s="76"/>
      <c r="KQK60" s="76"/>
      <c r="KQL60" s="76"/>
      <c r="KQM60" s="76"/>
      <c r="KQN60" s="76"/>
      <c r="KQO60" s="76"/>
      <c r="KQP60" s="76"/>
      <c r="KQQ60" s="76"/>
      <c r="KQR60" s="76"/>
      <c r="KQS60" s="76"/>
      <c r="KQT60" s="76"/>
      <c r="KQU60" s="76"/>
      <c r="KQV60" s="76"/>
      <c r="KQW60" s="76"/>
      <c r="KQX60" s="76"/>
      <c r="KQY60" s="76"/>
      <c r="KQZ60" s="76"/>
      <c r="KRA60" s="76"/>
      <c r="KRB60" s="76"/>
      <c r="KRC60" s="76"/>
      <c r="KRD60" s="76"/>
      <c r="KRE60" s="76"/>
      <c r="KRF60" s="76"/>
      <c r="KRG60" s="76"/>
      <c r="KRH60" s="76"/>
      <c r="KRI60" s="76"/>
      <c r="KRJ60" s="76"/>
      <c r="KRK60" s="76"/>
      <c r="KRL60" s="76"/>
      <c r="KRM60" s="76"/>
      <c r="KRN60" s="76"/>
      <c r="KRO60" s="76"/>
      <c r="KRP60" s="76"/>
      <c r="KRQ60" s="76"/>
      <c r="KRR60" s="76"/>
      <c r="KRS60" s="76"/>
      <c r="KRT60" s="76"/>
      <c r="KRU60" s="76"/>
      <c r="KRV60" s="76"/>
      <c r="KRW60" s="76"/>
      <c r="KRX60" s="76"/>
      <c r="KRY60" s="76"/>
      <c r="KRZ60" s="76"/>
      <c r="KSA60" s="76"/>
      <c r="KSB60" s="76"/>
      <c r="KSC60" s="76"/>
      <c r="KSD60" s="76"/>
      <c r="KSE60" s="76"/>
      <c r="KSF60" s="76"/>
      <c r="KSG60" s="76"/>
      <c r="KSH60" s="76"/>
      <c r="KSI60" s="76"/>
      <c r="KSJ60" s="76"/>
      <c r="KSK60" s="76"/>
      <c r="KSL60" s="76"/>
      <c r="KSM60" s="76"/>
      <c r="KSN60" s="76"/>
      <c r="KSO60" s="76"/>
      <c r="KSP60" s="76"/>
      <c r="KSQ60" s="76"/>
      <c r="KSR60" s="76"/>
      <c r="KSS60" s="76"/>
      <c r="KST60" s="76"/>
      <c r="KSU60" s="76"/>
      <c r="KSV60" s="76"/>
      <c r="KSW60" s="76"/>
      <c r="KSX60" s="76"/>
      <c r="KSY60" s="76"/>
      <c r="KSZ60" s="76"/>
      <c r="KTA60" s="76"/>
      <c r="KTB60" s="76"/>
      <c r="KTC60" s="76"/>
      <c r="KTD60" s="76"/>
      <c r="KTE60" s="76"/>
      <c r="KTF60" s="76"/>
      <c r="KTG60" s="76"/>
      <c r="KTH60" s="76"/>
      <c r="KTI60" s="76"/>
      <c r="KTJ60" s="76"/>
      <c r="KTK60" s="76"/>
      <c r="KTL60" s="76"/>
      <c r="KTM60" s="76"/>
      <c r="KTN60" s="76"/>
      <c r="KTO60" s="76"/>
      <c r="KTP60" s="76"/>
      <c r="KTQ60" s="76"/>
      <c r="KTR60" s="76"/>
      <c r="KTS60" s="76"/>
      <c r="KTT60" s="76"/>
      <c r="KTU60" s="76"/>
      <c r="KTV60" s="76"/>
      <c r="KTW60" s="76"/>
      <c r="KTX60" s="76"/>
      <c r="KTY60" s="76"/>
      <c r="KTZ60" s="76"/>
      <c r="KUA60" s="76"/>
      <c r="KUB60" s="76"/>
      <c r="KUC60" s="76"/>
      <c r="KUD60" s="76"/>
      <c r="KUE60" s="76"/>
      <c r="KUF60" s="76"/>
      <c r="KUG60" s="76"/>
      <c r="KUH60" s="76"/>
      <c r="KUI60" s="76"/>
      <c r="KUJ60" s="76"/>
      <c r="KUK60" s="76"/>
      <c r="KUL60" s="76"/>
      <c r="KUM60" s="76"/>
      <c r="KUN60" s="76"/>
      <c r="KUO60" s="76"/>
      <c r="KUP60" s="76"/>
      <c r="KUQ60" s="76"/>
      <c r="KUR60" s="76"/>
      <c r="KUS60" s="76"/>
      <c r="KUT60" s="76"/>
      <c r="KUU60" s="76"/>
      <c r="KUV60" s="76"/>
      <c r="KUW60" s="76"/>
      <c r="KUX60" s="76"/>
      <c r="KUY60" s="76"/>
      <c r="KUZ60" s="76"/>
      <c r="KVA60" s="76"/>
      <c r="KVB60" s="76"/>
      <c r="KVC60" s="76"/>
      <c r="KVD60" s="76"/>
      <c r="KVE60" s="76"/>
      <c r="KVF60" s="76"/>
      <c r="KVG60" s="76"/>
      <c r="KVH60" s="76"/>
      <c r="KVI60" s="76"/>
      <c r="KVJ60" s="76"/>
      <c r="KVK60" s="76"/>
      <c r="KVL60" s="76"/>
      <c r="KVM60" s="76"/>
      <c r="KVN60" s="76"/>
      <c r="KVO60" s="76"/>
      <c r="KVP60" s="76"/>
      <c r="KVQ60" s="76"/>
      <c r="KVR60" s="76"/>
      <c r="KVS60" s="76"/>
      <c r="KVT60" s="76"/>
      <c r="KVU60" s="76"/>
      <c r="KVV60" s="76"/>
      <c r="KVW60" s="76"/>
      <c r="KVX60" s="76"/>
      <c r="KVY60" s="76"/>
      <c r="KVZ60" s="76"/>
      <c r="KWA60" s="76"/>
      <c r="KWB60" s="76"/>
      <c r="KWC60" s="76"/>
      <c r="KWD60" s="76"/>
      <c r="KWE60" s="76"/>
      <c r="KWF60" s="76"/>
      <c r="KWG60" s="76"/>
      <c r="KWH60" s="76"/>
      <c r="KWI60" s="76"/>
      <c r="KWJ60" s="76"/>
      <c r="KWK60" s="76"/>
      <c r="KWL60" s="76"/>
      <c r="KWM60" s="76"/>
      <c r="KWN60" s="76"/>
      <c r="KWO60" s="76"/>
      <c r="KWP60" s="76"/>
      <c r="KWQ60" s="76"/>
      <c r="KWR60" s="76"/>
      <c r="KWS60" s="76"/>
      <c r="KWT60" s="76"/>
      <c r="KWU60" s="76"/>
      <c r="KWV60" s="76"/>
      <c r="KWW60" s="76"/>
      <c r="KWX60" s="76"/>
      <c r="KWY60" s="76"/>
      <c r="KWZ60" s="76"/>
      <c r="KXA60" s="76"/>
      <c r="KXB60" s="76"/>
      <c r="KXC60" s="76"/>
      <c r="KXD60" s="76"/>
      <c r="KXE60" s="76"/>
      <c r="KXF60" s="76"/>
      <c r="KXG60" s="76"/>
      <c r="KXH60" s="76"/>
      <c r="KXI60" s="76"/>
      <c r="KXJ60" s="76"/>
      <c r="KXK60" s="76"/>
      <c r="KXL60" s="76"/>
      <c r="KXM60" s="76"/>
      <c r="KXN60" s="76"/>
      <c r="KXO60" s="76"/>
      <c r="KXP60" s="76"/>
      <c r="KXQ60" s="76"/>
      <c r="KXR60" s="76"/>
      <c r="KXS60" s="76"/>
      <c r="KXT60" s="76"/>
      <c r="KXU60" s="76"/>
      <c r="KXV60" s="76"/>
      <c r="KXW60" s="76"/>
      <c r="KXX60" s="76"/>
      <c r="KXY60" s="76"/>
      <c r="KXZ60" s="76"/>
      <c r="KYA60" s="76"/>
      <c r="KYB60" s="76"/>
      <c r="KYC60" s="76"/>
      <c r="KYD60" s="76"/>
      <c r="KYE60" s="76"/>
      <c r="KYF60" s="76"/>
      <c r="KYG60" s="76"/>
      <c r="KYH60" s="76"/>
      <c r="KYI60" s="76"/>
      <c r="KYJ60" s="76"/>
      <c r="KYK60" s="76"/>
      <c r="KYL60" s="76"/>
      <c r="KYM60" s="76"/>
      <c r="KYN60" s="76"/>
      <c r="KYO60" s="76"/>
      <c r="KYP60" s="76"/>
      <c r="KYQ60" s="76"/>
      <c r="KYR60" s="76"/>
      <c r="KYS60" s="76"/>
      <c r="KYT60" s="76"/>
      <c r="KYU60" s="76"/>
      <c r="KYV60" s="76"/>
      <c r="KYW60" s="76"/>
      <c r="KYX60" s="76"/>
      <c r="KYY60" s="76"/>
      <c r="KYZ60" s="76"/>
      <c r="KZA60" s="76"/>
      <c r="KZB60" s="76"/>
      <c r="KZC60" s="76"/>
      <c r="KZD60" s="76"/>
      <c r="KZE60" s="76"/>
      <c r="KZF60" s="76"/>
      <c r="KZG60" s="76"/>
      <c r="KZH60" s="76"/>
      <c r="KZI60" s="76"/>
      <c r="KZJ60" s="76"/>
      <c r="KZK60" s="76"/>
      <c r="KZL60" s="76"/>
      <c r="KZM60" s="76"/>
      <c r="KZN60" s="76"/>
      <c r="KZO60" s="76"/>
      <c r="KZP60" s="76"/>
      <c r="KZQ60" s="76"/>
      <c r="KZR60" s="76"/>
      <c r="KZS60" s="76"/>
      <c r="KZT60" s="76"/>
      <c r="KZU60" s="76"/>
      <c r="KZV60" s="76"/>
      <c r="KZW60" s="76"/>
      <c r="KZX60" s="76"/>
      <c r="KZY60" s="76"/>
      <c r="KZZ60" s="76"/>
      <c r="LAA60" s="76"/>
      <c r="LAB60" s="76"/>
      <c r="LAC60" s="76"/>
      <c r="LAD60" s="76"/>
      <c r="LAE60" s="76"/>
      <c r="LAF60" s="76"/>
      <c r="LAG60" s="76"/>
      <c r="LAH60" s="76"/>
      <c r="LAI60" s="76"/>
      <c r="LAJ60" s="76"/>
      <c r="LAK60" s="76"/>
      <c r="LAL60" s="76"/>
      <c r="LAM60" s="76"/>
      <c r="LAN60" s="76"/>
      <c r="LAO60" s="76"/>
      <c r="LAP60" s="76"/>
      <c r="LAQ60" s="76"/>
      <c r="LAR60" s="76"/>
      <c r="LAS60" s="76"/>
      <c r="LAT60" s="76"/>
      <c r="LAU60" s="76"/>
      <c r="LAV60" s="76"/>
      <c r="LAW60" s="76"/>
      <c r="LAX60" s="76"/>
      <c r="LAY60" s="76"/>
      <c r="LAZ60" s="76"/>
      <c r="LBA60" s="76"/>
      <c r="LBB60" s="76"/>
      <c r="LBC60" s="76"/>
      <c r="LBD60" s="76"/>
      <c r="LBE60" s="76"/>
      <c r="LBF60" s="76"/>
      <c r="LBG60" s="76"/>
      <c r="LBH60" s="76"/>
      <c r="LBI60" s="76"/>
      <c r="LBJ60" s="76"/>
      <c r="LBK60" s="76"/>
      <c r="LBL60" s="76"/>
      <c r="LBM60" s="76"/>
      <c r="LBN60" s="76"/>
      <c r="LBO60" s="76"/>
      <c r="LBP60" s="76"/>
      <c r="LBQ60" s="76"/>
      <c r="LBR60" s="76"/>
      <c r="LBS60" s="76"/>
      <c r="LBT60" s="76"/>
      <c r="LBU60" s="76"/>
      <c r="LBV60" s="76"/>
      <c r="LBW60" s="76"/>
      <c r="LBX60" s="76"/>
      <c r="LBY60" s="76"/>
      <c r="LBZ60" s="76"/>
      <c r="LCA60" s="76"/>
      <c r="LCB60" s="76"/>
      <c r="LCC60" s="76"/>
      <c r="LCD60" s="76"/>
      <c r="LCE60" s="76"/>
      <c r="LCF60" s="76"/>
      <c r="LCG60" s="76"/>
      <c r="LCH60" s="76"/>
      <c r="LCI60" s="76"/>
      <c r="LCJ60" s="76"/>
      <c r="LCK60" s="76"/>
      <c r="LCL60" s="76"/>
      <c r="LCM60" s="76"/>
      <c r="LCN60" s="76"/>
      <c r="LCO60" s="76"/>
      <c r="LCP60" s="76"/>
      <c r="LCQ60" s="76"/>
      <c r="LCR60" s="76"/>
      <c r="LCS60" s="76"/>
      <c r="LCT60" s="76"/>
      <c r="LCU60" s="76"/>
      <c r="LCV60" s="76"/>
      <c r="LCW60" s="76"/>
      <c r="LCX60" s="76"/>
      <c r="LCY60" s="76"/>
      <c r="LCZ60" s="76"/>
      <c r="LDA60" s="76"/>
      <c r="LDB60" s="76"/>
      <c r="LDC60" s="76"/>
      <c r="LDD60" s="76"/>
      <c r="LDE60" s="76"/>
      <c r="LDF60" s="76"/>
      <c r="LDG60" s="76"/>
      <c r="LDH60" s="76"/>
      <c r="LDI60" s="76"/>
      <c r="LDJ60" s="76"/>
      <c r="LDK60" s="76"/>
      <c r="LDL60" s="76"/>
      <c r="LDM60" s="76"/>
      <c r="LDN60" s="76"/>
      <c r="LDO60" s="76"/>
      <c r="LDP60" s="76"/>
      <c r="LDQ60" s="76"/>
      <c r="LDR60" s="76"/>
      <c r="LDS60" s="76"/>
      <c r="LDT60" s="76"/>
      <c r="LDU60" s="76"/>
      <c r="LDV60" s="76"/>
      <c r="LDW60" s="76"/>
      <c r="LDX60" s="76"/>
      <c r="LDY60" s="76"/>
      <c r="LDZ60" s="76"/>
      <c r="LEA60" s="76"/>
      <c r="LEB60" s="76"/>
      <c r="LEC60" s="76"/>
      <c r="LED60" s="76"/>
      <c r="LEE60" s="76"/>
      <c r="LEF60" s="76"/>
      <c r="LEG60" s="76"/>
      <c r="LEH60" s="76"/>
      <c r="LEI60" s="76"/>
      <c r="LEJ60" s="76"/>
      <c r="LEK60" s="76"/>
      <c r="LEL60" s="76"/>
      <c r="LEM60" s="76"/>
      <c r="LEN60" s="76"/>
      <c r="LEO60" s="76"/>
      <c r="LEP60" s="76"/>
      <c r="LEQ60" s="76"/>
      <c r="LER60" s="76"/>
      <c r="LES60" s="76"/>
      <c r="LET60" s="76"/>
      <c r="LEU60" s="76"/>
      <c r="LEV60" s="76"/>
      <c r="LEW60" s="76"/>
      <c r="LEX60" s="76"/>
      <c r="LEY60" s="76"/>
      <c r="LEZ60" s="76"/>
      <c r="LFA60" s="76"/>
      <c r="LFB60" s="76"/>
      <c r="LFC60" s="76"/>
      <c r="LFD60" s="76"/>
      <c r="LFE60" s="76"/>
      <c r="LFF60" s="76"/>
      <c r="LFG60" s="76"/>
      <c r="LFH60" s="76"/>
      <c r="LFI60" s="76"/>
      <c r="LFJ60" s="76"/>
      <c r="LFK60" s="76"/>
      <c r="LFL60" s="76"/>
      <c r="LFM60" s="76"/>
      <c r="LFN60" s="76"/>
      <c r="LFO60" s="76"/>
      <c r="LFP60" s="76"/>
      <c r="LFQ60" s="76"/>
      <c r="LFR60" s="76"/>
      <c r="LFS60" s="76"/>
      <c r="LFT60" s="76"/>
      <c r="LFU60" s="76"/>
      <c r="LFV60" s="76"/>
      <c r="LFW60" s="76"/>
      <c r="LFX60" s="76"/>
      <c r="LFY60" s="76"/>
      <c r="LFZ60" s="76"/>
      <c r="LGA60" s="76"/>
      <c r="LGB60" s="76"/>
      <c r="LGC60" s="76"/>
      <c r="LGD60" s="76"/>
      <c r="LGE60" s="76"/>
      <c r="LGF60" s="76"/>
      <c r="LGG60" s="76"/>
      <c r="LGH60" s="76"/>
      <c r="LGI60" s="76"/>
      <c r="LGJ60" s="76"/>
      <c r="LGK60" s="76"/>
      <c r="LGL60" s="76"/>
      <c r="LGM60" s="76"/>
      <c r="LGN60" s="76"/>
      <c r="LGO60" s="76"/>
      <c r="LGP60" s="76"/>
      <c r="LGQ60" s="76"/>
      <c r="LGR60" s="76"/>
      <c r="LGS60" s="76"/>
      <c r="LGT60" s="76"/>
      <c r="LGU60" s="76"/>
      <c r="LGV60" s="76"/>
      <c r="LGW60" s="76"/>
      <c r="LGX60" s="76"/>
      <c r="LGY60" s="76"/>
      <c r="LGZ60" s="76"/>
      <c r="LHA60" s="76"/>
      <c r="LHB60" s="76"/>
      <c r="LHC60" s="76"/>
      <c r="LHD60" s="76"/>
      <c r="LHE60" s="76"/>
      <c r="LHF60" s="76"/>
      <c r="LHG60" s="76"/>
      <c r="LHH60" s="76"/>
      <c r="LHI60" s="76"/>
      <c r="LHJ60" s="76"/>
      <c r="LHK60" s="76"/>
      <c r="LHL60" s="76"/>
      <c r="LHM60" s="76"/>
      <c r="LHN60" s="76"/>
      <c r="LHO60" s="76"/>
      <c r="LHP60" s="76"/>
      <c r="LHQ60" s="76"/>
      <c r="LHR60" s="76"/>
      <c r="LHS60" s="76"/>
      <c r="LHT60" s="76"/>
      <c r="LHU60" s="76"/>
      <c r="LHV60" s="76"/>
      <c r="LHW60" s="76"/>
      <c r="LHX60" s="76"/>
      <c r="LHY60" s="76"/>
      <c r="LHZ60" s="76"/>
      <c r="LIA60" s="76"/>
      <c r="LIB60" s="76"/>
      <c r="LIC60" s="76"/>
      <c r="LID60" s="76"/>
      <c r="LIE60" s="76"/>
      <c r="LIF60" s="76"/>
      <c r="LIG60" s="76"/>
      <c r="LIH60" s="76"/>
      <c r="LII60" s="76"/>
      <c r="LIJ60" s="76"/>
      <c r="LIK60" s="76"/>
      <c r="LIL60" s="76"/>
      <c r="LIM60" s="76"/>
      <c r="LIN60" s="76"/>
      <c r="LIO60" s="76"/>
      <c r="LIP60" s="76"/>
      <c r="LIQ60" s="76"/>
      <c r="LIR60" s="76"/>
      <c r="LIS60" s="76"/>
      <c r="LIT60" s="76"/>
      <c r="LIU60" s="76"/>
      <c r="LIV60" s="76"/>
      <c r="LIW60" s="76"/>
      <c r="LIX60" s="76"/>
      <c r="LIY60" s="76"/>
      <c r="LIZ60" s="76"/>
      <c r="LJA60" s="76"/>
      <c r="LJB60" s="76"/>
      <c r="LJC60" s="76"/>
      <c r="LJD60" s="76"/>
      <c r="LJE60" s="76"/>
      <c r="LJF60" s="76"/>
      <c r="LJG60" s="76"/>
      <c r="LJH60" s="76"/>
      <c r="LJI60" s="76"/>
      <c r="LJJ60" s="76"/>
      <c r="LJK60" s="76"/>
      <c r="LJL60" s="76"/>
      <c r="LJM60" s="76"/>
      <c r="LJN60" s="76"/>
      <c r="LJO60" s="76"/>
      <c r="LJP60" s="76"/>
      <c r="LJQ60" s="76"/>
      <c r="LJR60" s="76"/>
      <c r="LJS60" s="76"/>
      <c r="LJT60" s="76"/>
      <c r="LJU60" s="76"/>
      <c r="LJV60" s="76"/>
      <c r="LJW60" s="76"/>
      <c r="LJX60" s="76"/>
      <c r="LJY60" s="76"/>
      <c r="LJZ60" s="76"/>
      <c r="LKA60" s="76"/>
      <c r="LKB60" s="76"/>
      <c r="LKC60" s="76"/>
      <c r="LKD60" s="76"/>
      <c r="LKE60" s="76"/>
      <c r="LKF60" s="76"/>
      <c r="LKG60" s="76"/>
      <c r="LKH60" s="76"/>
      <c r="LKI60" s="76"/>
      <c r="LKJ60" s="76"/>
      <c r="LKK60" s="76"/>
      <c r="LKL60" s="76"/>
      <c r="LKM60" s="76"/>
      <c r="LKN60" s="76"/>
      <c r="LKO60" s="76"/>
      <c r="LKP60" s="76"/>
      <c r="LKQ60" s="76"/>
      <c r="LKR60" s="76"/>
      <c r="LKS60" s="76"/>
      <c r="LKT60" s="76"/>
      <c r="LKU60" s="76"/>
      <c r="LKV60" s="76"/>
      <c r="LKW60" s="76"/>
      <c r="LKX60" s="76"/>
      <c r="LKY60" s="76"/>
      <c r="LKZ60" s="76"/>
      <c r="LLA60" s="76"/>
      <c r="LLB60" s="76"/>
      <c r="LLC60" s="76"/>
      <c r="LLD60" s="76"/>
      <c r="LLE60" s="76"/>
      <c r="LLF60" s="76"/>
      <c r="LLG60" s="76"/>
      <c r="LLH60" s="76"/>
      <c r="LLI60" s="76"/>
      <c r="LLJ60" s="76"/>
      <c r="LLK60" s="76"/>
      <c r="LLL60" s="76"/>
      <c r="LLM60" s="76"/>
      <c r="LLN60" s="76"/>
      <c r="LLO60" s="76"/>
      <c r="LLP60" s="76"/>
      <c r="LLQ60" s="76"/>
      <c r="LLR60" s="76"/>
      <c r="LLS60" s="76"/>
      <c r="LLT60" s="76"/>
      <c r="LLU60" s="76"/>
      <c r="LLV60" s="76"/>
      <c r="LLW60" s="76"/>
      <c r="LLX60" s="76"/>
      <c r="LLY60" s="76"/>
      <c r="LLZ60" s="76"/>
      <c r="LMA60" s="76"/>
      <c r="LMB60" s="76"/>
      <c r="LMC60" s="76"/>
      <c r="LMD60" s="76"/>
      <c r="LME60" s="76"/>
      <c r="LMF60" s="76"/>
      <c r="LMG60" s="76"/>
      <c r="LMH60" s="76"/>
      <c r="LMI60" s="76"/>
      <c r="LMJ60" s="76"/>
      <c r="LMK60" s="76"/>
      <c r="LML60" s="76"/>
      <c r="LMM60" s="76"/>
      <c r="LMN60" s="76"/>
      <c r="LMO60" s="76"/>
      <c r="LMP60" s="76"/>
      <c r="LMQ60" s="76"/>
      <c r="LMR60" s="76"/>
      <c r="LMS60" s="76"/>
      <c r="LMT60" s="76"/>
      <c r="LMU60" s="76"/>
      <c r="LMV60" s="76"/>
      <c r="LMW60" s="76"/>
      <c r="LMX60" s="76"/>
      <c r="LMY60" s="76"/>
      <c r="LMZ60" s="76"/>
      <c r="LNA60" s="76"/>
      <c r="LNB60" s="76"/>
      <c r="LNC60" s="76"/>
      <c r="LND60" s="76"/>
      <c r="LNE60" s="76"/>
      <c r="LNF60" s="76"/>
      <c r="LNG60" s="76"/>
      <c r="LNH60" s="76"/>
      <c r="LNI60" s="76"/>
      <c r="LNJ60" s="76"/>
      <c r="LNK60" s="76"/>
      <c r="LNL60" s="76"/>
      <c r="LNM60" s="76"/>
      <c r="LNN60" s="76"/>
      <c r="LNO60" s="76"/>
      <c r="LNP60" s="76"/>
      <c r="LNQ60" s="76"/>
      <c r="LNR60" s="76"/>
      <c r="LNS60" s="76"/>
      <c r="LNT60" s="76"/>
      <c r="LNU60" s="76"/>
      <c r="LNV60" s="76"/>
      <c r="LNW60" s="76"/>
      <c r="LNX60" s="76"/>
      <c r="LNY60" s="76"/>
      <c r="LNZ60" s="76"/>
      <c r="LOA60" s="76"/>
      <c r="LOB60" s="76"/>
      <c r="LOC60" s="76"/>
      <c r="LOD60" s="76"/>
      <c r="LOE60" s="76"/>
      <c r="LOF60" s="76"/>
      <c r="LOG60" s="76"/>
      <c r="LOH60" s="76"/>
      <c r="LOI60" s="76"/>
      <c r="LOJ60" s="76"/>
      <c r="LOK60" s="76"/>
      <c r="LOL60" s="76"/>
      <c r="LOM60" s="76"/>
      <c r="LON60" s="76"/>
      <c r="LOO60" s="76"/>
      <c r="LOP60" s="76"/>
      <c r="LOQ60" s="76"/>
      <c r="LOR60" s="76"/>
      <c r="LOS60" s="76"/>
      <c r="LOT60" s="76"/>
      <c r="LOU60" s="76"/>
      <c r="LOV60" s="76"/>
      <c r="LOW60" s="76"/>
      <c r="LOX60" s="76"/>
      <c r="LOY60" s="76"/>
      <c r="LOZ60" s="76"/>
      <c r="LPA60" s="76"/>
      <c r="LPB60" s="76"/>
      <c r="LPC60" s="76"/>
      <c r="LPD60" s="76"/>
      <c r="LPE60" s="76"/>
      <c r="LPF60" s="76"/>
      <c r="LPG60" s="76"/>
      <c r="LPH60" s="76"/>
      <c r="LPI60" s="76"/>
      <c r="LPJ60" s="76"/>
      <c r="LPK60" s="76"/>
      <c r="LPL60" s="76"/>
      <c r="LPM60" s="76"/>
      <c r="LPN60" s="76"/>
      <c r="LPO60" s="76"/>
      <c r="LPP60" s="76"/>
      <c r="LPQ60" s="76"/>
      <c r="LPR60" s="76"/>
      <c r="LPS60" s="76"/>
      <c r="LPT60" s="76"/>
      <c r="LPU60" s="76"/>
      <c r="LPV60" s="76"/>
      <c r="LPW60" s="76"/>
      <c r="LPX60" s="76"/>
      <c r="LPY60" s="76"/>
      <c r="LPZ60" s="76"/>
      <c r="LQA60" s="76"/>
      <c r="LQB60" s="76"/>
      <c r="LQC60" s="76"/>
      <c r="LQD60" s="76"/>
      <c r="LQE60" s="76"/>
      <c r="LQF60" s="76"/>
      <c r="LQG60" s="76"/>
      <c r="LQH60" s="76"/>
      <c r="LQI60" s="76"/>
      <c r="LQJ60" s="76"/>
      <c r="LQK60" s="76"/>
      <c r="LQL60" s="76"/>
      <c r="LQM60" s="76"/>
      <c r="LQN60" s="76"/>
      <c r="LQO60" s="76"/>
      <c r="LQP60" s="76"/>
      <c r="LQQ60" s="76"/>
      <c r="LQR60" s="76"/>
      <c r="LQS60" s="76"/>
      <c r="LQT60" s="76"/>
      <c r="LQU60" s="76"/>
      <c r="LQV60" s="76"/>
      <c r="LQW60" s="76"/>
      <c r="LQX60" s="76"/>
      <c r="LQY60" s="76"/>
      <c r="LQZ60" s="76"/>
      <c r="LRA60" s="76"/>
      <c r="LRB60" s="76"/>
      <c r="LRC60" s="76"/>
      <c r="LRD60" s="76"/>
      <c r="LRE60" s="76"/>
      <c r="LRF60" s="76"/>
      <c r="LRG60" s="76"/>
      <c r="LRH60" s="76"/>
      <c r="LRI60" s="76"/>
      <c r="LRJ60" s="76"/>
      <c r="LRK60" s="76"/>
      <c r="LRL60" s="76"/>
      <c r="LRM60" s="76"/>
      <c r="LRN60" s="76"/>
      <c r="LRO60" s="76"/>
      <c r="LRP60" s="76"/>
      <c r="LRQ60" s="76"/>
      <c r="LRR60" s="76"/>
      <c r="LRS60" s="76"/>
      <c r="LRT60" s="76"/>
      <c r="LRU60" s="76"/>
      <c r="LRV60" s="76"/>
      <c r="LRW60" s="76"/>
      <c r="LRX60" s="76"/>
      <c r="LRY60" s="76"/>
      <c r="LRZ60" s="76"/>
      <c r="LSA60" s="76"/>
      <c r="LSB60" s="76"/>
      <c r="LSC60" s="76"/>
      <c r="LSD60" s="76"/>
      <c r="LSE60" s="76"/>
      <c r="LSF60" s="76"/>
      <c r="LSG60" s="76"/>
      <c r="LSH60" s="76"/>
      <c r="LSI60" s="76"/>
      <c r="LSJ60" s="76"/>
      <c r="LSK60" s="76"/>
      <c r="LSL60" s="76"/>
      <c r="LSM60" s="76"/>
      <c r="LSN60" s="76"/>
      <c r="LSO60" s="76"/>
      <c r="LSP60" s="76"/>
      <c r="LSQ60" s="76"/>
      <c r="LSR60" s="76"/>
      <c r="LSS60" s="76"/>
      <c r="LST60" s="76"/>
      <c r="LSU60" s="76"/>
      <c r="LSV60" s="76"/>
      <c r="LSW60" s="76"/>
      <c r="LSX60" s="76"/>
      <c r="LSY60" s="76"/>
      <c r="LSZ60" s="76"/>
      <c r="LTA60" s="76"/>
      <c r="LTB60" s="76"/>
      <c r="LTC60" s="76"/>
      <c r="LTD60" s="76"/>
      <c r="LTE60" s="76"/>
      <c r="LTF60" s="76"/>
      <c r="LTG60" s="76"/>
      <c r="LTH60" s="76"/>
      <c r="LTI60" s="76"/>
      <c r="LTJ60" s="76"/>
      <c r="LTK60" s="76"/>
      <c r="LTL60" s="76"/>
      <c r="LTM60" s="76"/>
      <c r="LTN60" s="76"/>
      <c r="LTO60" s="76"/>
      <c r="LTP60" s="76"/>
      <c r="LTQ60" s="76"/>
      <c r="LTR60" s="76"/>
      <c r="LTS60" s="76"/>
      <c r="LTT60" s="76"/>
      <c r="LTU60" s="76"/>
      <c r="LTV60" s="76"/>
      <c r="LTW60" s="76"/>
      <c r="LTX60" s="76"/>
      <c r="LTY60" s="76"/>
      <c r="LTZ60" s="76"/>
      <c r="LUA60" s="76"/>
      <c r="LUB60" s="76"/>
      <c r="LUC60" s="76"/>
      <c r="LUD60" s="76"/>
      <c r="LUE60" s="76"/>
      <c r="LUF60" s="76"/>
      <c r="LUG60" s="76"/>
      <c r="LUH60" s="76"/>
      <c r="LUI60" s="76"/>
      <c r="LUJ60" s="76"/>
      <c r="LUK60" s="76"/>
      <c r="LUL60" s="76"/>
      <c r="LUM60" s="76"/>
      <c r="LUN60" s="76"/>
      <c r="LUO60" s="76"/>
      <c r="LUP60" s="76"/>
      <c r="LUQ60" s="76"/>
      <c r="LUR60" s="76"/>
      <c r="LUS60" s="76"/>
      <c r="LUT60" s="76"/>
      <c r="LUU60" s="76"/>
      <c r="LUV60" s="76"/>
      <c r="LUW60" s="76"/>
      <c r="LUX60" s="76"/>
      <c r="LUY60" s="76"/>
      <c r="LUZ60" s="76"/>
      <c r="LVA60" s="76"/>
      <c r="LVB60" s="76"/>
      <c r="LVC60" s="76"/>
      <c r="LVD60" s="76"/>
      <c r="LVE60" s="76"/>
      <c r="LVF60" s="76"/>
      <c r="LVG60" s="76"/>
      <c r="LVH60" s="76"/>
      <c r="LVI60" s="76"/>
      <c r="LVJ60" s="76"/>
      <c r="LVK60" s="76"/>
      <c r="LVL60" s="76"/>
      <c r="LVM60" s="76"/>
      <c r="LVN60" s="76"/>
      <c r="LVO60" s="76"/>
      <c r="LVP60" s="76"/>
      <c r="LVQ60" s="76"/>
      <c r="LVR60" s="76"/>
      <c r="LVS60" s="76"/>
      <c r="LVT60" s="76"/>
      <c r="LVU60" s="76"/>
      <c r="LVV60" s="76"/>
      <c r="LVW60" s="76"/>
      <c r="LVX60" s="76"/>
      <c r="LVY60" s="76"/>
      <c r="LVZ60" s="76"/>
      <c r="LWA60" s="76"/>
      <c r="LWB60" s="76"/>
      <c r="LWC60" s="76"/>
      <c r="LWD60" s="76"/>
      <c r="LWE60" s="76"/>
      <c r="LWF60" s="76"/>
      <c r="LWG60" s="76"/>
      <c r="LWH60" s="76"/>
      <c r="LWI60" s="76"/>
      <c r="LWJ60" s="76"/>
      <c r="LWK60" s="76"/>
      <c r="LWL60" s="76"/>
      <c r="LWM60" s="76"/>
      <c r="LWN60" s="76"/>
      <c r="LWO60" s="76"/>
      <c r="LWP60" s="76"/>
      <c r="LWQ60" s="76"/>
      <c r="LWR60" s="76"/>
      <c r="LWS60" s="76"/>
      <c r="LWT60" s="76"/>
      <c r="LWU60" s="76"/>
      <c r="LWV60" s="76"/>
      <c r="LWW60" s="76"/>
      <c r="LWX60" s="76"/>
      <c r="LWY60" s="76"/>
      <c r="LWZ60" s="76"/>
      <c r="LXA60" s="76"/>
      <c r="LXB60" s="76"/>
      <c r="LXC60" s="76"/>
      <c r="LXD60" s="76"/>
      <c r="LXE60" s="76"/>
      <c r="LXF60" s="76"/>
      <c r="LXG60" s="76"/>
      <c r="LXH60" s="76"/>
      <c r="LXI60" s="76"/>
      <c r="LXJ60" s="76"/>
      <c r="LXK60" s="76"/>
      <c r="LXL60" s="76"/>
      <c r="LXM60" s="76"/>
      <c r="LXN60" s="76"/>
      <c r="LXO60" s="76"/>
      <c r="LXP60" s="76"/>
      <c r="LXQ60" s="76"/>
      <c r="LXR60" s="76"/>
      <c r="LXS60" s="76"/>
      <c r="LXT60" s="76"/>
      <c r="LXU60" s="76"/>
      <c r="LXV60" s="76"/>
      <c r="LXW60" s="76"/>
      <c r="LXX60" s="76"/>
      <c r="LXY60" s="76"/>
      <c r="LXZ60" s="76"/>
      <c r="LYA60" s="76"/>
      <c r="LYB60" s="76"/>
      <c r="LYC60" s="76"/>
      <c r="LYD60" s="76"/>
      <c r="LYE60" s="76"/>
      <c r="LYF60" s="76"/>
      <c r="LYG60" s="76"/>
      <c r="LYH60" s="76"/>
      <c r="LYI60" s="76"/>
      <c r="LYJ60" s="76"/>
      <c r="LYK60" s="76"/>
      <c r="LYL60" s="76"/>
      <c r="LYM60" s="76"/>
      <c r="LYN60" s="76"/>
      <c r="LYO60" s="76"/>
      <c r="LYP60" s="76"/>
      <c r="LYQ60" s="76"/>
      <c r="LYR60" s="76"/>
      <c r="LYS60" s="76"/>
      <c r="LYT60" s="76"/>
      <c r="LYU60" s="76"/>
      <c r="LYV60" s="76"/>
      <c r="LYW60" s="76"/>
      <c r="LYX60" s="76"/>
      <c r="LYY60" s="76"/>
      <c r="LYZ60" s="76"/>
      <c r="LZA60" s="76"/>
      <c r="LZB60" s="76"/>
      <c r="LZC60" s="76"/>
      <c r="LZD60" s="76"/>
      <c r="LZE60" s="76"/>
      <c r="LZF60" s="76"/>
      <c r="LZG60" s="76"/>
      <c r="LZH60" s="76"/>
      <c r="LZI60" s="76"/>
      <c r="LZJ60" s="76"/>
      <c r="LZK60" s="76"/>
      <c r="LZL60" s="76"/>
      <c r="LZM60" s="76"/>
      <c r="LZN60" s="76"/>
      <c r="LZO60" s="76"/>
      <c r="LZP60" s="76"/>
      <c r="LZQ60" s="76"/>
      <c r="LZR60" s="76"/>
      <c r="LZS60" s="76"/>
      <c r="LZT60" s="76"/>
      <c r="LZU60" s="76"/>
      <c r="LZV60" s="76"/>
      <c r="LZW60" s="76"/>
      <c r="LZX60" s="76"/>
      <c r="LZY60" s="76"/>
      <c r="LZZ60" s="76"/>
      <c r="MAA60" s="76"/>
      <c r="MAB60" s="76"/>
      <c r="MAC60" s="76"/>
      <c r="MAD60" s="76"/>
      <c r="MAE60" s="76"/>
      <c r="MAF60" s="76"/>
      <c r="MAG60" s="76"/>
      <c r="MAH60" s="76"/>
      <c r="MAI60" s="76"/>
      <c r="MAJ60" s="76"/>
      <c r="MAK60" s="76"/>
      <c r="MAL60" s="76"/>
      <c r="MAM60" s="76"/>
      <c r="MAN60" s="76"/>
      <c r="MAO60" s="76"/>
      <c r="MAP60" s="76"/>
      <c r="MAQ60" s="76"/>
      <c r="MAR60" s="76"/>
      <c r="MAS60" s="76"/>
      <c r="MAT60" s="76"/>
      <c r="MAU60" s="76"/>
      <c r="MAV60" s="76"/>
      <c r="MAW60" s="76"/>
      <c r="MAX60" s="76"/>
      <c r="MAY60" s="76"/>
      <c r="MAZ60" s="76"/>
      <c r="MBA60" s="76"/>
      <c r="MBB60" s="76"/>
      <c r="MBC60" s="76"/>
      <c r="MBD60" s="76"/>
      <c r="MBE60" s="76"/>
      <c r="MBF60" s="76"/>
      <c r="MBG60" s="76"/>
      <c r="MBH60" s="76"/>
      <c r="MBI60" s="76"/>
      <c r="MBJ60" s="76"/>
      <c r="MBK60" s="76"/>
      <c r="MBL60" s="76"/>
      <c r="MBM60" s="76"/>
      <c r="MBN60" s="76"/>
      <c r="MBO60" s="76"/>
      <c r="MBP60" s="76"/>
      <c r="MBQ60" s="76"/>
      <c r="MBR60" s="76"/>
      <c r="MBS60" s="76"/>
      <c r="MBT60" s="76"/>
      <c r="MBU60" s="76"/>
      <c r="MBV60" s="76"/>
      <c r="MBW60" s="76"/>
      <c r="MBX60" s="76"/>
      <c r="MBY60" s="76"/>
      <c r="MBZ60" s="76"/>
      <c r="MCA60" s="76"/>
      <c r="MCB60" s="76"/>
      <c r="MCC60" s="76"/>
      <c r="MCD60" s="76"/>
      <c r="MCE60" s="76"/>
      <c r="MCF60" s="76"/>
      <c r="MCG60" s="76"/>
      <c r="MCH60" s="76"/>
      <c r="MCI60" s="76"/>
      <c r="MCJ60" s="76"/>
      <c r="MCK60" s="76"/>
      <c r="MCL60" s="76"/>
      <c r="MCM60" s="76"/>
      <c r="MCN60" s="76"/>
      <c r="MCO60" s="76"/>
      <c r="MCP60" s="76"/>
      <c r="MCQ60" s="76"/>
      <c r="MCR60" s="76"/>
      <c r="MCS60" s="76"/>
      <c r="MCT60" s="76"/>
      <c r="MCU60" s="76"/>
      <c r="MCV60" s="76"/>
      <c r="MCW60" s="76"/>
      <c r="MCX60" s="76"/>
      <c r="MCY60" s="76"/>
      <c r="MCZ60" s="76"/>
      <c r="MDA60" s="76"/>
      <c r="MDB60" s="76"/>
      <c r="MDC60" s="76"/>
      <c r="MDD60" s="76"/>
      <c r="MDE60" s="76"/>
      <c r="MDF60" s="76"/>
      <c r="MDG60" s="76"/>
      <c r="MDH60" s="76"/>
      <c r="MDI60" s="76"/>
      <c r="MDJ60" s="76"/>
      <c r="MDK60" s="76"/>
      <c r="MDL60" s="76"/>
      <c r="MDM60" s="76"/>
      <c r="MDN60" s="76"/>
      <c r="MDO60" s="76"/>
      <c r="MDP60" s="76"/>
      <c r="MDQ60" s="76"/>
      <c r="MDR60" s="76"/>
      <c r="MDS60" s="76"/>
      <c r="MDT60" s="76"/>
      <c r="MDU60" s="76"/>
      <c r="MDV60" s="76"/>
      <c r="MDW60" s="76"/>
      <c r="MDX60" s="76"/>
      <c r="MDY60" s="76"/>
      <c r="MDZ60" s="76"/>
      <c r="MEA60" s="76"/>
      <c r="MEB60" s="76"/>
      <c r="MEC60" s="76"/>
      <c r="MED60" s="76"/>
      <c r="MEE60" s="76"/>
      <c r="MEF60" s="76"/>
      <c r="MEG60" s="76"/>
      <c r="MEH60" s="76"/>
      <c r="MEI60" s="76"/>
      <c r="MEJ60" s="76"/>
      <c r="MEK60" s="76"/>
      <c r="MEL60" s="76"/>
      <c r="MEM60" s="76"/>
      <c r="MEN60" s="76"/>
      <c r="MEO60" s="76"/>
      <c r="MEP60" s="76"/>
      <c r="MEQ60" s="76"/>
      <c r="MER60" s="76"/>
      <c r="MES60" s="76"/>
      <c r="MET60" s="76"/>
      <c r="MEU60" s="76"/>
      <c r="MEV60" s="76"/>
      <c r="MEW60" s="76"/>
      <c r="MEX60" s="76"/>
      <c r="MEY60" s="76"/>
      <c r="MEZ60" s="76"/>
      <c r="MFA60" s="76"/>
      <c r="MFB60" s="76"/>
      <c r="MFC60" s="76"/>
      <c r="MFD60" s="76"/>
      <c r="MFE60" s="76"/>
      <c r="MFF60" s="76"/>
      <c r="MFG60" s="76"/>
      <c r="MFH60" s="76"/>
      <c r="MFI60" s="76"/>
      <c r="MFJ60" s="76"/>
      <c r="MFK60" s="76"/>
      <c r="MFL60" s="76"/>
      <c r="MFM60" s="76"/>
      <c r="MFN60" s="76"/>
      <c r="MFO60" s="76"/>
      <c r="MFP60" s="76"/>
      <c r="MFQ60" s="76"/>
      <c r="MFR60" s="76"/>
      <c r="MFS60" s="76"/>
      <c r="MFT60" s="76"/>
      <c r="MFU60" s="76"/>
      <c r="MFV60" s="76"/>
      <c r="MFW60" s="76"/>
      <c r="MFX60" s="76"/>
      <c r="MFY60" s="76"/>
      <c r="MFZ60" s="76"/>
      <c r="MGA60" s="76"/>
      <c r="MGB60" s="76"/>
      <c r="MGC60" s="76"/>
      <c r="MGD60" s="76"/>
      <c r="MGE60" s="76"/>
      <c r="MGF60" s="76"/>
      <c r="MGG60" s="76"/>
      <c r="MGH60" s="76"/>
      <c r="MGI60" s="76"/>
      <c r="MGJ60" s="76"/>
      <c r="MGK60" s="76"/>
      <c r="MGL60" s="76"/>
      <c r="MGM60" s="76"/>
      <c r="MGN60" s="76"/>
      <c r="MGO60" s="76"/>
      <c r="MGP60" s="76"/>
      <c r="MGQ60" s="76"/>
      <c r="MGR60" s="76"/>
      <c r="MGS60" s="76"/>
      <c r="MGT60" s="76"/>
      <c r="MGU60" s="76"/>
      <c r="MGV60" s="76"/>
      <c r="MGW60" s="76"/>
      <c r="MGX60" s="76"/>
      <c r="MGY60" s="76"/>
      <c r="MGZ60" s="76"/>
      <c r="MHA60" s="76"/>
      <c r="MHB60" s="76"/>
      <c r="MHC60" s="76"/>
      <c r="MHD60" s="76"/>
      <c r="MHE60" s="76"/>
      <c r="MHF60" s="76"/>
      <c r="MHG60" s="76"/>
      <c r="MHH60" s="76"/>
      <c r="MHI60" s="76"/>
      <c r="MHJ60" s="76"/>
      <c r="MHK60" s="76"/>
      <c r="MHL60" s="76"/>
      <c r="MHM60" s="76"/>
      <c r="MHN60" s="76"/>
      <c r="MHO60" s="76"/>
      <c r="MHP60" s="76"/>
      <c r="MHQ60" s="76"/>
      <c r="MHR60" s="76"/>
      <c r="MHS60" s="76"/>
      <c r="MHT60" s="76"/>
      <c r="MHU60" s="76"/>
      <c r="MHV60" s="76"/>
      <c r="MHW60" s="76"/>
      <c r="MHX60" s="76"/>
      <c r="MHY60" s="76"/>
      <c r="MHZ60" s="76"/>
      <c r="MIA60" s="76"/>
      <c r="MIB60" s="76"/>
      <c r="MIC60" s="76"/>
      <c r="MID60" s="76"/>
      <c r="MIE60" s="76"/>
      <c r="MIF60" s="76"/>
      <c r="MIG60" s="76"/>
      <c r="MIH60" s="76"/>
      <c r="MII60" s="76"/>
      <c r="MIJ60" s="76"/>
      <c r="MIK60" s="76"/>
      <c r="MIL60" s="76"/>
      <c r="MIM60" s="76"/>
      <c r="MIN60" s="76"/>
      <c r="MIO60" s="76"/>
      <c r="MIP60" s="76"/>
      <c r="MIQ60" s="76"/>
      <c r="MIR60" s="76"/>
      <c r="MIS60" s="76"/>
      <c r="MIT60" s="76"/>
      <c r="MIU60" s="76"/>
      <c r="MIV60" s="76"/>
      <c r="MIW60" s="76"/>
      <c r="MIX60" s="76"/>
      <c r="MIY60" s="76"/>
      <c r="MIZ60" s="76"/>
      <c r="MJA60" s="76"/>
      <c r="MJB60" s="76"/>
      <c r="MJC60" s="76"/>
      <c r="MJD60" s="76"/>
      <c r="MJE60" s="76"/>
      <c r="MJF60" s="76"/>
      <c r="MJG60" s="76"/>
      <c r="MJH60" s="76"/>
      <c r="MJI60" s="76"/>
      <c r="MJJ60" s="76"/>
      <c r="MJK60" s="76"/>
      <c r="MJL60" s="76"/>
      <c r="MJM60" s="76"/>
      <c r="MJN60" s="76"/>
      <c r="MJO60" s="76"/>
      <c r="MJP60" s="76"/>
      <c r="MJQ60" s="76"/>
      <c r="MJR60" s="76"/>
      <c r="MJS60" s="76"/>
      <c r="MJT60" s="76"/>
      <c r="MJU60" s="76"/>
      <c r="MJV60" s="76"/>
      <c r="MJW60" s="76"/>
      <c r="MJX60" s="76"/>
      <c r="MJY60" s="76"/>
      <c r="MJZ60" s="76"/>
      <c r="MKA60" s="76"/>
      <c r="MKB60" s="76"/>
      <c r="MKC60" s="76"/>
      <c r="MKD60" s="76"/>
      <c r="MKE60" s="76"/>
      <c r="MKF60" s="76"/>
      <c r="MKG60" s="76"/>
      <c r="MKH60" s="76"/>
      <c r="MKI60" s="76"/>
      <c r="MKJ60" s="76"/>
      <c r="MKK60" s="76"/>
      <c r="MKL60" s="76"/>
      <c r="MKM60" s="76"/>
      <c r="MKN60" s="76"/>
      <c r="MKO60" s="76"/>
      <c r="MKP60" s="76"/>
      <c r="MKQ60" s="76"/>
      <c r="MKR60" s="76"/>
      <c r="MKS60" s="76"/>
      <c r="MKT60" s="76"/>
      <c r="MKU60" s="76"/>
      <c r="MKV60" s="76"/>
      <c r="MKW60" s="76"/>
      <c r="MKX60" s="76"/>
      <c r="MKY60" s="76"/>
      <c r="MKZ60" s="76"/>
      <c r="MLA60" s="76"/>
      <c r="MLB60" s="76"/>
      <c r="MLC60" s="76"/>
      <c r="MLD60" s="76"/>
      <c r="MLE60" s="76"/>
      <c r="MLF60" s="76"/>
      <c r="MLG60" s="76"/>
      <c r="MLH60" s="76"/>
      <c r="MLI60" s="76"/>
      <c r="MLJ60" s="76"/>
      <c r="MLK60" s="76"/>
      <c r="MLL60" s="76"/>
      <c r="MLM60" s="76"/>
      <c r="MLN60" s="76"/>
      <c r="MLO60" s="76"/>
      <c r="MLP60" s="76"/>
      <c r="MLQ60" s="76"/>
      <c r="MLR60" s="76"/>
      <c r="MLS60" s="76"/>
      <c r="MLT60" s="76"/>
      <c r="MLU60" s="76"/>
      <c r="MLV60" s="76"/>
      <c r="MLW60" s="76"/>
      <c r="MLX60" s="76"/>
      <c r="MLY60" s="76"/>
      <c r="MLZ60" s="76"/>
      <c r="MMA60" s="76"/>
      <c r="MMB60" s="76"/>
      <c r="MMC60" s="76"/>
      <c r="MMD60" s="76"/>
      <c r="MME60" s="76"/>
      <c r="MMF60" s="76"/>
      <c r="MMG60" s="76"/>
      <c r="MMH60" s="76"/>
      <c r="MMI60" s="76"/>
      <c r="MMJ60" s="76"/>
      <c r="MMK60" s="76"/>
      <c r="MML60" s="76"/>
      <c r="MMM60" s="76"/>
      <c r="MMN60" s="76"/>
      <c r="MMO60" s="76"/>
      <c r="MMP60" s="76"/>
      <c r="MMQ60" s="76"/>
      <c r="MMR60" s="76"/>
      <c r="MMS60" s="76"/>
      <c r="MMT60" s="76"/>
      <c r="MMU60" s="76"/>
      <c r="MMV60" s="76"/>
      <c r="MMW60" s="76"/>
      <c r="MMX60" s="76"/>
      <c r="MMY60" s="76"/>
      <c r="MMZ60" s="76"/>
      <c r="MNA60" s="76"/>
      <c r="MNB60" s="76"/>
      <c r="MNC60" s="76"/>
      <c r="MND60" s="76"/>
      <c r="MNE60" s="76"/>
      <c r="MNF60" s="76"/>
      <c r="MNG60" s="76"/>
      <c r="MNH60" s="76"/>
      <c r="MNI60" s="76"/>
      <c r="MNJ60" s="76"/>
      <c r="MNK60" s="76"/>
      <c r="MNL60" s="76"/>
      <c r="MNM60" s="76"/>
      <c r="MNN60" s="76"/>
      <c r="MNO60" s="76"/>
      <c r="MNP60" s="76"/>
      <c r="MNQ60" s="76"/>
      <c r="MNR60" s="76"/>
      <c r="MNS60" s="76"/>
      <c r="MNT60" s="76"/>
      <c r="MNU60" s="76"/>
      <c r="MNV60" s="76"/>
      <c r="MNW60" s="76"/>
      <c r="MNX60" s="76"/>
      <c r="MNY60" s="76"/>
      <c r="MNZ60" s="76"/>
      <c r="MOA60" s="76"/>
      <c r="MOB60" s="76"/>
      <c r="MOC60" s="76"/>
      <c r="MOD60" s="76"/>
      <c r="MOE60" s="76"/>
      <c r="MOF60" s="76"/>
      <c r="MOG60" s="76"/>
      <c r="MOH60" s="76"/>
      <c r="MOI60" s="76"/>
      <c r="MOJ60" s="76"/>
      <c r="MOK60" s="76"/>
      <c r="MOL60" s="76"/>
      <c r="MOM60" s="76"/>
      <c r="MON60" s="76"/>
      <c r="MOO60" s="76"/>
      <c r="MOP60" s="76"/>
      <c r="MOQ60" s="76"/>
      <c r="MOR60" s="76"/>
      <c r="MOS60" s="76"/>
      <c r="MOT60" s="76"/>
      <c r="MOU60" s="76"/>
      <c r="MOV60" s="76"/>
      <c r="MOW60" s="76"/>
      <c r="MOX60" s="76"/>
      <c r="MOY60" s="76"/>
      <c r="MOZ60" s="76"/>
      <c r="MPA60" s="76"/>
      <c r="MPB60" s="76"/>
      <c r="MPC60" s="76"/>
      <c r="MPD60" s="76"/>
      <c r="MPE60" s="76"/>
      <c r="MPF60" s="76"/>
      <c r="MPG60" s="76"/>
      <c r="MPH60" s="76"/>
      <c r="MPI60" s="76"/>
      <c r="MPJ60" s="76"/>
      <c r="MPK60" s="76"/>
      <c r="MPL60" s="76"/>
      <c r="MPM60" s="76"/>
      <c r="MPN60" s="76"/>
      <c r="MPO60" s="76"/>
      <c r="MPP60" s="76"/>
      <c r="MPQ60" s="76"/>
      <c r="MPR60" s="76"/>
      <c r="MPS60" s="76"/>
      <c r="MPT60" s="76"/>
      <c r="MPU60" s="76"/>
      <c r="MPV60" s="76"/>
      <c r="MPW60" s="76"/>
      <c r="MPX60" s="76"/>
      <c r="MPY60" s="76"/>
      <c r="MPZ60" s="76"/>
      <c r="MQA60" s="76"/>
      <c r="MQB60" s="76"/>
      <c r="MQC60" s="76"/>
      <c r="MQD60" s="76"/>
      <c r="MQE60" s="76"/>
      <c r="MQF60" s="76"/>
      <c r="MQG60" s="76"/>
      <c r="MQH60" s="76"/>
      <c r="MQI60" s="76"/>
      <c r="MQJ60" s="76"/>
      <c r="MQK60" s="76"/>
      <c r="MQL60" s="76"/>
      <c r="MQM60" s="76"/>
      <c r="MQN60" s="76"/>
      <c r="MQO60" s="76"/>
      <c r="MQP60" s="76"/>
      <c r="MQQ60" s="76"/>
      <c r="MQR60" s="76"/>
      <c r="MQS60" s="76"/>
      <c r="MQT60" s="76"/>
      <c r="MQU60" s="76"/>
      <c r="MQV60" s="76"/>
      <c r="MQW60" s="76"/>
      <c r="MQX60" s="76"/>
      <c r="MQY60" s="76"/>
      <c r="MQZ60" s="76"/>
      <c r="MRA60" s="76"/>
      <c r="MRB60" s="76"/>
      <c r="MRC60" s="76"/>
      <c r="MRD60" s="76"/>
      <c r="MRE60" s="76"/>
      <c r="MRF60" s="76"/>
      <c r="MRG60" s="76"/>
      <c r="MRH60" s="76"/>
      <c r="MRI60" s="76"/>
      <c r="MRJ60" s="76"/>
      <c r="MRK60" s="76"/>
      <c r="MRL60" s="76"/>
      <c r="MRM60" s="76"/>
      <c r="MRN60" s="76"/>
      <c r="MRO60" s="76"/>
      <c r="MRP60" s="76"/>
      <c r="MRQ60" s="76"/>
      <c r="MRR60" s="76"/>
      <c r="MRS60" s="76"/>
      <c r="MRT60" s="76"/>
      <c r="MRU60" s="76"/>
      <c r="MRV60" s="76"/>
      <c r="MRW60" s="76"/>
      <c r="MRX60" s="76"/>
      <c r="MRY60" s="76"/>
      <c r="MRZ60" s="76"/>
      <c r="MSA60" s="76"/>
      <c r="MSB60" s="76"/>
      <c r="MSC60" s="76"/>
      <c r="MSD60" s="76"/>
      <c r="MSE60" s="76"/>
      <c r="MSF60" s="76"/>
      <c r="MSG60" s="76"/>
      <c r="MSH60" s="76"/>
      <c r="MSI60" s="76"/>
      <c r="MSJ60" s="76"/>
      <c r="MSK60" s="76"/>
      <c r="MSL60" s="76"/>
      <c r="MSM60" s="76"/>
      <c r="MSN60" s="76"/>
      <c r="MSO60" s="76"/>
      <c r="MSP60" s="76"/>
      <c r="MSQ60" s="76"/>
      <c r="MSR60" s="76"/>
      <c r="MSS60" s="76"/>
      <c r="MST60" s="76"/>
      <c r="MSU60" s="76"/>
      <c r="MSV60" s="76"/>
      <c r="MSW60" s="76"/>
      <c r="MSX60" s="76"/>
      <c r="MSY60" s="76"/>
      <c r="MSZ60" s="76"/>
      <c r="MTA60" s="76"/>
      <c r="MTB60" s="76"/>
      <c r="MTC60" s="76"/>
      <c r="MTD60" s="76"/>
      <c r="MTE60" s="76"/>
      <c r="MTF60" s="76"/>
      <c r="MTG60" s="76"/>
      <c r="MTH60" s="76"/>
      <c r="MTI60" s="76"/>
      <c r="MTJ60" s="76"/>
      <c r="MTK60" s="76"/>
      <c r="MTL60" s="76"/>
      <c r="MTM60" s="76"/>
      <c r="MTN60" s="76"/>
      <c r="MTO60" s="76"/>
      <c r="MTP60" s="76"/>
      <c r="MTQ60" s="76"/>
      <c r="MTR60" s="76"/>
      <c r="MTS60" s="76"/>
      <c r="MTT60" s="76"/>
      <c r="MTU60" s="76"/>
      <c r="MTV60" s="76"/>
      <c r="MTW60" s="76"/>
      <c r="MTX60" s="76"/>
      <c r="MTY60" s="76"/>
      <c r="MTZ60" s="76"/>
      <c r="MUA60" s="76"/>
      <c r="MUB60" s="76"/>
      <c r="MUC60" s="76"/>
      <c r="MUD60" s="76"/>
      <c r="MUE60" s="76"/>
      <c r="MUF60" s="76"/>
      <c r="MUG60" s="76"/>
      <c r="MUH60" s="76"/>
      <c r="MUI60" s="76"/>
      <c r="MUJ60" s="76"/>
      <c r="MUK60" s="76"/>
      <c r="MUL60" s="76"/>
      <c r="MUM60" s="76"/>
      <c r="MUN60" s="76"/>
      <c r="MUO60" s="76"/>
      <c r="MUP60" s="76"/>
      <c r="MUQ60" s="76"/>
      <c r="MUR60" s="76"/>
      <c r="MUS60" s="76"/>
      <c r="MUT60" s="76"/>
      <c r="MUU60" s="76"/>
      <c r="MUV60" s="76"/>
      <c r="MUW60" s="76"/>
      <c r="MUX60" s="76"/>
      <c r="MUY60" s="76"/>
      <c r="MUZ60" s="76"/>
      <c r="MVA60" s="76"/>
      <c r="MVB60" s="76"/>
      <c r="MVC60" s="76"/>
      <c r="MVD60" s="76"/>
      <c r="MVE60" s="76"/>
      <c r="MVF60" s="76"/>
      <c r="MVG60" s="76"/>
      <c r="MVH60" s="76"/>
      <c r="MVI60" s="76"/>
      <c r="MVJ60" s="76"/>
      <c r="MVK60" s="76"/>
      <c r="MVL60" s="76"/>
      <c r="MVM60" s="76"/>
      <c r="MVN60" s="76"/>
      <c r="MVO60" s="76"/>
      <c r="MVP60" s="76"/>
      <c r="MVQ60" s="76"/>
      <c r="MVR60" s="76"/>
      <c r="MVS60" s="76"/>
      <c r="MVT60" s="76"/>
      <c r="MVU60" s="76"/>
      <c r="MVV60" s="76"/>
      <c r="MVW60" s="76"/>
      <c r="MVX60" s="76"/>
      <c r="MVY60" s="76"/>
      <c r="MVZ60" s="76"/>
      <c r="MWA60" s="76"/>
      <c r="MWB60" s="76"/>
      <c r="MWC60" s="76"/>
      <c r="MWD60" s="76"/>
      <c r="MWE60" s="76"/>
      <c r="MWF60" s="76"/>
      <c r="MWG60" s="76"/>
      <c r="MWH60" s="76"/>
      <c r="MWI60" s="76"/>
      <c r="MWJ60" s="76"/>
      <c r="MWK60" s="76"/>
      <c r="MWL60" s="76"/>
      <c r="MWM60" s="76"/>
      <c r="MWN60" s="76"/>
      <c r="MWO60" s="76"/>
      <c r="MWP60" s="76"/>
      <c r="MWQ60" s="76"/>
      <c r="MWR60" s="76"/>
      <c r="MWS60" s="76"/>
      <c r="MWT60" s="76"/>
      <c r="MWU60" s="76"/>
      <c r="MWV60" s="76"/>
      <c r="MWW60" s="76"/>
      <c r="MWX60" s="76"/>
      <c r="MWY60" s="76"/>
      <c r="MWZ60" s="76"/>
      <c r="MXA60" s="76"/>
      <c r="MXB60" s="76"/>
      <c r="MXC60" s="76"/>
      <c r="MXD60" s="76"/>
      <c r="MXE60" s="76"/>
      <c r="MXF60" s="76"/>
      <c r="MXG60" s="76"/>
      <c r="MXH60" s="76"/>
      <c r="MXI60" s="76"/>
      <c r="MXJ60" s="76"/>
      <c r="MXK60" s="76"/>
      <c r="MXL60" s="76"/>
      <c r="MXM60" s="76"/>
      <c r="MXN60" s="76"/>
      <c r="MXO60" s="76"/>
      <c r="MXP60" s="76"/>
      <c r="MXQ60" s="76"/>
      <c r="MXR60" s="76"/>
      <c r="MXS60" s="76"/>
      <c r="MXT60" s="76"/>
      <c r="MXU60" s="76"/>
      <c r="MXV60" s="76"/>
      <c r="MXW60" s="76"/>
      <c r="MXX60" s="76"/>
      <c r="MXY60" s="76"/>
      <c r="MXZ60" s="76"/>
      <c r="MYA60" s="76"/>
      <c r="MYB60" s="76"/>
      <c r="MYC60" s="76"/>
      <c r="MYD60" s="76"/>
      <c r="MYE60" s="76"/>
      <c r="MYF60" s="76"/>
      <c r="MYG60" s="76"/>
      <c r="MYH60" s="76"/>
      <c r="MYI60" s="76"/>
      <c r="MYJ60" s="76"/>
      <c r="MYK60" s="76"/>
      <c r="MYL60" s="76"/>
      <c r="MYM60" s="76"/>
      <c r="MYN60" s="76"/>
      <c r="MYO60" s="76"/>
      <c r="MYP60" s="76"/>
      <c r="MYQ60" s="76"/>
      <c r="MYR60" s="76"/>
      <c r="MYS60" s="76"/>
      <c r="MYT60" s="76"/>
      <c r="MYU60" s="76"/>
      <c r="MYV60" s="76"/>
      <c r="MYW60" s="76"/>
      <c r="MYX60" s="76"/>
      <c r="MYY60" s="76"/>
      <c r="MYZ60" s="76"/>
      <c r="MZA60" s="76"/>
      <c r="MZB60" s="76"/>
      <c r="MZC60" s="76"/>
      <c r="MZD60" s="76"/>
      <c r="MZE60" s="76"/>
      <c r="MZF60" s="76"/>
      <c r="MZG60" s="76"/>
      <c r="MZH60" s="76"/>
      <c r="MZI60" s="76"/>
      <c r="MZJ60" s="76"/>
      <c r="MZK60" s="76"/>
      <c r="MZL60" s="76"/>
      <c r="MZM60" s="76"/>
      <c r="MZN60" s="76"/>
      <c r="MZO60" s="76"/>
      <c r="MZP60" s="76"/>
      <c r="MZQ60" s="76"/>
      <c r="MZR60" s="76"/>
      <c r="MZS60" s="76"/>
      <c r="MZT60" s="76"/>
      <c r="MZU60" s="76"/>
      <c r="MZV60" s="76"/>
      <c r="MZW60" s="76"/>
      <c r="MZX60" s="76"/>
      <c r="MZY60" s="76"/>
      <c r="MZZ60" s="76"/>
      <c r="NAA60" s="76"/>
      <c r="NAB60" s="76"/>
      <c r="NAC60" s="76"/>
      <c r="NAD60" s="76"/>
      <c r="NAE60" s="76"/>
      <c r="NAF60" s="76"/>
      <c r="NAG60" s="76"/>
      <c r="NAH60" s="76"/>
      <c r="NAI60" s="76"/>
      <c r="NAJ60" s="76"/>
      <c r="NAK60" s="76"/>
      <c r="NAL60" s="76"/>
      <c r="NAM60" s="76"/>
      <c r="NAN60" s="76"/>
      <c r="NAO60" s="76"/>
      <c r="NAP60" s="76"/>
      <c r="NAQ60" s="76"/>
      <c r="NAR60" s="76"/>
      <c r="NAS60" s="76"/>
      <c r="NAT60" s="76"/>
      <c r="NAU60" s="76"/>
      <c r="NAV60" s="76"/>
      <c r="NAW60" s="76"/>
      <c r="NAX60" s="76"/>
      <c r="NAY60" s="76"/>
      <c r="NAZ60" s="76"/>
      <c r="NBA60" s="76"/>
      <c r="NBB60" s="76"/>
      <c r="NBC60" s="76"/>
      <c r="NBD60" s="76"/>
      <c r="NBE60" s="76"/>
      <c r="NBF60" s="76"/>
      <c r="NBG60" s="76"/>
      <c r="NBH60" s="76"/>
      <c r="NBI60" s="76"/>
      <c r="NBJ60" s="76"/>
      <c r="NBK60" s="76"/>
      <c r="NBL60" s="76"/>
      <c r="NBM60" s="76"/>
      <c r="NBN60" s="76"/>
      <c r="NBO60" s="76"/>
      <c r="NBP60" s="76"/>
      <c r="NBQ60" s="76"/>
      <c r="NBR60" s="76"/>
      <c r="NBS60" s="76"/>
      <c r="NBT60" s="76"/>
      <c r="NBU60" s="76"/>
      <c r="NBV60" s="76"/>
      <c r="NBW60" s="76"/>
      <c r="NBX60" s="76"/>
      <c r="NBY60" s="76"/>
      <c r="NBZ60" s="76"/>
      <c r="NCA60" s="76"/>
      <c r="NCB60" s="76"/>
      <c r="NCC60" s="76"/>
      <c r="NCD60" s="76"/>
      <c r="NCE60" s="76"/>
      <c r="NCF60" s="76"/>
      <c r="NCG60" s="76"/>
      <c r="NCH60" s="76"/>
      <c r="NCI60" s="76"/>
      <c r="NCJ60" s="76"/>
      <c r="NCK60" s="76"/>
      <c r="NCL60" s="76"/>
      <c r="NCM60" s="76"/>
      <c r="NCN60" s="76"/>
      <c r="NCO60" s="76"/>
      <c r="NCP60" s="76"/>
      <c r="NCQ60" s="76"/>
      <c r="NCR60" s="76"/>
      <c r="NCS60" s="76"/>
      <c r="NCT60" s="76"/>
      <c r="NCU60" s="76"/>
      <c r="NCV60" s="76"/>
      <c r="NCW60" s="76"/>
      <c r="NCX60" s="76"/>
      <c r="NCY60" s="76"/>
      <c r="NCZ60" s="76"/>
      <c r="NDA60" s="76"/>
      <c r="NDB60" s="76"/>
      <c r="NDC60" s="76"/>
      <c r="NDD60" s="76"/>
      <c r="NDE60" s="76"/>
      <c r="NDF60" s="76"/>
      <c r="NDG60" s="76"/>
      <c r="NDH60" s="76"/>
      <c r="NDI60" s="76"/>
      <c r="NDJ60" s="76"/>
      <c r="NDK60" s="76"/>
      <c r="NDL60" s="76"/>
      <c r="NDM60" s="76"/>
      <c r="NDN60" s="76"/>
      <c r="NDO60" s="76"/>
      <c r="NDP60" s="76"/>
      <c r="NDQ60" s="76"/>
      <c r="NDR60" s="76"/>
      <c r="NDS60" s="76"/>
      <c r="NDT60" s="76"/>
      <c r="NDU60" s="76"/>
      <c r="NDV60" s="76"/>
      <c r="NDW60" s="76"/>
      <c r="NDX60" s="76"/>
      <c r="NDY60" s="76"/>
      <c r="NDZ60" s="76"/>
      <c r="NEA60" s="76"/>
      <c r="NEB60" s="76"/>
      <c r="NEC60" s="76"/>
      <c r="NED60" s="76"/>
      <c r="NEE60" s="76"/>
      <c r="NEF60" s="76"/>
      <c r="NEG60" s="76"/>
      <c r="NEH60" s="76"/>
      <c r="NEI60" s="76"/>
      <c r="NEJ60" s="76"/>
      <c r="NEK60" s="76"/>
      <c r="NEL60" s="76"/>
      <c r="NEM60" s="76"/>
      <c r="NEN60" s="76"/>
      <c r="NEO60" s="76"/>
      <c r="NEP60" s="76"/>
      <c r="NEQ60" s="76"/>
      <c r="NER60" s="76"/>
      <c r="NES60" s="76"/>
      <c r="NET60" s="76"/>
      <c r="NEU60" s="76"/>
      <c r="NEV60" s="76"/>
      <c r="NEW60" s="76"/>
      <c r="NEX60" s="76"/>
      <c r="NEY60" s="76"/>
      <c r="NEZ60" s="76"/>
      <c r="NFA60" s="76"/>
      <c r="NFB60" s="76"/>
      <c r="NFC60" s="76"/>
      <c r="NFD60" s="76"/>
      <c r="NFE60" s="76"/>
      <c r="NFF60" s="76"/>
      <c r="NFG60" s="76"/>
      <c r="NFH60" s="76"/>
      <c r="NFI60" s="76"/>
      <c r="NFJ60" s="76"/>
      <c r="NFK60" s="76"/>
      <c r="NFL60" s="76"/>
      <c r="NFM60" s="76"/>
      <c r="NFN60" s="76"/>
      <c r="NFO60" s="76"/>
      <c r="NFP60" s="76"/>
      <c r="NFQ60" s="76"/>
      <c r="NFR60" s="76"/>
      <c r="NFS60" s="76"/>
      <c r="NFT60" s="76"/>
      <c r="NFU60" s="76"/>
      <c r="NFV60" s="76"/>
      <c r="NFW60" s="76"/>
      <c r="NFX60" s="76"/>
      <c r="NFY60" s="76"/>
      <c r="NFZ60" s="76"/>
      <c r="NGA60" s="76"/>
      <c r="NGB60" s="76"/>
      <c r="NGC60" s="76"/>
      <c r="NGD60" s="76"/>
      <c r="NGE60" s="76"/>
      <c r="NGF60" s="76"/>
      <c r="NGG60" s="76"/>
      <c r="NGH60" s="76"/>
      <c r="NGI60" s="76"/>
      <c r="NGJ60" s="76"/>
      <c r="NGK60" s="76"/>
      <c r="NGL60" s="76"/>
      <c r="NGM60" s="76"/>
      <c r="NGN60" s="76"/>
      <c r="NGO60" s="76"/>
      <c r="NGP60" s="76"/>
      <c r="NGQ60" s="76"/>
      <c r="NGR60" s="76"/>
      <c r="NGS60" s="76"/>
      <c r="NGT60" s="76"/>
      <c r="NGU60" s="76"/>
      <c r="NGV60" s="76"/>
      <c r="NGW60" s="76"/>
      <c r="NGX60" s="76"/>
      <c r="NGY60" s="76"/>
      <c r="NGZ60" s="76"/>
      <c r="NHA60" s="76"/>
      <c r="NHB60" s="76"/>
      <c r="NHC60" s="76"/>
      <c r="NHD60" s="76"/>
      <c r="NHE60" s="76"/>
      <c r="NHF60" s="76"/>
      <c r="NHG60" s="76"/>
      <c r="NHH60" s="76"/>
      <c r="NHI60" s="76"/>
      <c r="NHJ60" s="76"/>
      <c r="NHK60" s="76"/>
      <c r="NHL60" s="76"/>
      <c r="NHM60" s="76"/>
      <c r="NHN60" s="76"/>
      <c r="NHO60" s="76"/>
      <c r="NHP60" s="76"/>
      <c r="NHQ60" s="76"/>
      <c r="NHR60" s="76"/>
      <c r="NHS60" s="76"/>
      <c r="NHT60" s="76"/>
      <c r="NHU60" s="76"/>
      <c r="NHV60" s="76"/>
      <c r="NHW60" s="76"/>
      <c r="NHX60" s="76"/>
      <c r="NHY60" s="76"/>
      <c r="NHZ60" s="76"/>
      <c r="NIA60" s="76"/>
      <c r="NIB60" s="76"/>
      <c r="NIC60" s="76"/>
      <c r="NID60" s="76"/>
      <c r="NIE60" s="76"/>
      <c r="NIF60" s="76"/>
      <c r="NIG60" s="76"/>
      <c r="NIH60" s="76"/>
      <c r="NII60" s="76"/>
      <c r="NIJ60" s="76"/>
      <c r="NIK60" s="76"/>
      <c r="NIL60" s="76"/>
      <c r="NIM60" s="76"/>
      <c r="NIN60" s="76"/>
      <c r="NIO60" s="76"/>
      <c r="NIP60" s="76"/>
      <c r="NIQ60" s="76"/>
      <c r="NIR60" s="76"/>
      <c r="NIS60" s="76"/>
      <c r="NIT60" s="76"/>
      <c r="NIU60" s="76"/>
      <c r="NIV60" s="76"/>
      <c r="NIW60" s="76"/>
      <c r="NIX60" s="76"/>
      <c r="NIY60" s="76"/>
      <c r="NIZ60" s="76"/>
      <c r="NJA60" s="76"/>
      <c r="NJB60" s="76"/>
      <c r="NJC60" s="76"/>
      <c r="NJD60" s="76"/>
      <c r="NJE60" s="76"/>
      <c r="NJF60" s="76"/>
      <c r="NJG60" s="76"/>
      <c r="NJH60" s="76"/>
      <c r="NJI60" s="76"/>
      <c r="NJJ60" s="76"/>
      <c r="NJK60" s="76"/>
      <c r="NJL60" s="76"/>
      <c r="NJM60" s="76"/>
      <c r="NJN60" s="76"/>
      <c r="NJO60" s="76"/>
      <c r="NJP60" s="76"/>
      <c r="NJQ60" s="76"/>
      <c r="NJR60" s="76"/>
      <c r="NJS60" s="76"/>
      <c r="NJT60" s="76"/>
      <c r="NJU60" s="76"/>
      <c r="NJV60" s="76"/>
      <c r="NJW60" s="76"/>
      <c r="NJX60" s="76"/>
      <c r="NJY60" s="76"/>
      <c r="NJZ60" s="76"/>
      <c r="NKA60" s="76"/>
      <c r="NKB60" s="76"/>
      <c r="NKC60" s="76"/>
      <c r="NKD60" s="76"/>
      <c r="NKE60" s="76"/>
      <c r="NKF60" s="76"/>
      <c r="NKG60" s="76"/>
      <c r="NKH60" s="76"/>
      <c r="NKI60" s="76"/>
      <c r="NKJ60" s="76"/>
      <c r="NKK60" s="76"/>
      <c r="NKL60" s="76"/>
      <c r="NKM60" s="76"/>
      <c r="NKN60" s="76"/>
      <c r="NKO60" s="76"/>
      <c r="NKP60" s="76"/>
      <c r="NKQ60" s="76"/>
      <c r="NKR60" s="76"/>
      <c r="NKS60" s="76"/>
      <c r="NKT60" s="76"/>
      <c r="NKU60" s="76"/>
      <c r="NKV60" s="76"/>
      <c r="NKW60" s="76"/>
      <c r="NKX60" s="76"/>
      <c r="NKY60" s="76"/>
      <c r="NKZ60" s="76"/>
      <c r="NLA60" s="76"/>
      <c r="NLB60" s="76"/>
      <c r="NLC60" s="76"/>
      <c r="NLD60" s="76"/>
      <c r="NLE60" s="76"/>
      <c r="NLF60" s="76"/>
      <c r="NLG60" s="76"/>
      <c r="NLH60" s="76"/>
      <c r="NLI60" s="76"/>
      <c r="NLJ60" s="76"/>
      <c r="NLK60" s="76"/>
      <c r="NLL60" s="76"/>
      <c r="NLM60" s="76"/>
      <c r="NLN60" s="76"/>
      <c r="NLO60" s="76"/>
      <c r="NLP60" s="76"/>
      <c r="NLQ60" s="76"/>
      <c r="NLR60" s="76"/>
      <c r="NLS60" s="76"/>
      <c r="NLT60" s="76"/>
      <c r="NLU60" s="76"/>
      <c r="NLV60" s="76"/>
      <c r="NLW60" s="76"/>
      <c r="NLX60" s="76"/>
      <c r="NLY60" s="76"/>
      <c r="NLZ60" s="76"/>
      <c r="NMA60" s="76"/>
      <c r="NMB60" s="76"/>
      <c r="NMC60" s="76"/>
      <c r="NMD60" s="76"/>
      <c r="NME60" s="76"/>
      <c r="NMF60" s="76"/>
      <c r="NMG60" s="76"/>
      <c r="NMH60" s="76"/>
      <c r="NMI60" s="76"/>
      <c r="NMJ60" s="76"/>
      <c r="NMK60" s="76"/>
      <c r="NML60" s="76"/>
      <c r="NMM60" s="76"/>
      <c r="NMN60" s="76"/>
      <c r="NMO60" s="76"/>
      <c r="NMP60" s="76"/>
      <c r="NMQ60" s="76"/>
      <c r="NMR60" s="76"/>
      <c r="NMS60" s="76"/>
      <c r="NMT60" s="76"/>
      <c r="NMU60" s="76"/>
      <c r="NMV60" s="76"/>
      <c r="NMW60" s="76"/>
      <c r="NMX60" s="76"/>
      <c r="NMY60" s="76"/>
      <c r="NMZ60" s="76"/>
      <c r="NNA60" s="76"/>
      <c r="NNB60" s="76"/>
      <c r="NNC60" s="76"/>
      <c r="NND60" s="76"/>
      <c r="NNE60" s="76"/>
      <c r="NNF60" s="76"/>
      <c r="NNG60" s="76"/>
      <c r="NNH60" s="76"/>
      <c r="NNI60" s="76"/>
      <c r="NNJ60" s="76"/>
      <c r="NNK60" s="76"/>
      <c r="NNL60" s="76"/>
      <c r="NNM60" s="76"/>
      <c r="NNN60" s="76"/>
      <c r="NNO60" s="76"/>
      <c r="NNP60" s="76"/>
      <c r="NNQ60" s="76"/>
      <c r="NNR60" s="76"/>
      <c r="NNS60" s="76"/>
      <c r="NNT60" s="76"/>
      <c r="NNU60" s="76"/>
      <c r="NNV60" s="76"/>
      <c r="NNW60" s="76"/>
      <c r="NNX60" s="76"/>
      <c r="NNY60" s="76"/>
      <c r="NNZ60" s="76"/>
      <c r="NOA60" s="76"/>
      <c r="NOB60" s="76"/>
      <c r="NOC60" s="76"/>
      <c r="NOD60" s="76"/>
      <c r="NOE60" s="76"/>
      <c r="NOF60" s="76"/>
      <c r="NOG60" s="76"/>
      <c r="NOH60" s="76"/>
      <c r="NOI60" s="76"/>
      <c r="NOJ60" s="76"/>
      <c r="NOK60" s="76"/>
      <c r="NOL60" s="76"/>
      <c r="NOM60" s="76"/>
      <c r="NON60" s="76"/>
      <c r="NOO60" s="76"/>
      <c r="NOP60" s="76"/>
      <c r="NOQ60" s="76"/>
      <c r="NOR60" s="76"/>
      <c r="NOS60" s="76"/>
      <c r="NOT60" s="76"/>
      <c r="NOU60" s="76"/>
      <c r="NOV60" s="76"/>
      <c r="NOW60" s="76"/>
      <c r="NOX60" s="76"/>
      <c r="NOY60" s="76"/>
      <c r="NOZ60" s="76"/>
      <c r="NPA60" s="76"/>
      <c r="NPB60" s="76"/>
      <c r="NPC60" s="76"/>
      <c r="NPD60" s="76"/>
      <c r="NPE60" s="76"/>
      <c r="NPF60" s="76"/>
      <c r="NPG60" s="76"/>
      <c r="NPH60" s="76"/>
      <c r="NPI60" s="76"/>
      <c r="NPJ60" s="76"/>
      <c r="NPK60" s="76"/>
      <c r="NPL60" s="76"/>
      <c r="NPM60" s="76"/>
      <c r="NPN60" s="76"/>
      <c r="NPO60" s="76"/>
      <c r="NPP60" s="76"/>
      <c r="NPQ60" s="76"/>
      <c r="NPR60" s="76"/>
      <c r="NPS60" s="76"/>
      <c r="NPT60" s="76"/>
      <c r="NPU60" s="76"/>
      <c r="NPV60" s="76"/>
      <c r="NPW60" s="76"/>
      <c r="NPX60" s="76"/>
      <c r="NPY60" s="76"/>
      <c r="NPZ60" s="76"/>
      <c r="NQA60" s="76"/>
      <c r="NQB60" s="76"/>
      <c r="NQC60" s="76"/>
      <c r="NQD60" s="76"/>
      <c r="NQE60" s="76"/>
      <c r="NQF60" s="76"/>
      <c r="NQG60" s="76"/>
      <c r="NQH60" s="76"/>
      <c r="NQI60" s="76"/>
      <c r="NQJ60" s="76"/>
      <c r="NQK60" s="76"/>
      <c r="NQL60" s="76"/>
      <c r="NQM60" s="76"/>
      <c r="NQN60" s="76"/>
      <c r="NQO60" s="76"/>
      <c r="NQP60" s="76"/>
      <c r="NQQ60" s="76"/>
      <c r="NQR60" s="76"/>
      <c r="NQS60" s="76"/>
      <c r="NQT60" s="76"/>
      <c r="NQU60" s="76"/>
      <c r="NQV60" s="76"/>
      <c r="NQW60" s="76"/>
      <c r="NQX60" s="76"/>
      <c r="NQY60" s="76"/>
      <c r="NQZ60" s="76"/>
      <c r="NRA60" s="76"/>
      <c r="NRB60" s="76"/>
      <c r="NRC60" s="76"/>
      <c r="NRD60" s="76"/>
      <c r="NRE60" s="76"/>
      <c r="NRF60" s="76"/>
      <c r="NRG60" s="76"/>
      <c r="NRH60" s="76"/>
      <c r="NRI60" s="76"/>
      <c r="NRJ60" s="76"/>
      <c r="NRK60" s="76"/>
      <c r="NRL60" s="76"/>
      <c r="NRM60" s="76"/>
      <c r="NRN60" s="76"/>
      <c r="NRO60" s="76"/>
      <c r="NRP60" s="76"/>
      <c r="NRQ60" s="76"/>
      <c r="NRR60" s="76"/>
      <c r="NRS60" s="76"/>
      <c r="NRT60" s="76"/>
      <c r="NRU60" s="76"/>
      <c r="NRV60" s="76"/>
      <c r="NRW60" s="76"/>
      <c r="NRX60" s="76"/>
      <c r="NRY60" s="76"/>
      <c r="NRZ60" s="76"/>
      <c r="NSA60" s="76"/>
      <c r="NSB60" s="76"/>
      <c r="NSC60" s="76"/>
      <c r="NSD60" s="76"/>
      <c r="NSE60" s="76"/>
      <c r="NSF60" s="76"/>
      <c r="NSG60" s="76"/>
      <c r="NSH60" s="76"/>
      <c r="NSI60" s="76"/>
      <c r="NSJ60" s="76"/>
      <c r="NSK60" s="76"/>
      <c r="NSL60" s="76"/>
      <c r="NSM60" s="76"/>
      <c r="NSN60" s="76"/>
      <c r="NSO60" s="76"/>
      <c r="NSP60" s="76"/>
      <c r="NSQ60" s="76"/>
      <c r="NSR60" s="76"/>
      <c r="NSS60" s="76"/>
      <c r="NST60" s="76"/>
      <c r="NSU60" s="76"/>
      <c r="NSV60" s="76"/>
      <c r="NSW60" s="76"/>
      <c r="NSX60" s="76"/>
      <c r="NSY60" s="76"/>
      <c r="NSZ60" s="76"/>
      <c r="NTA60" s="76"/>
      <c r="NTB60" s="76"/>
      <c r="NTC60" s="76"/>
      <c r="NTD60" s="76"/>
      <c r="NTE60" s="76"/>
      <c r="NTF60" s="76"/>
      <c r="NTG60" s="76"/>
      <c r="NTH60" s="76"/>
      <c r="NTI60" s="76"/>
      <c r="NTJ60" s="76"/>
      <c r="NTK60" s="76"/>
      <c r="NTL60" s="76"/>
      <c r="NTM60" s="76"/>
      <c r="NTN60" s="76"/>
      <c r="NTO60" s="76"/>
      <c r="NTP60" s="76"/>
      <c r="NTQ60" s="76"/>
      <c r="NTR60" s="76"/>
      <c r="NTS60" s="76"/>
      <c r="NTT60" s="76"/>
      <c r="NTU60" s="76"/>
      <c r="NTV60" s="76"/>
      <c r="NTW60" s="76"/>
      <c r="NTX60" s="76"/>
      <c r="NTY60" s="76"/>
      <c r="NTZ60" s="76"/>
      <c r="NUA60" s="76"/>
      <c r="NUB60" s="76"/>
      <c r="NUC60" s="76"/>
      <c r="NUD60" s="76"/>
      <c r="NUE60" s="76"/>
      <c r="NUF60" s="76"/>
      <c r="NUG60" s="76"/>
      <c r="NUH60" s="76"/>
      <c r="NUI60" s="76"/>
      <c r="NUJ60" s="76"/>
      <c r="NUK60" s="76"/>
      <c r="NUL60" s="76"/>
      <c r="NUM60" s="76"/>
      <c r="NUN60" s="76"/>
      <c r="NUO60" s="76"/>
      <c r="NUP60" s="76"/>
      <c r="NUQ60" s="76"/>
      <c r="NUR60" s="76"/>
      <c r="NUS60" s="76"/>
      <c r="NUT60" s="76"/>
      <c r="NUU60" s="76"/>
      <c r="NUV60" s="76"/>
      <c r="NUW60" s="76"/>
      <c r="NUX60" s="76"/>
      <c r="NUY60" s="76"/>
      <c r="NUZ60" s="76"/>
      <c r="NVA60" s="76"/>
      <c r="NVB60" s="76"/>
      <c r="NVC60" s="76"/>
      <c r="NVD60" s="76"/>
      <c r="NVE60" s="76"/>
      <c r="NVF60" s="76"/>
      <c r="NVG60" s="76"/>
      <c r="NVH60" s="76"/>
      <c r="NVI60" s="76"/>
      <c r="NVJ60" s="76"/>
      <c r="NVK60" s="76"/>
      <c r="NVL60" s="76"/>
      <c r="NVM60" s="76"/>
      <c r="NVN60" s="76"/>
      <c r="NVO60" s="76"/>
      <c r="NVP60" s="76"/>
      <c r="NVQ60" s="76"/>
      <c r="NVR60" s="76"/>
      <c r="NVS60" s="76"/>
      <c r="NVT60" s="76"/>
      <c r="NVU60" s="76"/>
      <c r="NVV60" s="76"/>
      <c r="NVW60" s="76"/>
      <c r="NVX60" s="76"/>
      <c r="NVY60" s="76"/>
      <c r="NVZ60" s="76"/>
      <c r="NWA60" s="76"/>
      <c r="NWB60" s="76"/>
      <c r="NWC60" s="76"/>
      <c r="NWD60" s="76"/>
      <c r="NWE60" s="76"/>
      <c r="NWF60" s="76"/>
      <c r="NWG60" s="76"/>
      <c r="NWH60" s="76"/>
      <c r="NWI60" s="76"/>
      <c r="NWJ60" s="76"/>
      <c r="NWK60" s="76"/>
      <c r="NWL60" s="76"/>
      <c r="NWM60" s="76"/>
      <c r="NWN60" s="76"/>
      <c r="NWO60" s="76"/>
      <c r="NWP60" s="76"/>
      <c r="NWQ60" s="76"/>
      <c r="NWR60" s="76"/>
      <c r="NWS60" s="76"/>
      <c r="NWT60" s="76"/>
      <c r="NWU60" s="76"/>
      <c r="NWV60" s="76"/>
      <c r="NWW60" s="76"/>
      <c r="NWX60" s="76"/>
      <c r="NWY60" s="76"/>
      <c r="NWZ60" s="76"/>
      <c r="NXA60" s="76"/>
      <c r="NXB60" s="76"/>
      <c r="NXC60" s="76"/>
      <c r="NXD60" s="76"/>
      <c r="NXE60" s="76"/>
      <c r="NXF60" s="76"/>
      <c r="NXG60" s="76"/>
      <c r="NXH60" s="76"/>
      <c r="NXI60" s="76"/>
      <c r="NXJ60" s="76"/>
      <c r="NXK60" s="76"/>
      <c r="NXL60" s="76"/>
      <c r="NXM60" s="76"/>
      <c r="NXN60" s="76"/>
      <c r="NXO60" s="76"/>
      <c r="NXP60" s="76"/>
      <c r="NXQ60" s="76"/>
      <c r="NXR60" s="76"/>
      <c r="NXS60" s="76"/>
      <c r="NXT60" s="76"/>
      <c r="NXU60" s="76"/>
      <c r="NXV60" s="76"/>
      <c r="NXW60" s="76"/>
      <c r="NXX60" s="76"/>
      <c r="NXY60" s="76"/>
      <c r="NXZ60" s="76"/>
      <c r="NYA60" s="76"/>
      <c r="NYB60" s="76"/>
      <c r="NYC60" s="76"/>
      <c r="NYD60" s="76"/>
      <c r="NYE60" s="76"/>
      <c r="NYF60" s="76"/>
      <c r="NYG60" s="76"/>
      <c r="NYH60" s="76"/>
      <c r="NYI60" s="76"/>
      <c r="NYJ60" s="76"/>
      <c r="NYK60" s="76"/>
      <c r="NYL60" s="76"/>
      <c r="NYM60" s="76"/>
      <c r="NYN60" s="76"/>
      <c r="NYO60" s="76"/>
      <c r="NYP60" s="76"/>
      <c r="NYQ60" s="76"/>
      <c r="NYR60" s="76"/>
      <c r="NYS60" s="76"/>
      <c r="NYT60" s="76"/>
      <c r="NYU60" s="76"/>
      <c r="NYV60" s="76"/>
      <c r="NYW60" s="76"/>
      <c r="NYX60" s="76"/>
      <c r="NYY60" s="76"/>
      <c r="NYZ60" s="76"/>
      <c r="NZA60" s="76"/>
      <c r="NZB60" s="76"/>
      <c r="NZC60" s="76"/>
      <c r="NZD60" s="76"/>
      <c r="NZE60" s="76"/>
      <c r="NZF60" s="76"/>
      <c r="NZG60" s="76"/>
      <c r="NZH60" s="76"/>
      <c r="NZI60" s="76"/>
      <c r="NZJ60" s="76"/>
      <c r="NZK60" s="76"/>
      <c r="NZL60" s="76"/>
      <c r="NZM60" s="76"/>
      <c r="NZN60" s="76"/>
      <c r="NZO60" s="76"/>
      <c r="NZP60" s="76"/>
      <c r="NZQ60" s="76"/>
      <c r="NZR60" s="76"/>
      <c r="NZS60" s="76"/>
      <c r="NZT60" s="76"/>
      <c r="NZU60" s="76"/>
      <c r="NZV60" s="76"/>
      <c r="NZW60" s="76"/>
      <c r="NZX60" s="76"/>
      <c r="NZY60" s="76"/>
      <c r="NZZ60" s="76"/>
      <c r="OAA60" s="76"/>
      <c r="OAB60" s="76"/>
      <c r="OAC60" s="76"/>
      <c r="OAD60" s="76"/>
      <c r="OAE60" s="76"/>
      <c r="OAF60" s="76"/>
      <c r="OAG60" s="76"/>
      <c r="OAH60" s="76"/>
      <c r="OAI60" s="76"/>
      <c r="OAJ60" s="76"/>
      <c r="OAK60" s="76"/>
      <c r="OAL60" s="76"/>
      <c r="OAM60" s="76"/>
      <c r="OAN60" s="76"/>
      <c r="OAO60" s="76"/>
      <c r="OAP60" s="76"/>
      <c r="OAQ60" s="76"/>
      <c r="OAR60" s="76"/>
      <c r="OAS60" s="76"/>
      <c r="OAT60" s="76"/>
      <c r="OAU60" s="76"/>
      <c r="OAV60" s="76"/>
      <c r="OAW60" s="76"/>
      <c r="OAX60" s="76"/>
      <c r="OAY60" s="76"/>
      <c r="OAZ60" s="76"/>
      <c r="OBA60" s="76"/>
      <c r="OBB60" s="76"/>
      <c r="OBC60" s="76"/>
      <c r="OBD60" s="76"/>
      <c r="OBE60" s="76"/>
      <c r="OBF60" s="76"/>
      <c r="OBG60" s="76"/>
      <c r="OBH60" s="76"/>
      <c r="OBI60" s="76"/>
      <c r="OBJ60" s="76"/>
      <c r="OBK60" s="76"/>
      <c r="OBL60" s="76"/>
      <c r="OBM60" s="76"/>
      <c r="OBN60" s="76"/>
      <c r="OBO60" s="76"/>
      <c r="OBP60" s="76"/>
      <c r="OBQ60" s="76"/>
      <c r="OBR60" s="76"/>
      <c r="OBS60" s="76"/>
      <c r="OBT60" s="76"/>
      <c r="OBU60" s="76"/>
      <c r="OBV60" s="76"/>
      <c r="OBW60" s="76"/>
      <c r="OBX60" s="76"/>
      <c r="OBY60" s="76"/>
      <c r="OBZ60" s="76"/>
      <c r="OCA60" s="76"/>
      <c r="OCB60" s="76"/>
      <c r="OCC60" s="76"/>
      <c r="OCD60" s="76"/>
      <c r="OCE60" s="76"/>
      <c r="OCF60" s="76"/>
      <c r="OCG60" s="76"/>
      <c r="OCH60" s="76"/>
      <c r="OCI60" s="76"/>
      <c r="OCJ60" s="76"/>
      <c r="OCK60" s="76"/>
      <c r="OCL60" s="76"/>
      <c r="OCM60" s="76"/>
      <c r="OCN60" s="76"/>
      <c r="OCO60" s="76"/>
      <c r="OCP60" s="76"/>
      <c r="OCQ60" s="76"/>
      <c r="OCR60" s="76"/>
      <c r="OCS60" s="76"/>
      <c r="OCT60" s="76"/>
      <c r="OCU60" s="76"/>
      <c r="OCV60" s="76"/>
      <c r="OCW60" s="76"/>
      <c r="OCX60" s="76"/>
      <c r="OCY60" s="76"/>
      <c r="OCZ60" s="76"/>
      <c r="ODA60" s="76"/>
      <c r="ODB60" s="76"/>
      <c r="ODC60" s="76"/>
      <c r="ODD60" s="76"/>
      <c r="ODE60" s="76"/>
      <c r="ODF60" s="76"/>
      <c r="ODG60" s="76"/>
      <c r="ODH60" s="76"/>
      <c r="ODI60" s="76"/>
      <c r="ODJ60" s="76"/>
      <c r="ODK60" s="76"/>
      <c r="ODL60" s="76"/>
      <c r="ODM60" s="76"/>
      <c r="ODN60" s="76"/>
      <c r="ODO60" s="76"/>
      <c r="ODP60" s="76"/>
      <c r="ODQ60" s="76"/>
      <c r="ODR60" s="76"/>
      <c r="ODS60" s="76"/>
      <c r="ODT60" s="76"/>
      <c r="ODU60" s="76"/>
      <c r="ODV60" s="76"/>
      <c r="ODW60" s="76"/>
      <c r="ODX60" s="76"/>
      <c r="ODY60" s="76"/>
      <c r="ODZ60" s="76"/>
      <c r="OEA60" s="76"/>
      <c r="OEB60" s="76"/>
      <c r="OEC60" s="76"/>
      <c r="OED60" s="76"/>
      <c r="OEE60" s="76"/>
      <c r="OEF60" s="76"/>
      <c r="OEG60" s="76"/>
      <c r="OEH60" s="76"/>
      <c r="OEI60" s="76"/>
      <c r="OEJ60" s="76"/>
      <c r="OEK60" s="76"/>
      <c r="OEL60" s="76"/>
      <c r="OEM60" s="76"/>
      <c r="OEN60" s="76"/>
      <c r="OEO60" s="76"/>
      <c r="OEP60" s="76"/>
      <c r="OEQ60" s="76"/>
      <c r="OER60" s="76"/>
      <c r="OES60" s="76"/>
      <c r="OET60" s="76"/>
      <c r="OEU60" s="76"/>
      <c r="OEV60" s="76"/>
      <c r="OEW60" s="76"/>
      <c r="OEX60" s="76"/>
      <c r="OEY60" s="76"/>
      <c r="OEZ60" s="76"/>
      <c r="OFA60" s="76"/>
      <c r="OFB60" s="76"/>
      <c r="OFC60" s="76"/>
      <c r="OFD60" s="76"/>
      <c r="OFE60" s="76"/>
      <c r="OFF60" s="76"/>
      <c r="OFG60" s="76"/>
      <c r="OFH60" s="76"/>
      <c r="OFI60" s="76"/>
      <c r="OFJ60" s="76"/>
      <c r="OFK60" s="76"/>
      <c r="OFL60" s="76"/>
      <c r="OFM60" s="76"/>
      <c r="OFN60" s="76"/>
      <c r="OFO60" s="76"/>
      <c r="OFP60" s="76"/>
      <c r="OFQ60" s="76"/>
      <c r="OFR60" s="76"/>
      <c r="OFS60" s="76"/>
      <c r="OFT60" s="76"/>
      <c r="OFU60" s="76"/>
      <c r="OFV60" s="76"/>
      <c r="OFW60" s="76"/>
      <c r="OFX60" s="76"/>
      <c r="OFY60" s="76"/>
      <c r="OFZ60" s="76"/>
      <c r="OGA60" s="76"/>
      <c r="OGB60" s="76"/>
      <c r="OGC60" s="76"/>
      <c r="OGD60" s="76"/>
      <c r="OGE60" s="76"/>
      <c r="OGF60" s="76"/>
      <c r="OGG60" s="76"/>
      <c r="OGH60" s="76"/>
      <c r="OGI60" s="76"/>
      <c r="OGJ60" s="76"/>
      <c r="OGK60" s="76"/>
      <c r="OGL60" s="76"/>
      <c r="OGM60" s="76"/>
      <c r="OGN60" s="76"/>
      <c r="OGO60" s="76"/>
      <c r="OGP60" s="76"/>
      <c r="OGQ60" s="76"/>
      <c r="OGR60" s="76"/>
      <c r="OGS60" s="76"/>
      <c r="OGT60" s="76"/>
      <c r="OGU60" s="76"/>
      <c r="OGV60" s="76"/>
      <c r="OGW60" s="76"/>
      <c r="OGX60" s="76"/>
      <c r="OGY60" s="76"/>
      <c r="OGZ60" s="76"/>
      <c r="OHA60" s="76"/>
      <c r="OHB60" s="76"/>
      <c r="OHC60" s="76"/>
      <c r="OHD60" s="76"/>
      <c r="OHE60" s="76"/>
      <c r="OHF60" s="76"/>
      <c r="OHG60" s="76"/>
      <c r="OHH60" s="76"/>
      <c r="OHI60" s="76"/>
      <c r="OHJ60" s="76"/>
      <c r="OHK60" s="76"/>
      <c r="OHL60" s="76"/>
      <c r="OHM60" s="76"/>
      <c r="OHN60" s="76"/>
      <c r="OHO60" s="76"/>
      <c r="OHP60" s="76"/>
      <c r="OHQ60" s="76"/>
      <c r="OHR60" s="76"/>
      <c r="OHS60" s="76"/>
      <c r="OHT60" s="76"/>
      <c r="OHU60" s="76"/>
      <c r="OHV60" s="76"/>
      <c r="OHW60" s="76"/>
      <c r="OHX60" s="76"/>
      <c r="OHY60" s="76"/>
      <c r="OHZ60" s="76"/>
      <c r="OIA60" s="76"/>
      <c r="OIB60" s="76"/>
      <c r="OIC60" s="76"/>
      <c r="OID60" s="76"/>
      <c r="OIE60" s="76"/>
      <c r="OIF60" s="76"/>
      <c r="OIG60" s="76"/>
      <c r="OIH60" s="76"/>
      <c r="OII60" s="76"/>
      <c r="OIJ60" s="76"/>
      <c r="OIK60" s="76"/>
      <c r="OIL60" s="76"/>
      <c r="OIM60" s="76"/>
      <c r="OIN60" s="76"/>
      <c r="OIO60" s="76"/>
      <c r="OIP60" s="76"/>
      <c r="OIQ60" s="76"/>
      <c r="OIR60" s="76"/>
      <c r="OIS60" s="76"/>
      <c r="OIT60" s="76"/>
      <c r="OIU60" s="76"/>
      <c r="OIV60" s="76"/>
      <c r="OIW60" s="76"/>
      <c r="OIX60" s="76"/>
      <c r="OIY60" s="76"/>
      <c r="OIZ60" s="76"/>
      <c r="OJA60" s="76"/>
      <c r="OJB60" s="76"/>
      <c r="OJC60" s="76"/>
      <c r="OJD60" s="76"/>
      <c r="OJE60" s="76"/>
      <c r="OJF60" s="76"/>
      <c r="OJG60" s="76"/>
      <c r="OJH60" s="76"/>
      <c r="OJI60" s="76"/>
      <c r="OJJ60" s="76"/>
      <c r="OJK60" s="76"/>
      <c r="OJL60" s="76"/>
      <c r="OJM60" s="76"/>
      <c r="OJN60" s="76"/>
      <c r="OJO60" s="76"/>
      <c r="OJP60" s="76"/>
      <c r="OJQ60" s="76"/>
      <c r="OJR60" s="76"/>
      <c r="OJS60" s="76"/>
      <c r="OJT60" s="76"/>
      <c r="OJU60" s="76"/>
      <c r="OJV60" s="76"/>
      <c r="OJW60" s="76"/>
      <c r="OJX60" s="76"/>
      <c r="OJY60" s="76"/>
      <c r="OJZ60" s="76"/>
      <c r="OKA60" s="76"/>
      <c r="OKB60" s="76"/>
      <c r="OKC60" s="76"/>
      <c r="OKD60" s="76"/>
      <c r="OKE60" s="76"/>
      <c r="OKF60" s="76"/>
      <c r="OKG60" s="76"/>
      <c r="OKH60" s="76"/>
      <c r="OKI60" s="76"/>
      <c r="OKJ60" s="76"/>
      <c r="OKK60" s="76"/>
      <c r="OKL60" s="76"/>
      <c r="OKM60" s="76"/>
      <c r="OKN60" s="76"/>
      <c r="OKO60" s="76"/>
      <c r="OKP60" s="76"/>
      <c r="OKQ60" s="76"/>
      <c r="OKR60" s="76"/>
      <c r="OKS60" s="76"/>
      <c r="OKT60" s="76"/>
      <c r="OKU60" s="76"/>
      <c r="OKV60" s="76"/>
      <c r="OKW60" s="76"/>
      <c r="OKX60" s="76"/>
      <c r="OKY60" s="76"/>
      <c r="OKZ60" s="76"/>
      <c r="OLA60" s="76"/>
      <c r="OLB60" s="76"/>
      <c r="OLC60" s="76"/>
      <c r="OLD60" s="76"/>
      <c r="OLE60" s="76"/>
      <c r="OLF60" s="76"/>
      <c r="OLG60" s="76"/>
      <c r="OLH60" s="76"/>
      <c r="OLI60" s="76"/>
      <c r="OLJ60" s="76"/>
      <c r="OLK60" s="76"/>
      <c r="OLL60" s="76"/>
      <c r="OLM60" s="76"/>
      <c r="OLN60" s="76"/>
      <c r="OLO60" s="76"/>
      <c r="OLP60" s="76"/>
      <c r="OLQ60" s="76"/>
      <c r="OLR60" s="76"/>
      <c r="OLS60" s="76"/>
      <c r="OLT60" s="76"/>
      <c r="OLU60" s="76"/>
      <c r="OLV60" s="76"/>
      <c r="OLW60" s="76"/>
      <c r="OLX60" s="76"/>
      <c r="OLY60" s="76"/>
      <c r="OLZ60" s="76"/>
      <c r="OMA60" s="76"/>
      <c r="OMB60" s="76"/>
      <c r="OMC60" s="76"/>
      <c r="OMD60" s="76"/>
      <c r="OME60" s="76"/>
      <c r="OMF60" s="76"/>
      <c r="OMG60" s="76"/>
      <c r="OMH60" s="76"/>
      <c r="OMI60" s="76"/>
      <c r="OMJ60" s="76"/>
      <c r="OMK60" s="76"/>
      <c r="OML60" s="76"/>
      <c r="OMM60" s="76"/>
      <c r="OMN60" s="76"/>
      <c r="OMO60" s="76"/>
      <c r="OMP60" s="76"/>
      <c r="OMQ60" s="76"/>
      <c r="OMR60" s="76"/>
      <c r="OMS60" s="76"/>
      <c r="OMT60" s="76"/>
      <c r="OMU60" s="76"/>
      <c r="OMV60" s="76"/>
      <c r="OMW60" s="76"/>
      <c r="OMX60" s="76"/>
      <c r="OMY60" s="76"/>
      <c r="OMZ60" s="76"/>
      <c r="ONA60" s="76"/>
      <c r="ONB60" s="76"/>
      <c r="ONC60" s="76"/>
      <c r="OND60" s="76"/>
      <c r="ONE60" s="76"/>
      <c r="ONF60" s="76"/>
      <c r="ONG60" s="76"/>
      <c r="ONH60" s="76"/>
      <c r="ONI60" s="76"/>
      <c r="ONJ60" s="76"/>
      <c r="ONK60" s="76"/>
      <c r="ONL60" s="76"/>
      <c r="ONM60" s="76"/>
      <c r="ONN60" s="76"/>
      <c r="ONO60" s="76"/>
      <c r="ONP60" s="76"/>
      <c r="ONQ60" s="76"/>
      <c r="ONR60" s="76"/>
      <c r="ONS60" s="76"/>
      <c r="ONT60" s="76"/>
      <c r="ONU60" s="76"/>
      <c r="ONV60" s="76"/>
      <c r="ONW60" s="76"/>
      <c r="ONX60" s="76"/>
      <c r="ONY60" s="76"/>
      <c r="ONZ60" s="76"/>
      <c r="OOA60" s="76"/>
      <c r="OOB60" s="76"/>
      <c r="OOC60" s="76"/>
      <c r="OOD60" s="76"/>
      <c r="OOE60" s="76"/>
      <c r="OOF60" s="76"/>
      <c r="OOG60" s="76"/>
      <c r="OOH60" s="76"/>
      <c r="OOI60" s="76"/>
      <c r="OOJ60" s="76"/>
      <c r="OOK60" s="76"/>
      <c r="OOL60" s="76"/>
      <c r="OOM60" s="76"/>
      <c r="OON60" s="76"/>
      <c r="OOO60" s="76"/>
      <c r="OOP60" s="76"/>
      <c r="OOQ60" s="76"/>
      <c r="OOR60" s="76"/>
      <c r="OOS60" s="76"/>
      <c r="OOT60" s="76"/>
      <c r="OOU60" s="76"/>
      <c r="OOV60" s="76"/>
      <c r="OOW60" s="76"/>
      <c r="OOX60" s="76"/>
      <c r="OOY60" s="76"/>
      <c r="OOZ60" s="76"/>
      <c r="OPA60" s="76"/>
      <c r="OPB60" s="76"/>
      <c r="OPC60" s="76"/>
      <c r="OPD60" s="76"/>
      <c r="OPE60" s="76"/>
      <c r="OPF60" s="76"/>
      <c r="OPG60" s="76"/>
      <c r="OPH60" s="76"/>
      <c r="OPI60" s="76"/>
      <c r="OPJ60" s="76"/>
      <c r="OPK60" s="76"/>
      <c r="OPL60" s="76"/>
      <c r="OPM60" s="76"/>
      <c r="OPN60" s="76"/>
      <c r="OPO60" s="76"/>
      <c r="OPP60" s="76"/>
      <c r="OPQ60" s="76"/>
      <c r="OPR60" s="76"/>
      <c r="OPS60" s="76"/>
      <c r="OPT60" s="76"/>
      <c r="OPU60" s="76"/>
      <c r="OPV60" s="76"/>
      <c r="OPW60" s="76"/>
      <c r="OPX60" s="76"/>
      <c r="OPY60" s="76"/>
      <c r="OPZ60" s="76"/>
      <c r="OQA60" s="76"/>
      <c r="OQB60" s="76"/>
      <c r="OQC60" s="76"/>
      <c r="OQD60" s="76"/>
      <c r="OQE60" s="76"/>
      <c r="OQF60" s="76"/>
      <c r="OQG60" s="76"/>
      <c r="OQH60" s="76"/>
      <c r="OQI60" s="76"/>
      <c r="OQJ60" s="76"/>
      <c r="OQK60" s="76"/>
      <c r="OQL60" s="76"/>
      <c r="OQM60" s="76"/>
      <c r="OQN60" s="76"/>
      <c r="OQO60" s="76"/>
      <c r="OQP60" s="76"/>
      <c r="OQQ60" s="76"/>
      <c r="OQR60" s="76"/>
      <c r="OQS60" s="76"/>
      <c r="OQT60" s="76"/>
      <c r="OQU60" s="76"/>
      <c r="OQV60" s="76"/>
      <c r="OQW60" s="76"/>
      <c r="OQX60" s="76"/>
      <c r="OQY60" s="76"/>
      <c r="OQZ60" s="76"/>
      <c r="ORA60" s="76"/>
      <c r="ORB60" s="76"/>
      <c r="ORC60" s="76"/>
      <c r="ORD60" s="76"/>
      <c r="ORE60" s="76"/>
      <c r="ORF60" s="76"/>
      <c r="ORG60" s="76"/>
      <c r="ORH60" s="76"/>
      <c r="ORI60" s="76"/>
      <c r="ORJ60" s="76"/>
      <c r="ORK60" s="76"/>
      <c r="ORL60" s="76"/>
      <c r="ORM60" s="76"/>
      <c r="ORN60" s="76"/>
      <c r="ORO60" s="76"/>
      <c r="ORP60" s="76"/>
      <c r="ORQ60" s="76"/>
      <c r="ORR60" s="76"/>
      <c r="ORS60" s="76"/>
      <c r="ORT60" s="76"/>
      <c r="ORU60" s="76"/>
      <c r="ORV60" s="76"/>
      <c r="ORW60" s="76"/>
      <c r="ORX60" s="76"/>
      <c r="ORY60" s="76"/>
      <c r="ORZ60" s="76"/>
      <c r="OSA60" s="76"/>
      <c r="OSB60" s="76"/>
      <c r="OSC60" s="76"/>
      <c r="OSD60" s="76"/>
      <c r="OSE60" s="76"/>
      <c r="OSF60" s="76"/>
      <c r="OSG60" s="76"/>
      <c r="OSH60" s="76"/>
      <c r="OSI60" s="76"/>
      <c r="OSJ60" s="76"/>
      <c r="OSK60" s="76"/>
      <c r="OSL60" s="76"/>
      <c r="OSM60" s="76"/>
      <c r="OSN60" s="76"/>
      <c r="OSO60" s="76"/>
      <c r="OSP60" s="76"/>
      <c r="OSQ60" s="76"/>
      <c r="OSR60" s="76"/>
      <c r="OSS60" s="76"/>
      <c r="OST60" s="76"/>
      <c r="OSU60" s="76"/>
      <c r="OSV60" s="76"/>
      <c r="OSW60" s="76"/>
      <c r="OSX60" s="76"/>
      <c r="OSY60" s="76"/>
      <c r="OSZ60" s="76"/>
      <c r="OTA60" s="76"/>
      <c r="OTB60" s="76"/>
      <c r="OTC60" s="76"/>
      <c r="OTD60" s="76"/>
      <c r="OTE60" s="76"/>
      <c r="OTF60" s="76"/>
      <c r="OTG60" s="76"/>
      <c r="OTH60" s="76"/>
      <c r="OTI60" s="76"/>
      <c r="OTJ60" s="76"/>
      <c r="OTK60" s="76"/>
      <c r="OTL60" s="76"/>
      <c r="OTM60" s="76"/>
      <c r="OTN60" s="76"/>
      <c r="OTO60" s="76"/>
      <c r="OTP60" s="76"/>
      <c r="OTQ60" s="76"/>
      <c r="OTR60" s="76"/>
      <c r="OTS60" s="76"/>
      <c r="OTT60" s="76"/>
      <c r="OTU60" s="76"/>
      <c r="OTV60" s="76"/>
      <c r="OTW60" s="76"/>
      <c r="OTX60" s="76"/>
      <c r="OTY60" s="76"/>
      <c r="OTZ60" s="76"/>
      <c r="OUA60" s="76"/>
      <c r="OUB60" s="76"/>
      <c r="OUC60" s="76"/>
      <c r="OUD60" s="76"/>
      <c r="OUE60" s="76"/>
      <c r="OUF60" s="76"/>
      <c r="OUG60" s="76"/>
      <c r="OUH60" s="76"/>
      <c r="OUI60" s="76"/>
      <c r="OUJ60" s="76"/>
      <c r="OUK60" s="76"/>
      <c r="OUL60" s="76"/>
      <c r="OUM60" s="76"/>
      <c r="OUN60" s="76"/>
      <c r="OUO60" s="76"/>
      <c r="OUP60" s="76"/>
      <c r="OUQ60" s="76"/>
      <c r="OUR60" s="76"/>
      <c r="OUS60" s="76"/>
      <c r="OUT60" s="76"/>
      <c r="OUU60" s="76"/>
      <c r="OUV60" s="76"/>
      <c r="OUW60" s="76"/>
      <c r="OUX60" s="76"/>
      <c r="OUY60" s="76"/>
      <c r="OUZ60" s="76"/>
      <c r="OVA60" s="76"/>
      <c r="OVB60" s="76"/>
      <c r="OVC60" s="76"/>
      <c r="OVD60" s="76"/>
      <c r="OVE60" s="76"/>
      <c r="OVF60" s="76"/>
      <c r="OVG60" s="76"/>
      <c r="OVH60" s="76"/>
      <c r="OVI60" s="76"/>
      <c r="OVJ60" s="76"/>
      <c r="OVK60" s="76"/>
      <c r="OVL60" s="76"/>
      <c r="OVM60" s="76"/>
      <c r="OVN60" s="76"/>
      <c r="OVO60" s="76"/>
      <c r="OVP60" s="76"/>
      <c r="OVQ60" s="76"/>
      <c r="OVR60" s="76"/>
      <c r="OVS60" s="76"/>
      <c r="OVT60" s="76"/>
      <c r="OVU60" s="76"/>
      <c r="OVV60" s="76"/>
      <c r="OVW60" s="76"/>
      <c r="OVX60" s="76"/>
      <c r="OVY60" s="76"/>
      <c r="OVZ60" s="76"/>
      <c r="OWA60" s="76"/>
      <c r="OWB60" s="76"/>
      <c r="OWC60" s="76"/>
      <c r="OWD60" s="76"/>
      <c r="OWE60" s="76"/>
      <c r="OWF60" s="76"/>
      <c r="OWG60" s="76"/>
      <c r="OWH60" s="76"/>
      <c r="OWI60" s="76"/>
      <c r="OWJ60" s="76"/>
      <c r="OWK60" s="76"/>
      <c r="OWL60" s="76"/>
      <c r="OWM60" s="76"/>
      <c r="OWN60" s="76"/>
      <c r="OWO60" s="76"/>
      <c r="OWP60" s="76"/>
      <c r="OWQ60" s="76"/>
      <c r="OWR60" s="76"/>
      <c r="OWS60" s="76"/>
      <c r="OWT60" s="76"/>
      <c r="OWU60" s="76"/>
      <c r="OWV60" s="76"/>
      <c r="OWW60" s="76"/>
      <c r="OWX60" s="76"/>
      <c r="OWY60" s="76"/>
      <c r="OWZ60" s="76"/>
      <c r="OXA60" s="76"/>
      <c r="OXB60" s="76"/>
      <c r="OXC60" s="76"/>
      <c r="OXD60" s="76"/>
      <c r="OXE60" s="76"/>
      <c r="OXF60" s="76"/>
      <c r="OXG60" s="76"/>
      <c r="OXH60" s="76"/>
      <c r="OXI60" s="76"/>
      <c r="OXJ60" s="76"/>
      <c r="OXK60" s="76"/>
      <c r="OXL60" s="76"/>
      <c r="OXM60" s="76"/>
      <c r="OXN60" s="76"/>
      <c r="OXO60" s="76"/>
      <c r="OXP60" s="76"/>
      <c r="OXQ60" s="76"/>
      <c r="OXR60" s="76"/>
      <c r="OXS60" s="76"/>
      <c r="OXT60" s="76"/>
      <c r="OXU60" s="76"/>
      <c r="OXV60" s="76"/>
      <c r="OXW60" s="76"/>
      <c r="OXX60" s="76"/>
      <c r="OXY60" s="76"/>
      <c r="OXZ60" s="76"/>
      <c r="OYA60" s="76"/>
      <c r="OYB60" s="76"/>
      <c r="OYC60" s="76"/>
      <c r="OYD60" s="76"/>
      <c r="OYE60" s="76"/>
      <c r="OYF60" s="76"/>
      <c r="OYG60" s="76"/>
      <c r="OYH60" s="76"/>
      <c r="OYI60" s="76"/>
      <c r="OYJ60" s="76"/>
      <c r="OYK60" s="76"/>
      <c r="OYL60" s="76"/>
      <c r="OYM60" s="76"/>
      <c r="OYN60" s="76"/>
      <c r="OYO60" s="76"/>
      <c r="OYP60" s="76"/>
      <c r="OYQ60" s="76"/>
      <c r="OYR60" s="76"/>
      <c r="OYS60" s="76"/>
      <c r="OYT60" s="76"/>
      <c r="OYU60" s="76"/>
      <c r="OYV60" s="76"/>
      <c r="OYW60" s="76"/>
      <c r="OYX60" s="76"/>
      <c r="OYY60" s="76"/>
      <c r="OYZ60" s="76"/>
      <c r="OZA60" s="76"/>
      <c r="OZB60" s="76"/>
      <c r="OZC60" s="76"/>
      <c r="OZD60" s="76"/>
      <c r="OZE60" s="76"/>
      <c r="OZF60" s="76"/>
      <c r="OZG60" s="76"/>
      <c r="OZH60" s="76"/>
      <c r="OZI60" s="76"/>
      <c r="OZJ60" s="76"/>
      <c r="OZK60" s="76"/>
      <c r="OZL60" s="76"/>
      <c r="OZM60" s="76"/>
      <c r="OZN60" s="76"/>
      <c r="OZO60" s="76"/>
      <c r="OZP60" s="76"/>
      <c r="OZQ60" s="76"/>
      <c r="OZR60" s="76"/>
      <c r="OZS60" s="76"/>
      <c r="OZT60" s="76"/>
      <c r="OZU60" s="76"/>
      <c r="OZV60" s="76"/>
      <c r="OZW60" s="76"/>
      <c r="OZX60" s="76"/>
      <c r="OZY60" s="76"/>
      <c r="OZZ60" s="76"/>
      <c r="PAA60" s="76"/>
      <c r="PAB60" s="76"/>
      <c r="PAC60" s="76"/>
      <c r="PAD60" s="76"/>
      <c r="PAE60" s="76"/>
      <c r="PAF60" s="76"/>
      <c r="PAG60" s="76"/>
      <c r="PAH60" s="76"/>
      <c r="PAI60" s="76"/>
      <c r="PAJ60" s="76"/>
      <c r="PAK60" s="76"/>
      <c r="PAL60" s="76"/>
      <c r="PAM60" s="76"/>
      <c r="PAN60" s="76"/>
      <c r="PAO60" s="76"/>
      <c r="PAP60" s="76"/>
      <c r="PAQ60" s="76"/>
      <c r="PAR60" s="76"/>
      <c r="PAS60" s="76"/>
      <c r="PAT60" s="76"/>
      <c r="PAU60" s="76"/>
      <c r="PAV60" s="76"/>
      <c r="PAW60" s="76"/>
      <c r="PAX60" s="76"/>
      <c r="PAY60" s="76"/>
      <c r="PAZ60" s="76"/>
      <c r="PBA60" s="76"/>
      <c r="PBB60" s="76"/>
      <c r="PBC60" s="76"/>
      <c r="PBD60" s="76"/>
      <c r="PBE60" s="76"/>
      <c r="PBF60" s="76"/>
      <c r="PBG60" s="76"/>
      <c r="PBH60" s="76"/>
      <c r="PBI60" s="76"/>
      <c r="PBJ60" s="76"/>
      <c r="PBK60" s="76"/>
      <c r="PBL60" s="76"/>
      <c r="PBM60" s="76"/>
      <c r="PBN60" s="76"/>
      <c r="PBO60" s="76"/>
      <c r="PBP60" s="76"/>
      <c r="PBQ60" s="76"/>
      <c r="PBR60" s="76"/>
      <c r="PBS60" s="76"/>
      <c r="PBT60" s="76"/>
      <c r="PBU60" s="76"/>
      <c r="PBV60" s="76"/>
      <c r="PBW60" s="76"/>
      <c r="PBX60" s="76"/>
      <c r="PBY60" s="76"/>
      <c r="PBZ60" s="76"/>
      <c r="PCA60" s="76"/>
      <c r="PCB60" s="76"/>
      <c r="PCC60" s="76"/>
      <c r="PCD60" s="76"/>
      <c r="PCE60" s="76"/>
      <c r="PCF60" s="76"/>
      <c r="PCG60" s="76"/>
      <c r="PCH60" s="76"/>
      <c r="PCI60" s="76"/>
      <c r="PCJ60" s="76"/>
      <c r="PCK60" s="76"/>
      <c r="PCL60" s="76"/>
      <c r="PCM60" s="76"/>
      <c r="PCN60" s="76"/>
      <c r="PCO60" s="76"/>
      <c r="PCP60" s="76"/>
      <c r="PCQ60" s="76"/>
      <c r="PCR60" s="76"/>
      <c r="PCS60" s="76"/>
      <c r="PCT60" s="76"/>
      <c r="PCU60" s="76"/>
      <c r="PCV60" s="76"/>
      <c r="PCW60" s="76"/>
      <c r="PCX60" s="76"/>
      <c r="PCY60" s="76"/>
      <c r="PCZ60" s="76"/>
      <c r="PDA60" s="76"/>
      <c r="PDB60" s="76"/>
      <c r="PDC60" s="76"/>
      <c r="PDD60" s="76"/>
      <c r="PDE60" s="76"/>
      <c r="PDF60" s="76"/>
      <c r="PDG60" s="76"/>
      <c r="PDH60" s="76"/>
      <c r="PDI60" s="76"/>
      <c r="PDJ60" s="76"/>
      <c r="PDK60" s="76"/>
      <c r="PDL60" s="76"/>
      <c r="PDM60" s="76"/>
      <c r="PDN60" s="76"/>
      <c r="PDO60" s="76"/>
      <c r="PDP60" s="76"/>
      <c r="PDQ60" s="76"/>
      <c r="PDR60" s="76"/>
      <c r="PDS60" s="76"/>
      <c r="PDT60" s="76"/>
      <c r="PDU60" s="76"/>
      <c r="PDV60" s="76"/>
      <c r="PDW60" s="76"/>
      <c r="PDX60" s="76"/>
      <c r="PDY60" s="76"/>
      <c r="PDZ60" s="76"/>
      <c r="PEA60" s="76"/>
      <c r="PEB60" s="76"/>
      <c r="PEC60" s="76"/>
      <c r="PED60" s="76"/>
      <c r="PEE60" s="76"/>
      <c r="PEF60" s="76"/>
      <c r="PEG60" s="76"/>
      <c r="PEH60" s="76"/>
      <c r="PEI60" s="76"/>
      <c r="PEJ60" s="76"/>
      <c r="PEK60" s="76"/>
      <c r="PEL60" s="76"/>
      <c r="PEM60" s="76"/>
      <c r="PEN60" s="76"/>
      <c r="PEO60" s="76"/>
      <c r="PEP60" s="76"/>
      <c r="PEQ60" s="76"/>
      <c r="PER60" s="76"/>
      <c r="PES60" s="76"/>
      <c r="PET60" s="76"/>
      <c r="PEU60" s="76"/>
      <c r="PEV60" s="76"/>
      <c r="PEW60" s="76"/>
      <c r="PEX60" s="76"/>
      <c r="PEY60" s="76"/>
      <c r="PEZ60" s="76"/>
      <c r="PFA60" s="76"/>
      <c r="PFB60" s="76"/>
      <c r="PFC60" s="76"/>
      <c r="PFD60" s="76"/>
      <c r="PFE60" s="76"/>
      <c r="PFF60" s="76"/>
      <c r="PFG60" s="76"/>
      <c r="PFH60" s="76"/>
      <c r="PFI60" s="76"/>
      <c r="PFJ60" s="76"/>
      <c r="PFK60" s="76"/>
      <c r="PFL60" s="76"/>
      <c r="PFM60" s="76"/>
      <c r="PFN60" s="76"/>
      <c r="PFO60" s="76"/>
      <c r="PFP60" s="76"/>
      <c r="PFQ60" s="76"/>
      <c r="PFR60" s="76"/>
      <c r="PFS60" s="76"/>
      <c r="PFT60" s="76"/>
      <c r="PFU60" s="76"/>
      <c r="PFV60" s="76"/>
      <c r="PFW60" s="76"/>
      <c r="PFX60" s="76"/>
      <c r="PFY60" s="76"/>
      <c r="PFZ60" s="76"/>
      <c r="PGA60" s="76"/>
      <c r="PGB60" s="76"/>
      <c r="PGC60" s="76"/>
      <c r="PGD60" s="76"/>
      <c r="PGE60" s="76"/>
      <c r="PGF60" s="76"/>
      <c r="PGG60" s="76"/>
      <c r="PGH60" s="76"/>
      <c r="PGI60" s="76"/>
      <c r="PGJ60" s="76"/>
      <c r="PGK60" s="76"/>
      <c r="PGL60" s="76"/>
      <c r="PGM60" s="76"/>
      <c r="PGN60" s="76"/>
      <c r="PGO60" s="76"/>
      <c r="PGP60" s="76"/>
      <c r="PGQ60" s="76"/>
      <c r="PGR60" s="76"/>
      <c r="PGS60" s="76"/>
      <c r="PGT60" s="76"/>
      <c r="PGU60" s="76"/>
      <c r="PGV60" s="76"/>
      <c r="PGW60" s="76"/>
      <c r="PGX60" s="76"/>
      <c r="PGY60" s="76"/>
      <c r="PGZ60" s="76"/>
      <c r="PHA60" s="76"/>
      <c r="PHB60" s="76"/>
      <c r="PHC60" s="76"/>
      <c r="PHD60" s="76"/>
      <c r="PHE60" s="76"/>
      <c r="PHF60" s="76"/>
      <c r="PHG60" s="76"/>
      <c r="PHH60" s="76"/>
      <c r="PHI60" s="76"/>
      <c r="PHJ60" s="76"/>
      <c r="PHK60" s="76"/>
      <c r="PHL60" s="76"/>
      <c r="PHM60" s="76"/>
      <c r="PHN60" s="76"/>
      <c r="PHO60" s="76"/>
      <c r="PHP60" s="76"/>
      <c r="PHQ60" s="76"/>
      <c r="PHR60" s="76"/>
      <c r="PHS60" s="76"/>
      <c r="PHT60" s="76"/>
      <c r="PHU60" s="76"/>
      <c r="PHV60" s="76"/>
      <c r="PHW60" s="76"/>
      <c r="PHX60" s="76"/>
      <c r="PHY60" s="76"/>
      <c r="PHZ60" s="76"/>
      <c r="PIA60" s="76"/>
      <c r="PIB60" s="76"/>
      <c r="PIC60" s="76"/>
      <c r="PID60" s="76"/>
      <c r="PIE60" s="76"/>
      <c r="PIF60" s="76"/>
      <c r="PIG60" s="76"/>
      <c r="PIH60" s="76"/>
      <c r="PII60" s="76"/>
      <c r="PIJ60" s="76"/>
      <c r="PIK60" s="76"/>
      <c r="PIL60" s="76"/>
      <c r="PIM60" s="76"/>
      <c r="PIN60" s="76"/>
      <c r="PIO60" s="76"/>
      <c r="PIP60" s="76"/>
      <c r="PIQ60" s="76"/>
      <c r="PIR60" s="76"/>
      <c r="PIS60" s="76"/>
      <c r="PIT60" s="76"/>
      <c r="PIU60" s="76"/>
      <c r="PIV60" s="76"/>
      <c r="PIW60" s="76"/>
      <c r="PIX60" s="76"/>
      <c r="PIY60" s="76"/>
      <c r="PIZ60" s="76"/>
      <c r="PJA60" s="76"/>
      <c r="PJB60" s="76"/>
      <c r="PJC60" s="76"/>
      <c r="PJD60" s="76"/>
      <c r="PJE60" s="76"/>
      <c r="PJF60" s="76"/>
      <c r="PJG60" s="76"/>
      <c r="PJH60" s="76"/>
      <c r="PJI60" s="76"/>
      <c r="PJJ60" s="76"/>
      <c r="PJK60" s="76"/>
      <c r="PJL60" s="76"/>
      <c r="PJM60" s="76"/>
      <c r="PJN60" s="76"/>
      <c r="PJO60" s="76"/>
      <c r="PJP60" s="76"/>
      <c r="PJQ60" s="76"/>
      <c r="PJR60" s="76"/>
      <c r="PJS60" s="76"/>
      <c r="PJT60" s="76"/>
      <c r="PJU60" s="76"/>
      <c r="PJV60" s="76"/>
      <c r="PJW60" s="76"/>
      <c r="PJX60" s="76"/>
      <c r="PJY60" s="76"/>
      <c r="PJZ60" s="76"/>
      <c r="PKA60" s="76"/>
      <c r="PKB60" s="76"/>
      <c r="PKC60" s="76"/>
      <c r="PKD60" s="76"/>
      <c r="PKE60" s="76"/>
      <c r="PKF60" s="76"/>
      <c r="PKG60" s="76"/>
      <c r="PKH60" s="76"/>
      <c r="PKI60" s="76"/>
      <c r="PKJ60" s="76"/>
      <c r="PKK60" s="76"/>
      <c r="PKL60" s="76"/>
      <c r="PKM60" s="76"/>
      <c r="PKN60" s="76"/>
      <c r="PKO60" s="76"/>
      <c r="PKP60" s="76"/>
      <c r="PKQ60" s="76"/>
      <c r="PKR60" s="76"/>
      <c r="PKS60" s="76"/>
      <c r="PKT60" s="76"/>
      <c r="PKU60" s="76"/>
      <c r="PKV60" s="76"/>
      <c r="PKW60" s="76"/>
      <c r="PKX60" s="76"/>
      <c r="PKY60" s="76"/>
      <c r="PKZ60" s="76"/>
      <c r="PLA60" s="76"/>
      <c r="PLB60" s="76"/>
      <c r="PLC60" s="76"/>
      <c r="PLD60" s="76"/>
      <c r="PLE60" s="76"/>
      <c r="PLF60" s="76"/>
      <c r="PLG60" s="76"/>
      <c r="PLH60" s="76"/>
      <c r="PLI60" s="76"/>
      <c r="PLJ60" s="76"/>
      <c r="PLK60" s="76"/>
      <c r="PLL60" s="76"/>
      <c r="PLM60" s="76"/>
      <c r="PLN60" s="76"/>
      <c r="PLO60" s="76"/>
      <c r="PLP60" s="76"/>
      <c r="PLQ60" s="76"/>
      <c r="PLR60" s="76"/>
      <c r="PLS60" s="76"/>
      <c r="PLT60" s="76"/>
      <c r="PLU60" s="76"/>
      <c r="PLV60" s="76"/>
      <c r="PLW60" s="76"/>
      <c r="PLX60" s="76"/>
      <c r="PLY60" s="76"/>
      <c r="PLZ60" s="76"/>
      <c r="PMA60" s="76"/>
      <c r="PMB60" s="76"/>
      <c r="PMC60" s="76"/>
      <c r="PMD60" s="76"/>
      <c r="PME60" s="76"/>
      <c r="PMF60" s="76"/>
      <c r="PMG60" s="76"/>
      <c r="PMH60" s="76"/>
      <c r="PMI60" s="76"/>
      <c r="PMJ60" s="76"/>
      <c r="PMK60" s="76"/>
      <c r="PML60" s="76"/>
      <c r="PMM60" s="76"/>
      <c r="PMN60" s="76"/>
      <c r="PMO60" s="76"/>
      <c r="PMP60" s="76"/>
      <c r="PMQ60" s="76"/>
      <c r="PMR60" s="76"/>
      <c r="PMS60" s="76"/>
      <c r="PMT60" s="76"/>
      <c r="PMU60" s="76"/>
      <c r="PMV60" s="76"/>
      <c r="PMW60" s="76"/>
      <c r="PMX60" s="76"/>
      <c r="PMY60" s="76"/>
      <c r="PMZ60" s="76"/>
      <c r="PNA60" s="76"/>
      <c r="PNB60" s="76"/>
      <c r="PNC60" s="76"/>
      <c r="PND60" s="76"/>
      <c r="PNE60" s="76"/>
      <c r="PNF60" s="76"/>
      <c r="PNG60" s="76"/>
      <c r="PNH60" s="76"/>
      <c r="PNI60" s="76"/>
      <c r="PNJ60" s="76"/>
      <c r="PNK60" s="76"/>
      <c r="PNL60" s="76"/>
      <c r="PNM60" s="76"/>
      <c r="PNN60" s="76"/>
      <c r="PNO60" s="76"/>
      <c r="PNP60" s="76"/>
      <c r="PNQ60" s="76"/>
      <c r="PNR60" s="76"/>
      <c r="PNS60" s="76"/>
      <c r="PNT60" s="76"/>
      <c r="PNU60" s="76"/>
      <c r="PNV60" s="76"/>
      <c r="PNW60" s="76"/>
      <c r="PNX60" s="76"/>
      <c r="PNY60" s="76"/>
      <c r="PNZ60" s="76"/>
      <c r="POA60" s="76"/>
      <c r="POB60" s="76"/>
      <c r="POC60" s="76"/>
      <c r="POD60" s="76"/>
      <c r="POE60" s="76"/>
      <c r="POF60" s="76"/>
      <c r="POG60" s="76"/>
      <c r="POH60" s="76"/>
      <c r="POI60" s="76"/>
      <c r="POJ60" s="76"/>
      <c r="POK60" s="76"/>
      <c r="POL60" s="76"/>
      <c r="POM60" s="76"/>
      <c r="PON60" s="76"/>
      <c r="POO60" s="76"/>
      <c r="POP60" s="76"/>
      <c r="POQ60" s="76"/>
      <c r="POR60" s="76"/>
      <c r="POS60" s="76"/>
      <c r="POT60" s="76"/>
      <c r="POU60" s="76"/>
      <c r="POV60" s="76"/>
      <c r="POW60" s="76"/>
      <c r="POX60" s="76"/>
      <c r="POY60" s="76"/>
      <c r="POZ60" s="76"/>
      <c r="PPA60" s="76"/>
      <c r="PPB60" s="76"/>
      <c r="PPC60" s="76"/>
      <c r="PPD60" s="76"/>
      <c r="PPE60" s="76"/>
      <c r="PPF60" s="76"/>
      <c r="PPG60" s="76"/>
      <c r="PPH60" s="76"/>
      <c r="PPI60" s="76"/>
      <c r="PPJ60" s="76"/>
      <c r="PPK60" s="76"/>
      <c r="PPL60" s="76"/>
      <c r="PPM60" s="76"/>
      <c r="PPN60" s="76"/>
      <c r="PPO60" s="76"/>
      <c r="PPP60" s="76"/>
      <c r="PPQ60" s="76"/>
      <c r="PPR60" s="76"/>
      <c r="PPS60" s="76"/>
      <c r="PPT60" s="76"/>
      <c r="PPU60" s="76"/>
      <c r="PPV60" s="76"/>
      <c r="PPW60" s="76"/>
      <c r="PPX60" s="76"/>
      <c r="PPY60" s="76"/>
      <c r="PPZ60" s="76"/>
      <c r="PQA60" s="76"/>
      <c r="PQB60" s="76"/>
      <c r="PQC60" s="76"/>
      <c r="PQD60" s="76"/>
      <c r="PQE60" s="76"/>
      <c r="PQF60" s="76"/>
      <c r="PQG60" s="76"/>
      <c r="PQH60" s="76"/>
      <c r="PQI60" s="76"/>
      <c r="PQJ60" s="76"/>
      <c r="PQK60" s="76"/>
      <c r="PQL60" s="76"/>
      <c r="PQM60" s="76"/>
      <c r="PQN60" s="76"/>
      <c r="PQO60" s="76"/>
      <c r="PQP60" s="76"/>
      <c r="PQQ60" s="76"/>
      <c r="PQR60" s="76"/>
      <c r="PQS60" s="76"/>
      <c r="PQT60" s="76"/>
      <c r="PQU60" s="76"/>
      <c r="PQV60" s="76"/>
      <c r="PQW60" s="76"/>
      <c r="PQX60" s="76"/>
      <c r="PQY60" s="76"/>
      <c r="PQZ60" s="76"/>
      <c r="PRA60" s="76"/>
      <c r="PRB60" s="76"/>
      <c r="PRC60" s="76"/>
      <c r="PRD60" s="76"/>
      <c r="PRE60" s="76"/>
      <c r="PRF60" s="76"/>
      <c r="PRG60" s="76"/>
      <c r="PRH60" s="76"/>
      <c r="PRI60" s="76"/>
      <c r="PRJ60" s="76"/>
      <c r="PRK60" s="76"/>
      <c r="PRL60" s="76"/>
      <c r="PRM60" s="76"/>
      <c r="PRN60" s="76"/>
      <c r="PRO60" s="76"/>
      <c r="PRP60" s="76"/>
      <c r="PRQ60" s="76"/>
      <c r="PRR60" s="76"/>
      <c r="PRS60" s="76"/>
      <c r="PRT60" s="76"/>
      <c r="PRU60" s="76"/>
      <c r="PRV60" s="76"/>
      <c r="PRW60" s="76"/>
      <c r="PRX60" s="76"/>
      <c r="PRY60" s="76"/>
      <c r="PRZ60" s="76"/>
      <c r="PSA60" s="76"/>
      <c r="PSB60" s="76"/>
      <c r="PSC60" s="76"/>
      <c r="PSD60" s="76"/>
      <c r="PSE60" s="76"/>
      <c r="PSF60" s="76"/>
      <c r="PSG60" s="76"/>
      <c r="PSH60" s="76"/>
      <c r="PSI60" s="76"/>
      <c r="PSJ60" s="76"/>
      <c r="PSK60" s="76"/>
      <c r="PSL60" s="76"/>
      <c r="PSM60" s="76"/>
      <c r="PSN60" s="76"/>
      <c r="PSO60" s="76"/>
      <c r="PSP60" s="76"/>
      <c r="PSQ60" s="76"/>
      <c r="PSR60" s="76"/>
      <c r="PSS60" s="76"/>
      <c r="PST60" s="76"/>
      <c r="PSU60" s="76"/>
      <c r="PSV60" s="76"/>
      <c r="PSW60" s="76"/>
      <c r="PSX60" s="76"/>
      <c r="PSY60" s="76"/>
      <c r="PSZ60" s="76"/>
      <c r="PTA60" s="76"/>
      <c r="PTB60" s="76"/>
      <c r="PTC60" s="76"/>
      <c r="PTD60" s="76"/>
      <c r="PTE60" s="76"/>
      <c r="PTF60" s="76"/>
      <c r="PTG60" s="76"/>
      <c r="PTH60" s="76"/>
      <c r="PTI60" s="76"/>
      <c r="PTJ60" s="76"/>
      <c r="PTK60" s="76"/>
      <c r="PTL60" s="76"/>
      <c r="PTM60" s="76"/>
      <c r="PTN60" s="76"/>
      <c r="PTO60" s="76"/>
      <c r="PTP60" s="76"/>
      <c r="PTQ60" s="76"/>
      <c r="PTR60" s="76"/>
      <c r="PTS60" s="76"/>
      <c r="PTT60" s="76"/>
      <c r="PTU60" s="76"/>
      <c r="PTV60" s="76"/>
      <c r="PTW60" s="76"/>
      <c r="PTX60" s="76"/>
      <c r="PTY60" s="76"/>
      <c r="PTZ60" s="76"/>
      <c r="PUA60" s="76"/>
      <c r="PUB60" s="76"/>
      <c r="PUC60" s="76"/>
      <c r="PUD60" s="76"/>
      <c r="PUE60" s="76"/>
      <c r="PUF60" s="76"/>
      <c r="PUG60" s="76"/>
      <c r="PUH60" s="76"/>
      <c r="PUI60" s="76"/>
      <c r="PUJ60" s="76"/>
      <c r="PUK60" s="76"/>
      <c r="PUL60" s="76"/>
      <c r="PUM60" s="76"/>
      <c r="PUN60" s="76"/>
      <c r="PUO60" s="76"/>
      <c r="PUP60" s="76"/>
      <c r="PUQ60" s="76"/>
      <c r="PUR60" s="76"/>
      <c r="PUS60" s="76"/>
      <c r="PUT60" s="76"/>
      <c r="PUU60" s="76"/>
      <c r="PUV60" s="76"/>
      <c r="PUW60" s="76"/>
      <c r="PUX60" s="76"/>
      <c r="PUY60" s="76"/>
      <c r="PUZ60" s="76"/>
      <c r="PVA60" s="76"/>
      <c r="PVB60" s="76"/>
      <c r="PVC60" s="76"/>
      <c r="PVD60" s="76"/>
      <c r="PVE60" s="76"/>
      <c r="PVF60" s="76"/>
      <c r="PVG60" s="76"/>
      <c r="PVH60" s="76"/>
      <c r="PVI60" s="76"/>
      <c r="PVJ60" s="76"/>
      <c r="PVK60" s="76"/>
      <c r="PVL60" s="76"/>
      <c r="PVM60" s="76"/>
      <c r="PVN60" s="76"/>
      <c r="PVO60" s="76"/>
      <c r="PVP60" s="76"/>
      <c r="PVQ60" s="76"/>
      <c r="PVR60" s="76"/>
      <c r="PVS60" s="76"/>
      <c r="PVT60" s="76"/>
      <c r="PVU60" s="76"/>
      <c r="PVV60" s="76"/>
      <c r="PVW60" s="76"/>
      <c r="PVX60" s="76"/>
      <c r="PVY60" s="76"/>
      <c r="PVZ60" s="76"/>
      <c r="PWA60" s="76"/>
      <c r="PWB60" s="76"/>
      <c r="PWC60" s="76"/>
      <c r="PWD60" s="76"/>
      <c r="PWE60" s="76"/>
      <c r="PWF60" s="76"/>
      <c r="PWG60" s="76"/>
      <c r="PWH60" s="76"/>
      <c r="PWI60" s="76"/>
      <c r="PWJ60" s="76"/>
      <c r="PWK60" s="76"/>
      <c r="PWL60" s="76"/>
      <c r="PWM60" s="76"/>
      <c r="PWN60" s="76"/>
      <c r="PWO60" s="76"/>
      <c r="PWP60" s="76"/>
      <c r="PWQ60" s="76"/>
      <c r="PWR60" s="76"/>
      <c r="PWS60" s="76"/>
      <c r="PWT60" s="76"/>
      <c r="PWU60" s="76"/>
      <c r="PWV60" s="76"/>
      <c r="PWW60" s="76"/>
      <c r="PWX60" s="76"/>
      <c r="PWY60" s="76"/>
      <c r="PWZ60" s="76"/>
      <c r="PXA60" s="76"/>
      <c r="PXB60" s="76"/>
      <c r="PXC60" s="76"/>
      <c r="PXD60" s="76"/>
      <c r="PXE60" s="76"/>
      <c r="PXF60" s="76"/>
      <c r="PXG60" s="76"/>
      <c r="PXH60" s="76"/>
      <c r="PXI60" s="76"/>
      <c r="PXJ60" s="76"/>
      <c r="PXK60" s="76"/>
      <c r="PXL60" s="76"/>
      <c r="PXM60" s="76"/>
      <c r="PXN60" s="76"/>
      <c r="PXO60" s="76"/>
      <c r="PXP60" s="76"/>
      <c r="PXQ60" s="76"/>
      <c r="PXR60" s="76"/>
      <c r="PXS60" s="76"/>
      <c r="PXT60" s="76"/>
      <c r="PXU60" s="76"/>
      <c r="PXV60" s="76"/>
      <c r="PXW60" s="76"/>
      <c r="PXX60" s="76"/>
      <c r="PXY60" s="76"/>
      <c r="PXZ60" s="76"/>
      <c r="PYA60" s="76"/>
      <c r="PYB60" s="76"/>
      <c r="PYC60" s="76"/>
      <c r="PYD60" s="76"/>
      <c r="PYE60" s="76"/>
      <c r="PYF60" s="76"/>
      <c r="PYG60" s="76"/>
      <c r="PYH60" s="76"/>
      <c r="PYI60" s="76"/>
      <c r="PYJ60" s="76"/>
      <c r="PYK60" s="76"/>
      <c r="PYL60" s="76"/>
      <c r="PYM60" s="76"/>
      <c r="PYN60" s="76"/>
      <c r="PYO60" s="76"/>
      <c r="PYP60" s="76"/>
      <c r="PYQ60" s="76"/>
      <c r="PYR60" s="76"/>
      <c r="PYS60" s="76"/>
      <c r="PYT60" s="76"/>
      <c r="PYU60" s="76"/>
      <c r="PYV60" s="76"/>
      <c r="PYW60" s="76"/>
      <c r="PYX60" s="76"/>
      <c r="PYY60" s="76"/>
      <c r="PYZ60" s="76"/>
      <c r="PZA60" s="76"/>
      <c r="PZB60" s="76"/>
      <c r="PZC60" s="76"/>
      <c r="PZD60" s="76"/>
      <c r="PZE60" s="76"/>
      <c r="PZF60" s="76"/>
      <c r="PZG60" s="76"/>
      <c r="PZH60" s="76"/>
      <c r="PZI60" s="76"/>
      <c r="PZJ60" s="76"/>
      <c r="PZK60" s="76"/>
      <c r="PZL60" s="76"/>
      <c r="PZM60" s="76"/>
      <c r="PZN60" s="76"/>
      <c r="PZO60" s="76"/>
      <c r="PZP60" s="76"/>
      <c r="PZQ60" s="76"/>
      <c r="PZR60" s="76"/>
      <c r="PZS60" s="76"/>
      <c r="PZT60" s="76"/>
      <c r="PZU60" s="76"/>
      <c r="PZV60" s="76"/>
      <c r="PZW60" s="76"/>
      <c r="PZX60" s="76"/>
      <c r="PZY60" s="76"/>
      <c r="PZZ60" s="76"/>
      <c r="QAA60" s="76"/>
      <c r="QAB60" s="76"/>
      <c r="QAC60" s="76"/>
      <c r="QAD60" s="76"/>
      <c r="QAE60" s="76"/>
      <c r="QAF60" s="76"/>
      <c r="QAG60" s="76"/>
      <c r="QAH60" s="76"/>
      <c r="QAI60" s="76"/>
      <c r="QAJ60" s="76"/>
      <c r="QAK60" s="76"/>
      <c r="QAL60" s="76"/>
      <c r="QAM60" s="76"/>
      <c r="QAN60" s="76"/>
      <c r="QAO60" s="76"/>
      <c r="QAP60" s="76"/>
      <c r="QAQ60" s="76"/>
      <c r="QAR60" s="76"/>
      <c r="QAS60" s="76"/>
      <c r="QAT60" s="76"/>
      <c r="QAU60" s="76"/>
      <c r="QAV60" s="76"/>
      <c r="QAW60" s="76"/>
      <c r="QAX60" s="76"/>
      <c r="QAY60" s="76"/>
      <c r="QAZ60" s="76"/>
      <c r="QBA60" s="76"/>
      <c r="QBB60" s="76"/>
      <c r="QBC60" s="76"/>
      <c r="QBD60" s="76"/>
      <c r="QBE60" s="76"/>
      <c r="QBF60" s="76"/>
      <c r="QBG60" s="76"/>
      <c r="QBH60" s="76"/>
      <c r="QBI60" s="76"/>
      <c r="QBJ60" s="76"/>
      <c r="QBK60" s="76"/>
      <c r="QBL60" s="76"/>
      <c r="QBM60" s="76"/>
      <c r="QBN60" s="76"/>
      <c r="QBO60" s="76"/>
      <c r="QBP60" s="76"/>
      <c r="QBQ60" s="76"/>
      <c r="QBR60" s="76"/>
      <c r="QBS60" s="76"/>
      <c r="QBT60" s="76"/>
      <c r="QBU60" s="76"/>
      <c r="QBV60" s="76"/>
      <c r="QBW60" s="76"/>
      <c r="QBX60" s="76"/>
      <c r="QBY60" s="76"/>
      <c r="QBZ60" s="76"/>
      <c r="QCA60" s="76"/>
      <c r="QCB60" s="76"/>
      <c r="QCC60" s="76"/>
      <c r="QCD60" s="76"/>
      <c r="QCE60" s="76"/>
      <c r="QCF60" s="76"/>
      <c r="QCG60" s="76"/>
      <c r="QCH60" s="76"/>
      <c r="QCI60" s="76"/>
      <c r="QCJ60" s="76"/>
      <c r="QCK60" s="76"/>
      <c r="QCL60" s="76"/>
      <c r="QCM60" s="76"/>
      <c r="QCN60" s="76"/>
      <c r="QCO60" s="76"/>
      <c r="QCP60" s="76"/>
      <c r="QCQ60" s="76"/>
      <c r="QCR60" s="76"/>
      <c r="QCS60" s="76"/>
      <c r="QCT60" s="76"/>
      <c r="QCU60" s="76"/>
      <c r="QCV60" s="76"/>
      <c r="QCW60" s="76"/>
      <c r="QCX60" s="76"/>
      <c r="QCY60" s="76"/>
      <c r="QCZ60" s="76"/>
      <c r="QDA60" s="76"/>
      <c r="QDB60" s="76"/>
      <c r="QDC60" s="76"/>
      <c r="QDD60" s="76"/>
      <c r="QDE60" s="76"/>
      <c r="QDF60" s="76"/>
      <c r="QDG60" s="76"/>
      <c r="QDH60" s="76"/>
      <c r="QDI60" s="76"/>
      <c r="QDJ60" s="76"/>
      <c r="QDK60" s="76"/>
      <c r="QDL60" s="76"/>
      <c r="QDM60" s="76"/>
      <c r="QDN60" s="76"/>
      <c r="QDO60" s="76"/>
      <c r="QDP60" s="76"/>
      <c r="QDQ60" s="76"/>
      <c r="QDR60" s="76"/>
      <c r="QDS60" s="76"/>
      <c r="QDT60" s="76"/>
      <c r="QDU60" s="76"/>
      <c r="QDV60" s="76"/>
      <c r="QDW60" s="76"/>
      <c r="QDX60" s="76"/>
      <c r="QDY60" s="76"/>
      <c r="QDZ60" s="76"/>
      <c r="QEA60" s="76"/>
      <c r="QEB60" s="76"/>
      <c r="QEC60" s="76"/>
      <c r="QED60" s="76"/>
      <c r="QEE60" s="76"/>
      <c r="QEF60" s="76"/>
      <c r="QEG60" s="76"/>
      <c r="QEH60" s="76"/>
      <c r="QEI60" s="76"/>
      <c r="QEJ60" s="76"/>
      <c r="QEK60" s="76"/>
      <c r="QEL60" s="76"/>
      <c r="QEM60" s="76"/>
      <c r="QEN60" s="76"/>
      <c r="QEO60" s="76"/>
      <c r="QEP60" s="76"/>
      <c r="QEQ60" s="76"/>
      <c r="QER60" s="76"/>
      <c r="QES60" s="76"/>
      <c r="QET60" s="76"/>
      <c r="QEU60" s="76"/>
      <c r="QEV60" s="76"/>
      <c r="QEW60" s="76"/>
      <c r="QEX60" s="76"/>
      <c r="QEY60" s="76"/>
      <c r="QEZ60" s="76"/>
      <c r="QFA60" s="76"/>
      <c r="QFB60" s="76"/>
      <c r="QFC60" s="76"/>
      <c r="QFD60" s="76"/>
      <c r="QFE60" s="76"/>
      <c r="QFF60" s="76"/>
      <c r="QFG60" s="76"/>
      <c r="QFH60" s="76"/>
      <c r="QFI60" s="76"/>
      <c r="QFJ60" s="76"/>
      <c r="QFK60" s="76"/>
      <c r="QFL60" s="76"/>
      <c r="QFM60" s="76"/>
      <c r="QFN60" s="76"/>
      <c r="QFO60" s="76"/>
      <c r="QFP60" s="76"/>
      <c r="QFQ60" s="76"/>
      <c r="QFR60" s="76"/>
      <c r="QFS60" s="76"/>
      <c r="QFT60" s="76"/>
      <c r="QFU60" s="76"/>
      <c r="QFV60" s="76"/>
      <c r="QFW60" s="76"/>
      <c r="QFX60" s="76"/>
      <c r="QFY60" s="76"/>
      <c r="QFZ60" s="76"/>
      <c r="QGA60" s="76"/>
      <c r="QGB60" s="76"/>
      <c r="QGC60" s="76"/>
      <c r="QGD60" s="76"/>
      <c r="QGE60" s="76"/>
      <c r="QGF60" s="76"/>
      <c r="QGG60" s="76"/>
      <c r="QGH60" s="76"/>
      <c r="QGI60" s="76"/>
      <c r="QGJ60" s="76"/>
      <c r="QGK60" s="76"/>
      <c r="QGL60" s="76"/>
      <c r="QGM60" s="76"/>
      <c r="QGN60" s="76"/>
      <c r="QGO60" s="76"/>
      <c r="QGP60" s="76"/>
      <c r="QGQ60" s="76"/>
      <c r="QGR60" s="76"/>
      <c r="QGS60" s="76"/>
      <c r="QGT60" s="76"/>
      <c r="QGU60" s="76"/>
      <c r="QGV60" s="76"/>
      <c r="QGW60" s="76"/>
      <c r="QGX60" s="76"/>
      <c r="QGY60" s="76"/>
      <c r="QGZ60" s="76"/>
      <c r="QHA60" s="76"/>
      <c r="QHB60" s="76"/>
      <c r="QHC60" s="76"/>
      <c r="QHD60" s="76"/>
      <c r="QHE60" s="76"/>
      <c r="QHF60" s="76"/>
      <c r="QHG60" s="76"/>
      <c r="QHH60" s="76"/>
      <c r="QHI60" s="76"/>
      <c r="QHJ60" s="76"/>
      <c r="QHK60" s="76"/>
      <c r="QHL60" s="76"/>
      <c r="QHM60" s="76"/>
      <c r="QHN60" s="76"/>
      <c r="QHO60" s="76"/>
      <c r="QHP60" s="76"/>
      <c r="QHQ60" s="76"/>
      <c r="QHR60" s="76"/>
      <c r="QHS60" s="76"/>
      <c r="QHT60" s="76"/>
      <c r="QHU60" s="76"/>
      <c r="QHV60" s="76"/>
      <c r="QHW60" s="76"/>
      <c r="QHX60" s="76"/>
      <c r="QHY60" s="76"/>
      <c r="QHZ60" s="76"/>
      <c r="QIA60" s="76"/>
      <c r="QIB60" s="76"/>
      <c r="QIC60" s="76"/>
      <c r="QID60" s="76"/>
      <c r="QIE60" s="76"/>
      <c r="QIF60" s="76"/>
      <c r="QIG60" s="76"/>
      <c r="QIH60" s="76"/>
      <c r="QII60" s="76"/>
      <c r="QIJ60" s="76"/>
      <c r="QIK60" s="76"/>
      <c r="QIL60" s="76"/>
      <c r="QIM60" s="76"/>
      <c r="QIN60" s="76"/>
      <c r="QIO60" s="76"/>
      <c r="QIP60" s="76"/>
      <c r="QIQ60" s="76"/>
      <c r="QIR60" s="76"/>
      <c r="QIS60" s="76"/>
      <c r="QIT60" s="76"/>
      <c r="QIU60" s="76"/>
      <c r="QIV60" s="76"/>
      <c r="QIW60" s="76"/>
      <c r="QIX60" s="76"/>
      <c r="QIY60" s="76"/>
      <c r="QIZ60" s="76"/>
      <c r="QJA60" s="76"/>
      <c r="QJB60" s="76"/>
      <c r="QJC60" s="76"/>
      <c r="QJD60" s="76"/>
      <c r="QJE60" s="76"/>
      <c r="QJF60" s="76"/>
      <c r="QJG60" s="76"/>
      <c r="QJH60" s="76"/>
      <c r="QJI60" s="76"/>
      <c r="QJJ60" s="76"/>
      <c r="QJK60" s="76"/>
      <c r="QJL60" s="76"/>
      <c r="QJM60" s="76"/>
      <c r="QJN60" s="76"/>
      <c r="QJO60" s="76"/>
      <c r="QJP60" s="76"/>
      <c r="QJQ60" s="76"/>
      <c r="QJR60" s="76"/>
      <c r="QJS60" s="76"/>
      <c r="QJT60" s="76"/>
      <c r="QJU60" s="76"/>
      <c r="QJV60" s="76"/>
      <c r="QJW60" s="76"/>
      <c r="QJX60" s="76"/>
      <c r="QJY60" s="76"/>
      <c r="QJZ60" s="76"/>
      <c r="QKA60" s="76"/>
      <c r="QKB60" s="76"/>
      <c r="QKC60" s="76"/>
      <c r="QKD60" s="76"/>
      <c r="QKE60" s="76"/>
      <c r="QKF60" s="76"/>
      <c r="QKG60" s="76"/>
      <c r="QKH60" s="76"/>
      <c r="QKI60" s="76"/>
      <c r="QKJ60" s="76"/>
      <c r="QKK60" s="76"/>
      <c r="QKL60" s="76"/>
      <c r="QKM60" s="76"/>
      <c r="QKN60" s="76"/>
      <c r="QKO60" s="76"/>
      <c r="QKP60" s="76"/>
      <c r="QKQ60" s="76"/>
      <c r="QKR60" s="76"/>
      <c r="QKS60" s="76"/>
      <c r="QKT60" s="76"/>
      <c r="QKU60" s="76"/>
      <c r="QKV60" s="76"/>
      <c r="QKW60" s="76"/>
      <c r="QKX60" s="76"/>
      <c r="QKY60" s="76"/>
      <c r="QKZ60" s="76"/>
      <c r="QLA60" s="76"/>
      <c r="QLB60" s="76"/>
      <c r="QLC60" s="76"/>
      <c r="QLD60" s="76"/>
      <c r="QLE60" s="76"/>
      <c r="QLF60" s="76"/>
      <c r="QLG60" s="76"/>
      <c r="QLH60" s="76"/>
      <c r="QLI60" s="76"/>
      <c r="QLJ60" s="76"/>
      <c r="QLK60" s="76"/>
      <c r="QLL60" s="76"/>
      <c r="QLM60" s="76"/>
      <c r="QLN60" s="76"/>
      <c r="QLO60" s="76"/>
      <c r="QLP60" s="76"/>
      <c r="QLQ60" s="76"/>
      <c r="QLR60" s="76"/>
      <c r="QLS60" s="76"/>
      <c r="QLT60" s="76"/>
      <c r="QLU60" s="76"/>
      <c r="QLV60" s="76"/>
      <c r="QLW60" s="76"/>
      <c r="QLX60" s="76"/>
      <c r="QLY60" s="76"/>
      <c r="QLZ60" s="76"/>
      <c r="QMA60" s="76"/>
      <c r="QMB60" s="76"/>
      <c r="QMC60" s="76"/>
      <c r="QMD60" s="76"/>
      <c r="QME60" s="76"/>
      <c r="QMF60" s="76"/>
      <c r="QMG60" s="76"/>
      <c r="QMH60" s="76"/>
      <c r="QMI60" s="76"/>
      <c r="QMJ60" s="76"/>
      <c r="QMK60" s="76"/>
      <c r="QML60" s="76"/>
      <c r="QMM60" s="76"/>
      <c r="QMN60" s="76"/>
      <c r="QMO60" s="76"/>
      <c r="QMP60" s="76"/>
      <c r="QMQ60" s="76"/>
      <c r="QMR60" s="76"/>
      <c r="QMS60" s="76"/>
      <c r="QMT60" s="76"/>
      <c r="QMU60" s="76"/>
      <c r="QMV60" s="76"/>
      <c r="QMW60" s="76"/>
      <c r="QMX60" s="76"/>
      <c r="QMY60" s="76"/>
      <c r="QMZ60" s="76"/>
      <c r="QNA60" s="76"/>
      <c r="QNB60" s="76"/>
      <c r="QNC60" s="76"/>
      <c r="QND60" s="76"/>
      <c r="QNE60" s="76"/>
      <c r="QNF60" s="76"/>
      <c r="QNG60" s="76"/>
      <c r="QNH60" s="76"/>
      <c r="QNI60" s="76"/>
      <c r="QNJ60" s="76"/>
      <c r="QNK60" s="76"/>
      <c r="QNL60" s="76"/>
      <c r="QNM60" s="76"/>
      <c r="QNN60" s="76"/>
      <c r="QNO60" s="76"/>
      <c r="QNP60" s="76"/>
      <c r="QNQ60" s="76"/>
      <c r="QNR60" s="76"/>
      <c r="QNS60" s="76"/>
      <c r="QNT60" s="76"/>
      <c r="QNU60" s="76"/>
      <c r="QNV60" s="76"/>
      <c r="QNW60" s="76"/>
      <c r="QNX60" s="76"/>
      <c r="QNY60" s="76"/>
      <c r="QNZ60" s="76"/>
      <c r="QOA60" s="76"/>
      <c r="QOB60" s="76"/>
      <c r="QOC60" s="76"/>
      <c r="QOD60" s="76"/>
      <c r="QOE60" s="76"/>
      <c r="QOF60" s="76"/>
      <c r="QOG60" s="76"/>
      <c r="QOH60" s="76"/>
      <c r="QOI60" s="76"/>
      <c r="QOJ60" s="76"/>
      <c r="QOK60" s="76"/>
      <c r="QOL60" s="76"/>
      <c r="QOM60" s="76"/>
      <c r="QON60" s="76"/>
      <c r="QOO60" s="76"/>
      <c r="QOP60" s="76"/>
      <c r="QOQ60" s="76"/>
      <c r="QOR60" s="76"/>
      <c r="QOS60" s="76"/>
      <c r="QOT60" s="76"/>
      <c r="QOU60" s="76"/>
      <c r="QOV60" s="76"/>
      <c r="QOW60" s="76"/>
      <c r="QOX60" s="76"/>
      <c r="QOY60" s="76"/>
      <c r="QOZ60" s="76"/>
      <c r="QPA60" s="76"/>
      <c r="QPB60" s="76"/>
      <c r="QPC60" s="76"/>
      <c r="QPD60" s="76"/>
      <c r="QPE60" s="76"/>
      <c r="QPF60" s="76"/>
      <c r="QPG60" s="76"/>
      <c r="QPH60" s="76"/>
      <c r="QPI60" s="76"/>
      <c r="QPJ60" s="76"/>
      <c r="QPK60" s="76"/>
      <c r="QPL60" s="76"/>
      <c r="QPM60" s="76"/>
      <c r="QPN60" s="76"/>
      <c r="QPO60" s="76"/>
      <c r="QPP60" s="76"/>
      <c r="QPQ60" s="76"/>
      <c r="QPR60" s="76"/>
      <c r="QPS60" s="76"/>
      <c r="QPT60" s="76"/>
      <c r="QPU60" s="76"/>
      <c r="QPV60" s="76"/>
      <c r="QPW60" s="76"/>
      <c r="QPX60" s="76"/>
      <c r="QPY60" s="76"/>
      <c r="QPZ60" s="76"/>
      <c r="QQA60" s="76"/>
      <c r="QQB60" s="76"/>
      <c r="QQC60" s="76"/>
      <c r="QQD60" s="76"/>
      <c r="QQE60" s="76"/>
      <c r="QQF60" s="76"/>
      <c r="QQG60" s="76"/>
      <c r="QQH60" s="76"/>
      <c r="QQI60" s="76"/>
      <c r="QQJ60" s="76"/>
      <c r="QQK60" s="76"/>
      <c r="QQL60" s="76"/>
      <c r="QQM60" s="76"/>
      <c r="QQN60" s="76"/>
      <c r="QQO60" s="76"/>
      <c r="QQP60" s="76"/>
      <c r="QQQ60" s="76"/>
      <c r="QQR60" s="76"/>
      <c r="QQS60" s="76"/>
      <c r="QQT60" s="76"/>
      <c r="QQU60" s="76"/>
      <c r="QQV60" s="76"/>
      <c r="QQW60" s="76"/>
      <c r="QQX60" s="76"/>
      <c r="QQY60" s="76"/>
      <c r="QQZ60" s="76"/>
      <c r="QRA60" s="76"/>
      <c r="QRB60" s="76"/>
      <c r="QRC60" s="76"/>
      <c r="QRD60" s="76"/>
      <c r="QRE60" s="76"/>
      <c r="QRF60" s="76"/>
      <c r="QRG60" s="76"/>
      <c r="QRH60" s="76"/>
      <c r="QRI60" s="76"/>
      <c r="QRJ60" s="76"/>
      <c r="QRK60" s="76"/>
      <c r="QRL60" s="76"/>
      <c r="QRM60" s="76"/>
      <c r="QRN60" s="76"/>
      <c r="QRO60" s="76"/>
      <c r="QRP60" s="76"/>
      <c r="QRQ60" s="76"/>
      <c r="QRR60" s="76"/>
      <c r="QRS60" s="76"/>
      <c r="QRT60" s="76"/>
      <c r="QRU60" s="76"/>
      <c r="QRV60" s="76"/>
      <c r="QRW60" s="76"/>
      <c r="QRX60" s="76"/>
      <c r="QRY60" s="76"/>
      <c r="QRZ60" s="76"/>
      <c r="QSA60" s="76"/>
      <c r="QSB60" s="76"/>
      <c r="QSC60" s="76"/>
      <c r="QSD60" s="76"/>
      <c r="QSE60" s="76"/>
      <c r="QSF60" s="76"/>
      <c r="QSG60" s="76"/>
      <c r="QSH60" s="76"/>
      <c r="QSI60" s="76"/>
      <c r="QSJ60" s="76"/>
      <c r="QSK60" s="76"/>
      <c r="QSL60" s="76"/>
      <c r="QSM60" s="76"/>
      <c r="QSN60" s="76"/>
      <c r="QSO60" s="76"/>
      <c r="QSP60" s="76"/>
      <c r="QSQ60" s="76"/>
      <c r="QSR60" s="76"/>
      <c r="QSS60" s="76"/>
      <c r="QST60" s="76"/>
      <c r="QSU60" s="76"/>
      <c r="QSV60" s="76"/>
      <c r="QSW60" s="76"/>
      <c r="QSX60" s="76"/>
      <c r="QSY60" s="76"/>
      <c r="QSZ60" s="76"/>
      <c r="QTA60" s="76"/>
      <c r="QTB60" s="76"/>
      <c r="QTC60" s="76"/>
      <c r="QTD60" s="76"/>
      <c r="QTE60" s="76"/>
      <c r="QTF60" s="76"/>
      <c r="QTG60" s="76"/>
      <c r="QTH60" s="76"/>
      <c r="QTI60" s="76"/>
      <c r="QTJ60" s="76"/>
      <c r="QTK60" s="76"/>
      <c r="QTL60" s="76"/>
      <c r="QTM60" s="76"/>
      <c r="QTN60" s="76"/>
      <c r="QTO60" s="76"/>
      <c r="QTP60" s="76"/>
      <c r="QTQ60" s="76"/>
      <c r="QTR60" s="76"/>
      <c r="QTS60" s="76"/>
      <c r="QTT60" s="76"/>
      <c r="QTU60" s="76"/>
      <c r="QTV60" s="76"/>
      <c r="QTW60" s="76"/>
      <c r="QTX60" s="76"/>
      <c r="QTY60" s="76"/>
      <c r="QTZ60" s="76"/>
      <c r="QUA60" s="76"/>
      <c r="QUB60" s="76"/>
      <c r="QUC60" s="76"/>
      <c r="QUD60" s="76"/>
      <c r="QUE60" s="76"/>
      <c r="QUF60" s="76"/>
      <c r="QUG60" s="76"/>
      <c r="QUH60" s="76"/>
      <c r="QUI60" s="76"/>
      <c r="QUJ60" s="76"/>
      <c r="QUK60" s="76"/>
      <c r="QUL60" s="76"/>
      <c r="QUM60" s="76"/>
      <c r="QUN60" s="76"/>
      <c r="QUO60" s="76"/>
      <c r="QUP60" s="76"/>
      <c r="QUQ60" s="76"/>
      <c r="QUR60" s="76"/>
      <c r="QUS60" s="76"/>
      <c r="QUT60" s="76"/>
      <c r="QUU60" s="76"/>
      <c r="QUV60" s="76"/>
      <c r="QUW60" s="76"/>
      <c r="QUX60" s="76"/>
      <c r="QUY60" s="76"/>
      <c r="QUZ60" s="76"/>
      <c r="QVA60" s="76"/>
      <c r="QVB60" s="76"/>
      <c r="QVC60" s="76"/>
      <c r="QVD60" s="76"/>
      <c r="QVE60" s="76"/>
      <c r="QVF60" s="76"/>
      <c r="QVG60" s="76"/>
      <c r="QVH60" s="76"/>
      <c r="QVI60" s="76"/>
      <c r="QVJ60" s="76"/>
      <c r="QVK60" s="76"/>
      <c r="QVL60" s="76"/>
      <c r="QVM60" s="76"/>
      <c r="QVN60" s="76"/>
      <c r="QVO60" s="76"/>
      <c r="QVP60" s="76"/>
      <c r="QVQ60" s="76"/>
      <c r="QVR60" s="76"/>
      <c r="QVS60" s="76"/>
      <c r="QVT60" s="76"/>
      <c r="QVU60" s="76"/>
      <c r="QVV60" s="76"/>
      <c r="QVW60" s="76"/>
      <c r="QVX60" s="76"/>
      <c r="QVY60" s="76"/>
      <c r="QVZ60" s="76"/>
      <c r="QWA60" s="76"/>
      <c r="QWB60" s="76"/>
      <c r="QWC60" s="76"/>
      <c r="QWD60" s="76"/>
      <c r="QWE60" s="76"/>
      <c r="QWF60" s="76"/>
      <c r="QWG60" s="76"/>
      <c r="QWH60" s="76"/>
      <c r="QWI60" s="76"/>
      <c r="QWJ60" s="76"/>
      <c r="QWK60" s="76"/>
      <c r="QWL60" s="76"/>
      <c r="QWM60" s="76"/>
      <c r="QWN60" s="76"/>
      <c r="QWO60" s="76"/>
      <c r="QWP60" s="76"/>
      <c r="QWQ60" s="76"/>
      <c r="QWR60" s="76"/>
      <c r="QWS60" s="76"/>
      <c r="QWT60" s="76"/>
      <c r="QWU60" s="76"/>
      <c r="QWV60" s="76"/>
      <c r="QWW60" s="76"/>
      <c r="QWX60" s="76"/>
      <c r="QWY60" s="76"/>
      <c r="QWZ60" s="76"/>
      <c r="QXA60" s="76"/>
      <c r="QXB60" s="76"/>
      <c r="QXC60" s="76"/>
      <c r="QXD60" s="76"/>
      <c r="QXE60" s="76"/>
      <c r="QXF60" s="76"/>
      <c r="QXG60" s="76"/>
      <c r="QXH60" s="76"/>
      <c r="QXI60" s="76"/>
      <c r="QXJ60" s="76"/>
      <c r="QXK60" s="76"/>
      <c r="QXL60" s="76"/>
      <c r="QXM60" s="76"/>
      <c r="QXN60" s="76"/>
      <c r="QXO60" s="76"/>
      <c r="QXP60" s="76"/>
      <c r="QXQ60" s="76"/>
      <c r="QXR60" s="76"/>
      <c r="QXS60" s="76"/>
      <c r="QXT60" s="76"/>
      <c r="QXU60" s="76"/>
      <c r="QXV60" s="76"/>
      <c r="QXW60" s="76"/>
      <c r="QXX60" s="76"/>
      <c r="QXY60" s="76"/>
      <c r="QXZ60" s="76"/>
      <c r="QYA60" s="76"/>
      <c r="QYB60" s="76"/>
      <c r="QYC60" s="76"/>
      <c r="QYD60" s="76"/>
      <c r="QYE60" s="76"/>
      <c r="QYF60" s="76"/>
      <c r="QYG60" s="76"/>
      <c r="QYH60" s="76"/>
      <c r="QYI60" s="76"/>
      <c r="QYJ60" s="76"/>
      <c r="QYK60" s="76"/>
      <c r="QYL60" s="76"/>
      <c r="QYM60" s="76"/>
      <c r="QYN60" s="76"/>
      <c r="QYO60" s="76"/>
      <c r="QYP60" s="76"/>
      <c r="QYQ60" s="76"/>
      <c r="QYR60" s="76"/>
      <c r="QYS60" s="76"/>
      <c r="QYT60" s="76"/>
      <c r="QYU60" s="76"/>
      <c r="QYV60" s="76"/>
      <c r="QYW60" s="76"/>
      <c r="QYX60" s="76"/>
      <c r="QYY60" s="76"/>
      <c r="QYZ60" s="76"/>
      <c r="QZA60" s="76"/>
      <c r="QZB60" s="76"/>
      <c r="QZC60" s="76"/>
      <c r="QZD60" s="76"/>
      <c r="QZE60" s="76"/>
      <c r="QZF60" s="76"/>
      <c r="QZG60" s="76"/>
      <c r="QZH60" s="76"/>
      <c r="QZI60" s="76"/>
      <c r="QZJ60" s="76"/>
      <c r="QZK60" s="76"/>
      <c r="QZL60" s="76"/>
      <c r="QZM60" s="76"/>
      <c r="QZN60" s="76"/>
      <c r="QZO60" s="76"/>
      <c r="QZP60" s="76"/>
      <c r="QZQ60" s="76"/>
      <c r="QZR60" s="76"/>
      <c r="QZS60" s="76"/>
      <c r="QZT60" s="76"/>
      <c r="QZU60" s="76"/>
      <c r="QZV60" s="76"/>
      <c r="QZW60" s="76"/>
      <c r="QZX60" s="76"/>
      <c r="QZY60" s="76"/>
      <c r="QZZ60" s="76"/>
      <c r="RAA60" s="76"/>
      <c r="RAB60" s="76"/>
      <c r="RAC60" s="76"/>
      <c r="RAD60" s="76"/>
      <c r="RAE60" s="76"/>
      <c r="RAF60" s="76"/>
      <c r="RAG60" s="76"/>
      <c r="RAH60" s="76"/>
      <c r="RAI60" s="76"/>
      <c r="RAJ60" s="76"/>
      <c r="RAK60" s="76"/>
      <c r="RAL60" s="76"/>
      <c r="RAM60" s="76"/>
      <c r="RAN60" s="76"/>
      <c r="RAO60" s="76"/>
      <c r="RAP60" s="76"/>
      <c r="RAQ60" s="76"/>
      <c r="RAR60" s="76"/>
      <c r="RAS60" s="76"/>
      <c r="RAT60" s="76"/>
      <c r="RAU60" s="76"/>
      <c r="RAV60" s="76"/>
      <c r="RAW60" s="76"/>
      <c r="RAX60" s="76"/>
      <c r="RAY60" s="76"/>
      <c r="RAZ60" s="76"/>
      <c r="RBA60" s="76"/>
      <c r="RBB60" s="76"/>
      <c r="RBC60" s="76"/>
      <c r="RBD60" s="76"/>
      <c r="RBE60" s="76"/>
      <c r="RBF60" s="76"/>
      <c r="RBG60" s="76"/>
      <c r="RBH60" s="76"/>
      <c r="RBI60" s="76"/>
      <c r="RBJ60" s="76"/>
      <c r="RBK60" s="76"/>
      <c r="RBL60" s="76"/>
      <c r="RBM60" s="76"/>
      <c r="RBN60" s="76"/>
      <c r="RBO60" s="76"/>
      <c r="RBP60" s="76"/>
      <c r="RBQ60" s="76"/>
      <c r="RBR60" s="76"/>
      <c r="RBS60" s="76"/>
      <c r="RBT60" s="76"/>
      <c r="RBU60" s="76"/>
      <c r="RBV60" s="76"/>
      <c r="RBW60" s="76"/>
      <c r="RBX60" s="76"/>
      <c r="RBY60" s="76"/>
      <c r="RBZ60" s="76"/>
      <c r="RCA60" s="76"/>
      <c r="RCB60" s="76"/>
      <c r="RCC60" s="76"/>
      <c r="RCD60" s="76"/>
      <c r="RCE60" s="76"/>
      <c r="RCF60" s="76"/>
      <c r="RCG60" s="76"/>
      <c r="RCH60" s="76"/>
      <c r="RCI60" s="76"/>
      <c r="RCJ60" s="76"/>
      <c r="RCK60" s="76"/>
      <c r="RCL60" s="76"/>
      <c r="RCM60" s="76"/>
      <c r="RCN60" s="76"/>
      <c r="RCO60" s="76"/>
      <c r="RCP60" s="76"/>
      <c r="RCQ60" s="76"/>
      <c r="RCR60" s="76"/>
      <c r="RCS60" s="76"/>
      <c r="RCT60" s="76"/>
      <c r="RCU60" s="76"/>
      <c r="RCV60" s="76"/>
      <c r="RCW60" s="76"/>
      <c r="RCX60" s="76"/>
      <c r="RCY60" s="76"/>
      <c r="RCZ60" s="76"/>
      <c r="RDA60" s="76"/>
      <c r="RDB60" s="76"/>
      <c r="RDC60" s="76"/>
      <c r="RDD60" s="76"/>
      <c r="RDE60" s="76"/>
      <c r="RDF60" s="76"/>
      <c r="RDG60" s="76"/>
      <c r="RDH60" s="76"/>
      <c r="RDI60" s="76"/>
      <c r="RDJ60" s="76"/>
      <c r="RDK60" s="76"/>
      <c r="RDL60" s="76"/>
      <c r="RDM60" s="76"/>
      <c r="RDN60" s="76"/>
      <c r="RDO60" s="76"/>
      <c r="RDP60" s="76"/>
      <c r="RDQ60" s="76"/>
      <c r="RDR60" s="76"/>
      <c r="RDS60" s="76"/>
      <c r="RDT60" s="76"/>
      <c r="RDU60" s="76"/>
      <c r="RDV60" s="76"/>
      <c r="RDW60" s="76"/>
      <c r="RDX60" s="76"/>
      <c r="RDY60" s="76"/>
      <c r="RDZ60" s="76"/>
      <c r="REA60" s="76"/>
      <c r="REB60" s="76"/>
      <c r="REC60" s="76"/>
      <c r="RED60" s="76"/>
      <c r="REE60" s="76"/>
      <c r="REF60" s="76"/>
      <c r="REG60" s="76"/>
      <c r="REH60" s="76"/>
      <c r="REI60" s="76"/>
      <c r="REJ60" s="76"/>
      <c r="REK60" s="76"/>
      <c r="REL60" s="76"/>
      <c r="REM60" s="76"/>
      <c r="REN60" s="76"/>
      <c r="REO60" s="76"/>
      <c r="REP60" s="76"/>
      <c r="REQ60" s="76"/>
      <c r="RER60" s="76"/>
      <c r="RES60" s="76"/>
      <c r="RET60" s="76"/>
      <c r="REU60" s="76"/>
      <c r="REV60" s="76"/>
      <c r="REW60" s="76"/>
      <c r="REX60" s="76"/>
      <c r="REY60" s="76"/>
      <c r="REZ60" s="76"/>
      <c r="RFA60" s="76"/>
      <c r="RFB60" s="76"/>
      <c r="RFC60" s="76"/>
      <c r="RFD60" s="76"/>
      <c r="RFE60" s="76"/>
      <c r="RFF60" s="76"/>
      <c r="RFG60" s="76"/>
      <c r="RFH60" s="76"/>
      <c r="RFI60" s="76"/>
      <c r="RFJ60" s="76"/>
      <c r="RFK60" s="76"/>
      <c r="RFL60" s="76"/>
      <c r="RFM60" s="76"/>
      <c r="RFN60" s="76"/>
      <c r="RFO60" s="76"/>
      <c r="RFP60" s="76"/>
      <c r="RFQ60" s="76"/>
      <c r="RFR60" s="76"/>
      <c r="RFS60" s="76"/>
      <c r="RFT60" s="76"/>
      <c r="RFU60" s="76"/>
      <c r="RFV60" s="76"/>
      <c r="RFW60" s="76"/>
      <c r="RFX60" s="76"/>
      <c r="RFY60" s="76"/>
      <c r="RFZ60" s="76"/>
      <c r="RGA60" s="76"/>
      <c r="RGB60" s="76"/>
      <c r="RGC60" s="76"/>
      <c r="RGD60" s="76"/>
      <c r="RGE60" s="76"/>
      <c r="RGF60" s="76"/>
      <c r="RGG60" s="76"/>
      <c r="RGH60" s="76"/>
      <c r="RGI60" s="76"/>
      <c r="RGJ60" s="76"/>
      <c r="RGK60" s="76"/>
      <c r="RGL60" s="76"/>
      <c r="RGM60" s="76"/>
      <c r="RGN60" s="76"/>
      <c r="RGO60" s="76"/>
      <c r="RGP60" s="76"/>
      <c r="RGQ60" s="76"/>
      <c r="RGR60" s="76"/>
      <c r="RGS60" s="76"/>
      <c r="RGT60" s="76"/>
      <c r="RGU60" s="76"/>
      <c r="RGV60" s="76"/>
      <c r="RGW60" s="76"/>
      <c r="RGX60" s="76"/>
      <c r="RGY60" s="76"/>
      <c r="RGZ60" s="76"/>
      <c r="RHA60" s="76"/>
      <c r="RHB60" s="76"/>
      <c r="RHC60" s="76"/>
      <c r="RHD60" s="76"/>
      <c r="RHE60" s="76"/>
      <c r="RHF60" s="76"/>
      <c r="RHG60" s="76"/>
      <c r="RHH60" s="76"/>
      <c r="RHI60" s="76"/>
      <c r="RHJ60" s="76"/>
      <c r="RHK60" s="76"/>
      <c r="RHL60" s="76"/>
      <c r="RHM60" s="76"/>
      <c r="RHN60" s="76"/>
      <c r="RHO60" s="76"/>
      <c r="RHP60" s="76"/>
      <c r="RHQ60" s="76"/>
      <c r="RHR60" s="76"/>
      <c r="RHS60" s="76"/>
      <c r="RHT60" s="76"/>
      <c r="RHU60" s="76"/>
      <c r="RHV60" s="76"/>
      <c r="RHW60" s="76"/>
      <c r="RHX60" s="76"/>
      <c r="RHY60" s="76"/>
      <c r="RHZ60" s="76"/>
      <c r="RIA60" s="76"/>
      <c r="RIB60" s="76"/>
      <c r="RIC60" s="76"/>
      <c r="RID60" s="76"/>
      <c r="RIE60" s="76"/>
      <c r="RIF60" s="76"/>
      <c r="RIG60" s="76"/>
      <c r="RIH60" s="76"/>
      <c r="RII60" s="76"/>
      <c r="RIJ60" s="76"/>
      <c r="RIK60" s="76"/>
      <c r="RIL60" s="76"/>
      <c r="RIM60" s="76"/>
      <c r="RIN60" s="76"/>
      <c r="RIO60" s="76"/>
      <c r="RIP60" s="76"/>
      <c r="RIQ60" s="76"/>
      <c r="RIR60" s="76"/>
      <c r="RIS60" s="76"/>
      <c r="RIT60" s="76"/>
      <c r="RIU60" s="76"/>
      <c r="RIV60" s="76"/>
      <c r="RIW60" s="76"/>
      <c r="RIX60" s="76"/>
      <c r="RIY60" s="76"/>
      <c r="RIZ60" s="76"/>
      <c r="RJA60" s="76"/>
      <c r="RJB60" s="76"/>
      <c r="RJC60" s="76"/>
      <c r="RJD60" s="76"/>
      <c r="RJE60" s="76"/>
      <c r="RJF60" s="76"/>
      <c r="RJG60" s="76"/>
      <c r="RJH60" s="76"/>
      <c r="RJI60" s="76"/>
      <c r="RJJ60" s="76"/>
      <c r="RJK60" s="76"/>
      <c r="RJL60" s="76"/>
      <c r="RJM60" s="76"/>
      <c r="RJN60" s="76"/>
      <c r="RJO60" s="76"/>
      <c r="RJP60" s="76"/>
      <c r="RJQ60" s="76"/>
      <c r="RJR60" s="76"/>
      <c r="RJS60" s="76"/>
      <c r="RJT60" s="76"/>
      <c r="RJU60" s="76"/>
      <c r="RJV60" s="76"/>
      <c r="RJW60" s="76"/>
      <c r="RJX60" s="76"/>
      <c r="RJY60" s="76"/>
      <c r="RJZ60" s="76"/>
      <c r="RKA60" s="76"/>
      <c r="RKB60" s="76"/>
      <c r="RKC60" s="76"/>
      <c r="RKD60" s="76"/>
      <c r="RKE60" s="76"/>
      <c r="RKF60" s="76"/>
      <c r="RKG60" s="76"/>
      <c r="RKH60" s="76"/>
      <c r="RKI60" s="76"/>
      <c r="RKJ60" s="76"/>
      <c r="RKK60" s="76"/>
      <c r="RKL60" s="76"/>
      <c r="RKM60" s="76"/>
      <c r="RKN60" s="76"/>
      <c r="RKO60" s="76"/>
      <c r="RKP60" s="76"/>
      <c r="RKQ60" s="76"/>
      <c r="RKR60" s="76"/>
      <c r="RKS60" s="76"/>
      <c r="RKT60" s="76"/>
      <c r="RKU60" s="76"/>
      <c r="RKV60" s="76"/>
      <c r="RKW60" s="76"/>
      <c r="RKX60" s="76"/>
      <c r="RKY60" s="76"/>
      <c r="RKZ60" s="76"/>
      <c r="RLA60" s="76"/>
      <c r="RLB60" s="76"/>
      <c r="RLC60" s="76"/>
      <c r="RLD60" s="76"/>
      <c r="RLE60" s="76"/>
      <c r="RLF60" s="76"/>
      <c r="RLG60" s="76"/>
      <c r="RLH60" s="76"/>
      <c r="RLI60" s="76"/>
      <c r="RLJ60" s="76"/>
      <c r="RLK60" s="76"/>
      <c r="RLL60" s="76"/>
      <c r="RLM60" s="76"/>
      <c r="RLN60" s="76"/>
      <c r="RLO60" s="76"/>
      <c r="RLP60" s="76"/>
      <c r="RLQ60" s="76"/>
      <c r="RLR60" s="76"/>
      <c r="RLS60" s="76"/>
      <c r="RLT60" s="76"/>
      <c r="RLU60" s="76"/>
      <c r="RLV60" s="76"/>
      <c r="RLW60" s="76"/>
      <c r="RLX60" s="76"/>
      <c r="RLY60" s="76"/>
      <c r="RLZ60" s="76"/>
      <c r="RMA60" s="76"/>
      <c r="RMB60" s="76"/>
      <c r="RMC60" s="76"/>
      <c r="RMD60" s="76"/>
      <c r="RME60" s="76"/>
      <c r="RMF60" s="76"/>
      <c r="RMG60" s="76"/>
      <c r="RMH60" s="76"/>
      <c r="RMI60" s="76"/>
      <c r="RMJ60" s="76"/>
      <c r="RMK60" s="76"/>
      <c r="RML60" s="76"/>
      <c r="RMM60" s="76"/>
      <c r="RMN60" s="76"/>
      <c r="RMO60" s="76"/>
      <c r="RMP60" s="76"/>
      <c r="RMQ60" s="76"/>
      <c r="RMR60" s="76"/>
      <c r="RMS60" s="76"/>
      <c r="RMT60" s="76"/>
      <c r="RMU60" s="76"/>
      <c r="RMV60" s="76"/>
      <c r="RMW60" s="76"/>
      <c r="RMX60" s="76"/>
      <c r="RMY60" s="76"/>
      <c r="RMZ60" s="76"/>
      <c r="RNA60" s="76"/>
      <c r="RNB60" s="76"/>
      <c r="RNC60" s="76"/>
      <c r="RND60" s="76"/>
      <c r="RNE60" s="76"/>
      <c r="RNF60" s="76"/>
      <c r="RNG60" s="76"/>
      <c r="RNH60" s="76"/>
      <c r="RNI60" s="76"/>
      <c r="RNJ60" s="76"/>
      <c r="RNK60" s="76"/>
      <c r="RNL60" s="76"/>
      <c r="RNM60" s="76"/>
      <c r="RNN60" s="76"/>
      <c r="RNO60" s="76"/>
      <c r="RNP60" s="76"/>
      <c r="RNQ60" s="76"/>
      <c r="RNR60" s="76"/>
      <c r="RNS60" s="76"/>
      <c r="RNT60" s="76"/>
      <c r="RNU60" s="76"/>
      <c r="RNV60" s="76"/>
      <c r="RNW60" s="76"/>
      <c r="RNX60" s="76"/>
      <c r="RNY60" s="76"/>
      <c r="RNZ60" s="76"/>
      <c r="ROA60" s="76"/>
      <c r="ROB60" s="76"/>
      <c r="ROC60" s="76"/>
      <c r="ROD60" s="76"/>
      <c r="ROE60" s="76"/>
      <c r="ROF60" s="76"/>
      <c r="ROG60" s="76"/>
      <c r="ROH60" s="76"/>
      <c r="ROI60" s="76"/>
      <c r="ROJ60" s="76"/>
      <c r="ROK60" s="76"/>
      <c r="ROL60" s="76"/>
      <c r="ROM60" s="76"/>
      <c r="RON60" s="76"/>
      <c r="ROO60" s="76"/>
      <c r="ROP60" s="76"/>
      <c r="ROQ60" s="76"/>
      <c r="ROR60" s="76"/>
      <c r="ROS60" s="76"/>
      <c r="ROT60" s="76"/>
      <c r="ROU60" s="76"/>
      <c r="ROV60" s="76"/>
      <c r="ROW60" s="76"/>
      <c r="ROX60" s="76"/>
      <c r="ROY60" s="76"/>
      <c r="ROZ60" s="76"/>
      <c r="RPA60" s="76"/>
      <c r="RPB60" s="76"/>
      <c r="RPC60" s="76"/>
      <c r="RPD60" s="76"/>
      <c r="RPE60" s="76"/>
      <c r="RPF60" s="76"/>
      <c r="RPG60" s="76"/>
      <c r="RPH60" s="76"/>
      <c r="RPI60" s="76"/>
      <c r="RPJ60" s="76"/>
      <c r="RPK60" s="76"/>
      <c r="RPL60" s="76"/>
      <c r="RPM60" s="76"/>
      <c r="RPN60" s="76"/>
      <c r="RPO60" s="76"/>
      <c r="RPP60" s="76"/>
      <c r="RPQ60" s="76"/>
      <c r="RPR60" s="76"/>
      <c r="RPS60" s="76"/>
      <c r="RPT60" s="76"/>
      <c r="RPU60" s="76"/>
      <c r="RPV60" s="76"/>
      <c r="RPW60" s="76"/>
      <c r="RPX60" s="76"/>
      <c r="RPY60" s="76"/>
      <c r="RPZ60" s="76"/>
      <c r="RQA60" s="76"/>
      <c r="RQB60" s="76"/>
      <c r="RQC60" s="76"/>
      <c r="RQD60" s="76"/>
      <c r="RQE60" s="76"/>
      <c r="RQF60" s="76"/>
      <c r="RQG60" s="76"/>
      <c r="RQH60" s="76"/>
      <c r="RQI60" s="76"/>
      <c r="RQJ60" s="76"/>
      <c r="RQK60" s="76"/>
      <c r="RQL60" s="76"/>
      <c r="RQM60" s="76"/>
      <c r="RQN60" s="76"/>
      <c r="RQO60" s="76"/>
      <c r="RQP60" s="76"/>
      <c r="RQQ60" s="76"/>
      <c r="RQR60" s="76"/>
      <c r="RQS60" s="76"/>
      <c r="RQT60" s="76"/>
      <c r="RQU60" s="76"/>
      <c r="RQV60" s="76"/>
      <c r="RQW60" s="76"/>
      <c r="RQX60" s="76"/>
      <c r="RQY60" s="76"/>
      <c r="RQZ60" s="76"/>
      <c r="RRA60" s="76"/>
      <c r="RRB60" s="76"/>
      <c r="RRC60" s="76"/>
      <c r="RRD60" s="76"/>
      <c r="RRE60" s="76"/>
      <c r="RRF60" s="76"/>
      <c r="RRG60" s="76"/>
      <c r="RRH60" s="76"/>
      <c r="RRI60" s="76"/>
      <c r="RRJ60" s="76"/>
      <c r="RRK60" s="76"/>
      <c r="RRL60" s="76"/>
      <c r="RRM60" s="76"/>
      <c r="RRN60" s="76"/>
      <c r="RRO60" s="76"/>
      <c r="RRP60" s="76"/>
      <c r="RRQ60" s="76"/>
      <c r="RRR60" s="76"/>
      <c r="RRS60" s="76"/>
      <c r="RRT60" s="76"/>
      <c r="RRU60" s="76"/>
      <c r="RRV60" s="76"/>
      <c r="RRW60" s="76"/>
      <c r="RRX60" s="76"/>
      <c r="RRY60" s="76"/>
      <c r="RRZ60" s="76"/>
      <c r="RSA60" s="76"/>
      <c r="RSB60" s="76"/>
      <c r="RSC60" s="76"/>
      <c r="RSD60" s="76"/>
      <c r="RSE60" s="76"/>
      <c r="RSF60" s="76"/>
      <c r="RSG60" s="76"/>
      <c r="RSH60" s="76"/>
      <c r="RSI60" s="76"/>
      <c r="RSJ60" s="76"/>
      <c r="RSK60" s="76"/>
      <c r="RSL60" s="76"/>
      <c r="RSM60" s="76"/>
      <c r="RSN60" s="76"/>
      <c r="RSO60" s="76"/>
      <c r="RSP60" s="76"/>
      <c r="RSQ60" s="76"/>
      <c r="RSR60" s="76"/>
      <c r="RSS60" s="76"/>
      <c r="RST60" s="76"/>
      <c r="RSU60" s="76"/>
      <c r="RSV60" s="76"/>
      <c r="RSW60" s="76"/>
      <c r="RSX60" s="76"/>
      <c r="RSY60" s="76"/>
      <c r="RSZ60" s="76"/>
      <c r="RTA60" s="76"/>
      <c r="RTB60" s="76"/>
      <c r="RTC60" s="76"/>
      <c r="RTD60" s="76"/>
      <c r="RTE60" s="76"/>
      <c r="RTF60" s="76"/>
      <c r="RTG60" s="76"/>
      <c r="RTH60" s="76"/>
      <c r="RTI60" s="76"/>
      <c r="RTJ60" s="76"/>
      <c r="RTK60" s="76"/>
      <c r="RTL60" s="76"/>
      <c r="RTM60" s="76"/>
      <c r="RTN60" s="76"/>
      <c r="RTO60" s="76"/>
      <c r="RTP60" s="76"/>
      <c r="RTQ60" s="76"/>
      <c r="RTR60" s="76"/>
      <c r="RTS60" s="76"/>
      <c r="RTT60" s="76"/>
      <c r="RTU60" s="76"/>
      <c r="RTV60" s="76"/>
      <c r="RTW60" s="76"/>
      <c r="RTX60" s="76"/>
      <c r="RTY60" s="76"/>
      <c r="RTZ60" s="76"/>
      <c r="RUA60" s="76"/>
      <c r="RUB60" s="76"/>
      <c r="RUC60" s="76"/>
      <c r="RUD60" s="76"/>
      <c r="RUE60" s="76"/>
      <c r="RUF60" s="76"/>
      <c r="RUG60" s="76"/>
      <c r="RUH60" s="76"/>
      <c r="RUI60" s="76"/>
      <c r="RUJ60" s="76"/>
      <c r="RUK60" s="76"/>
      <c r="RUL60" s="76"/>
      <c r="RUM60" s="76"/>
      <c r="RUN60" s="76"/>
      <c r="RUO60" s="76"/>
      <c r="RUP60" s="76"/>
      <c r="RUQ60" s="76"/>
      <c r="RUR60" s="76"/>
      <c r="RUS60" s="76"/>
      <c r="RUT60" s="76"/>
      <c r="RUU60" s="76"/>
      <c r="RUV60" s="76"/>
      <c r="RUW60" s="76"/>
      <c r="RUX60" s="76"/>
      <c r="RUY60" s="76"/>
      <c r="RUZ60" s="76"/>
      <c r="RVA60" s="76"/>
      <c r="RVB60" s="76"/>
      <c r="RVC60" s="76"/>
      <c r="RVD60" s="76"/>
      <c r="RVE60" s="76"/>
      <c r="RVF60" s="76"/>
      <c r="RVG60" s="76"/>
      <c r="RVH60" s="76"/>
      <c r="RVI60" s="76"/>
      <c r="RVJ60" s="76"/>
      <c r="RVK60" s="76"/>
      <c r="RVL60" s="76"/>
      <c r="RVM60" s="76"/>
      <c r="RVN60" s="76"/>
      <c r="RVO60" s="76"/>
      <c r="RVP60" s="76"/>
      <c r="RVQ60" s="76"/>
      <c r="RVR60" s="76"/>
      <c r="RVS60" s="76"/>
      <c r="RVT60" s="76"/>
      <c r="RVU60" s="76"/>
      <c r="RVV60" s="76"/>
      <c r="RVW60" s="76"/>
      <c r="RVX60" s="76"/>
      <c r="RVY60" s="76"/>
      <c r="RVZ60" s="76"/>
      <c r="RWA60" s="76"/>
      <c r="RWB60" s="76"/>
      <c r="RWC60" s="76"/>
      <c r="RWD60" s="76"/>
      <c r="RWE60" s="76"/>
      <c r="RWF60" s="76"/>
      <c r="RWG60" s="76"/>
      <c r="RWH60" s="76"/>
      <c r="RWI60" s="76"/>
      <c r="RWJ60" s="76"/>
      <c r="RWK60" s="76"/>
      <c r="RWL60" s="76"/>
      <c r="RWM60" s="76"/>
      <c r="RWN60" s="76"/>
      <c r="RWO60" s="76"/>
      <c r="RWP60" s="76"/>
      <c r="RWQ60" s="76"/>
      <c r="RWR60" s="76"/>
      <c r="RWS60" s="76"/>
      <c r="RWT60" s="76"/>
      <c r="RWU60" s="76"/>
      <c r="RWV60" s="76"/>
      <c r="RWW60" s="76"/>
      <c r="RWX60" s="76"/>
      <c r="RWY60" s="76"/>
      <c r="RWZ60" s="76"/>
      <c r="RXA60" s="76"/>
      <c r="RXB60" s="76"/>
      <c r="RXC60" s="76"/>
      <c r="RXD60" s="76"/>
      <c r="RXE60" s="76"/>
      <c r="RXF60" s="76"/>
      <c r="RXG60" s="76"/>
      <c r="RXH60" s="76"/>
      <c r="RXI60" s="76"/>
      <c r="RXJ60" s="76"/>
      <c r="RXK60" s="76"/>
      <c r="RXL60" s="76"/>
      <c r="RXM60" s="76"/>
      <c r="RXN60" s="76"/>
      <c r="RXO60" s="76"/>
      <c r="RXP60" s="76"/>
      <c r="RXQ60" s="76"/>
      <c r="RXR60" s="76"/>
      <c r="RXS60" s="76"/>
      <c r="RXT60" s="76"/>
      <c r="RXU60" s="76"/>
      <c r="RXV60" s="76"/>
      <c r="RXW60" s="76"/>
      <c r="RXX60" s="76"/>
      <c r="RXY60" s="76"/>
      <c r="RXZ60" s="76"/>
      <c r="RYA60" s="76"/>
      <c r="RYB60" s="76"/>
      <c r="RYC60" s="76"/>
      <c r="RYD60" s="76"/>
      <c r="RYE60" s="76"/>
      <c r="RYF60" s="76"/>
      <c r="RYG60" s="76"/>
      <c r="RYH60" s="76"/>
      <c r="RYI60" s="76"/>
      <c r="RYJ60" s="76"/>
      <c r="RYK60" s="76"/>
      <c r="RYL60" s="76"/>
      <c r="RYM60" s="76"/>
      <c r="RYN60" s="76"/>
      <c r="RYO60" s="76"/>
      <c r="RYP60" s="76"/>
      <c r="RYQ60" s="76"/>
      <c r="RYR60" s="76"/>
      <c r="RYS60" s="76"/>
      <c r="RYT60" s="76"/>
      <c r="RYU60" s="76"/>
      <c r="RYV60" s="76"/>
      <c r="RYW60" s="76"/>
      <c r="RYX60" s="76"/>
      <c r="RYY60" s="76"/>
      <c r="RYZ60" s="76"/>
      <c r="RZA60" s="76"/>
      <c r="RZB60" s="76"/>
      <c r="RZC60" s="76"/>
      <c r="RZD60" s="76"/>
      <c r="RZE60" s="76"/>
      <c r="RZF60" s="76"/>
      <c r="RZG60" s="76"/>
      <c r="RZH60" s="76"/>
      <c r="RZI60" s="76"/>
      <c r="RZJ60" s="76"/>
      <c r="RZK60" s="76"/>
      <c r="RZL60" s="76"/>
      <c r="RZM60" s="76"/>
      <c r="RZN60" s="76"/>
      <c r="RZO60" s="76"/>
      <c r="RZP60" s="76"/>
      <c r="RZQ60" s="76"/>
      <c r="RZR60" s="76"/>
      <c r="RZS60" s="76"/>
      <c r="RZT60" s="76"/>
      <c r="RZU60" s="76"/>
      <c r="RZV60" s="76"/>
      <c r="RZW60" s="76"/>
      <c r="RZX60" s="76"/>
      <c r="RZY60" s="76"/>
      <c r="RZZ60" s="76"/>
      <c r="SAA60" s="76"/>
      <c r="SAB60" s="76"/>
      <c r="SAC60" s="76"/>
      <c r="SAD60" s="76"/>
      <c r="SAE60" s="76"/>
      <c r="SAF60" s="76"/>
      <c r="SAG60" s="76"/>
      <c r="SAH60" s="76"/>
      <c r="SAI60" s="76"/>
      <c r="SAJ60" s="76"/>
      <c r="SAK60" s="76"/>
      <c r="SAL60" s="76"/>
      <c r="SAM60" s="76"/>
      <c r="SAN60" s="76"/>
      <c r="SAO60" s="76"/>
      <c r="SAP60" s="76"/>
      <c r="SAQ60" s="76"/>
      <c r="SAR60" s="76"/>
      <c r="SAS60" s="76"/>
      <c r="SAT60" s="76"/>
      <c r="SAU60" s="76"/>
      <c r="SAV60" s="76"/>
      <c r="SAW60" s="76"/>
      <c r="SAX60" s="76"/>
      <c r="SAY60" s="76"/>
      <c r="SAZ60" s="76"/>
      <c r="SBA60" s="76"/>
      <c r="SBB60" s="76"/>
      <c r="SBC60" s="76"/>
      <c r="SBD60" s="76"/>
      <c r="SBE60" s="76"/>
      <c r="SBF60" s="76"/>
      <c r="SBG60" s="76"/>
      <c r="SBH60" s="76"/>
      <c r="SBI60" s="76"/>
      <c r="SBJ60" s="76"/>
      <c r="SBK60" s="76"/>
      <c r="SBL60" s="76"/>
      <c r="SBM60" s="76"/>
      <c r="SBN60" s="76"/>
      <c r="SBO60" s="76"/>
      <c r="SBP60" s="76"/>
      <c r="SBQ60" s="76"/>
      <c r="SBR60" s="76"/>
      <c r="SBS60" s="76"/>
      <c r="SBT60" s="76"/>
      <c r="SBU60" s="76"/>
      <c r="SBV60" s="76"/>
      <c r="SBW60" s="76"/>
      <c r="SBX60" s="76"/>
      <c r="SBY60" s="76"/>
      <c r="SBZ60" s="76"/>
      <c r="SCA60" s="76"/>
      <c r="SCB60" s="76"/>
      <c r="SCC60" s="76"/>
      <c r="SCD60" s="76"/>
      <c r="SCE60" s="76"/>
      <c r="SCF60" s="76"/>
      <c r="SCG60" s="76"/>
      <c r="SCH60" s="76"/>
      <c r="SCI60" s="76"/>
      <c r="SCJ60" s="76"/>
      <c r="SCK60" s="76"/>
      <c r="SCL60" s="76"/>
      <c r="SCM60" s="76"/>
      <c r="SCN60" s="76"/>
      <c r="SCO60" s="76"/>
      <c r="SCP60" s="76"/>
      <c r="SCQ60" s="76"/>
      <c r="SCR60" s="76"/>
      <c r="SCS60" s="76"/>
      <c r="SCT60" s="76"/>
      <c r="SCU60" s="76"/>
      <c r="SCV60" s="76"/>
      <c r="SCW60" s="76"/>
      <c r="SCX60" s="76"/>
      <c r="SCY60" s="76"/>
      <c r="SCZ60" s="76"/>
      <c r="SDA60" s="76"/>
      <c r="SDB60" s="76"/>
      <c r="SDC60" s="76"/>
      <c r="SDD60" s="76"/>
      <c r="SDE60" s="76"/>
      <c r="SDF60" s="76"/>
      <c r="SDG60" s="76"/>
      <c r="SDH60" s="76"/>
      <c r="SDI60" s="76"/>
      <c r="SDJ60" s="76"/>
      <c r="SDK60" s="76"/>
      <c r="SDL60" s="76"/>
      <c r="SDM60" s="76"/>
      <c r="SDN60" s="76"/>
      <c r="SDO60" s="76"/>
      <c r="SDP60" s="76"/>
      <c r="SDQ60" s="76"/>
      <c r="SDR60" s="76"/>
      <c r="SDS60" s="76"/>
      <c r="SDT60" s="76"/>
      <c r="SDU60" s="76"/>
      <c r="SDV60" s="76"/>
      <c r="SDW60" s="76"/>
      <c r="SDX60" s="76"/>
      <c r="SDY60" s="76"/>
      <c r="SDZ60" s="76"/>
      <c r="SEA60" s="76"/>
      <c r="SEB60" s="76"/>
      <c r="SEC60" s="76"/>
      <c r="SED60" s="76"/>
      <c r="SEE60" s="76"/>
      <c r="SEF60" s="76"/>
      <c r="SEG60" s="76"/>
      <c r="SEH60" s="76"/>
      <c r="SEI60" s="76"/>
      <c r="SEJ60" s="76"/>
      <c r="SEK60" s="76"/>
      <c r="SEL60" s="76"/>
      <c r="SEM60" s="76"/>
      <c r="SEN60" s="76"/>
      <c r="SEO60" s="76"/>
      <c r="SEP60" s="76"/>
      <c r="SEQ60" s="76"/>
      <c r="SER60" s="76"/>
      <c r="SES60" s="76"/>
      <c r="SET60" s="76"/>
      <c r="SEU60" s="76"/>
      <c r="SEV60" s="76"/>
      <c r="SEW60" s="76"/>
      <c r="SEX60" s="76"/>
      <c r="SEY60" s="76"/>
      <c r="SEZ60" s="76"/>
      <c r="SFA60" s="76"/>
      <c r="SFB60" s="76"/>
      <c r="SFC60" s="76"/>
      <c r="SFD60" s="76"/>
      <c r="SFE60" s="76"/>
      <c r="SFF60" s="76"/>
      <c r="SFG60" s="76"/>
      <c r="SFH60" s="76"/>
      <c r="SFI60" s="76"/>
      <c r="SFJ60" s="76"/>
      <c r="SFK60" s="76"/>
      <c r="SFL60" s="76"/>
      <c r="SFM60" s="76"/>
      <c r="SFN60" s="76"/>
      <c r="SFO60" s="76"/>
      <c r="SFP60" s="76"/>
      <c r="SFQ60" s="76"/>
      <c r="SFR60" s="76"/>
      <c r="SFS60" s="76"/>
      <c r="SFT60" s="76"/>
      <c r="SFU60" s="76"/>
      <c r="SFV60" s="76"/>
      <c r="SFW60" s="76"/>
      <c r="SFX60" s="76"/>
      <c r="SFY60" s="76"/>
      <c r="SFZ60" s="76"/>
      <c r="SGA60" s="76"/>
      <c r="SGB60" s="76"/>
      <c r="SGC60" s="76"/>
      <c r="SGD60" s="76"/>
      <c r="SGE60" s="76"/>
      <c r="SGF60" s="76"/>
      <c r="SGG60" s="76"/>
      <c r="SGH60" s="76"/>
      <c r="SGI60" s="76"/>
      <c r="SGJ60" s="76"/>
      <c r="SGK60" s="76"/>
      <c r="SGL60" s="76"/>
      <c r="SGM60" s="76"/>
      <c r="SGN60" s="76"/>
      <c r="SGO60" s="76"/>
      <c r="SGP60" s="76"/>
      <c r="SGQ60" s="76"/>
      <c r="SGR60" s="76"/>
      <c r="SGS60" s="76"/>
      <c r="SGT60" s="76"/>
      <c r="SGU60" s="76"/>
      <c r="SGV60" s="76"/>
      <c r="SGW60" s="76"/>
      <c r="SGX60" s="76"/>
      <c r="SGY60" s="76"/>
      <c r="SGZ60" s="76"/>
      <c r="SHA60" s="76"/>
      <c r="SHB60" s="76"/>
      <c r="SHC60" s="76"/>
      <c r="SHD60" s="76"/>
      <c r="SHE60" s="76"/>
      <c r="SHF60" s="76"/>
      <c r="SHG60" s="76"/>
      <c r="SHH60" s="76"/>
      <c r="SHI60" s="76"/>
      <c r="SHJ60" s="76"/>
      <c r="SHK60" s="76"/>
      <c r="SHL60" s="76"/>
      <c r="SHM60" s="76"/>
      <c r="SHN60" s="76"/>
      <c r="SHO60" s="76"/>
      <c r="SHP60" s="76"/>
      <c r="SHQ60" s="76"/>
      <c r="SHR60" s="76"/>
      <c r="SHS60" s="76"/>
      <c r="SHT60" s="76"/>
      <c r="SHU60" s="76"/>
      <c r="SHV60" s="76"/>
      <c r="SHW60" s="76"/>
      <c r="SHX60" s="76"/>
      <c r="SHY60" s="76"/>
      <c r="SHZ60" s="76"/>
      <c r="SIA60" s="76"/>
      <c r="SIB60" s="76"/>
      <c r="SIC60" s="76"/>
      <c r="SID60" s="76"/>
      <c r="SIE60" s="76"/>
      <c r="SIF60" s="76"/>
      <c r="SIG60" s="76"/>
      <c r="SIH60" s="76"/>
      <c r="SII60" s="76"/>
      <c r="SIJ60" s="76"/>
      <c r="SIK60" s="76"/>
      <c r="SIL60" s="76"/>
      <c r="SIM60" s="76"/>
      <c r="SIN60" s="76"/>
      <c r="SIO60" s="76"/>
      <c r="SIP60" s="76"/>
      <c r="SIQ60" s="76"/>
      <c r="SIR60" s="76"/>
      <c r="SIS60" s="76"/>
      <c r="SIT60" s="76"/>
      <c r="SIU60" s="76"/>
      <c r="SIV60" s="76"/>
      <c r="SIW60" s="76"/>
      <c r="SIX60" s="76"/>
      <c r="SIY60" s="76"/>
      <c r="SIZ60" s="76"/>
      <c r="SJA60" s="76"/>
      <c r="SJB60" s="76"/>
      <c r="SJC60" s="76"/>
      <c r="SJD60" s="76"/>
      <c r="SJE60" s="76"/>
      <c r="SJF60" s="76"/>
      <c r="SJG60" s="76"/>
      <c r="SJH60" s="76"/>
      <c r="SJI60" s="76"/>
      <c r="SJJ60" s="76"/>
      <c r="SJK60" s="76"/>
      <c r="SJL60" s="76"/>
      <c r="SJM60" s="76"/>
      <c r="SJN60" s="76"/>
      <c r="SJO60" s="76"/>
      <c r="SJP60" s="76"/>
      <c r="SJQ60" s="76"/>
      <c r="SJR60" s="76"/>
      <c r="SJS60" s="76"/>
      <c r="SJT60" s="76"/>
      <c r="SJU60" s="76"/>
      <c r="SJV60" s="76"/>
      <c r="SJW60" s="76"/>
      <c r="SJX60" s="76"/>
      <c r="SJY60" s="76"/>
      <c r="SJZ60" s="76"/>
      <c r="SKA60" s="76"/>
      <c r="SKB60" s="76"/>
      <c r="SKC60" s="76"/>
      <c r="SKD60" s="76"/>
      <c r="SKE60" s="76"/>
      <c r="SKF60" s="76"/>
      <c r="SKG60" s="76"/>
      <c r="SKH60" s="76"/>
      <c r="SKI60" s="76"/>
      <c r="SKJ60" s="76"/>
      <c r="SKK60" s="76"/>
      <c r="SKL60" s="76"/>
      <c r="SKM60" s="76"/>
      <c r="SKN60" s="76"/>
      <c r="SKO60" s="76"/>
      <c r="SKP60" s="76"/>
      <c r="SKQ60" s="76"/>
      <c r="SKR60" s="76"/>
      <c r="SKS60" s="76"/>
      <c r="SKT60" s="76"/>
      <c r="SKU60" s="76"/>
      <c r="SKV60" s="76"/>
      <c r="SKW60" s="76"/>
      <c r="SKX60" s="76"/>
      <c r="SKY60" s="76"/>
      <c r="SKZ60" s="76"/>
      <c r="SLA60" s="76"/>
      <c r="SLB60" s="76"/>
      <c r="SLC60" s="76"/>
      <c r="SLD60" s="76"/>
      <c r="SLE60" s="76"/>
      <c r="SLF60" s="76"/>
      <c r="SLG60" s="76"/>
      <c r="SLH60" s="76"/>
      <c r="SLI60" s="76"/>
      <c r="SLJ60" s="76"/>
      <c r="SLK60" s="76"/>
      <c r="SLL60" s="76"/>
      <c r="SLM60" s="76"/>
      <c r="SLN60" s="76"/>
      <c r="SLO60" s="76"/>
      <c r="SLP60" s="76"/>
      <c r="SLQ60" s="76"/>
      <c r="SLR60" s="76"/>
      <c r="SLS60" s="76"/>
      <c r="SLT60" s="76"/>
      <c r="SLU60" s="76"/>
      <c r="SLV60" s="76"/>
      <c r="SLW60" s="76"/>
      <c r="SLX60" s="76"/>
      <c r="SLY60" s="76"/>
      <c r="SLZ60" s="76"/>
      <c r="SMA60" s="76"/>
      <c r="SMB60" s="76"/>
      <c r="SMC60" s="76"/>
      <c r="SMD60" s="76"/>
      <c r="SME60" s="76"/>
      <c r="SMF60" s="76"/>
      <c r="SMG60" s="76"/>
      <c r="SMH60" s="76"/>
      <c r="SMI60" s="76"/>
      <c r="SMJ60" s="76"/>
      <c r="SMK60" s="76"/>
      <c r="SML60" s="76"/>
      <c r="SMM60" s="76"/>
      <c r="SMN60" s="76"/>
      <c r="SMO60" s="76"/>
      <c r="SMP60" s="76"/>
      <c r="SMQ60" s="76"/>
      <c r="SMR60" s="76"/>
      <c r="SMS60" s="76"/>
      <c r="SMT60" s="76"/>
      <c r="SMU60" s="76"/>
      <c r="SMV60" s="76"/>
      <c r="SMW60" s="76"/>
      <c r="SMX60" s="76"/>
      <c r="SMY60" s="76"/>
      <c r="SMZ60" s="76"/>
      <c r="SNA60" s="76"/>
      <c r="SNB60" s="76"/>
      <c r="SNC60" s="76"/>
      <c r="SND60" s="76"/>
      <c r="SNE60" s="76"/>
      <c r="SNF60" s="76"/>
      <c r="SNG60" s="76"/>
      <c r="SNH60" s="76"/>
      <c r="SNI60" s="76"/>
      <c r="SNJ60" s="76"/>
      <c r="SNK60" s="76"/>
      <c r="SNL60" s="76"/>
      <c r="SNM60" s="76"/>
      <c r="SNN60" s="76"/>
      <c r="SNO60" s="76"/>
      <c r="SNP60" s="76"/>
      <c r="SNQ60" s="76"/>
      <c r="SNR60" s="76"/>
      <c r="SNS60" s="76"/>
      <c r="SNT60" s="76"/>
      <c r="SNU60" s="76"/>
      <c r="SNV60" s="76"/>
      <c r="SNW60" s="76"/>
      <c r="SNX60" s="76"/>
      <c r="SNY60" s="76"/>
      <c r="SNZ60" s="76"/>
      <c r="SOA60" s="76"/>
      <c r="SOB60" s="76"/>
      <c r="SOC60" s="76"/>
      <c r="SOD60" s="76"/>
      <c r="SOE60" s="76"/>
      <c r="SOF60" s="76"/>
      <c r="SOG60" s="76"/>
      <c r="SOH60" s="76"/>
      <c r="SOI60" s="76"/>
      <c r="SOJ60" s="76"/>
      <c r="SOK60" s="76"/>
      <c r="SOL60" s="76"/>
      <c r="SOM60" s="76"/>
      <c r="SON60" s="76"/>
      <c r="SOO60" s="76"/>
      <c r="SOP60" s="76"/>
      <c r="SOQ60" s="76"/>
      <c r="SOR60" s="76"/>
      <c r="SOS60" s="76"/>
      <c r="SOT60" s="76"/>
      <c r="SOU60" s="76"/>
      <c r="SOV60" s="76"/>
      <c r="SOW60" s="76"/>
      <c r="SOX60" s="76"/>
      <c r="SOY60" s="76"/>
      <c r="SOZ60" s="76"/>
      <c r="SPA60" s="76"/>
      <c r="SPB60" s="76"/>
      <c r="SPC60" s="76"/>
      <c r="SPD60" s="76"/>
      <c r="SPE60" s="76"/>
      <c r="SPF60" s="76"/>
      <c r="SPG60" s="76"/>
      <c r="SPH60" s="76"/>
      <c r="SPI60" s="76"/>
      <c r="SPJ60" s="76"/>
      <c r="SPK60" s="76"/>
      <c r="SPL60" s="76"/>
      <c r="SPM60" s="76"/>
      <c r="SPN60" s="76"/>
      <c r="SPO60" s="76"/>
      <c r="SPP60" s="76"/>
      <c r="SPQ60" s="76"/>
      <c r="SPR60" s="76"/>
      <c r="SPS60" s="76"/>
      <c r="SPT60" s="76"/>
      <c r="SPU60" s="76"/>
      <c r="SPV60" s="76"/>
      <c r="SPW60" s="76"/>
      <c r="SPX60" s="76"/>
      <c r="SPY60" s="76"/>
      <c r="SPZ60" s="76"/>
      <c r="SQA60" s="76"/>
      <c r="SQB60" s="76"/>
      <c r="SQC60" s="76"/>
      <c r="SQD60" s="76"/>
      <c r="SQE60" s="76"/>
      <c r="SQF60" s="76"/>
      <c r="SQG60" s="76"/>
      <c r="SQH60" s="76"/>
      <c r="SQI60" s="76"/>
      <c r="SQJ60" s="76"/>
      <c r="SQK60" s="76"/>
      <c r="SQL60" s="76"/>
      <c r="SQM60" s="76"/>
      <c r="SQN60" s="76"/>
      <c r="SQO60" s="76"/>
      <c r="SQP60" s="76"/>
      <c r="SQQ60" s="76"/>
      <c r="SQR60" s="76"/>
      <c r="SQS60" s="76"/>
      <c r="SQT60" s="76"/>
      <c r="SQU60" s="76"/>
      <c r="SQV60" s="76"/>
      <c r="SQW60" s="76"/>
      <c r="SQX60" s="76"/>
      <c r="SQY60" s="76"/>
      <c r="SQZ60" s="76"/>
      <c r="SRA60" s="76"/>
      <c r="SRB60" s="76"/>
      <c r="SRC60" s="76"/>
      <c r="SRD60" s="76"/>
      <c r="SRE60" s="76"/>
      <c r="SRF60" s="76"/>
      <c r="SRG60" s="76"/>
      <c r="SRH60" s="76"/>
      <c r="SRI60" s="76"/>
      <c r="SRJ60" s="76"/>
      <c r="SRK60" s="76"/>
      <c r="SRL60" s="76"/>
      <c r="SRM60" s="76"/>
      <c r="SRN60" s="76"/>
      <c r="SRO60" s="76"/>
      <c r="SRP60" s="76"/>
      <c r="SRQ60" s="76"/>
      <c r="SRR60" s="76"/>
      <c r="SRS60" s="76"/>
      <c r="SRT60" s="76"/>
      <c r="SRU60" s="76"/>
      <c r="SRV60" s="76"/>
      <c r="SRW60" s="76"/>
      <c r="SRX60" s="76"/>
      <c r="SRY60" s="76"/>
      <c r="SRZ60" s="76"/>
      <c r="SSA60" s="76"/>
      <c r="SSB60" s="76"/>
      <c r="SSC60" s="76"/>
      <c r="SSD60" s="76"/>
      <c r="SSE60" s="76"/>
      <c r="SSF60" s="76"/>
      <c r="SSG60" s="76"/>
      <c r="SSH60" s="76"/>
      <c r="SSI60" s="76"/>
      <c r="SSJ60" s="76"/>
      <c r="SSK60" s="76"/>
      <c r="SSL60" s="76"/>
      <c r="SSM60" s="76"/>
      <c r="SSN60" s="76"/>
      <c r="SSO60" s="76"/>
      <c r="SSP60" s="76"/>
      <c r="SSQ60" s="76"/>
      <c r="SSR60" s="76"/>
      <c r="SSS60" s="76"/>
      <c r="SST60" s="76"/>
      <c r="SSU60" s="76"/>
      <c r="SSV60" s="76"/>
      <c r="SSW60" s="76"/>
      <c r="SSX60" s="76"/>
      <c r="SSY60" s="76"/>
      <c r="SSZ60" s="76"/>
      <c r="STA60" s="76"/>
      <c r="STB60" s="76"/>
      <c r="STC60" s="76"/>
      <c r="STD60" s="76"/>
      <c r="STE60" s="76"/>
      <c r="STF60" s="76"/>
      <c r="STG60" s="76"/>
      <c r="STH60" s="76"/>
      <c r="STI60" s="76"/>
      <c r="STJ60" s="76"/>
      <c r="STK60" s="76"/>
      <c r="STL60" s="76"/>
      <c r="STM60" s="76"/>
      <c r="STN60" s="76"/>
      <c r="STO60" s="76"/>
      <c r="STP60" s="76"/>
      <c r="STQ60" s="76"/>
      <c r="STR60" s="76"/>
      <c r="STS60" s="76"/>
      <c r="STT60" s="76"/>
      <c r="STU60" s="76"/>
      <c r="STV60" s="76"/>
      <c r="STW60" s="76"/>
      <c r="STX60" s="76"/>
      <c r="STY60" s="76"/>
      <c r="STZ60" s="76"/>
      <c r="SUA60" s="76"/>
      <c r="SUB60" s="76"/>
      <c r="SUC60" s="76"/>
      <c r="SUD60" s="76"/>
      <c r="SUE60" s="76"/>
      <c r="SUF60" s="76"/>
      <c r="SUG60" s="76"/>
      <c r="SUH60" s="76"/>
      <c r="SUI60" s="76"/>
      <c r="SUJ60" s="76"/>
      <c r="SUK60" s="76"/>
      <c r="SUL60" s="76"/>
      <c r="SUM60" s="76"/>
      <c r="SUN60" s="76"/>
      <c r="SUO60" s="76"/>
      <c r="SUP60" s="76"/>
      <c r="SUQ60" s="76"/>
      <c r="SUR60" s="76"/>
      <c r="SUS60" s="76"/>
      <c r="SUT60" s="76"/>
      <c r="SUU60" s="76"/>
      <c r="SUV60" s="76"/>
      <c r="SUW60" s="76"/>
      <c r="SUX60" s="76"/>
      <c r="SUY60" s="76"/>
      <c r="SUZ60" s="76"/>
      <c r="SVA60" s="76"/>
      <c r="SVB60" s="76"/>
      <c r="SVC60" s="76"/>
      <c r="SVD60" s="76"/>
      <c r="SVE60" s="76"/>
      <c r="SVF60" s="76"/>
      <c r="SVG60" s="76"/>
      <c r="SVH60" s="76"/>
      <c r="SVI60" s="76"/>
      <c r="SVJ60" s="76"/>
      <c r="SVK60" s="76"/>
      <c r="SVL60" s="76"/>
      <c r="SVM60" s="76"/>
      <c r="SVN60" s="76"/>
      <c r="SVO60" s="76"/>
      <c r="SVP60" s="76"/>
      <c r="SVQ60" s="76"/>
      <c r="SVR60" s="76"/>
      <c r="SVS60" s="76"/>
      <c r="SVT60" s="76"/>
      <c r="SVU60" s="76"/>
      <c r="SVV60" s="76"/>
      <c r="SVW60" s="76"/>
      <c r="SVX60" s="76"/>
      <c r="SVY60" s="76"/>
      <c r="SVZ60" s="76"/>
      <c r="SWA60" s="76"/>
      <c r="SWB60" s="76"/>
      <c r="SWC60" s="76"/>
      <c r="SWD60" s="76"/>
      <c r="SWE60" s="76"/>
      <c r="SWF60" s="76"/>
      <c r="SWG60" s="76"/>
      <c r="SWH60" s="76"/>
      <c r="SWI60" s="76"/>
      <c r="SWJ60" s="76"/>
      <c r="SWK60" s="76"/>
      <c r="SWL60" s="76"/>
      <c r="SWM60" s="76"/>
      <c r="SWN60" s="76"/>
      <c r="SWO60" s="76"/>
      <c r="SWP60" s="76"/>
      <c r="SWQ60" s="76"/>
      <c r="SWR60" s="76"/>
      <c r="SWS60" s="76"/>
      <c r="SWT60" s="76"/>
      <c r="SWU60" s="76"/>
      <c r="SWV60" s="76"/>
      <c r="SWW60" s="76"/>
      <c r="SWX60" s="76"/>
      <c r="SWY60" s="76"/>
      <c r="SWZ60" s="76"/>
      <c r="SXA60" s="76"/>
      <c r="SXB60" s="76"/>
      <c r="SXC60" s="76"/>
      <c r="SXD60" s="76"/>
      <c r="SXE60" s="76"/>
      <c r="SXF60" s="76"/>
      <c r="SXG60" s="76"/>
      <c r="SXH60" s="76"/>
      <c r="SXI60" s="76"/>
      <c r="SXJ60" s="76"/>
      <c r="SXK60" s="76"/>
      <c r="SXL60" s="76"/>
      <c r="SXM60" s="76"/>
      <c r="SXN60" s="76"/>
      <c r="SXO60" s="76"/>
      <c r="SXP60" s="76"/>
      <c r="SXQ60" s="76"/>
      <c r="SXR60" s="76"/>
      <c r="SXS60" s="76"/>
      <c r="SXT60" s="76"/>
      <c r="SXU60" s="76"/>
      <c r="SXV60" s="76"/>
      <c r="SXW60" s="76"/>
      <c r="SXX60" s="76"/>
      <c r="SXY60" s="76"/>
      <c r="SXZ60" s="76"/>
      <c r="SYA60" s="76"/>
      <c r="SYB60" s="76"/>
      <c r="SYC60" s="76"/>
      <c r="SYD60" s="76"/>
      <c r="SYE60" s="76"/>
      <c r="SYF60" s="76"/>
      <c r="SYG60" s="76"/>
      <c r="SYH60" s="76"/>
      <c r="SYI60" s="76"/>
      <c r="SYJ60" s="76"/>
      <c r="SYK60" s="76"/>
      <c r="SYL60" s="76"/>
      <c r="SYM60" s="76"/>
      <c r="SYN60" s="76"/>
      <c r="SYO60" s="76"/>
      <c r="SYP60" s="76"/>
      <c r="SYQ60" s="76"/>
      <c r="SYR60" s="76"/>
      <c r="SYS60" s="76"/>
      <c r="SYT60" s="76"/>
      <c r="SYU60" s="76"/>
      <c r="SYV60" s="76"/>
      <c r="SYW60" s="76"/>
      <c r="SYX60" s="76"/>
      <c r="SYY60" s="76"/>
      <c r="SYZ60" s="76"/>
      <c r="SZA60" s="76"/>
      <c r="SZB60" s="76"/>
      <c r="SZC60" s="76"/>
      <c r="SZD60" s="76"/>
      <c r="SZE60" s="76"/>
      <c r="SZF60" s="76"/>
      <c r="SZG60" s="76"/>
      <c r="SZH60" s="76"/>
      <c r="SZI60" s="76"/>
      <c r="SZJ60" s="76"/>
      <c r="SZK60" s="76"/>
      <c r="SZL60" s="76"/>
      <c r="SZM60" s="76"/>
      <c r="SZN60" s="76"/>
      <c r="SZO60" s="76"/>
      <c r="SZP60" s="76"/>
      <c r="SZQ60" s="76"/>
      <c r="SZR60" s="76"/>
      <c r="SZS60" s="76"/>
      <c r="SZT60" s="76"/>
      <c r="SZU60" s="76"/>
      <c r="SZV60" s="76"/>
      <c r="SZW60" s="76"/>
      <c r="SZX60" s="76"/>
      <c r="SZY60" s="76"/>
      <c r="SZZ60" s="76"/>
      <c r="TAA60" s="76"/>
      <c r="TAB60" s="76"/>
      <c r="TAC60" s="76"/>
      <c r="TAD60" s="76"/>
      <c r="TAE60" s="76"/>
      <c r="TAF60" s="76"/>
      <c r="TAG60" s="76"/>
      <c r="TAH60" s="76"/>
      <c r="TAI60" s="76"/>
      <c r="TAJ60" s="76"/>
      <c r="TAK60" s="76"/>
      <c r="TAL60" s="76"/>
      <c r="TAM60" s="76"/>
      <c r="TAN60" s="76"/>
      <c r="TAO60" s="76"/>
      <c r="TAP60" s="76"/>
      <c r="TAQ60" s="76"/>
      <c r="TAR60" s="76"/>
      <c r="TAS60" s="76"/>
      <c r="TAT60" s="76"/>
      <c r="TAU60" s="76"/>
      <c r="TAV60" s="76"/>
      <c r="TAW60" s="76"/>
      <c r="TAX60" s="76"/>
      <c r="TAY60" s="76"/>
      <c r="TAZ60" s="76"/>
      <c r="TBA60" s="76"/>
      <c r="TBB60" s="76"/>
      <c r="TBC60" s="76"/>
      <c r="TBD60" s="76"/>
      <c r="TBE60" s="76"/>
      <c r="TBF60" s="76"/>
      <c r="TBG60" s="76"/>
      <c r="TBH60" s="76"/>
      <c r="TBI60" s="76"/>
      <c r="TBJ60" s="76"/>
      <c r="TBK60" s="76"/>
      <c r="TBL60" s="76"/>
      <c r="TBM60" s="76"/>
      <c r="TBN60" s="76"/>
      <c r="TBO60" s="76"/>
      <c r="TBP60" s="76"/>
      <c r="TBQ60" s="76"/>
      <c r="TBR60" s="76"/>
      <c r="TBS60" s="76"/>
      <c r="TBT60" s="76"/>
      <c r="TBU60" s="76"/>
      <c r="TBV60" s="76"/>
      <c r="TBW60" s="76"/>
      <c r="TBX60" s="76"/>
      <c r="TBY60" s="76"/>
      <c r="TBZ60" s="76"/>
      <c r="TCA60" s="76"/>
      <c r="TCB60" s="76"/>
      <c r="TCC60" s="76"/>
      <c r="TCD60" s="76"/>
      <c r="TCE60" s="76"/>
      <c r="TCF60" s="76"/>
      <c r="TCG60" s="76"/>
      <c r="TCH60" s="76"/>
      <c r="TCI60" s="76"/>
      <c r="TCJ60" s="76"/>
      <c r="TCK60" s="76"/>
      <c r="TCL60" s="76"/>
      <c r="TCM60" s="76"/>
      <c r="TCN60" s="76"/>
      <c r="TCO60" s="76"/>
      <c r="TCP60" s="76"/>
      <c r="TCQ60" s="76"/>
      <c r="TCR60" s="76"/>
      <c r="TCS60" s="76"/>
      <c r="TCT60" s="76"/>
      <c r="TCU60" s="76"/>
      <c r="TCV60" s="76"/>
      <c r="TCW60" s="76"/>
      <c r="TCX60" s="76"/>
      <c r="TCY60" s="76"/>
      <c r="TCZ60" s="76"/>
      <c r="TDA60" s="76"/>
      <c r="TDB60" s="76"/>
      <c r="TDC60" s="76"/>
      <c r="TDD60" s="76"/>
      <c r="TDE60" s="76"/>
      <c r="TDF60" s="76"/>
      <c r="TDG60" s="76"/>
      <c r="TDH60" s="76"/>
      <c r="TDI60" s="76"/>
      <c r="TDJ60" s="76"/>
      <c r="TDK60" s="76"/>
      <c r="TDL60" s="76"/>
      <c r="TDM60" s="76"/>
      <c r="TDN60" s="76"/>
      <c r="TDO60" s="76"/>
      <c r="TDP60" s="76"/>
      <c r="TDQ60" s="76"/>
      <c r="TDR60" s="76"/>
      <c r="TDS60" s="76"/>
      <c r="TDT60" s="76"/>
      <c r="TDU60" s="76"/>
      <c r="TDV60" s="76"/>
      <c r="TDW60" s="76"/>
      <c r="TDX60" s="76"/>
      <c r="TDY60" s="76"/>
      <c r="TDZ60" s="76"/>
      <c r="TEA60" s="76"/>
      <c r="TEB60" s="76"/>
      <c r="TEC60" s="76"/>
      <c r="TED60" s="76"/>
      <c r="TEE60" s="76"/>
      <c r="TEF60" s="76"/>
      <c r="TEG60" s="76"/>
      <c r="TEH60" s="76"/>
      <c r="TEI60" s="76"/>
      <c r="TEJ60" s="76"/>
      <c r="TEK60" s="76"/>
      <c r="TEL60" s="76"/>
      <c r="TEM60" s="76"/>
      <c r="TEN60" s="76"/>
      <c r="TEO60" s="76"/>
      <c r="TEP60" s="76"/>
      <c r="TEQ60" s="76"/>
      <c r="TER60" s="76"/>
      <c r="TES60" s="76"/>
      <c r="TET60" s="76"/>
      <c r="TEU60" s="76"/>
      <c r="TEV60" s="76"/>
      <c r="TEW60" s="76"/>
      <c r="TEX60" s="76"/>
      <c r="TEY60" s="76"/>
      <c r="TEZ60" s="76"/>
      <c r="TFA60" s="76"/>
      <c r="TFB60" s="76"/>
      <c r="TFC60" s="76"/>
      <c r="TFD60" s="76"/>
      <c r="TFE60" s="76"/>
      <c r="TFF60" s="76"/>
      <c r="TFG60" s="76"/>
      <c r="TFH60" s="76"/>
      <c r="TFI60" s="76"/>
      <c r="TFJ60" s="76"/>
      <c r="TFK60" s="76"/>
      <c r="TFL60" s="76"/>
      <c r="TFM60" s="76"/>
      <c r="TFN60" s="76"/>
      <c r="TFO60" s="76"/>
      <c r="TFP60" s="76"/>
      <c r="TFQ60" s="76"/>
      <c r="TFR60" s="76"/>
      <c r="TFS60" s="76"/>
      <c r="TFT60" s="76"/>
      <c r="TFU60" s="76"/>
      <c r="TFV60" s="76"/>
      <c r="TFW60" s="76"/>
      <c r="TFX60" s="76"/>
      <c r="TFY60" s="76"/>
      <c r="TFZ60" s="76"/>
      <c r="TGA60" s="76"/>
      <c r="TGB60" s="76"/>
      <c r="TGC60" s="76"/>
      <c r="TGD60" s="76"/>
      <c r="TGE60" s="76"/>
      <c r="TGF60" s="76"/>
      <c r="TGG60" s="76"/>
      <c r="TGH60" s="76"/>
      <c r="TGI60" s="76"/>
      <c r="TGJ60" s="76"/>
      <c r="TGK60" s="76"/>
      <c r="TGL60" s="76"/>
      <c r="TGM60" s="76"/>
      <c r="TGN60" s="76"/>
      <c r="TGO60" s="76"/>
      <c r="TGP60" s="76"/>
      <c r="TGQ60" s="76"/>
      <c r="TGR60" s="76"/>
      <c r="TGS60" s="76"/>
      <c r="TGT60" s="76"/>
      <c r="TGU60" s="76"/>
      <c r="TGV60" s="76"/>
      <c r="TGW60" s="76"/>
      <c r="TGX60" s="76"/>
      <c r="TGY60" s="76"/>
      <c r="TGZ60" s="76"/>
      <c r="THA60" s="76"/>
      <c r="THB60" s="76"/>
      <c r="THC60" s="76"/>
      <c r="THD60" s="76"/>
      <c r="THE60" s="76"/>
      <c r="THF60" s="76"/>
      <c r="THG60" s="76"/>
      <c r="THH60" s="76"/>
      <c r="THI60" s="76"/>
      <c r="THJ60" s="76"/>
      <c r="THK60" s="76"/>
      <c r="THL60" s="76"/>
      <c r="THM60" s="76"/>
      <c r="THN60" s="76"/>
      <c r="THO60" s="76"/>
      <c r="THP60" s="76"/>
      <c r="THQ60" s="76"/>
      <c r="THR60" s="76"/>
      <c r="THS60" s="76"/>
      <c r="THT60" s="76"/>
      <c r="THU60" s="76"/>
      <c r="THV60" s="76"/>
      <c r="THW60" s="76"/>
      <c r="THX60" s="76"/>
      <c r="THY60" s="76"/>
      <c r="THZ60" s="76"/>
      <c r="TIA60" s="76"/>
      <c r="TIB60" s="76"/>
      <c r="TIC60" s="76"/>
      <c r="TID60" s="76"/>
      <c r="TIE60" s="76"/>
      <c r="TIF60" s="76"/>
      <c r="TIG60" s="76"/>
      <c r="TIH60" s="76"/>
      <c r="TII60" s="76"/>
      <c r="TIJ60" s="76"/>
      <c r="TIK60" s="76"/>
      <c r="TIL60" s="76"/>
      <c r="TIM60" s="76"/>
      <c r="TIN60" s="76"/>
      <c r="TIO60" s="76"/>
      <c r="TIP60" s="76"/>
      <c r="TIQ60" s="76"/>
      <c r="TIR60" s="76"/>
      <c r="TIS60" s="76"/>
      <c r="TIT60" s="76"/>
      <c r="TIU60" s="76"/>
      <c r="TIV60" s="76"/>
      <c r="TIW60" s="76"/>
      <c r="TIX60" s="76"/>
      <c r="TIY60" s="76"/>
      <c r="TIZ60" s="76"/>
      <c r="TJA60" s="76"/>
      <c r="TJB60" s="76"/>
      <c r="TJC60" s="76"/>
      <c r="TJD60" s="76"/>
      <c r="TJE60" s="76"/>
      <c r="TJF60" s="76"/>
      <c r="TJG60" s="76"/>
      <c r="TJH60" s="76"/>
      <c r="TJI60" s="76"/>
      <c r="TJJ60" s="76"/>
      <c r="TJK60" s="76"/>
      <c r="TJL60" s="76"/>
      <c r="TJM60" s="76"/>
      <c r="TJN60" s="76"/>
      <c r="TJO60" s="76"/>
      <c r="TJP60" s="76"/>
      <c r="TJQ60" s="76"/>
      <c r="TJR60" s="76"/>
      <c r="TJS60" s="76"/>
      <c r="TJT60" s="76"/>
      <c r="TJU60" s="76"/>
      <c r="TJV60" s="76"/>
      <c r="TJW60" s="76"/>
      <c r="TJX60" s="76"/>
      <c r="TJY60" s="76"/>
      <c r="TJZ60" s="76"/>
      <c r="TKA60" s="76"/>
      <c r="TKB60" s="76"/>
      <c r="TKC60" s="76"/>
      <c r="TKD60" s="76"/>
      <c r="TKE60" s="76"/>
      <c r="TKF60" s="76"/>
      <c r="TKG60" s="76"/>
      <c r="TKH60" s="76"/>
      <c r="TKI60" s="76"/>
      <c r="TKJ60" s="76"/>
      <c r="TKK60" s="76"/>
      <c r="TKL60" s="76"/>
      <c r="TKM60" s="76"/>
      <c r="TKN60" s="76"/>
      <c r="TKO60" s="76"/>
      <c r="TKP60" s="76"/>
      <c r="TKQ60" s="76"/>
      <c r="TKR60" s="76"/>
      <c r="TKS60" s="76"/>
      <c r="TKT60" s="76"/>
      <c r="TKU60" s="76"/>
      <c r="TKV60" s="76"/>
      <c r="TKW60" s="76"/>
      <c r="TKX60" s="76"/>
      <c r="TKY60" s="76"/>
      <c r="TKZ60" s="76"/>
      <c r="TLA60" s="76"/>
      <c r="TLB60" s="76"/>
      <c r="TLC60" s="76"/>
      <c r="TLD60" s="76"/>
      <c r="TLE60" s="76"/>
      <c r="TLF60" s="76"/>
      <c r="TLG60" s="76"/>
      <c r="TLH60" s="76"/>
      <c r="TLI60" s="76"/>
      <c r="TLJ60" s="76"/>
      <c r="TLK60" s="76"/>
      <c r="TLL60" s="76"/>
      <c r="TLM60" s="76"/>
      <c r="TLN60" s="76"/>
      <c r="TLO60" s="76"/>
      <c r="TLP60" s="76"/>
      <c r="TLQ60" s="76"/>
      <c r="TLR60" s="76"/>
      <c r="TLS60" s="76"/>
      <c r="TLT60" s="76"/>
      <c r="TLU60" s="76"/>
      <c r="TLV60" s="76"/>
      <c r="TLW60" s="76"/>
      <c r="TLX60" s="76"/>
      <c r="TLY60" s="76"/>
      <c r="TLZ60" s="76"/>
      <c r="TMA60" s="76"/>
      <c r="TMB60" s="76"/>
      <c r="TMC60" s="76"/>
      <c r="TMD60" s="76"/>
      <c r="TME60" s="76"/>
      <c r="TMF60" s="76"/>
      <c r="TMG60" s="76"/>
      <c r="TMH60" s="76"/>
      <c r="TMI60" s="76"/>
      <c r="TMJ60" s="76"/>
      <c r="TMK60" s="76"/>
      <c r="TML60" s="76"/>
      <c r="TMM60" s="76"/>
      <c r="TMN60" s="76"/>
      <c r="TMO60" s="76"/>
      <c r="TMP60" s="76"/>
      <c r="TMQ60" s="76"/>
      <c r="TMR60" s="76"/>
      <c r="TMS60" s="76"/>
      <c r="TMT60" s="76"/>
      <c r="TMU60" s="76"/>
      <c r="TMV60" s="76"/>
      <c r="TMW60" s="76"/>
      <c r="TMX60" s="76"/>
      <c r="TMY60" s="76"/>
      <c r="TMZ60" s="76"/>
      <c r="TNA60" s="76"/>
      <c r="TNB60" s="76"/>
      <c r="TNC60" s="76"/>
      <c r="TND60" s="76"/>
      <c r="TNE60" s="76"/>
      <c r="TNF60" s="76"/>
      <c r="TNG60" s="76"/>
      <c r="TNH60" s="76"/>
      <c r="TNI60" s="76"/>
      <c r="TNJ60" s="76"/>
      <c r="TNK60" s="76"/>
      <c r="TNL60" s="76"/>
      <c r="TNM60" s="76"/>
      <c r="TNN60" s="76"/>
      <c r="TNO60" s="76"/>
      <c r="TNP60" s="76"/>
      <c r="TNQ60" s="76"/>
      <c r="TNR60" s="76"/>
      <c r="TNS60" s="76"/>
      <c r="TNT60" s="76"/>
      <c r="TNU60" s="76"/>
      <c r="TNV60" s="76"/>
      <c r="TNW60" s="76"/>
      <c r="TNX60" s="76"/>
      <c r="TNY60" s="76"/>
      <c r="TNZ60" s="76"/>
      <c r="TOA60" s="76"/>
      <c r="TOB60" s="76"/>
      <c r="TOC60" s="76"/>
      <c r="TOD60" s="76"/>
      <c r="TOE60" s="76"/>
      <c r="TOF60" s="76"/>
      <c r="TOG60" s="76"/>
      <c r="TOH60" s="76"/>
      <c r="TOI60" s="76"/>
      <c r="TOJ60" s="76"/>
      <c r="TOK60" s="76"/>
      <c r="TOL60" s="76"/>
      <c r="TOM60" s="76"/>
      <c r="TON60" s="76"/>
      <c r="TOO60" s="76"/>
      <c r="TOP60" s="76"/>
      <c r="TOQ60" s="76"/>
      <c r="TOR60" s="76"/>
      <c r="TOS60" s="76"/>
      <c r="TOT60" s="76"/>
      <c r="TOU60" s="76"/>
      <c r="TOV60" s="76"/>
      <c r="TOW60" s="76"/>
      <c r="TOX60" s="76"/>
      <c r="TOY60" s="76"/>
      <c r="TOZ60" s="76"/>
      <c r="TPA60" s="76"/>
      <c r="TPB60" s="76"/>
      <c r="TPC60" s="76"/>
      <c r="TPD60" s="76"/>
      <c r="TPE60" s="76"/>
      <c r="TPF60" s="76"/>
      <c r="TPG60" s="76"/>
      <c r="TPH60" s="76"/>
      <c r="TPI60" s="76"/>
      <c r="TPJ60" s="76"/>
      <c r="TPK60" s="76"/>
      <c r="TPL60" s="76"/>
      <c r="TPM60" s="76"/>
      <c r="TPN60" s="76"/>
      <c r="TPO60" s="76"/>
      <c r="TPP60" s="76"/>
      <c r="TPQ60" s="76"/>
      <c r="TPR60" s="76"/>
      <c r="TPS60" s="76"/>
      <c r="TPT60" s="76"/>
      <c r="TPU60" s="76"/>
      <c r="TPV60" s="76"/>
      <c r="TPW60" s="76"/>
      <c r="TPX60" s="76"/>
      <c r="TPY60" s="76"/>
      <c r="TPZ60" s="76"/>
      <c r="TQA60" s="76"/>
      <c r="TQB60" s="76"/>
      <c r="TQC60" s="76"/>
      <c r="TQD60" s="76"/>
      <c r="TQE60" s="76"/>
      <c r="TQF60" s="76"/>
      <c r="TQG60" s="76"/>
      <c r="TQH60" s="76"/>
      <c r="TQI60" s="76"/>
      <c r="TQJ60" s="76"/>
      <c r="TQK60" s="76"/>
      <c r="TQL60" s="76"/>
      <c r="TQM60" s="76"/>
      <c r="TQN60" s="76"/>
      <c r="TQO60" s="76"/>
      <c r="TQP60" s="76"/>
      <c r="TQQ60" s="76"/>
      <c r="TQR60" s="76"/>
      <c r="TQS60" s="76"/>
      <c r="TQT60" s="76"/>
      <c r="TQU60" s="76"/>
      <c r="TQV60" s="76"/>
      <c r="TQW60" s="76"/>
      <c r="TQX60" s="76"/>
      <c r="TQY60" s="76"/>
      <c r="TQZ60" s="76"/>
      <c r="TRA60" s="76"/>
      <c r="TRB60" s="76"/>
      <c r="TRC60" s="76"/>
      <c r="TRD60" s="76"/>
      <c r="TRE60" s="76"/>
      <c r="TRF60" s="76"/>
      <c r="TRG60" s="76"/>
      <c r="TRH60" s="76"/>
      <c r="TRI60" s="76"/>
      <c r="TRJ60" s="76"/>
      <c r="TRK60" s="76"/>
      <c r="TRL60" s="76"/>
      <c r="TRM60" s="76"/>
      <c r="TRN60" s="76"/>
      <c r="TRO60" s="76"/>
      <c r="TRP60" s="76"/>
      <c r="TRQ60" s="76"/>
      <c r="TRR60" s="76"/>
      <c r="TRS60" s="76"/>
      <c r="TRT60" s="76"/>
      <c r="TRU60" s="76"/>
      <c r="TRV60" s="76"/>
      <c r="TRW60" s="76"/>
      <c r="TRX60" s="76"/>
      <c r="TRY60" s="76"/>
      <c r="TRZ60" s="76"/>
      <c r="TSA60" s="76"/>
      <c r="TSB60" s="76"/>
      <c r="TSC60" s="76"/>
      <c r="TSD60" s="76"/>
      <c r="TSE60" s="76"/>
      <c r="TSF60" s="76"/>
      <c r="TSG60" s="76"/>
      <c r="TSH60" s="76"/>
      <c r="TSI60" s="76"/>
      <c r="TSJ60" s="76"/>
      <c r="TSK60" s="76"/>
      <c r="TSL60" s="76"/>
      <c r="TSM60" s="76"/>
      <c r="TSN60" s="76"/>
      <c r="TSO60" s="76"/>
      <c r="TSP60" s="76"/>
      <c r="TSQ60" s="76"/>
      <c r="TSR60" s="76"/>
      <c r="TSS60" s="76"/>
      <c r="TST60" s="76"/>
      <c r="TSU60" s="76"/>
      <c r="TSV60" s="76"/>
      <c r="TSW60" s="76"/>
      <c r="TSX60" s="76"/>
      <c r="TSY60" s="76"/>
      <c r="TSZ60" s="76"/>
      <c r="TTA60" s="76"/>
      <c r="TTB60" s="76"/>
      <c r="TTC60" s="76"/>
      <c r="TTD60" s="76"/>
      <c r="TTE60" s="76"/>
      <c r="TTF60" s="76"/>
      <c r="TTG60" s="76"/>
      <c r="TTH60" s="76"/>
      <c r="TTI60" s="76"/>
      <c r="TTJ60" s="76"/>
      <c r="TTK60" s="76"/>
      <c r="TTL60" s="76"/>
      <c r="TTM60" s="76"/>
      <c r="TTN60" s="76"/>
      <c r="TTO60" s="76"/>
      <c r="TTP60" s="76"/>
      <c r="TTQ60" s="76"/>
      <c r="TTR60" s="76"/>
      <c r="TTS60" s="76"/>
      <c r="TTT60" s="76"/>
      <c r="TTU60" s="76"/>
      <c r="TTV60" s="76"/>
      <c r="TTW60" s="76"/>
      <c r="TTX60" s="76"/>
      <c r="TTY60" s="76"/>
      <c r="TTZ60" s="76"/>
      <c r="TUA60" s="76"/>
      <c r="TUB60" s="76"/>
      <c r="TUC60" s="76"/>
      <c r="TUD60" s="76"/>
      <c r="TUE60" s="76"/>
      <c r="TUF60" s="76"/>
      <c r="TUG60" s="76"/>
      <c r="TUH60" s="76"/>
      <c r="TUI60" s="76"/>
      <c r="TUJ60" s="76"/>
      <c r="TUK60" s="76"/>
      <c r="TUL60" s="76"/>
      <c r="TUM60" s="76"/>
      <c r="TUN60" s="76"/>
      <c r="TUO60" s="76"/>
      <c r="TUP60" s="76"/>
      <c r="TUQ60" s="76"/>
      <c r="TUR60" s="76"/>
      <c r="TUS60" s="76"/>
      <c r="TUT60" s="76"/>
      <c r="TUU60" s="76"/>
      <c r="TUV60" s="76"/>
      <c r="TUW60" s="76"/>
      <c r="TUX60" s="76"/>
      <c r="TUY60" s="76"/>
      <c r="TUZ60" s="76"/>
      <c r="TVA60" s="76"/>
      <c r="TVB60" s="76"/>
      <c r="TVC60" s="76"/>
      <c r="TVD60" s="76"/>
      <c r="TVE60" s="76"/>
      <c r="TVF60" s="76"/>
      <c r="TVG60" s="76"/>
      <c r="TVH60" s="76"/>
      <c r="TVI60" s="76"/>
      <c r="TVJ60" s="76"/>
      <c r="TVK60" s="76"/>
      <c r="TVL60" s="76"/>
      <c r="TVM60" s="76"/>
      <c r="TVN60" s="76"/>
      <c r="TVO60" s="76"/>
      <c r="TVP60" s="76"/>
      <c r="TVQ60" s="76"/>
      <c r="TVR60" s="76"/>
      <c r="TVS60" s="76"/>
      <c r="TVT60" s="76"/>
      <c r="TVU60" s="76"/>
      <c r="TVV60" s="76"/>
      <c r="TVW60" s="76"/>
      <c r="TVX60" s="76"/>
      <c r="TVY60" s="76"/>
      <c r="TVZ60" s="76"/>
      <c r="TWA60" s="76"/>
      <c r="TWB60" s="76"/>
      <c r="TWC60" s="76"/>
      <c r="TWD60" s="76"/>
      <c r="TWE60" s="76"/>
      <c r="TWF60" s="76"/>
      <c r="TWG60" s="76"/>
      <c r="TWH60" s="76"/>
      <c r="TWI60" s="76"/>
      <c r="TWJ60" s="76"/>
      <c r="TWK60" s="76"/>
      <c r="TWL60" s="76"/>
      <c r="TWM60" s="76"/>
      <c r="TWN60" s="76"/>
      <c r="TWO60" s="76"/>
      <c r="TWP60" s="76"/>
      <c r="TWQ60" s="76"/>
      <c r="TWR60" s="76"/>
      <c r="TWS60" s="76"/>
      <c r="TWT60" s="76"/>
      <c r="TWU60" s="76"/>
      <c r="TWV60" s="76"/>
      <c r="TWW60" s="76"/>
      <c r="TWX60" s="76"/>
      <c r="TWY60" s="76"/>
      <c r="TWZ60" s="76"/>
      <c r="TXA60" s="76"/>
      <c r="TXB60" s="76"/>
      <c r="TXC60" s="76"/>
      <c r="TXD60" s="76"/>
      <c r="TXE60" s="76"/>
      <c r="TXF60" s="76"/>
      <c r="TXG60" s="76"/>
      <c r="TXH60" s="76"/>
      <c r="TXI60" s="76"/>
      <c r="TXJ60" s="76"/>
      <c r="TXK60" s="76"/>
      <c r="TXL60" s="76"/>
      <c r="TXM60" s="76"/>
      <c r="TXN60" s="76"/>
      <c r="TXO60" s="76"/>
      <c r="TXP60" s="76"/>
      <c r="TXQ60" s="76"/>
      <c r="TXR60" s="76"/>
      <c r="TXS60" s="76"/>
      <c r="TXT60" s="76"/>
      <c r="TXU60" s="76"/>
      <c r="TXV60" s="76"/>
      <c r="TXW60" s="76"/>
      <c r="TXX60" s="76"/>
      <c r="TXY60" s="76"/>
      <c r="TXZ60" s="76"/>
      <c r="TYA60" s="76"/>
      <c r="TYB60" s="76"/>
      <c r="TYC60" s="76"/>
      <c r="TYD60" s="76"/>
      <c r="TYE60" s="76"/>
      <c r="TYF60" s="76"/>
      <c r="TYG60" s="76"/>
      <c r="TYH60" s="76"/>
      <c r="TYI60" s="76"/>
      <c r="TYJ60" s="76"/>
      <c r="TYK60" s="76"/>
      <c r="TYL60" s="76"/>
      <c r="TYM60" s="76"/>
      <c r="TYN60" s="76"/>
      <c r="TYO60" s="76"/>
      <c r="TYP60" s="76"/>
      <c r="TYQ60" s="76"/>
      <c r="TYR60" s="76"/>
      <c r="TYS60" s="76"/>
      <c r="TYT60" s="76"/>
      <c r="TYU60" s="76"/>
      <c r="TYV60" s="76"/>
      <c r="TYW60" s="76"/>
      <c r="TYX60" s="76"/>
      <c r="TYY60" s="76"/>
      <c r="TYZ60" s="76"/>
      <c r="TZA60" s="76"/>
      <c r="TZB60" s="76"/>
      <c r="TZC60" s="76"/>
      <c r="TZD60" s="76"/>
      <c r="TZE60" s="76"/>
      <c r="TZF60" s="76"/>
      <c r="TZG60" s="76"/>
      <c r="TZH60" s="76"/>
      <c r="TZI60" s="76"/>
      <c r="TZJ60" s="76"/>
      <c r="TZK60" s="76"/>
      <c r="TZL60" s="76"/>
      <c r="TZM60" s="76"/>
      <c r="TZN60" s="76"/>
      <c r="TZO60" s="76"/>
      <c r="TZP60" s="76"/>
      <c r="TZQ60" s="76"/>
      <c r="TZR60" s="76"/>
      <c r="TZS60" s="76"/>
      <c r="TZT60" s="76"/>
      <c r="TZU60" s="76"/>
      <c r="TZV60" s="76"/>
      <c r="TZW60" s="76"/>
      <c r="TZX60" s="76"/>
      <c r="TZY60" s="76"/>
      <c r="TZZ60" s="76"/>
      <c r="UAA60" s="76"/>
      <c r="UAB60" s="76"/>
      <c r="UAC60" s="76"/>
      <c r="UAD60" s="76"/>
      <c r="UAE60" s="76"/>
      <c r="UAF60" s="76"/>
      <c r="UAG60" s="76"/>
      <c r="UAH60" s="76"/>
      <c r="UAI60" s="76"/>
      <c r="UAJ60" s="76"/>
      <c r="UAK60" s="76"/>
      <c r="UAL60" s="76"/>
      <c r="UAM60" s="76"/>
      <c r="UAN60" s="76"/>
      <c r="UAO60" s="76"/>
      <c r="UAP60" s="76"/>
      <c r="UAQ60" s="76"/>
      <c r="UAR60" s="76"/>
      <c r="UAS60" s="76"/>
      <c r="UAT60" s="76"/>
      <c r="UAU60" s="76"/>
      <c r="UAV60" s="76"/>
      <c r="UAW60" s="76"/>
      <c r="UAX60" s="76"/>
      <c r="UAY60" s="76"/>
      <c r="UAZ60" s="76"/>
      <c r="UBA60" s="76"/>
      <c r="UBB60" s="76"/>
      <c r="UBC60" s="76"/>
      <c r="UBD60" s="76"/>
      <c r="UBE60" s="76"/>
      <c r="UBF60" s="76"/>
      <c r="UBG60" s="76"/>
      <c r="UBH60" s="76"/>
      <c r="UBI60" s="76"/>
      <c r="UBJ60" s="76"/>
      <c r="UBK60" s="76"/>
      <c r="UBL60" s="76"/>
      <c r="UBM60" s="76"/>
      <c r="UBN60" s="76"/>
      <c r="UBO60" s="76"/>
      <c r="UBP60" s="76"/>
      <c r="UBQ60" s="76"/>
      <c r="UBR60" s="76"/>
      <c r="UBS60" s="76"/>
      <c r="UBT60" s="76"/>
      <c r="UBU60" s="76"/>
      <c r="UBV60" s="76"/>
      <c r="UBW60" s="76"/>
      <c r="UBX60" s="76"/>
      <c r="UBY60" s="76"/>
      <c r="UBZ60" s="76"/>
      <c r="UCA60" s="76"/>
      <c r="UCB60" s="76"/>
      <c r="UCC60" s="76"/>
      <c r="UCD60" s="76"/>
      <c r="UCE60" s="76"/>
      <c r="UCF60" s="76"/>
      <c r="UCG60" s="76"/>
      <c r="UCH60" s="76"/>
      <c r="UCI60" s="76"/>
      <c r="UCJ60" s="76"/>
      <c r="UCK60" s="76"/>
      <c r="UCL60" s="76"/>
      <c r="UCM60" s="76"/>
      <c r="UCN60" s="76"/>
      <c r="UCO60" s="76"/>
      <c r="UCP60" s="76"/>
      <c r="UCQ60" s="76"/>
      <c r="UCR60" s="76"/>
      <c r="UCS60" s="76"/>
      <c r="UCT60" s="76"/>
      <c r="UCU60" s="76"/>
      <c r="UCV60" s="76"/>
      <c r="UCW60" s="76"/>
      <c r="UCX60" s="76"/>
      <c r="UCY60" s="76"/>
      <c r="UCZ60" s="76"/>
      <c r="UDA60" s="76"/>
      <c r="UDB60" s="76"/>
      <c r="UDC60" s="76"/>
      <c r="UDD60" s="76"/>
      <c r="UDE60" s="76"/>
      <c r="UDF60" s="76"/>
      <c r="UDG60" s="76"/>
      <c r="UDH60" s="76"/>
      <c r="UDI60" s="76"/>
      <c r="UDJ60" s="76"/>
      <c r="UDK60" s="76"/>
      <c r="UDL60" s="76"/>
      <c r="UDM60" s="76"/>
      <c r="UDN60" s="76"/>
      <c r="UDO60" s="76"/>
      <c r="UDP60" s="76"/>
      <c r="UDQ60" s="76"/>
      <c r="UDR60" s="76"/>
      <c r="UDS60" s="76"/>
      <c r="UDT60" s="76"/>
      <c r="UDU60" s="76"/>
      <c r="UDV60" s="76"/>
      <c r="UDW60" s="76"/>
      <c r="UDX60" s="76"/>
      <c r="UDY60" s="76"/>
      <c r="UDZ60" s="76"/>
      <c r="UEA60" s="76"/>
      <c r="UEB60" s="76"/>
      <c r="UEC60" s="76"/>
      <c r="UED60" s="76"/>
      <c r="UEE60" s="76"/>
      <c r="UEF60" s="76"/>
      <c r="UEG60" s="76"/>
      <c r="UEH60" s="76"/>
      <c r="UEI60" s="76"/>
      <c r="UEJ60" s="76"/>
      <c r="UEK60" s="76"/>
      <c r="UEL60" s="76"/>
      <c r="UEM60" s="76"/>
      <c r="UEN60" s="76"/>
      <c r="UEO60" s="76"/>
      <c r="UEP60" s="76"/>
      <c r="UEQ60" s="76"/>
      <c r="UER60" s="76"/>
      <c r="UES60" s="76"/>
      <c r="UET60" s="76"/>
      <c r="UEU60" s="76"/>
      <c r="UEV60" s="76"/>
      <c r="UEW60" s="76"/>
      <c r="UEX60" s="76"/>
      <c r="UEY60" s="76"/>
      <c r="UEZ60" s="76"/>
      <c r="UFA60" s="76"/>
      <c r="UFB60" s="76"/>
      <c r="UFC60" s="76"/>
      <c r="UFD60" s="76"/>
      <c r="UFE60" s="76"/>
      <c r="UFF60" s="76"/>
      <c r="UFG60" s="76"/>
      <c r="UFH60" s="76"/>
      <c r="UFI60" s="76"/>
      <c r="UFJ60" s="76"/>
      <c r="UFK60" s="76"/>
      <c r="UFL60" s="76"/>
      <c r="UFM60" s="76"/>
      <c r="UFN60" s="76"/>
      <c r="UFO60" s="76"/>
      <c r="UFP60" s="76"/>
      <c r="UFQ60" s="76"/>
      <c r="UFR60" s="76"/>
      <c r="UFS60" s="76"/>
      <c r="UFT60" s="76"/>
      <c r="UFU60" s="76"/>
      <c r="UFV60" s="76"/>
      <c r="UFW60" s="76"/>
      <c r="UFX60" s="76"/>
      <c r="UFY60" s="76"/>
      <c r="UFZ60" s="76"/>
      <c r="UGA60" s="76"/>
      <c r="UGB60" s="76"/>
      <c r="UGC60" s="76"/>
      <c r="UGD60" s="76"/>
      <c r="UGE60" s="76"/>
      <c r="UGF60" s="76"/>
      <c r="UGG60" s="76"/>
      <c r="UGH60" s="76"/>
      <c r="UGI60" s="76"/>
      <c r="UGJ60" s="76"/>
      <c r="UGK60" s="76"/>
      <c r="UGL60" s="76"/>
      <c r="UGM60" s="76"/>
      <c r="UGN60" s="76"/>
      <c r="UGO60" s="76"/>
      <c r="UGP60" s="76"/>
      <c r="UGQ60" s="76"/>
      <c r="UGR60" s="76"/>
      <c r="UGS60" s="76"/>
      <c r="UGT60" s="76"/>
      <c r="UGU60" s="76"/>
      <c r="UGV60" s="76"/>
      <c r="UGW60" s="76"/>
      <c r="UGX60" s="76"/>
      <c r="UGY60" s="76"/>
      <c r="UGZ60" s="76"/>
      <c r="UHA60" s="76"/>
      <c r="UHB60" s="76"/>
      <c r="UHC60" s="76"/>
      <c r="UHD60" s="76"/>
      <c r="UHE60" s="76"/>
      <c r="UHF60" s="76"/>
      <c r="UHG60" s="76"/>
      <c r="UHH60" s="76"/>
      <c r="UHI60" s="76"/>
      <c r="UHJ60" s="76"/>
      <c r="UHK60" s="76"/>
      <c r="UHL60" s="76"/>
      <c r="UHM60" s="76"/>
      <c r="UHN60" s="76"/>
      <c r="UHO60" s="76"/>
      <c r="UHP60" s="76"/>
      <c r="UHQ60" s="76"/>
      <c r="UHR60" s="76"/>
      <c r="UHS60" s="76"/>
      <c r="UHT60" s="76"/>
      <c r="UHU60" s="76"/>
      <c r="UHV60" s="76"/>
      <c r="UHW60" s="76"/>
      <c r="UHX60" s="76"/>
      <c r="UHY60" s="76"/>
      <c r="UHZ60" s="76"/>
      <c r="UIA60" s="76"/>
      <c r="UIB60" s="76"/>
      <c r="UIC60" s="76"/>
      <c r="UID60" s="76"/>
      <c r="UIE60" s="76"/>
      <c r="UIF60" s="76"/>
      <c r="UIG60" s="76"/>
      <c r="UIH60" s="76"/>
      <c r="UII60" s="76"/>
      <c r="UIJ60" s="76"/>
      <c r="UIK60" s="76"/>
      <c r="UIL60" s="76"/>
      <c r="UIM60" s="76"/>
      <c r="UIN60" s="76"/>
      <c r="UIO60" s="76"/>
      <c r="UIP60" s="76"/>
      <c r="UIQ60" s="76"/>
      <c r="UIR60" s="76"/>
      <c r="UIS60" s="76"/>
      <c r="UIT60" s="76"/>
      <c r="UIU60" s="76"/>
      <c r="UIV60" s="76"/>
      <c r="UIW60" s="76"/>
      <c r="UIX60" s="76"/>
      <c r="UIY60" s="76"/>
      <c r="UIZ60" s="76"/>
      <c r="UJA60" s="76"/>
      <c r="UJB60" s="76"/>
      <c r="UJC60" s="76"/>
      <c r="UJD60" s="76"/>
      <c r="UJE60" s="76"/>
      <c r="UJF60" s="76"/>
      <c r="UJG60" s="76"/>
      <c r="UJH60" s="76"/>
      <c r="UJI60" s="76"/>
      <c r="UJJ60" s="76"/>
      <c r="UJK60" s="76"/>
      <c r="UJL60" s="76"/>
      <c r="UJM60" s="76"/>
      <c r="UJN60" s="76"/>
      <c r="UJO60" s="76"/>
      <c r="UJP60" s="76"/>
      <c r="UJQ60" s="76"/>
      <c r="UJR60" s="76"/>
      <c r="UJS60" s="76"/>
      <c r="UJT60" s="76"/>
      <c r="UJU60" s="76"/>
      <c r="UJV60" s="76"/>
      <c r="UJW60" s="76"/>
      <c r="UJX60" s="76"/>
      <c r="UJY60" s="76"/>
      <c r="UJZ60" s="76"/>
      <c r="UKA60" s="76"/>
      <c r="UKB60" s="76"/>
      <c r="UKC60" s="76"/>
      <c r="UKD60" s="76"/>
      <c r="UKE60" s="76"/>
      <c r="UKF60" s="76"/>
      <c r="UKG60" s="76"/>
      <c r="UKH60" s="76"/>
      <c r="UKI60" s="76"/>
      <c r="UKJ60" s="76"/>
      <c r="UKK60" s="76"/>
      <c r="UKL60" s="76"/>
      <c r="UKM60" s="76"/>
      <c r="UKN60" s="76"/>
      <c r="UKO60" s="76"/>
      <c r="UKP60" s="76"/>
      <c r="UKQ60" s="76"/>
      <c r="UKR60" s="76"/>
      <c r="UKS60" s="76"/>
      <c r="UKT60" s="76"/>
      <c r="UKU60" s="76"/>
      <c r="UKV60" s="76"/>
      <c r="UKW60" s="76"/>
      <c r="UKX60" s="76"/>
      <c r="UKY60" s="76"/>
      <c r="UKZ60" s="76"/>
      <c r="ULA60" s="76"/>
      <c r="ULB60" s="76"/>
      <c r="ULC60" s="76"/>
      <c r="ULD60" s="76"/>
      <c r="ULE60" s="76"/>
      <c r="ULF60" s="76"/>
      <c r="ULG60" s="76"/>
      <c r="ULH60" s="76"/>
      <c r="ULI60" s="76"/>
      <c r="ULJ60" s="76"/>
      <c r="ULK60" s="76"/>
      <c r="ULL60" s="76"/>
      <c r="ULM60" s="76"/>
      <c r="ULN60" s="76"/>
      <c r="ULO60" s="76"/>
      <c r="ULP60" s="76"/>
      <c r="ULQ60" s="76"/>
      <c r="ULR60" s="76"/>
      <c r="ULS60" s="76"/>
      <c r="ULT60" s="76"/>
      <c r="ULU60" s="76"/>
      <c r="ULV60" s="76"/>
      <c r="ULW60" s="76"/>
      <c r="ULX60" s="76"/>
      <c r="ULY60" s="76"/>
      <c r="ULZ60" s="76"/>
      <c r="UMA60" s="76"/>
      <c r="UMB60" s="76"/>
      <c r="UMC60" s="76"/>
      <c r="UMD60" s="76"/>
      <c r="UME60" s="76"/>
      <c r="UMF60" s="76"/>
      <c r="UMG60" s="76"/>
      <c r="UMH60" s="76"/>
      <c r="UMI60" s="76"/>
      <c r="UMJ60" s="76"/>
      <c r="UMK60" s="76"/>
      <c r="UML60" s="76"/>
      <c r="UMM60" s="76"/>
      <c r="UMN60" s="76"/>
      <c r="UMO60" s="76"/>
      <c r="UMP60" s="76"/>
      <c r="UMQ60" s="76"/>
      <c r="UMR60" s="76"/>
      <c r="UMS60" s="76"/>
      <c r="UMT60" s="76"/>
      <c r="UMU60" s="76"/>
      <c r="UMV60" s="76"/>
      <c r="UMW60" s="76"/>
      <c r="UMX60" s="76"/>
      <c r="UMY60" s="76"/>
      <c r="UMZ60" s="76"/>
      <c r="UNA60" s="76"/>
      <c r="UNB60" s="76"/>
      <c r="UNC60" s="76"/>
      <c r="UND60" s="76"/>
      <c r="UNE60" s="76"/>
      <c r="UNF60" s="76"/>
      <c r="UNG60" s="76"/>
      <c r="UNH60" s="76"/>
      <c r="UNI60" s="76"/>
      <c r="UNJ60" s="76"/>
      <c r="UNK60" s="76"/>
      <c r="UNL60" s="76"/>
      <c r="UNM60" s="76"/>
      <c r="UNN60" s="76"/>
      <c r="UNO60" s="76"/>
      <c r="UNP60" s="76"/>
      <c r="UNQ60" s="76"/>
      <c r="UNR60" s="76"/>
      <c r="UNS60" s="76"/>
      <c r="UNT60" s="76"/>
      <c r="UNU60" s="76"/>
      <c r="UNV60" s="76"/>
      <c r="UNW60" s="76"/>
      <c r="UNX60" s="76"/>
      <c r="UNY60" s="76"/>
      <c r="UNZ60" s="76"/>
      <c r="UOA60" s="76"/>
      <c r="UOB60" s="76"/>
      <c r="UOC60" s="76"/>
      <c r="UOD60" s="76"/>
      <c r="UOE60" s="76"/>
      <c r="UOF60" s="76"/>
      <c r="UOG60" s="76"/>
      <c r="UOH60" s="76"/>
      <c r="UOI60" s="76"/>
      <c r="UOJ60" s="76"/>
      <c r="UOK60" s="76"/>
      <c r="UOL60" s="76"/>
      <c r="UOM60" s="76"/>
      <c r="UON60" s="76"/>
      <c r="UOO60" s="76"/>
      <c r="UOP60" s="76"/>
      <c r="UOQ60" s="76"/>
      <c r="UOR60" s="76"/>
      <c r="UOS60" s="76"/>
      <c r="UOT60" s="76"/>
      <c r="UOU60" s="76"/>
      <c r="UOV60" s="76"/>
      <c r="UOW60" s="76"/>
      <c r="UOX60" s="76"/>
      <c r="UOY60" s="76"/>
      <c r="UOZ60" s="76"/>
      <c r="UPA60" s="76"/>
      <c r="UPB60" s="76"/>
      <c r="UPC60" s="76"/>
      <c r="UPD60" s="76"/>
      <c r="UPE60" s="76"/>
      <c r="UPF60" s="76"/>
      <c r="UPG60" s="76"/>
      <c r="UPH60" s="76"/>
      <c r="UPI60" s="76"/>
      <c r="UPJ60" s="76"/>
      <c r="UPK60" s="76"/>
      <c r="UPL60" s="76"/>
      <c r="UPM60" s="76"/>
      <c r="UPN60" s="76"/>
      <c r="UPO60" s="76"/>
      <c r="UPP60" s="76"/>
      <c r="UPQ60" s="76"/>
      <c r="UPR60" s="76"/>
      <c r="UPS60" s="76"/>
      <c r="UPT60" s="76"/>
      <c r="UPU60" s="76"/>
      <c r="UPV60" s="76"/>
      <c r="UPW60" s="76"/>
      <c r="UPX60" s="76"/>
      <c r="UPY60" s="76"/>
      <c r="UPZ60" s="76"/>
      <c r="UQA60" s="76"/>
      <c r="UQB60" s="76"/>
      <c r="UQC60" s="76"/>
      <c r="UQD60" s="76"/>
      <c r="UQE60" s="76"/>
      <c r="UQF60" s="76"/>
      <c r="UQG60" s="76"/>
      <c r="UQH60" s="76"/>
      <c r="UQI60" s="76"/>
      <c r="UQJ60" s="76"/>
      <c r="UQK60" s="76"/>
      <c r="UQL60" s="76"/>
      <c r="UQM60" s="76"/>
      <c r="UQN60" s="76"/>
      <c r="UQO60" s="76"/>
      <c r="UQP60" s="76"/>
      <c r="UQQ60" s="76"/>
      <c r="UQR60" s="76"/>
      <c r="UQS60" s="76"/>
      <c r="UQT60" s="76"/>
      <c r="UQU60" s="76"/>
      <c r="UQV60" s="76"/>
      <c r="UQW60" s="76"/>
      <c r="UQX60" s="76"/>
      <c r="UQY60" s="76"/>
      <c r="UQZ60" s="76"/>
      <c r="URA60" s="76"/>
      <c r="URB60" s="76"/>
      <c r="URC60" s="76"/>
      <c r="URD60" s="76"/>
      <c r="URE60" s="76"/>
      <c r="URF60" s="76"/>
      <c r="URG60" s="76"/>
      <c r="URH60" s="76"/>
      <c r="URI60" s="76"/>
      <c r="URJ60" s="76"/>
      <c r="URK60" s="76"/>
      <c r="URL60" s="76"/>
      <c r="URM60" s="76"/>
      <c r="URN60" s="76"/>
      <c r="URO60" s="76"/>
      <c r="URP60" s="76"/>
      <c r="URQ60" s="76"/>
      <c r="URR60" s="76"/>
      <c r="URS60" s="76"/>
      <c r="URT60" s="76"/>
      <c r="URU60" s="76"/>
      <c r="URV60" s="76"/>
      <c r="URW60" s="76"/>
      <c r="URX60" s="76"/>
      <c r="URY60" s="76"/>
      <c r="URZ60" s="76"/>
      <c r="USA60" s="76"/>
      <c r="USB60" s="76"/>
      <c r="USC60" s="76"/>
      <c r="USD60" s="76"/>
      <c r="USE60" s="76"/>
      <c r="USF60" s="76"/>
      <c r="USG60" s="76"/>
      <c r="USH60" s="76"/>
      <c r="USI60" s="76"/>
      <c r="USJ60" s="76"/>
      <c r="USK60" s="76"/>
      <c r="USL60" s="76"/>
      <c r="USM60" s="76"/>
      <c r="USN60" s="76"/>
      <c r="USO60" s="76"/>
      <c r="USP60" s="76"/>
      <c r="USQ60" s="76"/>
      <c r="USR60" s="76"/>
      <c r="USS60" s="76"/>
      <c r="UST60" s="76"/>
      <c r="USU60" s="76"/>
      <c r="USV60" s="76"/>
      <c r="USW60" s="76"/>
      <c r="USX60" s="76"/>
      <c r="USY60" s="76"/>
      <c r="USZ60" s="76"/>
      <c r="UTA60" s="76"/>
      <c r="UTB60" s="76"/>
      <c r="UTC60" s="76"/>
      <c r="UTD60" s="76"/>
      <c r="UTE60" s="76"/>
      <c r="UTF60" s="76"/>
      <c r="UTG60" s="76"/>
      <c r="UTH60" s="76"/>
      <c r="UTI60" s="76"/>
      <c r="UTJ60" s="76"/>
      <c r="UTK60" s="76"/>
      <c r="UTL60" s="76"/>
      <c r="UTM60" s="76"/>
      <c r="UTN60" s="76"/>
      <c r="UTO60" s="76"/>
      <c r="UTP60" s="76"/>
      <c r="UTQ60" s="76"/>
      <c r="UTR60" s="76"/>
      <c r="UTS60" s="76"/>
      <c r="UTT60" s="76"/>
      <c r="UTU60" s="76"/>
      <c r="UTV60" s="76"/>
      <c r="UTW60" s="76"/>
      <c r="UTX60" s="76"/>
      <c r="UTY60" s="76"/>
      <c r="UTZ60" s="76"/>
      <c r="UUA60" s="76"/>
      <c r="UUB60" s="76"/>
      <c r="UUC60" s="76"/>
      <c r="UUD60" s="76"/>
      <c r="UUE60" s="76"/>
      <c r="UUF60" s="76"/>
      <c r="UUG60" s="76"/>
      <c r="UUH60" s="76"/>
      <c r="UUI60" s="76"/>
      <c r="UUJ60" s="76"/>
      <c r="UUK60" s="76"/>
      <c r="UUL60" s="76"/>
      <c r="UUM60" s="76"/>
      <c r="UUN60" s="76"/>
      <c r="UUO60" s="76"/>
      <c r="UUP60" s="76"/>
      <c r="UUQ60" s="76"/>
      <c r="UUR60" s="76"/>
      <c r="UUS60" s="76"/>
      <c r="UUT60" s="76"/>
      <c r="UUU60" s="76"/>
      <c r="UUV60" s="76"/>
      <c r="UUW60" s="76"/>
      <c r="UUX60" s="76"/>
      <c r="UUY60" s="76"/>
      <c r="UUZ60" s="76"/>
      <c r="UVA60" s="76"/>
      <c r="UVB60" s="76"/>
      <c r="UVC60" s="76"/>
      <c r="UVD60" s="76"/>
      <c r="UVE60" s="76"/>
      <c r="UVF60" s="76"/>
      <c r="UVG60" s="76"/>
      <c r="UVH60" s="76"/>
      <c r="UVI60" s="76"/>
      <c r="UVJ60" s="76"/>
      <c r="UVK60" s="76"/>
      <c r="UVL60" s="76"/>
      <c r="UVM60" s="76"/>
      <c r="UVN60" s="76"/>
      <c r="UVO60" s="76"/>
      <c r="UVP60" s="76"/>
      <c r="UVQ60" s="76"/>
      <c r="UVR60" s="76"/>
      <c r="UVS60" s="76"/>
      <c r="UVT60" s="76"/>
      <c r="UVU60" s="76"/>
      <c r="UVV60" s="76"/>
      <c r="UVW60" s="76"/>
      <c r="UVX60" s="76"/>
      <c r="UVY60" s="76"/>
      <c r="UVZ60" s="76"/>
      <c r="UWA60" s="76"/>
      <c r="UWB60" s="76"/>
      <c r="UWC60" s="76"/>
      <c r="UWD60" s="76"/>
      <c r="UWE60" s="76"/>
      <c r="UWF60" s="76"/>
      <c r="UWG60" s="76"/>
      <c r="UWH60" s="76"/>
      <c r="UWI60" s="76"/>
      <c r="UWJ60" s="76"/>
      <c r="UWK60" s="76"/>
      <c r="UWL60" s="76"/>
      <c r="UWM60" s="76"/>
      <c r="UWN60" s="76"/>
      <c r="UWO60" s="76"/>
      <c r="UWP60" s="76"/>
      <c r="UWQ60" s="76"/>
      <c r="UWR60" s="76"/>
      <c r="UWS60" s="76"/>
      <c r="UWT60" s="76"/>
      <c r="UWU60" s="76"/>
      <c r="UWV60" s="76"/>
      <c r="UWW60" s="76"/>
      <c r="UWX60" s="76"/>
      <c r="UWY60" s="76"/>
      <c r="UWZ60" s="76"/>
      <c r="UXA60" s="76"/>
      <c r="UXB60" s="76"/>
      <c r="UXC60" s="76"/>
      <c r="UXD60" s="76"/>
      <c r="UXE60" s="76"/>
      <c r="UXF60" s="76"/>
      <c r="UXG60" s="76"/>
      <c r="UXH60" s="76"/>
      <c r="UXI60" s="76"/>
      <c r="UXJ60" s="76"/>
      <c r="UXK60" s="76"/>
      <c r="UXL60" s="76"/>
      <c r="UXM60" s="76"/>
      <c r="UXN60" s="76"/>
      <c r="UXO60" s="76"/>
      <c r="UXP60" s="76"/>
      <c r="UXQ60" s="76"/>
      <c r="UXR60" s="76"/>
      <c r="UXS60" s="76"/>
      <c r="UXT60" s="76"/>
      <c r="UXU60" s="76"/>
      <c r="UXV60" s="76"/>
      <c r="UXW60" s="76"/>
      <c r="UXX60" s="76"/>
      <c r="UXY60" s="76"/>
      <c r="UXZ60" s="76"/>
      <c r="UYA60" s="76"/>
      <c r="UYB60" s="76"/>
      <c r="UYC60" s="76"/>
      <c r="UYD60" s="76"/>
      <c r="UYE60" s="76"/>
      <c r="UYF60" s="76"/>
      <c r="UYG60" s="76"/>
      <c r="UYH60" s="76"/>
      <c r="UYI60" s="76"/>
      <c r="UYJ60" s="76"/>
      <c r="UYK60" s="76"/>
      <c r="UYL60" s="76"/>
      <c r="UYM60" s="76"/>
      <c r="UYN60" s="76"/>
      <c r="UYO60" s="76"/>
      <c r="UYP60" s="76"/>
      <c r="UYQ60" s="76"/>
      <c r="UYR60" s="76"/>
      <c r="UYS60" s="76"/>
      <c r="UYT60" s="76"/>
      <c r="UYU60" s="76"/>
      <c r="UYV60" s="76"/>
      <c r="UYW60" s="76"/>
      <c r="UYX60" s="76"/>
      <c r="UYY60" s="76"/>
      <c r="UYZ60" s="76"/>
      <c r="UZA60" s="76"/>
      <c r="UZB60" s="76"/>
      <c r="UZC60" s="76"/>
      <c r="UZD60" s="76"/>
      <c r="UZE60" s="76"/>
      <c r="UZF60" s="76"/>
      <c r="UZG60" s="76"/>
      <c r="UZH60" s="76"/>
      <c r="UZI60" s="76"/>
      <c r="UZJ60" s="76"/>
      <c r="UZK60" s="76"/>
      <c r="UZL60" s="76"/>
      <c r="UZM60" s="76"/>
      <c r="UZN60" s="76"/>
      <c r="UZO60" s="76"/>
      <c r="UZP60" s="76"/>
      <c r="UZQ60" s="76"/>
      <c r="UZR60" s="76"/>
      <c r="UZS60" s="76"/>
      <c r="UZT60" s="76"/>
      <c r="UZU60" s="76"/>
      <c r="UZV60" s="76"/>
      <c r="UZW60" s="76"/>
      <c r="UZX60" s="76"/>
      <c r="UZY60" s="76"/>
      <c r="UZZ60" s="76"/>
      <c r="VAA60" s="76"/>
      <c r="VAB60" s="76"/>
      <c r="VAC60" s="76"/>
      <c r="VAD60" s="76"/>
      <c r="VAE60" s="76"/>
      <c r="VAF60" s="76"/>
      <c r="VAG60" s="76"/>
      <c r="VAH60" s="76"/>
      <c r="VAI60" s="76"/>
      <c r="VAJ60" s="76"/>
      <c r="VAK60" s="76"/>
      <c r="VAL60" s="76"/>
      <c r="VAM60" s="76"/>
      <c r="VAN60" s="76"/>
      <c r="VAO60" s="76"/>
      <c r="VAP60" s="76"/>
      <c r="VAQ60" s="76"/>
      <c r="VAR60" s="76"/>
      <c r="VAS60" s="76"/>
      <c r="VAT60" s="76"/>
      <c r="VAU60" s="76"/>
      <c r="VAV60" s="76"/>
      <c r="VAW60" s="76"/>
      <c r="VAX60" s="76"/>
      <c r="VAY60" s="76"/>
      <c r="VAZ60" s="76"/>
      <c r="VBA60" s="76"/>
      <c r="VBB60" s="76"/>
      <c r="VBC60" s="76"/>
      <c r="VBD60" s="76"/>
      <c r="VBE60" s="76"/>
      <c r="VBF60" s="76"/>
      <c r="VBG60" s="76"/>
      <c r="VBH60" s="76"/>
      <c r="VBI60" s="76"/>
      <c r="VBJ60" s="76"/>
      <c r="VBK60" s="76"/>
      <c r="VBL60" s="76"/>
      <c r="VBM60" s="76"/>
      <c r="VBN60" s="76"/>
      <c r="VBO60" s="76"/>
      <c r="VBP60" s="76"/>
      <c r="VBQ60" s="76"/>
      <c r="VBR60" s="76"/>
      <c r="VBS60" s="76"/>
      <c r="VBT60" s="76"/>
      <c r="VBU60" s="76"/>
      <c r="VBV60" s="76"/>
      <c r="VBW60" s="76"/>
      <c r="VBX60" s="76"/>
      <c r="VBY60" s="76"/>
      <c r="VBZ60" s="76"/>
      <c r="VCA60" s="76"/>
      <c r="VCB60" s="76"/>
      <c r="VCC60" s="76"/>
      <c r="VCD60" s="76"/>
      <c r="VCE60" s="76"/>
      <c r="VCF60" s="76"/>
      <c r="VCG60" s="76"/>
      <c r="VCH60" s="76"/>
      <c r="VCI60" s="76"/>
      <c r="VCJ60" s="76"/>
      <c r="VCK60" s="76"/>
      <c r="VCL60" s="76"/>
      <c r="VCM60" s="76"/>
      <c r="VCN60" s="76"/>
      <c r="VCO60" s="76"/>
      <c r="VCP60" s="76"/>
      <c r="VCQ60" s="76"/>
      <c r="VCR60" s="76"/>
      <c r="VCS60" s="76"/>
      <c r="VCT60" s="76"/>
      <c r="VCU60" s="76"/>
      <c r="VCV60" s="76"/>
      <c r="VCW60" s="76"/>
      <c r="VCX60" s="76"/>
      <c r="VCY60" s="76"/>
      <c r="VCZ60" s="76"/>
      <c r="VDA60" s="76"/>
      <c r="VDB60" s="76"/>
      <c r="VDC60" s="76"/>
      <c r="VDD60" s="76"/>
      <c r="VDE60" s="76"/>
      <c r="VDF60" s="76"/>
      <c r="VDG60" s="76"/>
      <c r="VDH60" s="76"/>
      <c r="VDI60" s="76"/>
      <c r="VDJ60" s="76"/>
      <c r="VDK60" s="76"/>
      <c r="VDL60" s="76"/>
      <c r="VDM60" s="76"/>
      <c r="VDN60" s="76"/>
      <c r="VDO60" s="76"/>
      <c r="VDP60" s="76"/>
      <c r="VDQ60" s="76"/>
      <c r="VDR60" s="76"/>
      <c r="VDS60" s="76"/>
      <c r="VDT60" s="76"/>
      <c r="VDU60" s="76"/>
      <c r="VDV60" s="76"/>
      <c r="VDW60" s="76"/>
      <c r="VDX60" s="76"/>
      <c r="VDY60" s="76"/>
      <c r="VDZ60" s="76"/>
      <c r="VEA60" s="76"/>
      <c r="VEB60" s="76"/>
      <c r="VEC60" s="76"/>
      <c r="VED60" s="76"/>
      <c r="VEE60" s="76"/>
      <c r="VEF60" s="76"/>
      <c r="VEG60" s="76"/>
      <c r="VEH60" s="76"/>
      <c r="VEI60" s="76"/>
      <c r="VEJ60" s="76"/>
      <c r="VEK60" s="76"/>
      <c r="VEL60" s="76"/>
      <c r="VEM60" s="76"/>
      <c r="VEN60" s="76"/>
      <c r="VEO60" s="76"/>
      <c r="VEP60" s="76"/>
      <c r="VEQ60" s="76"/>
      <c r="VER60" s="76"/>
      <c r="VES60" s="76"/>
      <c r="VET60" s="76"/>
      <c r="VEU60" s="76"/>
      <c r="VEV60" s="76"/>
      <c r="VEW60" s="76"/>
      <c r="VEX60" s="76"/>
      <c r="VEY60" s="76"/>
      <c r="VEZ60" s="76"/>
      <c r="VFA60" s="76"/>
      <c r="VFB60" s="76"/>
      <c r="VFC60" s="76"/>
      <c r="VFD60" s="76"/>
      <c r="VFE60" s="76"/>
      <c r="VFF60" s="76"/>
      <c r="VFG60" s="76"/>
      <c r="VFH60" s="76"/>
      <c r="VFI60" s="76"/>
      <c r="VFJ60" s="76"/>
      <c r="VFK60" s="76"/>
      <c r="VFL60" s="76"/>
      <c r="VFM60" s="76"/>
      <c r="VFN60" s="76"/>
      <c r="VFO60" s="76"/>
      <c r="VFP60" s="76"/>
      <c r="VFQ60" s="76"/>
      <c r="VFR60" s="76"/>
      <c r="VFS60" s="76"/>
      <c r="VFT60" s="76"/>
      <c r="VFU60" s="76"/>
      <c r="VFV60" s="76"/>
      <c r="VFW60" s="76"/>
      <c r="VFX60" s="76"/>
      <c r="VFY60" s="76"/>
      <c r="VFZ60" s="76"/>
      <c r="VGA60" s="76"/>
      <c r="VGB60" s="76"/>
      <c r="VGC60" s="76"/>
      <c r="VGD60" s="76"/>
      <c r="VGE60" s="76"/>
      <c r="VGF60" s="76"/>
      <c r="VGG60" s="76"/>
      <c r="VGH60" s="76"/>
      <c r="VGI60" s="76"/>
      <c r="VGJ60" s="76"/>
      <c r="VGK60" s="76"/>
      <c r="VGL60" s="76"/>
      <c r="VGM60" s="76"/>
      <c r="VGN60" s="76"/>
      <c r="VGO60" s="76"/>
      <c r="VGP60" s="76"/>
      <c r="VGQ60" s="76"/>
      <c r="VGR60" s="76"/>
      <c r="VGS60" s="76"/>
      <c r="VGT60" s="76"/>
      <c r="VGU60" s="76"/>
      <c r="VGV60" s="76"/>
      <c r="VGW60" s="76"/>
      <c r="VGX60" s="76"/>
      <c r="VGY60" s="76"/>
      <c r="VGZ60" s="76"/>
      <c r="VHA60" s="76"/>
      <c r="VHB60" s="76"/>
      <c r="VHC60" s="76"/>
      <c r="VHD60" s="76"/>
      <c r="VHE60" s="76"/>
      <c r="VHF60" s="76"/>
      <c r="VHG60" s="76"/>
      <c r="VHH60" s="76"/>
      <c r="VHI60" s="76"/>
      <c r="VHJ60" s="76"/>
      <c r="VHK60" s="76"/>
      <c r="VHL60" s="76"/>
      <c r="VHM60" s="76"/>
      <c r="VHN60" s="76"/>
      <c r="VHO60" s="76"/>
      <c r="VHP60" s="76"/>
      <c r="VHQ60" s="76"/>
      <c r="VHR60" s="76"/>
      <c r="VHS60" s="76"/>
      <c r="VHT60" s="76"/>
      <c r="VHU60" s="76"/>
      <c r="VHV60" s="76"/>
      <c r="VHW60" s="76"/>
      <c r="VHX60" s="76"/>
      <c r="VHY60" s="76"/>
      <c r="VHZ60" s="76"/>
      <c r="VIA60" s="76"/>
      <c r="VIB60" s="76"/>
      <c r="VIC60" s="76"/>
      <c r="VID60" s="76"/>
      <c r="VIE60" s="76"/>
      <c r="VIF60" s="76"/>
      <c r="VIG60" s="76"/>
      <c r="VIH60" s="76"/>
      <c r="VII60" s="76"/>
      <c r="VIJ60" s="76"/>
      <c r="VIK60" s="76"/>
      <c r="VIL60" s="76"/>
      <c r="VIM60" s="76"/>
      <c r="VIN60" s="76"/>
      <c r="VIO60" s="76"/>
      <c r="VIP60" s="76"/>
      <c r="VIQ60" s="76"/>
      <c r="VIR60" s="76"/>
      <c r="VIS60" s="76"/>
      <c r="VIT60" s="76"/>
      <c r="VIU60" s="76"/>
      <c r="VIV60" s="76"/>
      <c r="VIW60" s="76"/>
      <c r="VIX60" s="76"/>
      <c r="VIY60" s="76"/>
      <c r="VIZ60" s="76"/>
      <c r="VJA60" s="76"/>
      <c r="VJB60" s="76"/>
      <c r="VJC60" s="76"/>
      <c r="VJD60" s="76"/>
      <c r="VJE60" s="76"/>
      <c r="VJF60" s="76"/>
      <c r="VJG60" s="76"/>
      <c r="VJH60" s="76"/>
      <c r="VJI60" s="76"/>
      <c r="VJJ60" s="76"/>
      <c r="VJK60" s="76"/>
      <c r="VJL60" s="76"/>
      <c r="VJM60" s="76"/>
      <c r="VJN60" s="76"/>
      <c r="VJO60" s="76"/>
      <c r="VJP60" s="76"/>
      <c r="VJQ60" s="76"/>
      <c r="VJR60" s="76"/>
      <c r="VJS60" s="76"/>
      <c r="VJT60" s="76"/>
      <c r="VJU60" s="76"/>
      <c r="VJV60" s="76"/>
      <c r="VJW60" s="76"/>
      <c r="VJX60" s="76"/>
      <c r="VJY60" s="76"/>
      <c r="VJZ60" s="76"/>
      <c r="VKA60" s="76"/>
      <c r="VKB60" s="76"/>
      <c r="VKC60" s="76"/>
      <c r="VKD60" s="76"/>
      <c r="VKE60" s="76"/>
      <c r="VKF60" s="76"/>
      <c r="VKG60" s="76"/>
      <c r="VKH60" s="76"/>
      <c r="VKI60" s="76"/>
      <c r="VKJ60" s="76"/>
      <c r="VKK60" s="76"/>
      <c r="VKL60" s="76"/>
      <c r="VKM60" s="76"/>
      <c r="VKN60" s="76"/>
      <c r="VKO60" s="76"/>
      <c r="VKP60" s="76"/>
      <c r="VKQ60" s="76"/>
      <c r="VKR60" s="76"/>
      <c r="VKS60" s="76"/>
      <c r="VKT60" s="76"/>
      <c r="VKU60" s="76"/>
      <c r="VKV60" s="76"/>
      <c r="VKW60" s="76"/>
      <c r="VKX60" s="76"/>
      <c r="VKY60" s="76"/>
      <c r="VKZ60" s="76"/>
      <c r="VLA60" s="76"/>
      <c r="VLB60" s="76"/>
      <c r="VLC60" s="76"/>
      <c r="VLD60" s="76"/>
      <c r="VLE60" s="76"/>
      <c r="VLF60" s="76"/>
      <c r="VLG60" s="76"/>
      <c r="VLH60" s="76"/>
      <c r="VLI60" s="76"/>
      <c r="VLJ60" s="76"/>
      <c r="VLK60" s="76"/>
      <c r="VLL60" s="76"/>
      <c r="VLM60" s="76"/>
      <c r="VLN60" s="76"/>
      <c r="VLO60" s="76"/>
      <c r="VLP60" s="76"/>
      <c r="VLQ60" s="76"/>
      <c r="VLR60" s="76"/>
      <c r="VLS60" s="76"/>
      <c r="VLT60" s="76"/>
      <c r="VLU60" s="76"/>
      <c r="VLV60" s="76"/>
      <c r="VLW60" s="76"/>
      <c r="VLX60" s="76"/>
      <c r="VLY60" s="76"/>
      <c r="VLZ60" s="76"/>
      <c r="VMA60" s="76"/>
      <c r="VMB60" s="76"/>
      <c r="VMC60" s="76"/>
      <c r="VMD60" s="76"/>
      <c r="VME60" s="76"/>
      <c r="VMF60" s="76"/>
      <c r="VMG60" s="76"/>
      <c r="VMH60" s="76"/>
      <c r="VMI60" s="76"/>
      <c r="VMJ60" s="76"/>
      <c r="VMK60" s="76"/>
      <c r="VML60" s="76"/>
      <c r="VMM60" s="76"/>
      <c r="VMN60" s="76"/>
      <c r="VMO60" s="76"/>
      <c r="VMP60" s="76"/>
      <c r="VMQ60" s="76"/>
      <c r="VMR60" s="76"/>
      <c r="VMS60" s="76"/>
      <c r="VMT60" s="76"/>
      <c r="VMU60" s="76"/>
      <c r="VMV60" s="76"/>
      <c r="VMW60" s="76"/>
      <c r="VMX60" s="76"/>
      <c r="VMY60" s="76"/>
      <c r="VMZ60" s="76"/>
      <c r="VNA60" s="76"/>
      <c r="VNB60" s="76"/>
      <c r="VNC60" s="76"/>
      <c r="VND60" s="76"/>
      <c r="VNE60" s="76"/>
      <c r="VNF60" s="76"/>
      <c r="VNG60" s="76"/>
      <c r="VNH60" s="76"/>
      <c r="VNI60" s="76"/>
      <c r="VNJ60" s="76"/>
      <c r="VNK60" s="76"/>
      <c r="VNL60" s="76"/>
      <c r="VNM60" s="76"/>
      <c r="VNN60" s="76"/>
      <c r="VNO60" s="76"/>
      <c r="VNP60" s="76"/>
      <c r="VNQ60" s="76"/>
      <c r="VNR60" s="76"/>
      <c r="VNS60" s="76"/>
      <c r="VNT60" s="76"/>
      <c r="VNU60" s="76"/>
      <c r="VNV60" s="76"/>
      <c r="VNW60" s="76"/>
      <c r="VNX60" s="76"/>
      <c r="VNY60" s="76"/>
      <c r="VNZ60" s="76"/>
      <c r="VOA60" s="76"/>
      <c r="VOB60" s="76"/>
      <c r="VOC60" s="76"/>
      <c r="VOD60" s="76"/>
      <c r="VOE60" s="76"/>
      <c r="VOF60" s="76"/>
      <c r="VOG60" s="76"/>
      <c r="VOH60" s="76"/>
      <c r="VOI60" s="76"/>
      <c r="VOJ60" s="76"/>
      <c r="VOK60" s="76"/>
      <c r="VOL60" s="76"/>
      <c r="VOM60" s="76"/>
      <c r="VON60" s="76"/>
      <c r="VOO60" s="76"/>
      <c r="VOP60" s="76"/>
      <c r="VOQ60" s="76"/>
      <c r="VOR60" s="76"/>
      <c r="VOS60" s="76"/>
      <c r="VOT60" s="76"/>
      <c r="VOU60" s="76"/>
      <c r="VOV60" s="76"/>
      <c r="VOW60" s="76"/>
      <c r="VOX60" s="76"/>
      <c r="VOY60" s="76"/>
      <c r="VOZ60" s="76"/>
      <c r="VPA60" s="76"/>
      <c r="VPB60" s="76"/>
      <c r="VPC60" s="76"/>
      <c r="VPD60" s="76"/>
      <c r="VPE60" s="76"/>
      <c r="VPF60" s="76"/>
      <c r="VPG60" s="76"/>
      <c r="VPH60" s="76"/>
      <c r="VPI60" s="76"/>
      <c r="VPJ60" s="76"/>
      <c r="VPK60" s="76"/>
      <c r="VPL60" s="76"/>
      <c r="VPM60" s="76"/>
      <c r="VPN60" s="76"/>
      <c r="VPO60" s="76"/>
      <c r="VPP60" s="76"/>
      <c r="VPQ60" s="76"/>
      <c r="VPR60" s="76"/>
      <c r="VPS60" s="76"/>
      <c r="VPT60" s="76"/>
      <c r="VPU60" s="76"/>
      <c r="VPV60" s="76"/>
      <c r="VPW60" s="76"/>
      <c r="VPX60" s="76"/>
      <c r="VPY60" s="76"/>
      <c r="VPZ60" s="76"/>
      <c r="VQA60" s="76"/>
      <c r="VQB60" s="76"/>
      <c r="VQC60" s="76"/>
      <c r="VQD60" s="76"/>
      <c r="VQE60" s="76"/>
      <c r="VQF60" s="76"/>
      <c r="VQG60" s="76"/>
      <c r="VQH60" s="76"/>
      <c r="VQI60" s="76"/>
      <c r="VQJ60" s="76"/>
      <c r="VQK60" s="76"/>
      <c r="VQL60" s="76"/>
      <c r="VQM60" s="76"/>
      <c r="VQN60" s="76"/>
      <c r="VQO60" s="76"/>
      <c r="VQP60" s="76"/>
      <c r="VQQ60" s="76"/>
      <c r="VQR60" s="76"/>
      <c r="VQS60" s="76"/>
      <c r="VQT60" s="76"/>
      <c r="VQU60" s="76"/>
      <c r="VQV60" s="76"/>
      <c r="VQW60" s="76"/>
      <c r="VQX60" s="76"/>
      <c r="VQY60" s="76"/>
      <c r="VQZ60" s="76"/>
      <c r="VRA60" s="76"/>
      <c r="VRB60" s="76"/>
      <c r="VRC60" s="76"/>
      <c r="VRD60" s="76"/>
      <c r="VRE60" s="76"/>
      <c r="VRF60" s="76"/>
      <c r="VRG60" s="76"/>
      <c r="VRH60" s="76"/>
      <c r="VRI60" s="76"/>
      <c r="VRJ60" s="76"/>
      <c r="VRK60" s="76"/>
      <c r="VRL60" s="76"/>
      <c r="VRM60" s="76"/>
      <c r="VRN60" s="76"/>
      <c r="VRO60" s="76"/>
      <c r="VRP60" s="76"/>
      <c r="VRQ60" s="76"/>
      <c r="VRR60" s="76"/>
      <c r="VRS60" s="76"/>
      <c r="VRT60" s="76"/>
      <c r="VRU60" s="76"/>
      <c r="VRV60" s="76"/>
      <c r="VRW60" s="76"/>
      <c r="VRX60" s="76"/>
      <c r="VRY60" s="76"/>
      <c r="VRZ60" s="76"/>
      <c r="VSA60" s="76"/>
      <c r="VSB60" s="76"/>
      <c r="VSC60" s="76"/>
      <c r="VSD60" s="76"/>
      <c r="VSE60" s="76"/>
      <c r="VSF60" s="76"/>
      <c r="VSG60" s="76"/>
      <c r="VSH60" s="76"/>
      <c r="VSI60" s="76"/>
      <c r="VSJ60" s="76"/>
      <c r="VSK60" s="76"/>
      <c r="VSL60" s="76"/>
      <c r="VSM60" s="76"/>
      <c r="VSN60" s="76"/>
      <c r="VSO60" s="76"/>
      <c r="VSP60" s="76"/>
      <c r="VSQ60" s="76"/>
      <c r="VSR60" s="76"/>
      <c r="VSS60" s="76"/>
      <c r="VST60" s="76"/>
      <c r="VSU60" s="76"/>
      <c r="VSV60" s="76"/>
      <c r="VSW60" s="76"/>
      <c r="VSX60" s="76"/>
      <c r="VSY60" s="76"/>
      <c r="VSZ60" s="76"/>
      <c r="VTA60" s="76"/>
      <c r="VTB60" s="76"/>
      <c r="VTC60" s="76"/>
      <c r="VTD60" s="76"/>
      <c r="VTE60" s="76"/>
      <c r="VTF60" s="76"/>
      <c r="VTG60" s="76"/>
      <c r="VTH60" s="76"/>
      <c r="VTI60" s="76"/>
      <c r="VTJ60" s="76"/>
      <c r="VTK60" s="76"/>
      <c r="VTL60" s="76"/>
      <c r="VTM60" s="76"/>
      <c r="VTN60" s="76"/>
      <c r="VTO60" s="76"/>
      <c r="VTP60" s="76"/>
      <c r="VTQ60" s="76"/>
      <c r="VTR60" s="76"/>
      <c r="VTS60" s="76"/>
      <c r="VTT60" s="76"/>
      <c r="VTU60" s="76"/>
      <c r="VTV60" s="76"/>
      <c r="VTW60" s="76"/>
      <c r="VTX60" s="76"/>
      <c r="VTY60" s="76"/>
      <c r="VTZ60" s="76"/>
      <c r="VUA60" s="76"/>
      <c r="VUB60" s="76"/>
      <c r="VUC60" s="76"/>
      <c r="VUD60" s="76"/>
      <c r="VUE60" s="76"/>
      <c r="VUF60" s="76"/>
      <c r="VUG60" s="76"/>
      <c r="VUH60" s="76"/>
      <c r="VUI60" s="76"/>
      <c r="VUJ60" s="76"/>
      <c r="VUK60" s="76"/>
      <c r="VUL60" s="76"/>
      <c r="VUM60" s="76"/>
      <c r="VUN60" s="76"/>
      <c r="VUO60" s="76"/>
      <c r="VUP60" s="76"/>
      <c r="VUQ60" s="76"/>
      <c r="VUR60" s="76"/>
      <c r="VUS60" s="76"/>
      <c r="VUT60" s="76"/>
      <c r="VUU60" s="76"/>
      <c r="VUV60" s="76"/>
      <c r="VUW60" s="76"/>
      <c r="VUX60" s="76"/>
      <c r="VUY60" s="76"/>
      <c r="VUZ60" s="76"/>
      <c r="VVA60" s="76"/>
      <c r="VVB60" s="76"/>
      <c r="VVC60" s="76"/>
      <c r="VVD60" s="76"/>
      <c r="VVE60" s="76"/>
      <c r="VVF60" s="76"/>
      <c r="VVG60" s="76"/>
      <c r="VVH60" s="76"/>
      <c r="VVI60" s="76"/>
      <c r="VVJ60" s="76"/>
      <c r="VVK60" s="76"/>
      <c r="VVL60" s="76"/>
      <c r="VVM60" s="76"/>
      <c r="VVN60" s="76"/>
      <c r="VVO60" s="76"/>
      <c r="VVP60" s="76"/>
      <c r="VVQ60" s="76"/>
      <c r="VVR60" s="76"/>
      <c r="VVS60" s="76"/>
      <c r="VVT60" s="76"/>
      <c r="VVU60" s="76"/>
      <c r="VVV60" s="76"/>
      <c r="VVW60" s="76"/>
      <c r="VVX60" s="76"/>
      <c r="VVY60" s="76"/>
      <c r="VVZ60" s="76"/>
      <c r="VWA60" s="76"/>
      <c r="VWB60" s="76"/>
      <c r="VWC60" s="76"/>
      <c r="VWD60" s="76"/>
      <c r="VWE60" s="76"/>
      <c r="VWF60" s="76"/>
      <c r="VWG60" s="76"/>
      <c r="VWH60" s="76"/>
      <c r="VWI60" s="76"/>
      <c r="VWJ60" s="76"/>
      <c r="VWK60" s="76"/>
      <c r="VWL60" s="76"/>
      <c r="VWM60" s="76"/>
      <c r="VWN60" s="76"/>
      <c r="VWO60" s="76"/>
      <c r="VWP60" s="76"/>
      <c r="VWQ60" s="76"/>
      <c r="VWR60" s="76"/>
      <c r="VWS60" s="76"/>
      <c r="VWT60" s="76"/>
      <c r="VWU60" s="76"/>
      <c r="VWV60" s="76"/>
      <c r="VWW60" s="76"/>
      <c r="VWX60" s="76"/>
      <c r="VWY60" s="76"/>
      <c r="VWZ60" s="76"/>
      <c r="VXA60" s="76"/>
      <c r="VXB60" s="76"/>
      <c r="VXC60" s="76"/>
      <c r="VXD60" s="76"/>
      <c r="VXE60" s="76"/>
      <c r="VXF60" s="76"/>
      <c r="VXG60" s="76"/>
      <c r="VXH60" s="76"/>
      <c r="VXI60" s="76"/>
      <c r="VXJ60" s="76"/>
      <c r="VXK60" s="76"/>
      <c r="VXL60" s="76"/>
      <c r="VXM60" s="76"/>
      <c r="VXN60" s="76"/>
      <c r="VXO60" s="76"/>
      <c r="VXP60" s="76"/>
      <c r="VXQ60" s="76"/>
      <c r="VXR60" s="76"/>
      <c r="VXS60" s="76"/>
      <c r="VXT60" s="76"/>
      <c r="VXU60" s="76"/>
      <c r="VXV60" s="76"/>
      <c r="VXW60" s="76"/>
      <c r="VXX60" s="76"/>
      <c r="VXY60" s="76"/>
      <c r="VXZ60" s="76"/>
      <c r="VYA60" s="76"/>
      <c r="VYB60" s="76"/>
      <c r="VYC60" s="76"/>
      <c r="VYD60" s="76"/>
      <c r="VYE60" s="76"/>
      <c r="VYF60" s="76"/>
      <c r="VYG60" s="76"/>
      <c r="VYH60" s="76"/>
      <c r="VYI60" s="76"/>
      <c r="VYJ60" s="76"/>
      <c r="VYK60" s="76"/>
      <c r="VYL60" s="76"/>
      <c r="VYM60" s="76"/>
      <c r="VYN60" s="76"/>
      <c r="VYO60" s="76"/>
      <c r="VYP60" s="76"/>
      <c r="VYQ60" s="76"/>
      <c r="VYR60" s="76"/>
      <c r="VYS60" s="76"/>
      <c r="VYT60" s="76"/>
      <c r="VYU60" s="76"/>
      <c r="VYV60" s="76"/>
      <c r="VYW60" s="76"/>
      <c r="VYX60" s="76"/>
      <c r="VYY60" s="76"/>
      <c r="VYZ60" s="76"/>
      <c r="VZA60" s="76"/>
      <c r="VZB60" s="76"/>
      <c r="VZC60" s="76"/>
      <c r="VZD60" s="76"/>
      <c r="VZE60" s="76"/>
      <c r="VZF60" s="76"/>
      <c r="VZG60" s="76"/>
      <c r="VZH60" s="76"/>
      <c r="VZI60" s="76"/>
      <c r="VZJ60" s="76"/>
      <c r="VZK60" s="76"/>
      <c r="VZL60" s="76"/>
      <c r="VZM60" s="76"/>
      <c r="VZN60" s="76"/>
      <c r="VZO60" s="76"/>
      <c r="VZP60" s="76"/>
      <c r="VZQ60" s="76"/>
      <c r="VZR60" s="76"/>
      <c r="VZS60" s="76"/>
      <c r="VZT60" s="76"/>
      <c r="VZU60" s="76"/>
      <c r="VZV60" s="76"/>
      <c r="VZW60" s="76"/>
      <c r="VZX60" s="76"/>
      <c r="VZY60" s="76"/>
      <c r="VZZ60" s="76"/>
      <c r="WAA60" s="76"/>
      <c r="WAB60" s="76"/>
      <c r="WAC60" s="76"/>
      <c r="WAD60" s="76"/>
      <c r="WAE60" s="76"/>
      <c r="WAF60" s="76"/>
      <c r="WAG60" s="76"/>
      <c r="WAH60" s="76"/>
      <c r="WAI60" s="76"/>
      <c r="WAJ60" s="76"/>
      <c r="WAK60" s="76"/>
      <c r="WAL60" s="76"/>
      <c r="WAM60" s="76"/>
      <c r="WAN60" s="76"/>
      <c r="WAO60" s="76"/>
      <c r="WAP60" s="76"/>
      <c r="WAQ60" s="76"/>
      <c r="WAR60" s="76"/>
      <c r="WAS60" s="76"/>
      <c r="WAT60" s="76"/>
      <c r="WAU60" s="76"/>
      <c r="WAV60" s="76"/>
      <c r="WAW60" s="76"/>
      <c r="WAX60" s="76"/>
      <c r="WAY60" s="76"/>
      <c r="WAZ60" s="76"/>
      <c r="WBA60" s="76"/>
      <c r="WBB60" s="76"/>
      <c r="WBC60" s="76"/>
      <c r="WBD60" s="76"/>
      <c r="WBE60" s="76"/>
      <c r="WBF60" s="76"/>
      <c r="WBG60" s="76"/>
      <c r="WBH60" s="76"/>
      <c r="WBI60" s="76"/>
      <c r="WBJ60" s="76"/>
      <c r="WBK60" s="76"/>
      <c r="WBL60" s="76"/>
      <c r="WBM60" s="76"/>
      <c r="WBN60" s="76"/>
      <c r="WBO60" s="76"/>
      <c r="WBP60" s="76"/>
      <c r="WBQ60" s="76"/>
      <c r="WBR60" s="76"/>
      <c r="WBS60" s="76"/>
      <c r="WBT60" s="76"/>
      <c r="WBU60" s="76"/>
      <c r="WBV60" s="76"/>
      <c r="WBW60" s="76"/>
      <c r="WBX60" s="76"/>
      <c r="WBY60" s="76"/>
      <c r="WBZ60" s="76"/>
      <c r="WCA60" s="76"/>
      <c r="WCB60" s="76"/>
      <c r="WCC60" s="76"/>
      <c r="WCD60" s="76"/>
      <c r="WCE60" s="76"/>
      <c r="WCF60" s="76"/>
      <c r="WCG60" s="76"/>
      <c r="WCH60" s="76"/>
      <c r="WCI60" s="76"/>
      <c r="WCJ60" s="76"/>
      <c r="WCK60" s="76"/>
      <c r="WCL60" s="76"/>
      <c r="WCM60" s="76"/>
      <c r="WCN60" s="76"/>
      <c r="WCO60" s="76"/>
      <c r="WCP60" s="76"/>
      <c r="WCQ60" s="76"/>
      <c r="WCR60" s="76"/>
      <c r="WCS60" s="76"/>
      <c r="WCT60" s="76"/>
      <c r="WCU60" s="76"/>
      <c r="WCV60" s="76"/>
      <c r="WCW60" s="76"/>
      <c r="WCX60" s="76"/>
      <c r="WCY60" s="76"/>
      <c r="WCZ60" s="76"/>
      <c r="WDA60" s="76"/>
      <c r="WDB60" s="76"/>
      <c r="WDC60" s="76"/>
      <c r="WDD60" s="76"/>
      <c r="WDE60" s="76"/>
      <c r="WDF60" s="76"/>
      <c r="WDG60" s="76"/>
      <c r="WDH60" s="76"/>
      <c r="WDI60" s="76"/>
      <c r="WDJ60" s="76"/>
      <c r="WDK60" s="76"/>
      <c r="WDL60" s="76"/>
      <c r="WDM60" s="76"/>
      <c r="WDN60" s="76"/>
      <c r="WDO60" s="76"/>
      <c r="WDP60" s="76"/>
      <c r="WDQ60" s="76"/>
      <c r="WDR60" s="76"/>
      <c r="WDS60" s="76"/>
      <c r="WDT60" s="76"/>
      <c r="WDU60" s="76"/>
      <c r="WDV60" s="76"/>
      <c r="WDW60" s="76"/>
      <c r="WDX60" s="76"/>
      <c r="WDY60" s="76"/>
      <c r="WDZ60" s="76"/>
      <c r="WEA60" s="76"/>
      <c r="WEB60" s="76"/>
      <c r="WEC60" s="76"/>
      <c r="WED60" s="76"/>
      <c r="WEE60" s="76"/>
      <c r="WEF60" s="76"/>
      <c r="WEG60" s="76"/>
      <c r="WEH60" s="76"/>
      <c r="WEI60" s="76"/>
      <c r="WEJ60" s="76"/>
      <c r="WEK60" s="76"/>
      <c r="WEL60" s="76"/>
      <c r="WEM60" s="76"/>
      <c r="WEN60" s="76"/>
      <c r="WEO60" s="76"/>
      <c r="WEP60" s="76"/>
      <c r="WEQ60" s="76"/>
      <c r="WER60" s="76"/>
      <c r="WES60" s="76"/>
      <c r="WET60" s="76"/>
      <c r="WEU60" s="76"/>
      <c r="WEV60" s="76"/>
      <c r="WEW60" s="76"/>
      <c r="WEX60" s="76"/>
      <c r="WEY60" s="76"/>
      <c r="WEZ60" s="76"/>
      <c r="WFA60" s="76"/>
      <c r="WFB60" s="76"/>
      <c r="WFC60" s="76"/>
      <c r="WFD60" s="76"/>
      <c r="WFE60" s="76"/>
      <c r="WFF60" s="76"/>
      <c r="WFG60" s="76"/>
      <c r="WFH60" s="76"/>
      <c r="WFI60" s="76"/>
      <c r="WFJ60" s="76"/>
      <c r="WFK60" s="76"/>
      <c r="WFL60" s="76"/>
      <c r="WFM60" s="76"/>
      <c r="WFN60" s="76"/>
      <c r="WFO60" s="76"/>
      <c r="WFP60" s="76"/>
      <c r="WFQ60" s="76"/>
      <c r="WFR60" s="76"/>
      <c r="WFS60" s="76"/>
      <c r="WFT60" s="76"/>
      <c r="WFU60" s="76"/>
      <c r="WFV60" s="76"/>
      <c r="WFW60" s="76"/>
      <c r="WFX60" s="76"/>
      <c r="WFY60" s="76"/>
      <c r="WFZ60" s="76"/>
      <c r="WGA60" s="76"/>
      <c r="WGB60" s="76"/>
      <c r="WGC60" s="76"/>
      <c r="WGD60" s="76"/>
      <c r="WGE60" s="76"/>
      <c r="WGF60" s="76"/>
      <c r="WGG60" s="76"/>
      <c r="WGH60" s="76"/>
      <c r="WGI60" s="76"/>
      <c r="WGJ60" s="76"/>
      <c r="WGK60" s="76"/>
      <c r="WGL60" s="76"/>
      <c r="WGM60" s="76"/>
      <c r="WGN60" s="76"/>
      <c r="WGO60" s="76"/>
      <c r="WGP60" s="76"/>
      <c r="WGQ60" s="76"/>
      <c r="WGR60" s="76"/>
      <c r="WGS60" s="76"/>
      <c r="WGT60" s="76"/>
      <c r="WGU60" s="76"/>
      <c r="WGV60" s="76"/>
      <c r="WGW60" s="76"/>
      <c r="WGX60" s="76"/>
      <c r="WGY60" s="76"/>
      <c r="WGZ60" s="76"/>
      <c r="WHA60" s="76"/>
      <c r="WHB60" s="76"/>
      <c r="WHC60" s="76"/>
      <c r="WHD60" s="76"/>
      <c r="WHE60" s="76"/>
      <c r="WHF60" s="76"/>
      <c r="WHG60" s="76"/>
      <c r="WHH60" s="76"/>
      <c r="WHI60" s="76"/>
      <c r="WHJ60" s="76"/>
      <c r="WHK60" s="76"/>
      <c r="WHL60" s="76"/>
      <c r="WHM60" s="76"/>
      <c r="WHN60" s="76"/>
      <c r="WHO60" s="76"/>
      <c r="WHP60" s="76"/>
      <c r="WHQ60" s="76"/>
      <c r="WHR60" s="76"/>
      <c r="WHS60" s="76"/>
      <c r="WHT60" s="76"/>
      <c r="WHU60" s="76"/>
      <c r="WHV60" s="76"/>
      <c r="WHW60" s="76"/>
      <c r="WHX60" s="76"/>
      <c r="WHY60" s="76"/>
      <c r="WHZ60" s="76"/>
      <c r="WIA60" s="76"/>
      <c r="WIB60" s="76"/>
      <c r="WIC60" s="76"/>
      <c r="WID60" s="76"/>
      <c r="WIE60" s="76"/>
      <c r="WIF60" s="76"/>
      <c r="WIG60" s="76"/>
      <c r="WIH60" s="76"/>
      <c r="WII60" s="76"/>
      <c r="WIJ60" s="76"/>
      <c r="WIK60" s="76"/>
      <c r="WIL60" s="76"/>
      <c r="WIM60" s="76"/>
      <c r="WIN60" s="76"/>
      <c r="WIO60" s="76"/>
      <c r="WIP60" s="76"/>
      <c r="WIQ60" s="76"/>
      <c r="WIR60" s="76"/>
      <c r="WIS60" s="76"/>
      <c r="WIT60" s="76"/>
      <c r="WIU60" s="76"/>
      <c r="WIV60" s="76"/>
      <c r="WIW60" s="76"/>
      <c r="WIX60" s="76"/>
      <c r="WIY60" s="76"/>
      <c r="WIZ60" s="76"/>
      <c r="WJA60" s="76"/>
      <c r="WJB60" s="76"/>
      <c r="WJC60" s="76"/>
      <c r="WJD60" s="76"/>
      <c r="WJE60" s="76"/>
      <c r="WJF60" s="76"/>
      <c r="WJG60" s="76"/>
      <c r="WJH60" s="76"/>
      <c r="WJI60" s="76"/>
      <c r="WJJ60" s="76"/>
      <c r="WJK60" s="76"/>
      <c r="WJL60" s="76"/>
      <c r="WJM60" s="76"/>
      <c r="WJN60" s="76"/>
      <c r="WJO60" s="76"/>
      <c r="WJP60" s="76"/>
      <c r="WJQ60" s="76"/>
      <c r="WJR60" s="76"/>
      <c r="WJS60" s="76"/>
      <c r="WJT60" s="76"/>
      <c r="WJU60" s="76"/>
      <c r="WJV60" s="76"/>
      <c r="WJW60" s="76"/>
      <c r="WJX60" s="76"/>
      <c r="WJY60" s="76"/>
      <c r="WJZ60" s="76"/>
      <c r="WKA60" s="76"/>
      <c r="WKB60" s="76"/>
      <c r="WKC60" s="76"/>
      <c r="WKD60" s="76"/>
      <c r="WKE60" s="76"/>
      <c r="WKF60" s="76"/>
      <c r="WKG60" s="76"/>
      <c r="WKH60" s="76"/>
      <c r="WKI60" s="76"/>
      <c r="WKJ60" s="76"/>
      <c r="WKK60" s="76"/>
      <c r="WKL60" s="76"/>
      <c r="WKM60" s="76"/>
      <c r="WKN60" s="76"/>
      <c r="WKO60" s="76"/>
      <c r="WKP60" s="76"/>
      <c r="WKQ60" s="76"/>
      <c r="WKR60" s="76"/>
      <c r="WKS60" s="76"/>
      <c r="WKT60" s="76"/>
      <c r="WKU60" s="76"/>
      <c r="WKV60" s="76"/>
      <c r="WKW60" s="76"/>
      <c r="WKX60" s="76"/>
      <c r="WKY60" s="76"/>
      <c r="WKZ60" s="76"/>
      <c r="WLA60" s="76"/>
      <c r="WLB60" s="76"/>
      <c r="WLC60" s="76"/>
      <c r="WLD60" s="76"/>
      <c r="WLE60" s="76"/>
      <c r="WLF60" s="76"/>
      <c r="WLG60" s="76"/>
      <c r="WLH60" s="76"/>
      <c r="WLI60" s="76"/>
      <c r="WLJ60" s="76"/>
      <c r="WLK60" s="76"/>
      <c r="WLL60" s="76"/>
      <c r="WLM60" s="76"/>
      <c r="WLN60" s="76"/>
      <c r="WLO60" s="76"/>
      <c r="WLP60" s="76"/>
      <c r="WLQ60" s="76"/>
      <c r="WLR60" s="76"/>
      <c r="WLS60" s="76"/>
      <c r="WLT60" s="76"/>
      <c r="WLU60" s="76"/>
      <c r="WLV60" s="76"/>
      <c r="WLW60" s="76"/>
      <c r="WLX60" s="76"/>
      <c r="WLY60" s="76"/>
      <c r="WLZ60" s="76"/>
      <c r="WMA60" s="76"/>
      <c r="WMB60" s="76"/>
      <c r="WMC60" s="76"/>
      <c r="WMD60" s="76"/>
      <c r="WME60" s="76"/>
      <c r="WMF60" s="76"/>
      <c r="WMG60" s="76"/>
      <c r="WMH60" s="76"/>
      <c r="WMI60" s="76"/>
      <c r="WMJ60" s="76"/>
      <c r="WMK60" s="76"/>
      <c r="WML60" s="76"/>
      <c r="WMM60" s="76"/>
      <c r="WMN60" s="76"/>
      <c r="WMO60" s="76"/>
      <c r="WMP60" s="76"/>
      <c r="WMQ60" s="76"/>
      <c r="WMR60" s="76"/>
      <c r="WMS60" s="76"/>
      <c r="WMT60" s="76"/>
      <c r="WMU60" s="76"/>
      <c r="WMV60" s="76"/>
      <c r="WMW60" s="76"/>
      <c r="WMX60" s="76"/>
      <c r="WMY60" s="76"/>
      <c r="WMZ60" s="76"/>
      <c r="WNA60" s="76"/>
      <c r="WNB60" s="76"/>
      <c r="WNC60" s="76"/>
      <c r="WND60" s="76"/>
      <c r="WNE60" s="76"/>
      <c r="WNF60" s="76"/>
      <c r="WNG60" s="76"/>
      <c r="WNH60" s="76"/>
      <c r="WNI60" s="76"/>
      <c r="WNJ60" s="76"/>
      <c r="WNK60" s="76"/>
      <c r="WNL60" s="76"/>
      <c r="WNM60" s="76"/>
      <c r="WNN60" s="76"/>
      <c r="WNO60" s="76"/>
      <c r="WNP60" s="76"/>
      <c r="WNQ60" s="76"/>
      <c r="WNR60" s="76"/>
      <c r="WNS60" s="76"/>
      <c r="WNT60" s="76"/>
      <c r="WNU60" s="76"/>
      <c r="WNV60" s="76"/>
      <c r="WNW60" s="76"/>
      <c r="WNX60" s="76"/>
      <c r="WNY60" s="76"/>
      <c r="WNZ60" s="76"/>
      <c r="WOA60" s="76"/>
      <c r="WOB60" s="76"/>
      <c r="WOC60" s="76"/>
      <c r="WOD60" s="76"/>
      <c r="WOE60" s="76"/>
      <c r="WOF60" s="76"/>
      <c r="WOG60" s="76"/>
      <c r="WOH60" s="76"/>
      <c r="WOI60" s="76"/>
      <c r="WOJ60" s="76"/>
      <c r="WOK60" s="76"/>
      <c r="WOL60" s="76"/>
      <c r="WOM60" s="76"/>
      <c r="WON60" s="76"/>
      <c r="WOO60" s="76"/>
      <c r="WOP60" s="76"/>
      <c r="WOQ60" s="76"/>
      <c r="WOR60" s="76"/>
      <c r="WOS60" s="76"/>
      <c r="WOT60" s="76"/>
      <c r="WOU60" s="76"/>
      <c r="WOV60" s="76"/>
      <c r="WOW60" s="76"/>
      <c r="WOX60" s="76"/>
      <c r="WOY60" s="76"/>
      <c r="WOZ60" s="76"/>
      <c r="WPA60" s="76"/>
      <c r="WPB60" s="76"/>
      <c r="WPC60" s="76"/>
      <c r="WPD60" s="76"/>
      <c r="WPE60" s="76"/>
      <c r="WPF60" s="76"/>
      <c r="WPG60" s="76"/>
      <c r="WPH60" s="76"/>
      <c r="WPI60" s="76"/>
      <c r="WPJ60" s="76"/>
      <c r="WPK60" s="76"/>
      <c r="WPL60" s="76"/>
      <c r="WPM60" s="76"/>
      <c r="WPN60" s="76"/>
      <c r="WPO60" s="76"/>
      <c r="WPP60" s="76"/>
      <c r="WPQ60" s="76"/>
      <c r="WPR60" s="76"/>
      <c r="WPS60" s="76"/>
      <c r="WPT60" s="76"/>
      <c r="WPU60" s="76"/>
      <c r="WPV60" s="76"/>
      <c r="WPW60" s="76"/>
      <c r="WPX60" s="76"/>
      <c r="WPY60" s="76"/>
      <c r="WPZ60" s="76"/>
      <c r="WQA60" s="76"/>
      <c r="WQB60" s="76"/>
      <c r="WQC60" s="76"/>
      <c r="WQD60" s="76"/>
      <c r="WQE60" s="76"/>
      <c r="WQF60" s="76"/>
      <c r="WQG60" s="76"/>
      <c r="WQH60" s="76"/>
      <c r="WQI60" s="76"/>
      <c r="WQJ60" s="76"/>
      <c r="WQK60" s="76"/>
      <c r="WQL60" s="76"/>
      <c r="WQM60" s="76"/>
      <c r="WQN60" s="76"/>
      <c r="WQO60" s="76"/>
      <c r="WQP60" s="76"/>
      <c r="WQQ60" s="76"/>
      <c r="WQR60" s="76"/>
      <c r="WQS60" s="76"/>
      <c r="WQT60" s="76"/>
      <c r="WQU60" s="76"/>
      <c r="WQV60" s="76"/>
      <c r="WQW60" s="76"/>
      <c r="WQX60" s="76"/>
      <c r="WQY60" s="76"/>
      <c r="WQZ60" s="76"/>
      <c r="WRA60" s="76"/>
      <c r="WRB60" s="76"/>
      <c r="WRC60" s="76"/>
      <c r="WRD60" s="76"/>
      <c r="WRE60" s="76"/>
      <c r="WRF60" s="76"/>
      <c r="WRG60" s="76"/>
      <c r="WRH60" s="76"/>
      <c r="WRI60" s="76"/>
      <c r="WRJ60" s="76"/>
      <c r="WRK60" s="76"/>
      <c r="WRL60" s="76"/>
      <c r="WRM60" s="76"/>
      <c r="WRN60" s="76"/>
      <c r="WRO60" s="76"/>
      <c r="WRP60" s="76"/>
      <c r="WRQ60" s="76"/>
      <c r="WRR60" s="76"/>
      <c r="WRS60" s="76"/>
      <c r="WRT60" s="76"/>
      <c r="WRU60" s="76"/>
      <c r="WRV60" s="76"/>
      <c r="WRW60" s="76"/>
      <c r="WRX60" s="76"/>
      <c r="WRY60" s="76"/>
      <c r="WRZ60" s="76"/>
      <c r="WSA60" s="76"/>
      <c r="WSB60" s="76"/>
      <c r="WSC60" s="76"/>
      <c r="WSD60" s="76"/>
      <c r="WSE60" s="76"/>
      <c r="WSF60" s="76"/>
      <c r="WSG60" s="76"/>
      <c r="WSH60" s="76"/>
      <c r="WSI60" s="76"/>
      <c r="WSJ60" s="76"/>
      <c r="WSK60" s="76"/>
      <c r="WSL60" s="76"/>
      <c r="WSM60" s="76"/>
      <c r="WSN60" s="76"/>
      <c r="WSO60" s="76"/>
      <c r="WSP60" s="76"/>
      <c r="WSQ60" s="76"/>
      <c r="WSR60" s="76"/>
      <c r="WSS60" s="76"/>
      <c r="WST60" s="76"/>
      <c r="WSU60" s="76"/>
      <c r="WSV60" s="76"/>
      <c r="WSW60" s="76"/>
      <c r="WSX60" s="76"/>
      <c r="WSY60" s="76"/>
      <c r="WSZ60" s="76"/>
      <c r="WTA60" s="76"/>
      <c r="WTB60" s="76"/>
      <c r="WTC60" s="76"/>
      <c r="WTD60" s="76"/>
      <c r="WTE60" s="76"/>
      <c r="WTF60" s="76"/>
      <c r="WTG60" s="76"/>
      <c r="WTH60" s="76"/>
      <c r="WTI60" s="76"/>
      <c r="WTJ60" s="76"/>
      <c r="WTK60" s="76"/>
      <c r="WTL60" s="76"/>
      <c r="WTM60" s="76"/>
      <c r="WTN60" s="76"/>
      <c r="WTO60" s="76"/>
      <c r="WTP60" s="76"/>
      <c r="WTQ60" s="76"/>
      <c r="WTR60" s="76"/>
      <c r="WTS60" s="76"/>
      <c r="WTT60" s="76"/>
      <c r="WTU60" s="76"/>
      <c r="WTV60" s="76"/>
      <c r="WTW60" s="76"/>
      <c r="WTX60" s="76"/>
      <c r="WTY60" s="76"/>
      <c r="WTZ60" s="76"/>
      <c r="WUA60" s="76"/>
      <c r="WUB60" s="76"/>
      <c r="WUC60" s="76"/>
      <c r="WUD60" s="76"/>
      <c r="WUE60" s="76"/>
      <c r="WUF60" s="76"/>
      <c r="WUG60" s="76"/>
      <c r="WUH60" s="76"/>
      <c r="WUI60" s="76"/>
      <c r="WUJ60" s="76"/>
      <c r="WUK60" s="76"/>
      <c r="WUL60" s="76"/>
      <c r="WUM60" s="76"/>
      <c r="WUN60" s="76"/>
      <c r="WUO60" s="76"/>
      <c r="WUP60" s="76"/>
      <c r="WUQ60" s="76"/>
      <c r="WUR60" s="76"/>
      <c r="WUS60" s="76"/>
      <c r="WUT60" s="76"/>
      <c r="WUU60" s="76"/>
      <c r="WUV60" s="76"/>
      <c r="WUW60" s="76"/>
      <c r="WUX60" s="76"/>
      <c r="WUY60" s="76"/>
      <c r="WUZ60" s="76"/>
      <c r="WVA60" s="76"/>
      <c r="WVB60" s="76"/>
      <c r="WVC60" s="76"/>
      <c r="WVD60" s="76"/>
      <c r="WVE60" s="76"/>
      <c r="WVF60" s="76"/>
      <c r="WVG60" s="76"/>
      <c r="WVH60" s="76"/>
      <c r="WVI60" s="76"/>
      <c r="WVJ60" s="76"/>
      <c r="WVK60" s="76"/>
      <c r="WVL60" s="76"/>
      <c r="WVM60" s="76"/>
      <c r="WVN60" s="76"/>
      <c r="WVO60" s="76"/>
      <c r="WVP60" s="76"/>
      <c r="WVQ60" s="76"/>
      <c r="WVR60" s="76"/>
      <c r="WVS60" s="76"/>
      <c r="WVT60" s="76"/>
      <c r="WVU60" s="76"/>
      <c r="WVV60" s="76"/>
      <c r="WVW60" s="76"/>
      <c r="WVX60" s="76"/>
      <c r="WVY60" s="76"/>
      <c r="WVZ60" s="76"/>
      <c r="WWA60" s="76"/>
      <c r="WWB60" s="76"/>
      <c r="WWC60" s="76"/>
      <c r="WWD60" s="76"/>
      <c r="WWE60" s="76"/>
      <c r="WWF60" s="76"/>
      <c r="WWG60" s="76"/>
      <c r="WWH60" s="76"/>
      <c r="WWI60" s="76"/>
      <c r="WWJ60" s="76"/>
      <c r="WWK60" s="76"/>
      <c r="WWL60" s="76"/>
      <c r="WWM60" s="76"/>
      <c r="WWN60" s="76"/>
      <c r="WWO60" s="76"/>
      <c r="WWP60" s="76"/>
      <c r="WWQ60" s="76"/>
      <c r="WWR60" s="76"/>
      <c r="WWS60" s="76"/>
      <c r="WWT60" s="76"/>
      <c r="WWU60" s="76"/>
      <c r="WWV60" s="76"/>
      <c r="WWW60" s="76"/>
      <c r="WWX60" s="76"/>
      <c r="WWY60" s="76"/>
      <c r="WWZ60" s="76"/>
      <c r="WXA60" s="76"/>
    </row>
    <row r="61" spans="1:16173" ht="34" customHeight="1" x14ac:dyDescent="0.55000000000000004"/>
    <row r="62" spans="1:16173" ht="34" customHeight="1" x14ac:dyDescent="0.55000000000000004"/>
    <row r="63" spans="1:16173" ht="34" customHeight="1" x14ac:dyDescent="0.55000000000000004"/>
    <row r="64" spans="1:16173" ht="34" customHeight="1" x14ac:dyDescent="0.55000000000000004"/>
    <row r="65" ht="34" customHeight="1" x14ac:dyDescent="0.55000000000000004"/>
    <row r="66" ht="34" customHeight="1" x14ac:dyDescent="0.55000000000000004"/>
    <row r="67" ht="34" customHeight="1" x14ac:dyDescent="0.55000000000000004"/>
    <row r="68" ht="34" customHeight="1" x14ac:dyDescent="0.55000000000000004"/>
    <row r="69" ht="34" customHeight="1" x14ac:dyDescent="0.55000000000000004"/>
    <row r="70" ht="34" customHeight="1" x14ac:dyDescent="0.55000000000000004"/>
    <row r="71" ht="34" customHeight="1" x14ac:dyDescent="0.55000000000000004"/>
    <row r="72" ht="34" customHeight="1" x14ac:dyDescent="0.55000000000000004"/>
    <row r="73" ht="34" customHeight="1" x14ac:dyDescent="0.55000000000000004"/>
    <row r="74" ht="34" customHeight="1" x14ac:dyDescent="0.55000000000000004"/>
    <row r="75" ht="34" customHeight="1" x14ac:dyDescent="0.55000000000000004"/>
    <row r="76" ht="34" customHeight="1" x14ac:dyDescent="0.55000000000000004"/>
    <row r="77" ht="34" customHeight="1" x14ac:dyDescent="0.55000000000000004"/>
    <row r="78" ht="34" customHeight="1" x14ac:dyDescent="0.55000000000000004"/>
    <row r="79" ht="34" customHeight="1" x14ac:dyDescent="0.55000000000000004"/>
    <row r="80" ht="34" customHeight="1" x14ac:dyDescent="0.55000000000000004"/>
    <row r="81" ht="34" customHeight="1" x14ac:dyDescent="0.55000000000000004"/>
    <row r="82" ht="34" customHeight="1" x14ac:dyDescent="0.55000000000000004"/>
    <row r="83" ht="34" customHeight="1" x14ac:dyDescent="0.55000000000000004"/>
    <row r="84" ht="34" customHeight="1" x14ac:dyDescent="0.55000000000000004"/>
    <row r="85" ht="34" customHeight="1" x14ac:dyDescent="0.55000000000000004"/>
    <row r="86" ht="34" customHeight="1" x14ac:dyDescent="0.55000000000000004"/>
    <row r="87" ht="34" customHeight="1" x14ac:dyDescent="0.55000000000000004"/>
    <row r="88" ht="34" customHeight="1" x14ac:dyDescent="0.55000000000000004"/>
    <row r="89" ht="34" customHeight="1" x14ac:dyDescent="0.55000000000000004"/>
    <row r="90" ht="34" customHeight="1" x14ac:dyDescent="0.55000000000000004"/>
    <row r="91" ht="34" customHeight="1" x14ac:dyDescent="0.55000000000000004"/>
    <row r="92" ht="34" customHeight="1" x14ac:dyDescent="0.55000000000000004"/>
    <row r="93" ht="34" customHeight="1" x14ac:dyDescent="0.55000000000000004"/>
    <row r="94" ht="34" customHeight="1" x14ac:dyDescent="0.55000000000000004"/>
    <row r="95" ht="34" customHeight="1" x14ac:dyDescent="0.55000000000000004"/>
    <row r="96" ht="34" customHeight="1" x14ac:dyDescent="0.55000000000000004"/>
    <row r="97" ht="34" customHeight="1" x14ac:dyDescent="0.55000000000000004"/>
    <row r="98" ht="34" customHeight="1" x14ac:dyDescent="0.55000000000000004"/>
    <row r="99" ht="34" customHeight="1" x14ac:dyDescent="0.55000000000000004"/>
    <row r="100" ht="34" customHeight="1" x14ac:dyDescent="0.55000000000000004"/>
    <row r="101" ht="34" customHeight="1" x14ac:dyDescent="0.55000000000000004"/>
    <row r="102" ht="34" customHeight="1" x14ac:dyDescent="0.55000000000000004"/>
    <row r="103" ht="34" customHeight="1" x14ac:dyDescent="0.55000000000000004"/>
    <row r="104" ht="34" customHeight="1" x14ac:dyDescent="0.55000000000000004"/>
    <row r="105" ht="34" customHeight="1" x14ac:dyDescent="0.55000000000000004"/>
    <row r="106" ht="34" customHeight="1" x14ac:dyDescent="0.55000000000000004"/>
    <row r="107" ht="34" customHeight="1" x14ac:dyDescent="0.55000000000000004"/>
    <row r="108" ht="34" customHeight="1" x14ac:dyDescent="0.55000000000000004"/>
    <row r="109" ht="34" customHeight="1" x14ac:dyDescent="0.55000000000000004"/>
    <row r="110" ht="34" customHeight="1" x14ac:dyDescent="0.55000000000000004"/>
    <row r="111" ht="34" customHeight="1" x14ac:dyDescent="0.55000000000000004"/>
    <row r="112" ht="34" customHeight="1" x14ac:dyDescent="0.55000000000000004"/>
    <row r="113" ht="34" customHeight="1" x14ac:dyDescent="0.55000000000000004"/>
    <row r="114" ht="34" customHeight="1" x14ac:dyDescent="0.55000000000000004"/>
    <row r="115" ht="34" customHeight="1" x14ac:dyDescent="0.55000000000000004"/>
    <row r="116" ht="34" customHeight="1" x14ac:dyDescent="0.55000000000000004"/>
    <row r="117" ht="34" customHeight="1" x14ac:dyDescent="0.55000000000000004"/>
    <row r="118" ht="34" customHeight="1" x14ac:dyDescent="0.55000000000000004"/>
    <row r="119" ht="34" customHeight="1" x14ac:dyDescent="0.55000000000000004"/>
    <row r="120" ht="34" customHeight="1" x14ac:dyDescent="0.55000000000000004"/>
    <row r="121" ht="34" customHeight="1" x14ac:dyDescent="0.55000000000000004"/>
    <row r="122" ht="34" customHeight="1" x14ac:dyDescent="0.55000000000000004"/>
    <row r="123" ht="34" customHeight="1" x14ac:dyDescent="0.55000000000000004"/>
    <row r="124" ht="34" customHeight="1" x14ac:dyDescent="0.55000000000000004"/>
    <row r="125" ht="34" customHeight="1" x14ac:dyDescent="0.55000000000000004"/>
    <row r="126" ht="34" customHeight="1" x14ac:dyDescent="0.55000000000000004"/>
    <row r="127" ht="34" customHeight="1" x14ac:dyDescent="0.55000000000000004"/>
    <row r="128" ht="34" customHeight="1" x14ac:dyDescent="0.55000000000000004"/>
    <row r="129" ht="34" customHeight="1" x14ac:dyDescent="0.55000000000000004"/>
    <row r="130" ht="34" customHeight="1" x14ac:dyDescent="0.55000000000000004"/>
    <row r="131" ht="34" customHeight="1" x14ac:dyDescent="0.55000000000000004"/>
    <row r="132" ht="34" customHeight="1" x14ac:dyDescent="0.55000000000000004"/>
    <row r="133" ht="34" customHeight="1" x14ac:dyDescent="0.55000000000000004"/>
    <row r="134" ht="34" customHeight="1" x14ac:dyDescent="0.55000000000000004"/>
    <row r="135" ht="34" customHeight="1" x14ac:dyDescent="0.55000000000000004"/>
    <row r="136" ht="34" customHeight="1" x14ac:dyDescent="0.55000000000000004"/>
    <row r="137" ht="34" customHeight="1" x14ac:dyDescent="0.55000000000000004"/>
    <row r="138" ht="34" customHeight="1" x14ac:dyDescent="0.55000000000000004"/>
    <row r="139" ht="34" customHeight="1" x14ac:dyDescent="0.55000000000000004"/>
    <row r="140" ht="34" customHeight="1" x14ac:dyDescent="0.55000000000000004"/>
    <row r="141" ht="34" customHeight="1" x14ac:dyDescent="0.55000000000000004"/>
    <row r="142" ht="34" customHeight="1" x14ac:dyDescent="0.55000000000000004"/>
    <row r="143" ht="34" customHeight="1" x14ac:dyDescent="0.55000000000000004"/>
    <row r="144" ht="34" customHeight="1" x14ac:dyDescent="0.55000000000000004"/>
    <row r="145" ht="34" customHeight="1" x14ac:dyDescent="0.55000000000000004"/>
    <row r="146" ht="34" customHeight="1" x14ac:dyDescent="0.55000000000000004"/>
    <row r="147" ht="34" customHeight="1" x14ac:dyDescent="0.55000000000000004"/>
    <row r="148" ht="34" customHeight="1" x14ac:dyDescent="0.55000000000000004"/>
    <row r="149" ht="34" customHeight="1" x14ac:dyDescent="0.55000000000000004"/>
    <row r="150" ht="34" customHeight="1" x14ac:dyDescent="0.55000000000000004"/>
    <row r="151" ht="34" customHeight="1" x14ac:dyDescent="0.55000000000000004"/>
    <row r="152" ht="34" customHeight="1" x14ac:dyDescent="0.55000000000000004"/>
    <row r="153" ht="34" customHeight="1" x14ac:dyDescent="0.55000000000000004"/>
    <row r="154" ht="34" customHeight="1" x14ac:dyDescent="0.55000000000000004"/>
    <row r="155" ht="34" customHeight="1" x14ac:dyDescent="0.55000000000000004"/>
    <row r="156" ht="34" customHeight="1" x14ac:dyDescent="0.55000000000000004"/>
    <row r="157" ht="34" customHeight="1" x14ac:dyDescent="0.55000000000000004"/>
    <row r="158" ht="34" customHeight="1" x14ac:dyDescent="0.55000000000000004"/>
    <row r="159" ht="34" customHeight="1" x14ac:dyDescent="0.55000000000000004"/>
    <row r="160" ht="34" customHeight="1" x14ac:dyDescent="0.55000000000000004"/>
    <row r="161" ht="34" customHeight="1" x14ac:dyDescent="0.55000000000000004"/>
    <row r="162" ht="34" customHeight="1" x14ac:dyDescent="0.55000000000000004"/>
    <row r="163" ht="34" customHeight="1" x14ac:dyDescent="0.55000000000000004"/>
    <row r="164" ht="34" customHeight="1" x14ac:dyDescent="0.55000000000000004"/>
    <row r="165" ht="34" customHeight="1" x14ac:dyDescent="0.55000000000000004"/>
    <row r="166" ht="34" customHeight="1" x14ac:dyDescent="0.55000000000000004"/>
    <row r="167" ht="34" customHeight="1" x14ac:dyDescent="0.55000000000000004"/>
    <row r="168" ht="34" customHeight="1" x14ac:dyDescent="0.55000000000000004"/>
    <row r="169" ht="34" customHeight="1" x14ac:dyDescent="0.55000000000000004"/>
    <row r="170" ht="34" customHeight="1" x14ac:dyDescent="0.55000000000000004"/>
    <row r="171" ht="34" customHeight="1" x14ac:dyDescent="0.55000000000000004"/>
    <row r="172" ht="34" customHeight="1" x14ac:dyDescent="0.55000000000000004"/>
    <row r="173" ht="34" customHeight="1" x14ac:dyDescent="0.55000000000000004"/>
    <row r="174" ht="34" customHeight="1" x14ac:dyDescent="0.55000000000000004"/>
    <row r="175" ht="34" customHeight="1" x14ac:dyDescent="0.55000000000000004"/>
    <row r="176" ht="34" customHeight="1" x14ac:dyDescent="0.55000000000000004"/>
    <row r="177" ht="34" customHeight="1" x14ac:dyDescent="0.55000000000000004"/>
    <row r="178" ht="34" customHeight="1" x14ac:dyDescent="0.55000000000000004"/>
    <row r="179" ht="34" customHeight="1" x14ac:dyDescent="0.55000000000000004"/>
    <row r="180" ht="34" customHeight="1" x14ac:dyDescent="0.55000000000000004"/>
    <row r="181" ht="34" customHeight="1" x14ac:dyDescent="0.55000000000000004"/>
    <row r="182" ht="34" customHeight="1" x14ac:dyDescent="0.55000000000000004"/>
    <row r="183" ht="34" customHeight="1" x14ac:dyDescent="0.55000000000000004"/>
    <row r="184" ht="34" customHeight="1" x14ac:dyDescent="0.55000000000000004"/>
    <row r="185" ht="34" customHeight="1" x14ac:dyDescent="0.55000000000000004"/>
    <row r="186" ht="34" customHeight="1" x14ac:dyDescent="0.55000000000000004"/>
    <row r="187" ht="34" customHeight="1" x14ac:dyDescent="0.55000000000000004"/>
    <row r="188" ht="34" customHeight="1" x14ac:dyDescent="0.55000000000000004"/>
    <row r="189" ht="34" customHeight="1" x14ac:dyDescent="0.55000000000000004"/>
    <row r="190" ht="34" customHeight="1" x14ac:dyDescent="0.55000000000000004"/>
    <row r="191" ht="34" customHeight="1" x14ac:dyDescent="0.55000000000000004"/>
    <row r="192" ht="34" customHeight="1" x14ac:dyDescent="0.55000000000000004"/>
    <row r="193" ht="34" customHeight="1" x14ac:dyDescent="0.55000000000000004"/>
    <row r="194" ht="34" customHeight="1" x14ac:dyDescent="0.55000000000000004"/>
    <row r="195" ht="34" customHeight="1" x14ac:dyDescent="0.55000000000000004"/>
    <row r="196" ht="34" customHeight="1" x14ac:dyDescent="0.55000000000000004"/>
    <row r="197" ht="34" customHeight="1" x14ac:dyDescent="0.55000000000000004"/>
    <row r="198" ht="34" customHeight="1" x14ac:dyDescent="0.55000000000000004"/>
    <row r="199" ht="34" customHeight="1" x14ac:dyDescent="0.55000000000000004"/>
    <row r="200" ht="34" customHeight="1" x14ac:dyDescent="0.55000000000000004"/>
    <row r="201" ht="34" customHeight="1" x14ac:dyDescent="0.55000000000000004"/>
    <row r="202" ht="34" customHeight="1" x14ac:dyDescent="0.55000000000000004"/>
    <row r="203" ht="34" customHeight="1" x14ac:dyDescent="0.55000000000000004"/>
    <row r="204" ht="34" customHeight="1" x14ac:dyDescent="0.55000000000000004"/>
    <row r="205" ht="34" customHeight="1" x14ac:dyDescent="0.55000000000000004"/>
    <row r="206" ht="34" customHeight="1" x14ac:dyDescent="0.55000000000000004"/>
    <row r="207" ht="34" customHeight="1" x14ac:dyDescent="0.55000000000000004"/>
    <row r="208" ht="34" customHeight="1" x14ac:dyDescent="0.55000000000000004"/>
    <row r="209" ht="34" customHeight="1" x14ac:dyDescent="0.55000000000000004"/>
    <row r="210" ht="34" customHeight="1" x14ac:dyDescent="0.55000000000000004"/>
    <row r="211" ht="34" customHeight="1" x14ac:dyDescent="0.55000000000000004"/>
    <row r="212" ht="34" customHeight="1" x14ac:dyDescent="0.55000000000000004"/>
    <row r="213" ht="34" customHeight="1" x14ac:dyDescent="0.55000000000000004"/>
    <row r="214" ht="34" customHeight="1" x14ac:dyDescent="0.55000000000000004"/>
    <row r="215" ht="34" customHeight="1" x14ac:dyDescent="0.55000000000000004"/>
    <row r="216" ht="34" customHeight="1" x14ac:dyDescent="0.55000000000000004"/>
    <row r="217" ht="34" customHeight="1" x14ac:dyDescent="0.55000000000000004"/>
    <row r="218" ht="34" customHeight="1" x14ac:dyDescent="0.55000000000000004"/>
    <row r="219" ht="34" customHeight="1" x14ac:dyDescent="0.55000000000000004"/>
    <row r="220" ht="34" customHeight="1" x14ac:dyDescent="0.55000000000000004"/>
    <row r="221" ht="34" customHeight="1" x14ac:dyDescent="0.55000000000000004"/>
    <row r="222" ht="34" customHeight="1" x14ac:dyDescent="0.55000000000000004"/>
    <row r="223" ht="34" customHeight="1" x14ac:dyDescent="0.55000000000000004"/>
    <row r="224" ht="34" customHeight="1" x14ac:dyDescent="0.55000000000000004"/>
    <row r="225" ht="34" customHeight="1" x14ac:dyDescent="0.55000000000000004"/>
    <row r="226" ht="34" customHeight="1" x14ac:dyDescent="0.55000000000000004"/>
    <row r="227" ht="34" customHeight="1" x14ac:dyDescent="0.55000000000000004"/>
    <row r="228" ht="34" customHeight="1" x14ac:dyDescent="0.55000000000000004"/>
    <row r="229" ht="34" customHeight="1" x14ac:dyDescent="0.55000000000000004"/>
    <row r="230" ht="34" customHeight="1" x14ac:dyDescent="0.55000000000000004"/>
    <row r="231" ht="34" customHeight="1" x14ac:dyDescent="0.55000000000000004"/>
    <row r="232" ht="34" customHeight="1" x14ac:dyDescent="0.55000000000000004"/>
    <row r="233" ht="34" customHeight="1" x14ac:dyDescent="0.55000000000000004"/>
    <row r="234" ht="34" customHeight="1" x14ac:dyDescent="0.55000000000000004"/>
    <row r="235" ht="34" customHeight="1" x14ac:dyDescent="0.55000000000000004"/>
    <row r="236" ht="34" customHeight="1" x14ac:dyDescent="0.55000000000000004"/>
    <row r="237" ht="34" customHeight="1" x14ac:dyDescent="0.55000000000000004"/>
    <row r="238" ht="34" customHeight="1" x14ac:dyDescent="0.55000000000000004"/>
    <row r="239" ht="34" customHeight="1" x14ac:dyDescent="0.55000000000000004"/>
    <row r="240" ht="34" customHeight="1" x14ac:dyDescent="0.55000000000000004"/>
    <row r="241" ht="34" customHeight="1" x14ac:dyDescent="0.55000000000000004"/>
    <row r="242" ht="34" customHeight="1" x14ac:dyDescent="0.55000000000000004"/>
    <row r="243" ht="34" customHeight="1" x14ac:dyDescent="0.55000000000000004"/>
    <row r="244" ht="34" customHeight="1" x14ac:dyDescent="0.55000000000000004"/>
    <row r="245" ht="34" customHeight="1" x14ac:dyDescent="0.55000000000000004"/>
    <row r="246" ht="34" customHeight="1" x14ac:dyDescent="0.55000000000000004"/>
    <row r="247" ht="34" customHeight="1" x14ac:dyDescent="0.55000000000000004"/>
    <row r="248" ht="34" customHeight="1" x14ac:dyDescent="0.55000000000000004"/>
    <row r="249" ht="34" customHeight="1" x14ac:dyDescent="0.55000000000000004"/>
    <row r="250" ht="34" customHeight="1" x14ac:dyDescent="0.55000000000000004"/>
    <row r="251" ht="34" customHeight="1" x14ac:dyDescent="0.55000000000000004"/>
    <row r="252" ht="34" customHeight="1" x14ac:dyDescent="0.55000000000000004"/>
    <row r="253" ht="34" customHeight="1" x14ac:dyDescent="0.55000000000000004"/>
    <row r="254" ht="34" customHeight="1" x14ac:dyDescent="0.55000000000000004"/>
    <row r="255" ht="34" customHeight="1" x14ac:dyDescent="0.55000000000000004"/>
    <row r="256" ht="34" customHeight="1" x14ac:dyDescent="0.55000000000000004"/>
    <row r="257" ht="34" customHeight="1" x14ac:dyDescent="0.55000000000000004"/>
    <row r="258" ht="34" customHeight="1" x14ac:dyDescent="0.55000000000000004"/>
    <row r="259" ht="28" customHeight="1" x14ac:dyDescent="0.55000000000000004"/>
    <row r="260" ht="28" customHeight="1" x14ac:dyDescent="0.55000000000000004"/>
    <row r="261" ht="28" customHeight="1" x14ac:dyDescent="0.55000000000000004"/>
  </sheetData>
  <sheetProtection algorithmName="SHA-512" hashValue="CR5aHMMCfo7KnxiKS1Lcty43ljKOLPs0YzQvVZPS45yqbCpRwxJedYX5dnFpj2jXEAR5oaKnqpLE+rn7UNiWfA==" saltValue="VcuiY1Ohy6Js1tKeArafZg==" spinCount="100000" sheet="1" objects="1" scenarios="1" formatCells="0" formatColumns="0" formatRows="0" insertColumns="0" insertRows="0" insertHyperlinks="0" deleteColumns="0" deleteRows="0" selectLockedCells="1" sort="0" autoFilter="0" pivotTables="0"/>
  <phoneticPr fontId="3"/>
  <pageMargins left="0.7" right="0.7" top="0.75" bottom="0.75" header="0.3" footer="0.3"/>
  <pageSetup paperSize="9" orientation="portrait" r:id="rId1"/>
  <ignoredErrors>
    <ignoredError sqref="G11:P11 L13:AM16 G12:K16 E17:K44 E12:F16 M39:AM44 M38:AF38 AG38:AM38 AG18:AM37 O20:AC34 L12:R12 T12:AM12 G10:P10 R10:AM10 R11:AM11" unlockedFormula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75FD4-D639-4FA6-9FA0-DF1D0C97132D}">
  <dimension ref="A1:AJ191"/>
  <sheetViews>
    <sheetView zoomScale="50" zoomScaleNormal="50" workbookViewId="0">
      <pane xSplit="3" ySplit="9" topLeftCell="R10" activePane="bottomRight" state="frozen"/>
      <selection pane="topRight" activeCell="D1" sqref="D1"/>
      <selection pane="bottomLeft" activeCell="A6" sqref="A6"/>
      <selection pane="bottomRight" activeCell="AB4" sqref="AB4"/>
    </sheetView>
  </sheetViews>
  <sheetFormatPr defaultRowHeight="10" x14ac:dyDescent="0.2"/>
  <cols>
    <col min="1" max="1" width="4.58203125" style="6" customWidth="1"/>
    <col min="2" max="2" width="8.5" style="6" bestFit="1" customWidth="1"/>
    <col min="3" max="3" width="3.9140625" style="6" bestFit="1" customWidth="1"/>
    <col min="4" max="4" width="9.33203125" style="6" bestFit="1" customWidth="1"/>
    <col min="5" max="5" width="10.4140625" style="6" bestFit="1" customWidth="1"/>
    <col min="6" max="6" width="12.33203125" style="6" bestFit="1" customWidth="1"/>
    <col min="7" max="7" width="11.9140625" style="6" bestFit="1" customWidth="1"/>
    <col min="8" max="9" width="12.33203125" style="6" bestFit="1" customWidth="1"/>
    <col min="10" max="10" width="11.9140625" style="6" bestFit="1" customWidth="1"/>
    <col min="11" max="11" width="12.08203125" style="6" bestFit="1" customWidth="1"/>
    <col min="12" max="12" width="12.6640625" style="6" bestFit="1" customWidth="1"/>
    <col min="13" max="13" width="8.25" style="6" customWidth="1"/>
    <col min="14" max="14" width="11.9140625" style="6" customWidth="1"/>
    <col min="15" max="15" width="11.75" style="6" customWidth="1"/>
    <col min="16" max="16" width="14" style="6" bestFit="1" customWidth="1"/>
    <col min="17" max="17" width="28.4140625" style="6" customWidth="1"/>
    <col min="18" max="18" width="29.6640625" style="6" customWidth="1"/>
    <col min="19" max="19" width="16.1640625" style="6" customWidth="1"/>
    <col min="20" max="20" width="28.4140625" style="6" customWidth="1"/>
    <col min="21" max="21" width="11.1640625" style="6" customWidth="1"/>
    <col min="22" max="22" width="15.25" style="6" customWidth="1"/>
    <col min="23" max="23" width="11.9140625" style="6" customWidth="1"/>
    <col min="24" max="24" width="19.1640625" style="6" customWidth="1"/>
    <col min="25" max="25" width="28.4140625" style="6" bestFit="1" customWidth="1"/>
    <col min="26" max="26" width="10.4140625" style="6" bestFit="1" customWidth="1"/>
    <col min="27" max="27" width="24.83203125" style="6" bestFit="1" customWidth="1"/>
    <col min="28" max="28" width="24.83203125" style="6" customWidth="1"/>
    <col min="29" max="30" width="8.6640625" style="6"/>
    <col min="31" max="32" width="12.58203125" style="1" customWidth="1"/>
    <col min="33" max="35" width="8.58203125" style="1" customWidth="1"/>
    <col min="36" max="36" width="8.6640625" style="1"/>
    <col min="37" max="16384" width="8.6640625" style="6"/>
  </cols>
  <sheetData>
    <row r="1" spans="1:35" ht="25" customHeight="1" x14ac:dyDescent="0.2">
      <c r="A1" s="5" t="s">
        <v>2546</v>
      </c>
      <c r="AG1" s="3"/>
      <c r="AH1" s="3"/>
      <c r="AI1" s="3"/>
    </row>
    <row r="2" spans="1:35" ht="25" customHeight="1" x14ac:dyDescent="0.2">
      <c r="A2" s="5"/>
      <c r="AG2" s="3"/>
      <c r="AH2" s="3"/>
      <c r="AI2" s="3"/>
    </row>
    <row r="3" spans="1:35" ht="25" customHeight="1" x14ac:dyDescent="0.2">
      <c r="A3" s="5"/>
      <c r="AG3" s="3"/>
      <c r="AH3" s="3"/>
      <c r="AI3" s="3"/>
    </row>
    <row r="4" spans="1:35" ht="25" customHeight="1" x14ac:dyDescent="0.2">
      <c r="A4" s="5"/>
      <c r="AG4" s="3"/>
      <c r="AH4" s="3"/>
      <c r="AI4" s="3"/>
    </row>
    <row r="5" spans="1:35" ht="25" customHeight="1" x14ac:dyDescent="0.2">
      <c r="A5" s="5"/>
      <c r="AF5" s="2"/>
      <c r="AG5" s="3"/>
      <c r="AH5" s="3"/>
      <c r="AI5" s="4" t="s">
        <v>2549</v>
      </c>
    </row>
    <row r="6" spans="1:35" ht="30" x14ac:dyDescent="0.2">
      <c r="E6" s="1" t="s">
        <v>2375</v>
      </c>
      <c r="F6" s="1" t="s">
        <v>2375</v>
      </c>
      <c r="G6" s="1" t="s">
        <v>2375</v>
      </c>
      <c r="H6" s="1" t="s">
        <v>2375</v>
      </c>
      <c r="I6" s="7" t="s">
        <v>2383</v>
      </c>
      <c r="J6" s="7" t="s">
        <v>2376</v>
      </c>
      <c r="K6" s="7" t="s">
        <v>2377</v>
      </c>
      <c r="L6" s="7" t="s">
        <v>2378</v>
      </c>
      <c r="M6" s="1" t="s">
        <v>497</v>
      </c>
      <c r="N6" s="7" t="s">
        <v>2379</v>
      </c>
      <c r="O6" s="7" t="s">
        <v>2392</v>
      </c>
      <c r="P6" s="7" t="s">
        <v>2380</v>
      </c>
      <c r="Q6" s="8" t="s">
        <v>2394</v>
      </c>
      <c r="R6" s="9" t="s">
        <v>2385</v>
      </c>
      <c r="S6" s="7" t="s">
        <v>2565</v>
      </c>
      <c r="T6" s="1" t="s">
        <v>498</v>
      </c>
      <c r="U6" s="8" t="s">
        <v>495</v>
      </c>
      <c r="V6" s="7" t="s">
        <v>2382</v>
      </c>
      <c r="W6" s="1" t="s">
        <v>496</v>
      </c>
      <c r="X6" s="7" t="s">
        <v>2384</v>
      </c>
    </row>
    <row r="7" spans="1:35" ht="10.5" customHeight="1" x14ac:dyDescent="0.2">
      <c r="B7" s="158" t="s">
        <v>2067</v>
      </c>
      <c r="C7" s="158" t="s">
        <v>268</v>
      </c>
      <c r="D7" s="158" t="s">
        <v>357</v>
      </c>
      <c r="E7" s="161" t="s">
        <v>499</v>
      </c>
      <c r="F7" s="162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3"/>
      <c r="U7" s="164" t="s">
        <v>1559</v>
      </c>
      <c r="V7" s="164"/>
      <c r="W7" s="164"/>
      <c r="X7" s="165" t="s">
        <v>264</v>
      </c>
      <c r="Y7" s="201" t="s">
        <v>262</v>
      </c>
      <c r="Z7" s="201"/>
      <c r="AA7" s="201"/>
      <c r="AB7" s="201"/>
      <c r="AC7" s="199" t="s">
        <v>512</v>
      </c>
      <c r="AD7" s="199"/>
      <c r="AE7" s="200" t="s">
        <v>356</v>
      </c>
      <c r="AF7" s="200"/>
    </row>
    <row r="8" spans="1:35" ht="10.5" x14ac:dyDescent="0.2">
      <c r="B8" s="159"/>
      <c r="C8" s="159"/>
      <c r="D8" s="159"/>
      <c r="E8" s="10" t="s">
        <v>343</v>
      </c>
      <c r="F8" s="10" t="s">
        <v>0</v>
      </c>
      <c r="G8" s="10" t="s">
        <v>1</v>
      </c>
      <c r="H8" s="10" t="s">
        <v>2</v>
      </c>
      <c r="I8" s="10" t="s">
        <v>3</v>
      </c>
      <c r="J8" s="10" t="s">
        <v>4</v>
      </c>
      <c r="K8" s="10" t="s">
        <v>2694</v>
      </c>
      <c r="L8" s="10" t="s">
        <v>2695</v>
      </c>
      <c r="M8" s="10" t="s">
        <v>7</v>
      </c>
      <c r="N8" s="10" t="s">
        <v>8</v>
      </c>
      <c r="O8" s="10" t="s">
        <v>513</v>
      </c>
      <c r="P8" s="10" t="s">
        <v>514</v>
      </c>
      <c r="Q8" s="10" t="s">
        <v>515</v>
      </c>
      <c r="R8" s="10" t="s">
        <v>516</v>
      </c>
      <c r="S8" s="10" t="s">
        <v>9</v>
      </c>
      <c r="T8" s="10" t="s">
        <v>2696</v>
      </c>
      <c r="U8" s="10" t="s">
        <v>265</v>
      </c>
      <c r="V8" s="10" t="s">
        <v>266</v>
      </c>
      <c r="W8" s="10" t="s">
        <v>267</v>
      </c>
      <c r="X8" s="166"/>
      <c r="Y8" s="201" t="s">
        <v>263</v>
      </c>
      <c r="Z8" s="201" t="s">
        <v>2554</v>
      </c>
      <c r="AA8" s="172" t="s">
        <v>354</v>
      </c>
      <c r="AB8" s="172" t="s">
        <v>2555</v>
      </c>
      <c r="AC8" s="199" t="s">
        <v>511</v>
      </c>
      <c r="AD8" s="199" t="s">
        <v>509</v>
      </c>
      <c r="AE8" s="173" t="s">
        <v>2550</v>
      </c>
      <c r="AF8" s="173" t="s">
        <v>2551</v>
      </c>
    </row>
    <row r="9" spans="1:35" ht="10.5" x14ac:dyDescent="0.2">
      <c r="B9" s="160"/>
      <c r="C9" s="160"/>
      <c r="D9" s="160"/>
      <c r="E9" s="10" t="s">
        <v>344</v>
      </c>
      <c r="F9" s="10" t="s">
        <v>11</v>
      </c>
      <c r="G9" s="10" t="s">
        <v>12</v>
      </c>
      <c r="H9" s="10" t="s">
        <v>13</v>
      </c>
      <c r="I9" s="10" t="s">
        <v>14</v>
      </c>
      <c r="J9" s="10" t="s">
        <v>15</v>
      </c>
      <c r="K9" s="10" t="s">
        <v>2693</v>
      </c>
      <c r="L9" s="10" t="s">
        <v>17</v>
      </c>
      <c r="M9" s="10" t="s">
        <v>18</v>
      </c>
      <c r="N9" s="10" t="s">
        <v>19</v>
      </c>
      <c r="O9" s="10" t="s">
        <v>20</v>
      </c>
      <c r="P9" s="10" t="s">
        <v>21</v>
      </c>
      <c r="Q9" s="10" t="s">
        <v>517</v>
      </c>
      <c r="R9" s="10" t="s">
        <v>518</v>
      </c>
      <c r="S9" s="10" t="s">
        <v>519</v>
      </c>
      <c r="T9" s="10" t="s">
        <v>520</v>
      </c>
      <c r="U9" s="10" t="s">
        <v>342</v>
      </c>
      <c r="V9" s="10" t="s">
        <v>269</v>
      </c>
      <c r="W9" s="10" t="s">
        <v>270</v>
      </c>
      <c r="X9" s="167"/>
      <c r="Y9" s="201"/>
      <c r="Z9" s="201"/>
      <c r="AA9" s="173"/>
      <c r="AB9" s="173"/>
      <c r="AC9" s="199"/>
      <c r="AD9" s="199"/>
      <c r="AE9" s="173"/>
      <c r="AF9" s="173"/>
    </row>
    <row r="10" spans="1:35" x14ac:dyDescent="0.2">
      <c r="B10" s="34" t="s">
        <v>253</v>
      </c>
      <c r="C10" s="27">
        <v>1</v>
      </c>
      <c r="D10" s="13" t="s">
        <v>273</v>
      </c>
      <c r="E10" s="13" t="s">
        <v>273</v>
      </c>
      <c r="F10" s="13" t="s">
        <v>273</v>
      </c>
      <c r="G10" s="13" t="s">
        <v>273</v>
      </c>
      <c r="H10" s="13" t="s">
        <v>273</v>
      </c>
      <c r="I10" s="13" t="s">
        <v>273</v>
      </c>
      <c r="J10" s="13" t="s">
        <v>273</v>
      </c>
      <c r="K10" s="13" t="s">
        <v>273</v>
      </c>
      <c r="L10" s="13" t="s">
        <v>273</v>
      </c>
      <c r="M10" s="13" t="s">
        <v>273</v>
      </c>
      <c r="N10" s="13" t="s">
        <v>273</v>
      </c>
      <c r="O10" s="13" t="s">
        <v>273</v>
      </c>
      <c r="P10" s="13" t="s">
        <v>273</v>
      </c>
      <c r="Q10" s="13" t="s">
        <v>273</v>
      </c>
      <c r="R10" s="13" t="s">
        <v>273</v>
      </c>
      <c r="S10" s="13" t="s">
        <v>273</v>
      </c>
      <c r="T10" s="13" t="s">
        <v>273</v>
      </c>
      <c r="U10" s="13" t="s">
        <v>273</v>
      </c>
      <c r="V10" s="13" t="s">
        <v>273</v>
      </c>
      <c r="W10" s="13" t="s">
        <v>273</v>
      </c>
      <c r="X10" s="13" t="s">
        <v>273</v>
      </c>
      <c r="Y10" s="19" t="s">
        <v>253</v>
      </c>
      <c r="Z10" s="13" t="s">
        <v>273</v>
      </c>
      <c r="AA10" s="135"/>
      <c r="AB10" s="14" t="s">
        <v>501</v>
      </c>
      <c r="AC10" s="15" t="s">
        <v>510</v>
      </c>
      <c r="AD10" s="15" t="s">
        <v>510</v>
      </c>
      <c r="AE10" s="14"/>
      <c r="AF10" s="14"/>
    </row>
    <row r="11" spans="1:35" ht="10" customHeight="1" x14ac:dyDescent="0.2">
      <c r="B11" s="11" t="s">
        <v>22</v>
      </c>
      <c r="C11" s="11">
        <v>2</v>
      </c>
      <c r="D11" s="11" t="s">
        <v>22</v>
      </c>
      <c r="E11" s="11" t="s">
        <v>678</v>
      </c>
      <c r="F11" s="11" t="s">
        <v>522</v>
      </c>
      <c r="G11" s="11" t="s">
        <v>523</v>
      </c>
      <c r="H11" s="11" t="s">
        <v>680</v>
      </c>
      <c r="I11" s="12" t="s">
        <v>273</v>
      </c>
      <c r="J11" s="11" t="s">
        <v>525</v>
      </c>
      <c r="K11" s="11" t="s">
        <v>526</v>
      </c>
      <c r="L11" s="12" t="s">
        <v>273</v>
      </c>
      <c r="M11" s="11" t="s">
        <v>23</v>
      </c>
      <c r="N11" s="12" t="s">
        <v>273</v>
      </c>
      <c r="O11" s="11" t="s">
        <v>527</v>
      </c>
      <c r="P11" s="12" t="s">
        <v>273</v>
      </c>
      <c r="Q11" s="12" t="s">
        <v>273</v>
      </c>
      <c r="R11" s="12" t="s">
        <v>273</v>
      </c>
      <c r="S11" s="12" t="s">
        <v>273</v>
      </c>
      <c r="T11" s="12" t="s">
        <v>273</v>
      </c>
      <c r="U11" s="12" t="s">
        <v>273</v>
      </c>
      <c r="V11" s="12" t="s">
        <v>273</v>
      </c>
      <c r="W11" s="11" t="s">
        <v>1597</v>
      </c>
      <c r="X11" s="12" t="s">
        <v>273</v>
      </c>
      <c r="Y11" s="11"/>
      <c r="Z11" s="13" t="s">
        <v>273</v>
      </c>
      <c r="AA11" s="135" t="str">
        <f>_xlfn.IFS(AND(COUNTIF(Y11,"SCB0*")=1, 'PCH176'!D68&gt;=2), "See the Notice *1", AND(COUNTIF(Y11,"SCB7*")=1, 'PCH176'!K68&gt;=2), "See the Notice *1", TRUE, "")</f>
        <v/>
      </c>
      <c r="AB11" s="14"/>
      <c r="AC11" s="11" t="s">
        <v>271</v>
      </c>
      <c r="AD11" s="11" t="s">
        <v>254</v>
      </c>
      <c r="AE11" s="14"/>
      <c r="AF11" s="14"/>
    </row>
    <row r="12" spans="1:35" x14ac:dyDescent="0.2">
      <c r="B12" s="11" t="s">
        <v>24</v>
      </c>
      <c r="C12" s="11">
        <v>3</v>
      </c>
      <c r="D12" s="11" t="s">
        <v>24</v>
      </c>
      <c r="E12" s="11" t="s">
        <v>528</v>
      </c>
      <c r="F12" s="11" t="s">
        <v>529</v>
      </c>
      <c r="G12" s="11" t="s">
        <v>530</v>
      </c>
      <c r="H12" s="11" t="s">
        <v>681</v>
      </c>
      <c r="I12" s="12" t="s">
        <v>273</v>
      </c>
      <c r="J12" s="11" t="s">
        <v>532</v>
      </c>
      <c r="K12" s="11" t="s">
        <v>533</v>
      </c>
      <c r="L12" s="12" t="s">
        <v>273</v>
      </c>
      <c r="M12" s="11" t="s">
        <v>25</v>
      </c>
      <c r="N12" s="12" t="s">
        <v>273</v>
      </c>
      <c r="O12" s="11" t="s">
        <v>534</v>
      </c>
      <c r="P12" s="12" t="s">
        <v>273</v>
      </c>
      <c r="Q12" s="12" t="s">
        <v>273</v>
      </c>
      <c r="R12" s="12" t="s">
        <v>273</v>
      </c>
      <c r="S12" s="12" t="s">
        <v>273</v>
      </c>
      <c r="T12" s="12" t="s">
        <v>273</v>
      </c>
      <c r="U12" s="12" t="s">
        <v>273</v>
      </c>
      <c r="V12" s="12" t="s">
        <v>273</v>
      </c>
      <c r="W12" s="11" t="s">
        <v>1563</v>
      </c>
      <c r="X12" s="12" t="s">
        <v>273</v>
      </c>
      <c r="Y12" s="11"/>
      <c r="Z12" s="13" t="s">
        <v>273</v>
      </c>
      <c r="AA12" s="135" t="str">
        <f>_xlfn.IFS(AND(COUNTIF(Y12,"SCB0*")=1, 'PCH176'!D68&gt;=2), "See the Notice *1", AND(COUNTIF(Y12,"SCB7*")=1, 'PCH176'!K68&gt;=2), "See the Notice *1", TRUE, "")</f>
        <v/>
      </c>
      <c r="AB12" s="14"/>
      <c r="AC12" s="11" t="s">
        <v>271</v>
      </c>
      <c r="AD12" s="11" t="s">
        <v>254</v>
      </c>
      <c r="AE12" s="14"/>
      <c r="AF12" s="14"/>
    </row>
    <row r="13" spans="1:35" x14ac:dyDescent="0.2">
      <c r="B13" s="11" t="s">
        <v>26</v>
      </c>
      <c r="C13" s="11">
        <v>4</v>
      </c>
      <c r="D13" s="11" t="s">
        <v>26</v>
      </c>
      <c r="E13" s="11" t="s">
        <v>535</v>
      </c>
      <c r="F13" s="11" t="s">
        <v>536</v>
      </c>
      <c r="G13" s="11" t="s">
        <v>537</v>
      </c>
      <c r="H13" s="11" t="s">
        <v>682</v>
      </c>
      <c r="I13" s="12" t="s">
        <v>273</v>
      </c>
      <c r="J13" s="11" t="s">
        <v>539</v>
      </c>
      <c r="K13" s="12" t="s">
        <v>273</v>
      </c>
      <c r="L13" s="11" t="s">
        <v>2334</v>
      </c>
      <c r="M13" s="11" t="s">
        <v>27</v>
      </c>
      <c r="N13" s="11" t="s">
        <v>28</v>
      </c>
      <c r="O13" s="11" t="s">
        <v>677</v>
      </c>
      <c r="P13" s="12" t="s">
        <v>273</v>
      </c>
      <c r="Q13" s="12" t="s">
        <v>273</v>
      </c>
      <c r="R13" s="12" t="s">
        <v>273</v>
      </c>
      <c r="S13" s="12" t="s">
        <v>273</v>
      </c>
      <c r="T13" s="12" t="s">
        <v>273</v>
      </c>
      <c r="U13" s="11" t="s">
        <v>1931</v>
      </c>
      <c r="V13" s="12" t="s">
        <v>273</v>
      </c>
      <c r="W13" s="11" t="s">
        <v>1565</v>
      </c>
      <c r="X13" s="12" t="s">
        <v>273</v>
      </c>
      <c r="Y13" s="15"/>
      <c r="Z13" s="13" t="s">
        <v>273</v>
      </c>
      <c r="AA13" s="135" t="str">
        <f>_xlfn.IFS(AND(COUNTIF(Y13,"SCB0*")=1, 'PCH176'!D68&gt;=2), "See the Notice *1", AND(COUNTIF(Y13,"SCB4*")=1, 'PCH176'!H68&gt;=2), "See the Notice *1", TRUE, "")</f>
        <v/>
      </c>
      <c r="AB13" s="14"/>
      <c r="AC13" s="11" t="s">
        <v>271</v>
      </c>
      <c r="AD13" s="11" t="s">
        <v>254</v>
      </c>
      <c r="AE13" s="14"/>
      <c r="AF13" s="14"/>
    </row>
    <row r="14" spans="1:35" x14ac:dyDescent="0.2">
      <c r="B14" s="11" t="s">
        <v>29</v>
      </c>
      <c r="C14" s="11">
        <v>5</v>
      </c>
      <c r="D14" s="11" t="s">
        <v>29</v>
      </c>
      <c r="E14" s="11" t="s">
        <v>540</v>
      </c>
      <c r="F14" s="11" t="s">
        <v>541</v>
      </c>
      <c r="G14" s="11" t="s">
        <v>542</v>
      </c>
      <c r="H14" s="11" t="s">
        <v>683</v>
      </c>
      <c r="I14" s="12" t="s">
        <v>273</v>
      </c>
      <c r="J14" s="11" t="s">
        <v>544</v>
      </c>
      <c r="K14" s="12" t="s">
        <v>273</v>
      </c>
      <c r="L14" s="11" t="s">
        <v>545</v>
      </c>
      <c r="M14" s="12" t="s">
        <v>273</v>
      </c>
      <c r="N14" s="11" t="s">
        <v>30</v>
      </c>
      <c r="O14" s="11" t="s">
        <v>546</v>
      </c>
      <c r="P14" s="12" t="s">
        <v>273</v>
      </c>
      <c r="Q14" s="12" t="s">
        <v>273</v>
      </c>
      <c r="R14" s="12" t="s">
        <v>273</v>
      </c>
      <c r="S14" s="12" t="s">
        <v>273</v>
      </c>
      <c r="T14" s="12" t="s">
        <v>273</v>
      </c>
      <c r="U14" s="11" t="s">
        <v>1568</v>
      </c>
      <c r="V14" s="12" t="s">
        <v>273</v>
      </c>
      <c r="W14" s="11" t="s">
        <v>1569</v>
      </c>
      <c r="X14" s="12" t="s">
        <v>273</v>
      </c>
      <c r="Y14" s="15"/>
      <c r="Z14" s="13" t="s">
        <v>273</v>
      </c>
      <c r="AA14" s="135" t="str">
        <f>_xlfn.IFS(AND(COUNTIF(Y14,"SCB0*")=1, 'PCH176'!D68&gt;=2), "See the Notice *1", AND(COUNTIF(Y14,"SCB4*")=1, 'PCH176'!H68&gt;=2), "See the Notice *1", TRUE, "")</f>
        <v/>
      </c>
      <c r="AB14" s="14"/>
      <c r="AC14" s="11" t="s">
        <v>271</v>
      </c>
      <c r="AD14" s="11" t="s">
        <v>254</v>
      </c>
      <c r="AE14" s="14"/>
      <c r="AF14" s="14"/>
    </row>
    <row r="15" spans="1:35" x14ac:dyDescent="0.2">
      <c r="B15" s="11" t="s">
        <v>31</v>
      </c>
      <c r="C15" s="11">
        <v>6</v>
      </c>
      <c r="D15" s="11" t="s">
        <v>31</v>
      </c>
      <c r="E15" s="11" t="s">
        <v>547</v>
      </c>
      <c r="F15" s="11" t="s">
        <v>548</v>
      </c>
      <c r="G15" s="11" t="s">
        <v>549</v>
      </c>
      <c r="H15" s="11" t="s">
        <v>684</v>
      </c>
      <c r="I15" s="11" t="s">
        <v>551</v>
      </c>
      <c r="J15" s="12" t="s">
        <v>273</v>
      </c>
      <c r="K15" s="12" t="s">
        <v>273</v>
      </c>
      <c r="L15" s="11" t="s">
        <v>552</v>
      </c>
      <c r="M15" s="12" t="s">
        <v>273</v>
      </c>
      <c r="N15" s="12" t="s">
        <v>273</v>
      </c>
      <c r="O15" s="12" t="s">
        <v>273</v>
      </c>
      <c r="P15" s="12" t="s">
        <v>273</v>
      </c>
      <c r="Q15" s="12" t="s">
        <v>273</v>
      </c>
      <c r="R15" s="12" t="s">
        <v>273</v>
      </c>
      <c r="S15" s="12" t="s">
        <v>273</v>
      </c>
      <c r="T15" s="12" t="s">
        <v>273</v>
      </c>
      <c r="U15" s="11" t="s">
        <v>1571</v>
      </c>
      <c r="V15" s="12" t="s">
        <v>273</v>
      </c>
      <c r="W15" s="11" t="s">
        <v>1572</v>
      </c>
      <c r="X15" s="12" t="s">
        <v>273</v>
      </c>
      <c r="Y15" s="15"/>
      <c r="Z15" s="13" t="s">
        <v>273</v>
      </c>
      <c r="AA15" s="135" t="str">
        <f>_xlfn.IFS(AND(COUNTIF(Y15,"SCB0*")=1, 'PCH176'!D68&gt;=2), "See the Notice *1", AND(COUNTIF(Y15,"SCB4*")=1, 'PCH176'!H68&gt;=2), "See the Notice *1", TRUE, "")</f>
        <v/>
      </c>
      <c r="AB15" s="14"/>
      <c r="AC15" s="11" t="s">
        <v>272</v>
      </c>
      <c r="AD15" s="11" t="s">
        <v>254</v>
      </c>
      <c r="AE15" s="14"/>
      <c r="AF15" s="14"/>
    </row>
    <row r="16" spans="1:35" x14ac:dyDescent="0.2">
      <c r="B16" s="11" t="s">
        <v>32</v>
      </c>
      <c r="C16" s="11">
        <v>7</v>
      </c>
      <c r="D16" s="11" t="s">
        <v>32</v>
      </c>
      <c r="E16" s="11" t="s">
        <v>553</v>
      </c>
      <c r="F16" s="11" t="s">
        <v>554</v>
      </c>
      <c r="G16" s="11" t="s">
        <v>555</v>
      </c>
      <c r="H16" s="11" t="s">
        <v>685</v>
      </c>
      <c r="I16" s="11" t="s">
        <v>557</v>
      </c>
      <c r="J16" s="12" t="s">
        <v>273</v>
      </c>
      <c r="K16" s="12" t="s">
        <v>273</v>
      </c>
      <c r="L16" s="11" t="s">
        <v>2685</v>
      </c>
      <c r="M16" s="12" t="s">
        <v>273</v>
      </c>
      <c r="N16" s="12" t="s">
        <v>273</v>
      </c>
      <c r="O16" s="12" t="s">
        <v>273</v>
      </c>
      <c r="P16" s="12" t="s">
        <v>273</v>
      </c>
      <c r="Q16" s="12" t="s">
        <v>353</v>
      </c>
      <c r="R16" s="12" t="s">
        <v>273</v>
      </c>
      <c r="S16" s="12" t="s">
        <v>273</v>
      </c>
      <c r="T16" s="12" t="s">
        <v>273</v>
      </c>
      <c r="U16" s="11" t="s">
        <v>1574</v>
      </c>
      <c r="V16" s="12" t="s">
        <v>273</v>
      </c>
      <c r="W16" s="11" t="s">
        <v>1575</v>
      </c>
      <c r="X16" s="12" t="s">
        <v>273</v>
      </c>
      <c r="Y16" s="15"/>
      <c r="Z16" s="13" t="s">
        <v>273</v>
      </c>
      <c r="AA16" s="135" t="str">
        <f>_xlfn.IFS(AND(COUNTIF(Y16,"SCB0*")=1, 'PCH176'!D68&gt;=2), "See the Notice *1", AND(COUNTIF(Y16,"SCB4*")=1, 'PCH176'!H68&gt;=2), "See the Notice *1", TRUE, "")</f>
        <v/>
      </c>
      <c r="AB16" s="14"/>
      <c r="AC16" s="11" t="s">
        <v>272</v>
      </c>
      <c r="AD16" s="11" t="s">
        <v>254</v>
      </c>
      <c r="AE16" s="14"/>
      <c r="AF16" s="14"/>
    </row>
    <row r="17" spans="2:32" x14ac:dyDescent="0.2">
      <c r="B17" s="11" t="s">
        <v>33</v>
      </c>
      <c r="C17" s="11">
        <v>8</v>
      </c>
      <c r="D17" s="11" t="s">
        <v>33</v>
      </c>
      <c r="E17" s="11" t="s">
        <v>558</v>
      </c>
      <c r="F17" s="11" t="s">
        <v>559</v>
      </c>
      <c r="G17" s="11" t="s">
        <v>560</v>
      </c>
      <c r="H17" s="11" t="s">
        <v>561</v>
      </c>
      <c r="I17" s="11" t="s">
        <v>562</v>
      </c>
      <c r="J17" s="12" t="s">
        <v>273</v>
      </c>
      <c r="K17" s="12" t="s">
        <v>273</v>
      </c>
      <c r="L17" s="12" t="s">
        <v>273</v>
      </c>
      <c r="M17" s="11" t="s">
        <v>38</v>
      </c>
      <c r="N17" s="12" t="s">
        <v>273</v>
      </c>
      <c r="O17" s="12" t="s">
        <v>273</v>
      </c>
      <c r="P17" s="12" t="s">
        <v>273</v>
      </c>
      <c r="Q17" s="12" t="s">
        <v>273</v>
      </c>
      <c r="R17" s="12" t="s">
        <v>273</v>
      </c>
      <c r="S17" s="11" t="s">
        <v>34</v>
      </c>
      <c r="T17" s="12" t="s">
        <v>273</v>
      </c>
      <c r="U17" s="12" t="s">
        <v>273</v>
      </c>
      <c r="V17" s="12" t="s">
        <v>273</v>
      </c>
      <c r="W17" s="11" t="s">
        <v>1577</v>
      </c>
      <c r="X17" s="12" t="s">
        <v>273</v>
      </c>
      <c r="Y17" s="15"/>
      <c r="Z17" s="13" t="s">
        <v>273</v>
      </c>
      <c r="AA17" s="135" t="str">
        <f>_xlfn.IFS(AND(COUNTIF(Y17,"SCB*")=1, 'PCH176'!D68&gt;=2), "See the Notice *1", TRUE, "")</f>
        <v/>
      </c>
      <c r="AB17" s="14"/>
      <c r="AC17" s="11" t="s">
        <v>272</v>
      </c>
      <c r="AD17" s="11" t="s">
        <v>254</v>
      </c>
      <c r="AE17" s="14"/>
      <c r="AF17" s="14"/>
    </row>
    <row r="18" spans="2:32" x14ac:dyDescent="0.2">
      <c r="B18" s="11" t="s">
        <v>35</v>
      </c>
      <c r="C18" s="11">
        <v>9</v>
      </c>
      <c r="D18" s="11" t="s">
        <v>35</v>
      </c>
      <c r="E18" s="11" t="s">
        <v>563</v>
      </c>
      <c r="F18" s="11" t="s">
        <v>564</v>
      </c>
      <c r="G18" s="11" t="s">
        <v>565</v>
      </c>
      <c r="H18" s="11" t="s">
        <v>566</v>
      </c>
      <c r="I18" s="11" t="s">
        <v>567</v>
      </c>
      <c r="J18" s="12" t="s">
        <v>273</v>
      </c>
      <c r="K18" s="12" t="s">
        <v>273</v>
      </c>
      <c r="L18" s="12" t="s">
        <v>273</v>
      </c>
      <c r="M18" s="11" t="s">
        <v>42</v>
      </c>
      <c r="N18" s="12" t="s">
        <v>273</v>
      </c>
      <c r="O18" s="12" t="s">
        <v>273</v>
      </c>
      <c r="P18" s="12" t="s">
        <v>273</v>
      </c>
      <c r="Q18" s="12" t="s">
        <v>273</v>
      </c>
      <c r="R18" s="12" t="s">
        <v>273</v>
      </c>
      <c r="S18" s="11" t="s">
        <v>36</v>
      </c>
      <c r="T18" s="12" t="s">
        <v>273</v>
      </c>
      <c r="U18" s="12" t="s">
        <v>273</v>
      </c>
      <c r="V18" s="12" t="s">
        <v>273</v>
      </c>
      <c r="W18" s="11" t="s">
        <v>1580</v>
      </c>
      <c r="X18" s="12" t="s">
        <v>273</v>
      </c>
      <c r="Y18" s="15"/>
      <c r="Z18" s="13" t="s">
        <v>273</v>
      </c>
      <c r="AA18" s="135" t="str">
        <f>_xlfn.IFS(AND(COUNTIF(Y18,"SCB*")=1, 'PCH176'!D68&gt;=2), "See the Notice *1", TRUE, "")</f>
        <v/>
      </c>
      <c r="AB18" s="14"/>
      <c r="AC18" s="11" t="s">
        <v>272</v>
      </c>
      <c r="AD18" s="11" t="s">
        <v>254</v>
      </c>
      <c r="AE18" s="14"/>
      <c r="AF18" s="14"/>
    </row>
    <row r="19" spans="2:32" x14ac:dyDescent="0.2">
      <c r="B19" s="11" t="s">
        <v>37</v>
      </c>
      <c r="C19" s="11">
        <v>10</v>
      </c>
      <c r="D19" s="11" t="s">
        <v>37</v>
      </c>
      <c r="E19" s="11" t="s">
        <v>586</v>
      </c>
      <c r="F19" s="11" t="s">
        <v>587</v>
      </c>
      <c r="G19" s="11" t="s">
        <v>588</v>
      </c>
      <c r="H19" s="11" t="s">
        <v>687</v>
      </c>
      <c r="I19" s="11" t="s">
        <v>590</v>
      </c>
      <c r="J19" s="11" t="s">
        <v>591</v>
      </c>
      <c r="K19" s="12" t="s">
        <v>273</v>
      </c>
      <c r="L19" s="11" t="s">
        <v>2335</v>
      </c>
      <c r="M19" s="11" t="s">
        <v>38</v>
      </c>
      <c r="N19" s="11" t="s">
        <v>39</v>
      </c>
      <c r="O19" s="12" t="s">
        <v>273</v>
      </c>
      <c r="P19" s="12" t="s">
        <v>273</v>
      </c>
      <c r="Q19" s="12" t="s">
        <v>273</v>
      </c>
      <c r="R19" s="12" t="s">
        <v>273</v>
      </c>
      <c r="S19" s="11" t="s">
        <v>40</v>
      </c>
      <c r="T19" s="12" t="s">
        <v>273</v>
      </c>
      <c r="U19" s="12" t="s">
        <v>273</v>
      </c>
      <c r="V19" s="11" t="s">
        <v>274</v>
      </c>
      <c r="W19" s="11" t="s">
        <v>1585</v>
      </c>
      <c r="X19" s="12" t="s">
        <v>273</v>
      </c>
      <c r="Y19" s="15"/>
      <c r="Z19" s="13" t="s">
        <v>273</v>
      </c>
      <c r="AA19" s="135" t="str">
        <f>_xlfn.IFS(AND(COUNTIF(Y19,"SCB0*")=1, 'PCH176'!D68&gt;=2), "See the Notice *1", AND(COUNTIF(Y19,"SCB7*")=1, 'PCH176'!K68&gt;=2), "See the Notice *1", TRUE, "")</f>
        <v/>
      </c>
      <c r="AB19" s="14"/>
      <c r="AC19" s="11" t="s">
        <v>272</v>
      </c>
      <c r="AD19" s="11" t="s">
        <v>254</v>
      </c>
      <c r="AE19" s="14"/>
      <c r="AF19" s="14"/>
    </row>
    <row r="20" spans="2:32" x14ac:dyDescent="0.2">
      <c r="B20" s="11" t="s">
        <v>41</v>
      </c>
      <c r="C20" s="11">
        <v>11</v>
      </c>
      <c r="D20" s="11" t="s">
        <v>41</v>
      </c>
      <c r="E20" s="11" t="s">
        <v>592</v>
      </c>
      <c r="F20" s="11" t="s">
        <v>593</v>
      </c>
      <c r="G20" s="11" t="s">
        <v>594</v>
      </c>
      <c r="H20" s="11" t="s">
        <v>688</v>
      </c>
      <c r="I20" s="11" t="s">
        <v>596</v>
      </c>
      <c r="J20" s="11" t="s">
        <v>597</v>
      </c>
      <c r="K20" s="11" t="s">
        <v>598</v>
      </c>
      <c r="L20" s="11" t="s">
        <v>599</v>
      </c>
      <c r="M20" s="11" t="s">
        <v>42</v>
      </c>
      <c r="N20" s="11" t="s">
        <v>43</v>
      </c>
      <c r="O20" s="12" t="s">
        <v>273</v>
      </c>
      <c r="P20" s="12" t="s">
        <v>273</v>
      </c>
      <c r="Q20" s="12" t="s">
        <v>273</v>
      </c>
      <c r="R20" s="12" t="s">
        <v>273</v>
      </c>
      <c r="S20" s="11" t="s">
        <v>44</v>
      </c>
      <c r="T20" s="12" t="s">
        <v>273</v>
      </c>
      <c r="U20" s="12" t="s">
        <v>273</v>
      </c>
      <c r="V20" s="12" t="s">
        <v>273</v>
      </c>
      <c r="W20" s="11" t="s">
        <v>1587</v>
      </c>
      <c r="X20" s="12" t="s">
        <v>273</v>
      </c>
      <c r="Y20" s="15"/>
      <c r="Z20" s="13" t="s">
        <v>273</v>
      </c>
      <c r="AA20" s="135" t="str">
        <f>_xlfn.IFS(AND(COUNTIF(Y20,"SCB0*")=1, 'PCH176'!D68&gt;=2), "See the Notice *1", AND(COUNTIF(Y20,"SCB7*")=1, 'PCH176'!K68&gt;=2), "See the Notice *1", TRUE, "")</f>
        <v/>
      </c>
      <c r="AB20" s="14"/>
      <c r="AC20" s="11" t="s">
        <v>272</v>
      </c>
      <c r="AD20" s="11" t="s">
        <v>254</v>
      </c>
      <c r="AE20" s="14"/>
      <c r="AF20" s="14"/>
    </row>
    <row r="21" spans="2:32" x14ac:dyDescent="0.2">
      <c r="B21" s="11" t="s">
        <v>45</v>
      </c>
      <c r="C21" s="11">
        <v>12</v>
      </c>
      <c r="D21" s="11" t="s">
        <v>45</v>
      </c>
      <c r="E21" s="11" t="s">
        <v>600</v>
      </c>
      <c r="F21" s="11" t="s">
        <v>601</v>
      </c>
      <c r="G21" s="11" t="s">
        <v>602</v>
      </c>
      <c r="H21" s="11" t="s">
        <v>603</v>
      </c>
      <c r="I21" s="11" t="s">
        <v>604</v>
      </c>
      <c r="J21" s="11" t="s">
        <v>605</v>
      </c>
      <c r="K21" s="11" t="s">
        <v>606</v>
      </c>
      <c r="L21" s="11" t="s">
        <v>607</v>
      </c>
      <c r="M21" s="11" t="s">
        <v>46</v>
      </c>
      <c r="N21" s="12" t="s">
        <v>273</v>
      </c>
      <c r="O21" s="12" t="s">
        <v>273</v>
      </c>
      <c r="P21" s="12" t="s">
        <v>273</v>
      </c>
      <c r="Q21" s="11" t="s">
        <v>679</v>
      </c>
      <c r="R21" s="12" t="s">
        <v>273</v>
      </c>
      <c r="S21" s="11" t="s">
        <v>47</v>
      </c>
      <c r="T21" s="12" t="s">
        <v>273</v>
      </c>
      <c r="U21" s="12" t="s">
        <v>273</v>
      </c>
      <c r="V21" s="12" t="s">
        <v>273</v>
      </c>
      <c r="W21" s="11" t="s">
        <v>1589</v>
      </c>
      <c r="X21" s="12" t="s">
        <v>273</v>
      </c>
      <c r="Y21" s="15"/>
      <c r="Z21" s="13" t="s">
        <v>273</v>
      </c>
      <c r="AA21" s="135" t="str">
        <f>_xlfn.IFS(AND(COUNTIF(Y21,"SCB0*")=1, 'PCH176'!D68&gt;=2), "See the Notice *1", AND(COUNTIF(Y21,"SCB7*")=1, 'PCH176'!K68&gt;=2), "See the Notice *1", TRUE, "")</f>
        <v/>
      </c>
      <c r="AB21" s="14"/>
      <c r="AC21" s="11" t="s">
        <v>272</v>
      </c>
      <c r="AD21" s="11" t="s">
        <v>254</v>
      </c>
      <c r="AE21" s="14"/>
      <c r="AF21" s="14"/>
    </row>
    <row r="22" spans="2:32" x14ac:dyDescent="0.2">
      <c r="B22" s="11" t="s">
        <v>48</v>
      </c>
      <c r="C22" s="11">
        <v>13</v>
      </c>
      <c r="D22" s="11" t="s">
        <v>48</v>
      </c>
      <c r="E22" s="11" t="s">
        <v>608</v>
      </c>
      <c r="F22" s="11" t="s">
        <v>609</v>
      </c>
      <c r="G22" s="11" t="s">
        <v>610</v>
      </c>
      <c r="H22" s="11" t="s">
        <v>689</v>
      </c>
      <c r="I22" s="11" t="s">
        <v>612</v>
      </c>
      <c r="J22" s="11" t="s">
        <v>613</v>
      </c>
      <c r="K22" s="12" t="s">
        <v>273</v>
      </c>
      <c r="L22" s="11" t="s">
        <v>614</v>
      </c>
      <c r="M22" s="11" t="s">
        <v>49</v>
      </c>
      <c r="N22" s="12" t="s">
        <v>273</v>
      </c>
      <c r="O22" s="12" t="s">
        <v>273</v>
      </c>
      <c r="P22" s="12" t="s">
        <v>273</v>
      </c>
      <c r="Q22" s="11" t="s">
        <v>696</v>
      </c>
      <c r="R22" s="12" t="s">
        <v>273</v>
      </c>
      <c r="S22" s="11" t="s">
        <v>50</v>
      </c>
      <c r="T22" s="12" t="s">
        <v>273</v>
      </c>
      <c r="U22" s="12" t="s">
        <v>273</v>
      </c>
      <c r="V22" s="12" t="s">
        <v>273</v>
      </c>
      <c r="W22" s="12" t="s">
        <v>273</v>
      </c>
      <c r="X22" s="12" t="s">
        <v>273</v>
      </c>
      <c r="Y22" s="15"/>
      <c r="Z22" s="13" t="s">
        <v>273</v>
      </c>
      <c r="AA22" s="135" t="str">
        <f>_xlfn.IFS(AND(COUNTIF(Y22,"SCB*")=1, 'PCH176'!K68&gt;=2), "See the Notice *1", TRUE, "")</f>
        <v/>
      </c>
      <c r="AB22" s="14"/>
      <c r="AC22" s="11" t="s">
        <v>272</v>
      </c>
      <c r="AD22" s="11" t="s">
        <v>254</v>
      </c>
      <c r="AE22" s="14"/>
      <c r="AF22" s="14"/>
    </row>
    <row r="23" spans="2:32" x14ac:dyDescent="0.2">
      <c r="B23" s="11" t="s">
        <v>51</v>
      </c>
      <c r="C23" s="11">
        <v>14</v>
      </c>
      <c r="D23" s="11" t="s">
        <v>51</v>
      </c>
      <c r="E23" s="11" t="s">
        <v>615</v>
      </c>
      <c r="F23" s="11" t="s">
        <v>616</v>
      </c>
      <c r="G23" s="11" t="s">
        <v>617</v>
      </c>
      <c r="H23" s="11" t="s">
        <v>690</v>
      </c>
      <c r="I23" s="11" t="s">
        <v>619</v>
      </c>
      <c r="J23" s="12" t="s">
        <v>273</v>
      </c>
      <c r="K23" s="12" t="s">
        <v>273</v>
      </c>
      <c r="L23" s="11" t="s">
        <v>620</v>
      </c>
      <c r="M23" s="11" t="s">
        <v>52</v>
      </c>
      <c r="N23" s="12" t="s">
        <v>273</v>
      </c>
      <c r="O23" s="12" t="s">
        <v>273</v>
      </c>
      <c r="P23" s="12" t="s">
        <v>273</v>
      </c>
      <c r="Q23" s="12" t="s">
        <v>273</v>
      </c>
      <c r="R23" s="12" t="s">
        <v>273</v>
      </c>
      <c r="S23" s="11" t="s">
        <v>53</v>
      </c>
      <c r="T23" s="12" t="s">
        <v>273</v>
      </c>
      <c r="U23" s="12" t="s">
        <v>273</v>
      </c>
      <c r="V23" s="12" t="s">
        <v>273</v>
      </c>
      <c r="W23" s="12" t="s">
        <v>273</v>
      </c>
      <c r="X23" s="12" t="s">
        <v>273</v>
      </c>
      <c r="Y23" s="15"/>
      <c r="Z23" s="13" t="s">
        <v>273</v>
      </c>
      <c r="AA23" s="135" t="str">
        <f>_xlfn.IFS(AND(COUNTIF(Y23,"SCB*")=1, 'PCH176'!K68&gt;=2), "See the Notice *1", TRUE, "")</f>
        <v/>
      </c>
      <c r="AB23" s="14"/>
      <c r="AC23" s="11" t="s">
        <v>272</v>
      </c>
      <c r="AD23" s="11" t="s">
        <v>254</v>
      </c>
      <c r="AE23" s="14"/>
      <c r="AF23" s="14"/>
    </row>
    <row r="24" spans="2:32" x14ac:dyDescent="0.2">
      <c r="B24" s="11" t="s">
        <v>54</v>
      </c>
      <c r="C24" s="11">
        <v>15</v>
      </c>
      <c r="D24" s="11" t="s">
        <v>54</v>
      </c>
      <c r="E24" s="11" t="s">
        <v>621</v>
      </c>
      <c r="F24" s="11" t="s">
        <v>622</v>
      </c>
      <c r="G24" s="11" t="s">
        <v>623</v>
      </c>
      <c r="H24" s="11" t="s">
        <v>691</v>
      </c>
      <c r="I24" s="11" t="s">
        <v>625</v>
      </c>
      <c r="J24" s="12" t="s">
        <v>273</v>
      </c>
      <c r="K24" s="12" t="s">
        <v>273</v>
      </c>
      <c r="L24" s="11" t="s">
        <v>626</v>
      </c>
      <c r="M24" s="11" t="s">
        <v>55</v>
      </c>
      <c r="N24" s="12" t="s">
        <v>273</v>
      </c>
      <c r="O24" s="12" t="s">
        <v>273</v>
      </c>
      <c r="P24" s="12" t="s">
        <v>273</v>
      </c>
      <c r="Q24" s="12" t="s">
        <v>273</v>
      </c>
      <c r="R24" s="12" t="s">
        <v>273</v>
      </c>
      <c r="S24" s="11" t="s">
        <v>56</v>
      </c>
      <c r="T24" s="12" t="s">
        <v>273</v>
      </c>
      <c r="U24" s="12" t="s">
        <v>273</v>
      </c>
      <c r="V24" s="12" t="s">
        <v>273</v>
      </c>
      <c r="W24" s="12" t="s">
        <v>273</v>
      </c>
      <c r="X24" s="12" t="s">
        <v>273</v>
      </c>
      <c r="Y24" s="15"/>
      <c r="Z24" s="13" t="s">
        <v>273</v>
      </c>
      <c r="AA24" s="135" t="str">
        <f>_xlfn.IFS(AND(COUNTIF(Y24,"SCB*")=1, 'PCH176'!K68&gt;=2), "See the Notice *1", TRUE, "")</f>
        <v/>
      </c>
      <c r="AB24" s="14"/>
      <c r="AC24" s="11" t="s">
        <v>272</v>
      </c>
      <c r="AD24" s="11" t="s">
        <v>254</v>
      </c>
      <c r="AE24" s="14"/>
      <c r="AF24" s="14"/>
    </row>
    <row r="25" spans="2:32" x14ac:dyDescent="0.2">
      <c r="B25" s="11" t="s">
        <v>57</v>
      </c>
      <c r="C25" s="11">
        <v>16</v>
      </c>
      <c r="D25" s="11" t="s">
        <v>57</v>
      </c>
      <c r="E25" s="11" t="s">
        <v>641</v>
      </c>
      <c r="F25" s="11" t="s">
        <v>642</v>
      </c>
      <c r="G25" s="11" t="s">
        <v>643</v>
      </c>
      <c r="H25" s="11" t="s">
        <v>694</v>
      </c>
      <c r="I25" s="11" t="s">
        <v>645</v>
      </c>
      <c r="J25" s="11" t="s">
        <v>695</v>
      </c>
      <c r="K25" s="12" t="s">
        <v>273</v>
      </c>
      <c r="L25" s="11" t="s">
        <v>646</v>
      </c>
      <c r="M25" s="12" t="s">
        <v>273</v>
      </c>
      <c r="N25" s="11" t="s">
        <v>647</v>
      </c>
      <c r="O25" s="12" t="s">
        <v>273</v>
      </c>
      <c r="P25" s="12" t="s">
        <v>273</v>
      </c>
      <c r="Q25" s="11" t="s">
        <v>648</v>
      </c>
      <c r="R25" s="12" t="s">
        <v>273</v>
      </c>
      <c r="S25" s="12" t="s">
        <v>273</v>
      </c>
      <c r="T25" s="11" t="s">
        <v>697</v>
      </c>
      <c r="U25" s="12" t="s">
        <v>273</v>
      </c>
      <c r="V25" s="12" t="s">
        <v>273</v>
      </c>
      <c r="W25" s="12" t="s">
        <v>273</v>
      </c>
      <c r="X25" s="12" t="s">
        <v>273</v>
      </c>
      <c r="Y25" s="15"/>
      <c r="Z25" s="13" t="s">
        <v>273</v>
      </c>
      <c r="AA25" s="135" t="str">
        <f>_xlfn.IFS(AND(COUNTIF(Y25,"SCB*")=1, 'PCH176'!J68&gt;=2), "See the Notice *1", TRUE, "")</f>
        <v/>
      </c>
      <c r="AB25" s="14"/>
      <c r="AC25" s="11" t="s">
        <v>272</v>
      </c>
      <c r="AD25" s="11" t="s">
        <v>254</v>
      </c>
      <c r="AE25" s="14"/>
      <c r="AF25" s="14"/>
    </row>
    <row r="26" spans="2:32" x14ac:dyDescent="0.2">
      <c r="B26" s="11" t="s">
        <v>58</v>
      </c>
      <c r="C26" s="11">
        <v>17</v>
      </c>
      <c r="D26" s="11" t="s">
        <v>58</v>
      </c>
      <c r="E26" s="11" t="s">
        <v>649</v>
      </c>
      <c r="F26" s="11" t="s">
        <v>650</v>
      </c>
      <c r="G26" s="11" t="s">
        <v>651</v>
      </c>
      <c r="H26" s="11" t="s">
        <v>652</v>
      </c>
      <c r="I26" s="11" t="s">
        <v>653</v>
      </c>
      <c r="J26" s="11" t="s">
        <v>654</v>
      </c>
      <c r="K26" s="11" t="s">
        <v>655</v>
      </c>
      <c r="L26" s="11" t="s">
        <v>656</v>
      </c>
      <c r="M26" s="12" t="s">
        <v>273</v>
      </c>
      <c r="N26" s="11" t="s">
        <v>657</v>
      </c>
      <c r="O26" s="12" t="s">
        <v>273</v>
      </c>
      <c r="P26" s="12" t="s">
        <v>273</v>
      </c>
      <c r="Q26" s="11" t="s">
        <v>658</v>
      </c>
      <c r="R26" s="12" t="s">
        <v>273</v>
      </c>
      <c r="S26" s="12" t="s">
        <v>273</v>
      </c>
      <c r="T26" s="11" t="s">
        <v>698</v>
      </c>
      <c r="U26" s="12" t="s">
        <v>273</v>
      </c>
      <c r="V26" s="12" t="s">
        <v>273</v>
      </c>
      <c r="W26" s="12" t="s">
        <v>273</v>
      </c>
      <c r="X26" s="12" t="s">
        <v>273</v>
      </c>
      <c r="Y26" s="15"/>
      <c r="Z26" s="13" t="s">
        <v>273</v>
      </c>
      <c r="AA26" s="135" t="str">
        <f>_xlfn.IFS(AND(COUNTIF(Y26,"SCB*")=1, 'PCH176'!J68&gt;=2), "See the Notice *1", TRUE, "")</f>
        <v/>
      </c>
      <c r="AB26" s="14"/>
      <c r="AC26" s="11" t="s">
        <v>272</v>
      </c>
      <c r="AD26" s="11" t="s">
        <v>254</v>
      </c>
      <c r="AE26" s="14"/>
      <c r="AF26" s="14"/>
    </row>
    <row r="27" spans="2:32" x14ac:dyDescent="0.2">
      <c r="B27" s="11" t="s">
        <v>59</v>
      </c>
      <c r="C27" s="11">
        <v>18</v>
      </c>
      <c r="D27" s="11" t="s">
        <v>59</v>
      </c>
      <c r="E27" s="11" t="s">
        <v>659</v>
      </c>
      <c r="F27" s="11" t="s">
        <v>660</v>
      </c>
      <c r="G27" s="11" t="s">
        <v>661</v>
      </c>
      <c r="H27" s="11" t="s">
        <v>662</v>
      </c>
      <c r="I27" s="11" t="s">
        <v>663</v>
      </c>
      <c r="J27" s="11" t="s">
        <v>664</v>
      </c>
      <c r="K27" s="11" t="s">
        <v>665</v>
      </c>
      <c r="L27" s="11" t="s">
        <v>699</v>
      </c>
      <c r="M27" s="12" t="s">
        <v>273</v>
      </c>
      <c r="N27" s="12" t="s">
        <v>273</v>
      </c>
      <c r="O27" s="12" t="s">
        <v>273</v>
      </c>
      <c r="P27" s="12" t="s">
        <v>273</v>
      </c>
      <c r="Q27" s="12" t="s">
        <v>273</v>
      </c>
      <c r="R27" s="12" t="s">
        <v>273</v>
      </c>
      <c r="S27" s="12" t="s">
        <v>273</v>
      </c>
      <c r="T27" s="12" t="s">
        <v>273</v>
      </c>
      <c r="U27" s="12" t="s">
        <v>273</v>
      </c>
      <c r="V27" s="12" t="s">
        <v>273</v>
      </c>
      <c r="W27" s="12" t="s">
        <v>273</v>
      </c>
      <c r="X27" s="12" t="s">
        <v>273</v>
      </c>
      <c r="Y27" s="15"/>
      <c r="Z27" s="13" t="s">
        <v>273</v>
      </c>
      <c r="AA27" s="135" t="str">
        <f>_xlfn.IFS(AND(COUNTIF(Y27,"SCB*")=1, 'PCH176'!J68&gt;=2), "See the Notice *1", TRUE, "")</f>
        <v/>
      </c>
      <c r="AB27" s="14"/>
      <c r="AC27" s="11" t="s">
        <v>272</v>
      </c>
      <c r="AD27" s="11" t="s">
        <v>254</v>
      </c>
      <c r="AE27" s="14"/>
      <c r="AF27" s="14"/>
    </row>
    <row r="28" spans="2:32" x14ac:dyDescent="0.2">
      <c r="B28" s="11" t="s">
        <v>60</v>
      </c>
      <c r="C28" s="11">
        <v>19</v>
      </c>
      <c r="D28" s="11" t="s">
        <v>60</v>
      </c>
      <c r="E28" s="11" t="s">
        <v>666</v>
      </c>
      <c r="F28" s="11" t="s">
        <v>667</v>
      </c>
      <c r="G28" s="11" t="s">
        <v>668</v>
      </c>
      <c r="H28" s="11" t="s">
        <v>669</v>
      </c>
      <c r="I28" s="11" t="s">
        <v>670</v>
      </c>
      <c r="J28" s="11" t="s">
        <v>671</v>
      </c>
      <c r="K28" s="12" t="s">
        <v>273</v>
      </c>
      <c r="L28" s="11" t="s">
        <v>700</v>
      </c>
      <c r="M28" s="12" t="s">
        <v>273</v>
      </c>
      <c r="N28" s="12" t="s">
        <v>273</v>
      </c>
      <c r="O28" s="12" t="s">
        <v>273</v>
      </c>
      <c r="P28" s="12" t="s">
        <v>273</v>
      </c>
      <c r="Q28" s="12" t="s">
        <v>273</v>
      </c>
      <c r="R28" s="12" t="s">
        <v>273</v>
      </c>
      <c r="S28" s="12" t="s">
        <v>273</v>
      </c>
      <c r="T28" s="12" t="s">
        <v>273</v>
      </c>
      <c r="U28" s="12" t="s">
        <v>273</v>
      </c>
      <c r="V28" s="12" t="s">
        <v>273</v>
      </c>
      <c r="W28" s="12" t="s">
        <v>273</v>
      </c>
      <c r="X28" s="12" t="s">
        <v>273</v>
      </c>
      <c r="Y28" s="15"/>
      <c r="Z28" s="13" t="s">
        <v>273</v>
      </c>
      <c r="AA28" s="135" t="str">
        <f>_xlfn.IFS(AND(COUNTIF(Y28,"SCB*")=1, 'PCH176'!J68&gt;=2), "See the Notice *1", TRUE, "")</f>
        <v/>
      </c>
      <c r="AB28" s="14"/>
      <c r="AC28" s="11" t="s">
        <v>272</v>
      </c>
      <c r="AD28" s="11" t="s">
        <v>254</v>
      </c>
      <c r="AE28" s="14"/>
      <c r="AF28" s="14"/>
    </row>
    <row r="29" spans="2:32" x14ac:dyDescent="0.2">
      <c r="B29" s="16" t="s">
        <v>61</v>
      </c>
      <c r="C29" s="11">
        <v>20</v>
      </c>
      <c r="D29" s="16" t="s">
        <v>61</v>
      </c>
      <c r="E29" s="16" t="s">
        <v>672</v>
      </c>
      <c r="F29" s="16" t="s">
        <v>673</v>
      </c>
      <c r="G29" s="16" t="s">
        <v>674</v>
      </c>
      <c r="H29" s="16" t="s">
        <v>675</v>
      </c>
      <c r="I29" s="16" t="s">
        <v>676</v>
      </c>
      <c r="J29" s="12" t="s">
        <v>273</v>
      </c>
      <c r="K29" s="12" t="s">
        <v>273</v>
      </c>
      <c r="L29" s="16" t="s">
        <v>701</v>
      </c>
      <c r="M29" s="16" t="s">
        <v>23</v>
      </c>
      <c r="N29" s="12" t="s">
        <v>273</v>
      </c>
      <c r="O29" s="12" t="s">
        <v>273</v>
      </c>
      <c r="P29" s="12" t="s">
        <v>273</v>
      </c>
      <c r="Q29" s="12" t="s">
        <v>273</v>
      </c>
      <c r="R29" s="12" t="s">
        <v>273</v>
      </c>
      <c r="S29" s="12" t="s">
        <v>273</v>
      </c>
      <c r="T29" s="12" t="s">
        <v>273</v>
      </c>
      <c r="U29" s="12" t="s">
        <v>273</v>
      </c>
      <c r="V29" s="12" t="s">
        <v>273</v>
      </c>
      <c r="W29" s="12" t="s">
        <v>273</v>
      </c>
      <c r="X29" s="12" t="s">
        <v>273</v>
      </c>
      <c r="Y29" s="15"/>
      <c r="Z29" s="13" t="s">
        <v>273</v>
      </c>
      <c r="AA29" s="135" t="str">
        <f>_xlfn.IFS(AND(COUNTIF(Y29,"SCB*")=1, 'PCH176'!J68&gt;=2), "See the Notice *1", TRUE, "")</f>
        <v/>
      </c>
      <c r="AB29" s="14"/>
      <c r="AC29" s="11" t="s">
        <v>272</v>
      </c>
      <c r="AD29" s="11" t="s">
        <v>254</v>
      </c>
      <c r="AE29" s="14"/>
      <c r="AF29" s="14"/>
    </row>
    <row r="30" spans="2:32" x14ac:dyDescent="0.2">
      <c r="B30" s="11" t="s">
        <v>62</v>
      </c>
      <c r="C30" s="11">
        <v>21</v>
      </c>
      <c r="D30" s="11" t="s">
        <v>62</v>
      </c>
      <c r="E30" s="11" t="s">
        <v>702</v>
      </c>
      <c r="F30" s="11" t="s">
        <v>703</v>
      </c>
      <c r="G30" s="11" t="s">
        <v>704</v>
      </c>
      <c r="H30" s="11" t="s">
        <v>705</v>
      </c>
      <c r="I30" s="11" t="s">
        <v>706</v>
      </c>
      <c r="J30" s="12" t="s">
        <v>273</v>
      </c>
      <c r="K30" s="12" t="s">
        <v>273</v>
      </c>
      <c r="L30" s="11" t="s">
        <v>707</v>
      </c>
      <c r="M30" s="11" t="s">
        <v>25</v>
      </c>
      <c r="N30" s="12" t="s">
        <v>273</v>
      </c>
      <c r="O30" s="12" t="s">
        <v>273</v>
      </c>
      <c r="P30" s="12" t="s">
        <v>273</v>
      </c>
      <c r="Q30" s="12" t="s">
        <v>273</v>
      </c>
      <c r="R30" s="12" t="s">
        <v>273</v>
      </c>
      <c r="S30" s="12" t="s">
        <v>273</v>
      </c>
      <c r="T30" s="12" t="s">
        <v>273</v>
      </c>
      <c r="U30" s="12" t="s">
        <v>273</v>
      </c>
      <c r="V30" s="12" t="s">
        <v>273</v>
      </c>
      <c r="W30" s="12" t="s">
        <v>273</v>
      </c>
      <c r="X30" s="12" t="s">
        <v>273</v>
      </c>
      <c r="Y30" s="15"/>
      <c r="Z30" s="13" t="s">
        <v>273</v>
      </c>
      <c r="AA30" s="135" t="str">
        <f>_xlfn.IFS(AND(COUNTIF(Y30,"SCB*")=1, 'PCH176'!J68&gt;=2), "See the Notice *1", TRUE, "")</f>
        <v/>
      </c>
      <c r="AB30" s="14"/>
      <c r="AC30" s="11" t="s">
        <v>272</v>
      </c>
      <c r="AD30" s="11" t="s">
        <v>254</v>
      </c>
      <c r="AE30" s="14"/>
      <c r="AF30" s="14"/>
    </row>
    <row r="31" spans="2:32" x14ac:dyDescent="0.2">
      <c r="B31" s="35" t="s">
        <v>254</v>
      </c>
      <c r="C31" s="27">
        <v>22</v>
      </c>
      <c r="D31" s="13" t="s">
        <v>273</v>
      </c>
      <c r="E31" s="13" t="s">
        <v>273</v>
      </c>
      <c r="F31" s="13" t="s">
        <v>273</v>
      </c>
      <c r="G31" s="13" t="s">
        <v>273</v>
      </c>
      <c r="H31" s="13" t="s">
        <v>273</v>
      </c>
      <c r="I31" s="13" t="s">
        <v>273</v>
      </c>
      <c r="J31" s="13" t="s">
        <v>273</v>
      </c>
      <c r="K31" s="13" t="s">
        <v>273</v>
      </c>
      <c r="L31" s="13" t="s">
        <v>273</v>
      </c>
      <c r="M31" s="13" t="s">
        <v>273</v>
      </c>
      <c r="N31" s="13" t="s">
        <v>273</v>
      </c>
      <c r="O31" s="13" t="s">
        <v>273</v>
      </c>
      <c r="P31" s="13" t="s">
        <v>273</v>
      </c>
      <c r="Q31" s="13" t="s">
        <v>273</v>
      </c>
      <c r="R31" s="13" t="s">
        <v>273</v>
      </c>
      <c r="S31" s="13" t="s">
        <v>273</v>
      </c>
      <c r="T31" s="13" t="s">
        <v>273</v>
      </c>
      <c r="U31" s="13" t="s">
        <v>273</v>
      </c>
      <c r="V31" s="13" t="s">
        <v>273</v>
      </c>
      <c r="W31" s="13" t="s">
        <v>273</v>
      </c>
      <c r="X31" s="13" t="s">
        <v>273</v>
      </c>
      <c r="Y31" s="21" t="s">
        <v>254</v>
      </c>
      <c r="Z31" s="13" t="s">
        <v>273</v>
      </c>
      <c r="AA31" s="135"/>
      <c r="AB31" s="14" t="s">
        <v>500</v>
      </c>
      <c r="AC31" s="15" t="s">
        <v>510</v>
      </c>
      <c r="AD31" s="15" t="s">
        <v>510</v>
      </c>
      <c r="AE31" s="14"/>
      <c r="AF31" s="14"/>
    </row>
    <row r="32" spans="2:32" x14ac:dyDescent="0.2">
      <c r="B32" s="34" t="s">
        <v>253</v>
      </c>
      <c r="C32" s="27">
        <v>23</v>
      </c>
      <c r="D32" s="13" t="s">
        <v>273</v>
      </c>
      <c r="E32" s="13" t="s">
        <v>273</v>
      </c>
      <c r="F32" s="13" t="s">
        <v>273</v>
      </c>
      <c r="G32" s="13" t="s">
        <v>273</v>
      </c>
      <c r="H32" s="13" t="s">
        <v>273</v>
      </c>
      <c r="I32" s="13" t="s">
        <v>273</v>
      </c>
      <c r="J32" s="13" t="s">
        <v>273</v>
      </c>
      <c r="K32" s="13" t="s">
        <v>273</v>
      </c>
      <c r="L32" s="13" t="s">
        <v>273</v>
      </c>
      <c r="M32" s="13" t="s">
        <v>273</v>
      </c>
      <c r="N32" s="13" t="s">
        <v>273</v>
      </c>
      <c r="O32" s="13" t="s">
        <v>273</v>
      </c>
      <c r="P32" s="13" t="s">
        <v>273</v>
      </c>
      <c r="Q32" s="13" t="s">
        <v>273</v>
      </c>
      <c r="R32" s="13" t="s">
        <v>273</v>
      </c>
      <c r="S32" s="13" t="s">
        <v>273</v>
      </c>
      <c r="T32" s="13" t="s">
        <v>273</v>
      </c>
      <c r="U32" s="13" t="s">
        <v>2543</v>
      </c>
      <c r="V32" s="13" t="s">
        <v>2543</v>
      </c>
      <c r="W32" s="13" t="s">
        <v>2543</v>
      </c>
      <c r="X32" s="13" t="s">
        <v>2543</v>
      </c>
      <c r="Y32" s="19" t="s">
        <v>253</v>
      </c>
      <c r="Z32" s="13" t="s">
        <v>353</v>
      </c>
      <c r="AA32" s="135"/>
      <c r="AB32" s="14" t="s">
        <v>501</v>
      </c>
      <c r="AC32" s="15" t="s">
        <v>510</v>
      </c>
      <c r="AD32" s="15" t="s">
        <v>510</v>
      </c>
      <c r="AE32" s="14"/>
      <c r="AF32" s="14"/>
    </row>
    <row r="33" spans="2:32" x14ac:dyDescent="0.2">
      <c r="B33" s="11" t="s">
        <v>63</v>
      </c>
      <c r="C33" s="11">
        <v>24</v>
      </c>
      <c r="D33" s="11" t="s">
        <v>63</v>
      </c>
      <c r="E33" s="11" t="s">
        <v>608</v>
      </c>
      <c r="F33" s="11" t="s">
        <v>721</v>
      </c>
      <c r="G33" s="11" t="s">
        <v>610</v>
      </c>
      <c r="H33" s="11" t="s">
        <v>722</v>
      </c>
      <c r="I33" s="11" t="s">
        <v>64</v>
      </c>
      <c r="J33" s="11" t="s">
        <v>723</v>
      </c>
      <c r="K33" s="12" t="s">
        <v>273</v>
      </c>
      <c r="L33" s="11" t="s">
        <v>724</v>
      </c>
      <c r="M33" s="11" t="s">
        <v>23</v>
      </c>
      <c r="N33" s="12" t="s">
        <v>273</v>
      </c>
      <c r="O33" s="12" t="s">
        <v>273</v>
      </c>
      <c r="P33" s="12" t="s">
        <v>273</v>
      </c>
      <c r="Q33" s="12" t="s">
        <v>273</v>
      </c>
      <c r="R33" s="12" t="s">
        <v>273</v>
      </c>
      <c r="S33" s="11" t="s">
        <v>65</v>
      </c>
      <c r="T33" s="12" t="s">
        <v>273</v>
      </c>
      <c r="U33" s="12" t="s">
        <v>273</v>
      </c>
      <c r="V33" s="12" t="s">
        <v>273</v>
      </c>
      <c r="W33" s="12" t="s">
        <v>273</v>
      </c>
      <c r="X33" s="12" t="s">
        <v>273</v>
      </c>
      <c r="Y33" s="15"/>
      <c r="Z33" s="13" t="s">
        <v>273</v>
      </c>
      <c r="AA33" s="135" t="str">
        <f>_xlfn.IFS(AND(COUNTIF(Y33,"SCB*")=1, 'PCH176'!I68&gt;=2), "See the Notice *1", TRUE, "")</f>
        <v/>
      </c>
      <c r="AB33" s="14"/>
      <c r="AC33" s="11" t="s">
        <v>272</v>
      </c>
      <c r="AD33" s="11" t="s">
        <v>254</v>
      </c>
      <c r="AE33" s="14"/>
      <c r="AF33" s="14"/>
    </row>
    <row r="34" spans="2:32" x14ac:dyDescent="0.2">
      <c r="B34" s="11" t="s">
        <v>66</v>
      </c>
      <c r="C34" s="11">
        <v>25</v>
      </c>
      <c r="D34" s="11" t="s">
        <v>66</v>
      </c>
      <c r="E34" s="11" t="s">
        <v>600</v>
      </c>
      <c r="F34" s="11" t="s">
        <v>616</v>
      </c>
      <c r="G34" s="11" t="s">
        <v>602</v>
      </c>
      <c r="H34" s="11" t="s">
        <v>618</v>
      </c>
      <c r="I34" s="11" t="s">
        <v>67</v>
      </c>
      <c r="J34" s="11" t="s">
        <v>725</v>
      </c>
      <c r="K34" s="11" t="s">
        <v>726</v>
      </c>
      <c r="L34" s="11" t="s">
        <v>727</v>
      </c>
      <c r="M34" s="11" t="s">
        <v>25</v>
      </c>
      <c r="N34" s="12" t="s">
        <v>273</v>
      </c>
      <c r="O34" s="12" t="s">
        <v>273</v>
      </c>
      <c r="P34" s="12" t="s">
        <v>273</v>
      </c>
      <c r="Q34" s="12" t="s">
        <v>273</v>
      </c>
      <c r="R34" s="12" t="s">
        <v>273</v>
      </c>
      <c r="S34" s="11" t="s">
        <v>68</v>
      </c>
      <c r="T34" s="12" t="s">
        <v>273</v>
      </c>
      <c r="U34" s="12" t="s">
        <v>273</v>
      </c>
      <c r="V34" s="12" t="s">
        <v>273</v>
      </c>
      <c r="W34" s="12" t="s">
        <v>273</v>
      </c>
      <c r="X34" s="12" t="s">
        <v>273</v>
      </c>
      <c r="Y34" s="15"/>
      <c r="Z34" s="13" t="s">
        <v>273</v>
      </c>
      <c r="AA34" s="135" t="str">
        <f>_xlfn.IFS(AND(COUNTIF(Y34,"SCB*")=1, 'PCH176'!I68&gt;=2), "See the Notice *1", TRUE, "")</f>
        <v/>
      </c>
      <c r="AB34" s="14"/>
      <c r="AC34" s="11" t="s">
        <v>272</v>
      </c>
      <c r="AD34" s="11" t="s">
        <v>254</v>
      </c>
      <c r="AE34" s="14"/>
      <c r="AF34" s="14"/>
    </row>
    <row r="35" spans="2:32" x14ac:dyDescent="0.2">
      <c r="B35" s="11" t="s">
        <v>69</v>
      </c>
      <c r="C35" s="11">
        <v>26</v>
      </c>
      <c r="D35" s="11" t="s">
        <v>69</v>
      </c>
      <c r="E35" s="11" t="s">
        <v>592</v>
      </c>
      <c r="F35" s="11" t="s">
        <v>609</v>
      </c>
      <c r="G35" s="11" t="s">
        <v>594</v>
      </c>
      <c r="H35" s="11" t="s">
        <v>611</v>
      </c>
      <c r="I35" s="11" t="s">
        <v>70</v>
      </c>
      <c r="J35" s="11" t="s">
        <v>728</v>
      </c>
      <c r="K35" s="11" t="s">
        <v>729</v>
      </c>
      <c r="L35" s="11" t="s">
        <v>730</v>
      </c>
      <c r="M35" s="11" t="s">
        <v>27</v>
      </c>
      <c r="N35" s="12" t="s">
        <v>273</v>
      </c>
      <c r="O35" s="12" t="s">
        <v>273</v>
      </c>
      <c r="P35" s="12" t="s">
        <v>273</v>
      </c>
      <c r="Q35" s="12" t="s">
        <v>273</v>
      </c>
      <c r="R35" s="12" t="s">
        <v>273</v>
      </c>
      <c r="S35" s="11" t="s">
        <v>71</v>
      </c>
      <c r="T35" s="12" t="s">
        <v>273</v>
      </c>
      <c r="U35" s="12" t="s">
        <v>273</v>
      </c>
      <c r="V35" s="12" t="s">
        <v>273</v>
      </c>
      <c r="W35" s="12" t="s">
        <v>273</v>
      </c>
      <c r="X35" s="12" t="s">
        <v>273</v>
      </c>
      <c r="Y35" s="15"/>
      <c r="Z35" s="13" t="s">
        <v>273</v>
      </c>
      <c r="AA35" s="135" t="str">
        <f>_xlfn.IFS(AND(COUNTIF(Y35,"SCB*")=1, 'PCH176'!I68&gt;=2), "See the Notice *1", TRUE, "")</f>
        <v/>
      </c>
      <c r="AB35" s="14"/>
      <c r="AC35" s="11" t="s">
        <v>272</v>
      </c>
      <c r="AD35" s="11" t="s">
        <v>254</v>
      </c>
      <c r="AE35" s="14"/>
      <c r="AF35" s="14"/>
    </row>
    <row r="36" spans="2:32" x14ac:dyDescent="0.2">
      <c r="B36" s="11" t="s">
        <v>72</v>
      </c>
      <c r="C36" s="11">
        <v>27</v>
      </c>
      <c r="D36" s="11" t="s">
        <v>72</v>
      </c>
      <c r="E36" s="11" t="s">
        <v>586</v>
      </c>
      <c r="F36" s="11" t="s">
        <v>601</v>
      </c>
      <c r="G36" s="11" t="s">
        <v>588</v>
      </c>
      <c r="H36" s="11" t="s">
        <v>603</v>
      </c>
      <c r="I36" s="11" t="s">
        <v>821</v>
      </c>
      <c r="J36" s="11" t="s">
        <v>731</v>
      </c>
      <c r="K36" s="12" t="s">
        <v>273</v>
      </c>
      <c r="L36" s="11" t="s">
        <v>732</v>
      </c>
      <c r="M36" s="12" t="s">
        <v>273</v>
      </c>
      <c r="N36" s="11" t="s">
        <v>28</v>
      </c>
      <c r="O36" s="12" t="s">
        <v>273</v>
      </c>
      <c r="P36" s="12" t="s">
        <v>273</v>
      </c>
      <c r="Q36" s="12" t="s">
        <v>273</v>
      </c>
      <c r="R36" s="12" t="s">
        <v>273</v>
      </c>
      <c r="S36" s="11" t="s">
        <v>73</v>
      </c>
      <c r="T36" s="12" t="s">
        <v>273</v>
      </c>
      <c r="U36" s="12" t="s">
        <v>273</v>
      </c>
      <c r="V36" s="12" t="s">
        <v>273</v>
      </c>
      <c r="W36" s="12" t="s">
        <v>273</v>
      </c>
      <c r="X36" s="12" t="s">
        <v>273</v>
      </c>
      <c r="Y36" s="15"/>
      <c r="Z36" s="13" t="s">
        <v>273</v>
      </c>
      <c r="AA36" s="135" t="str">
        <f>_xlfn.IFS(AND(COUNTIF(Y36,"SCB*")=1, 'PCH176'!I68&gt;=2), "See the Notice *1", TRUE, "")</f>
        <v/>
      </c>
      <c r="AB36" s="14"/>
      <c r="AC36" s="11" t="s">
        <v>272</v>
      </c>
      <c r="AD36" s="11" t="s">
        <v>254</v>
      </c>
      <c r="AE36" s="14"/>
      <c r="AF36" s="14"/>
    </row>
    <row r="37" spans="2:32" x14ac:dyDescent="0.2">
      <c r="B37" s="11" t="s">
        <v>74</v>
      </c>
      <c r="C37" s="11">
        <v>28</v>
      </c>
      <c r="D37" s="11" t="s">
        <v>74</v>
      </c>
      <c r="E37" s="11" t="s">
        <v>563</v>
      </c>
      <c r="F37" s="11" t="s">
        <v>593</v>
      </c>
      <c r="G37" s="11" t="s">
        <v>565</v>
      </c>
      <c r="H37" s="11" t="s">
        <v>595</v>
      </c>
      <c r="I37" s="12" t="s">
        <v>273</v>
      </c>
      <c r="J37" s="12" t="s">
        <v>273</v>
      </c>
      <c r="K37" s="11" t="s">
        <v>733</v>
      </c>
      <c r="L37" s="11" t="s">
        <v>734</v>
      </c>
      <c r="M37" s="12" t="s">
        <v>273</v>
      </c>
      <c r="N37" s="11" t="s">
        <v>30</v>
      </c>
      <c r="O37" s="12" t="s">
        <v>273</v>
      </c>
      <c r="P37" s="12" t="s">
        <v>273</v>
      </c>
      <c r="Q37" s="12" t="s">
        <v>273</v>
      </c>
      <c r="R37" s="12" t="s">
        <v>273</v>
      </c>
      <c r="S37" s="12" t="s">
        <v>273</v>
      </c>
      <c r="T37" s="12" t="s">
        <v>273</v>
      </c>
      <c r="U37" s="12" t="s">
        <v>273</v>
      </c>
      <c r="V37" s="12" t="s">
        <v>273</v>
      </c>
      <c r="W37" s="12" t="s">
        <v>273</v>
      </c>
      <c r="X37" s="12" t="s">
        <v>273</v>
      </c>
      <c r="Y37" s="15"/>
      <c r="Z37" s="13" t="s">
        <v>273</v>
      </c>
      <c r="AA37" s="135" t="str">
        <f>_xlfn.IFS(AND(COUNTIF(Y37,"SCB*")=1, 'PCH176'!I68&gt;=2), "See the Notice *1", TRUE, "")</f>
        <v/>
      </c>
      <c r="AB37" s="14"/>
      <c r="AC37" s="11" t="s">
        <v>272</v>
      </c>
      <c r="AD37" s="11" t="s">
        <v>254</v>
      </c>
      <c r="AE37" s="14"/>
      <c r="AF37" s="14"/>
    </row>
    <row r="38" spans="2:32" x14ac:dyDescent="0.2">
      <c r="B38" s="11" t="s">
        <v>75</v>
      </c>
      <c r="C38" s="11">
        <v>29</v>
      </c>
      <c r="D38" s="11" t="s">
        <v>75</v>
      </c>
      <c r="E38" s="11" t="s">
        <v>744</v>
      </c>
      <c r="F38" s="11" t="s">
        <v>587</v>
      </c>
      <c r="G38" s="11" t="s">
        <v>745</v>
      </c>
      <c r="H38" s="11" t="s">
        <v>589</v>
      </c>
      <c r="I38" s="11" t="s">
        <v>746</v>
      </c>
      <c r="J38" s="12" t="s">
        <v>273</v>
      </c>
      <c r="K38" s="11" t="s">
        <v>747</v>
      </c>
      <c r="L38" s="11" t="s">
        <v>748</v>
      </c>
      <c r="M38" s="11" t="s">
        <v>76</v>
      </c>
      <c r="N38" s="12" t="s">
        <v>273</v>
      </c>
      <c r="O38" s="11" t="s">
        <v>749</v>
      </c>
      <c r="P38" s="12" t="s">
        <v>273</v>
      </c>
      <c r="Q38" s="12" t="s">
        <v>273</v>
      </c>
      <c r="R38" s="12" t="s">
        <v>273</v>
      </c>
      <c r="S38" s="11" t="s">
        <v>750</v>
      </c>
      <c r="T38" s="12" t="s">
        <v>273</v>
      </c>
      <c r="U38" s="12" t="s">
        <v>273</v>
      </c>
      <c r="V38" s="12" t="s">
        <v>273</v>
      </c>
      <c r="W38" s="12" t="s">
        <v>273</v>
      </c>
      <c r="X38" s="12" t="s">
        <v>273</v>
      </c>
      <c r="Y38" s="15"/>
      <c r="Z38" s="13" t="s">
        <v>273</v>
      </c>
      <c r="AA38" s="135" t="str">
        <f>_xlfn.IFS(AND(COUNTIF(Y38,"SCB*")=1, 'PCH176'!I68&gt;=2), "See the Notice *1", TRUE, "")</f>
        <v/>
      </c>
      <c r="AB38" s="14"/>
      <c r="AC38" s="11" t="s">
        <v>272</v>
      </c>
      <c r="AD38" s="11" t="s">
        <v>254</v>
      </c>
      <c r="AE38" s="14"/>
      <c r="AF38" s="14"/>
    </row>
    <row r="39" spans="2:32" x14ac:dyDescent="0.2">
      <c r="B39" s="11" t="s">
        <v>77</v>
      </c>
      <c r="C39" s="11">
        <v>30</v>
      </c>
      <c r="D39" s="11" t="s">
        <v>77</v>
      </c>
      <c r="E39" s="11" t="s">
        <v>558</v>
      </c>
      <c r="F39" s="11" t="s">
        <v>751</v>
      </c>
      <c r="G39" s="11" t="s">
        <v>560</v>
      </c>
      <c r="H39" s="11" t="s">
        <v>752</v>
      </c>
      <c r="I39" s="11" t="s">
        <v>753</v>
      </c>
      <c r="J39" s="12" t="s">
        <v>273</v>
      </c>
      <c r="K39" s="12" t="s">
        <v>273</v>
      </c>
      <c r="L39" s="11" t="s">
        <v>754</v>
      </c>
      <c r="M39" s="11" t="s">
        <v>78</v>
      </c>
      <c r="N39" s="12" t="s">
        <v>273</v>
      </c>
      <c r="O39" s="11" t="s">
        <v>834</v>
      </c>
      <c r="P39" s="12" t="s">
        <v>273</v>
      </c>
      <c r="Q39" s="12" t="s">
        <v>273</v>
      </c>
      <c r="R39" s="12" t="s">
        <v>273</v>
      </c>
      <c r="S39" s="11" t="s">
        <v>755</v>
      </c>
      <c r="T39" s="12" t="s">
        <v>273</v>
      </c>
      <c r="U39" s="12" t="s">
        <v>273</v>
      </c>
      <c r="V39" s="12" t="s">
        <v>273</v>
      </c>
      <c r="W39" s="12" t="s">
        <v>273</v>
      </c>
      <c r="X39" s="12" t="s">
        <v>273</v>
      </c>
      <c r="Y39" s="15"/>
      <c r="Z39" s="13" t="s">
        <v>273</v>
      </c>
      <c r="AA39" s="135" t="str">
        <f>_xlfn.IFS(AND(COUNTIF(Y39,"SCB*")=1, 'PCH176'!M68&gt;=2), "See the Notice *1", TRUE, "")</f>
        <v/>
      </c>
      <c r="AB39" s="14"/>
      <c r="AC39" s="11" t="s">
        <v>272</v>
      </c>
      <c r="AD39" s="11" t="s">
        <v>254</v>
      </c>
      <c r="AE39" s="14"/>
      <c r="AF39" s="14"/>
    </row>
    <row r="40" spans="2:32" x14ac:dyDescent="0.2">
      <c r="B40" s="11" t="s">
        <v>79</v>
      </c>
      <c r="C40" s="11">
        <v>31</v>
      </c>
      <c r="D40" s="11" t="s">
        <v>79</v>
      </c>
      <c r="E40" s="11" t="s">
        <v>553</v>
      </c>
      <c r="F40" s="11" t="s">
        <v>564</v>
      </c>
      <c r="G40" s="11" t="s">
        <v>555</v>
      </c>
      <c r="H40" s="11" t="s">
        <v>566</v>
      </c>
      <c r="I40" s="11" t="s">
        <v>756</v>
      </c>
      <c r="J40" s="12" t="s">
        <v>273</v>
      </c>
      <c r="K40" s="11" t="s">
        <v>757</v>
      </c>
      <c r="L40" s="12" t="s">
        <v>273</v>
      </c>
      <c r="M40" s="11" t="s">
        <v>80</v>
      </c>
      <c r="N40" s="12" t="s">
        <v>273</v>
      </c>
      <c r="O40" s="11" t="s">
        <v>832</v>
      </c>
      <c r="P40" s="12" t="s">
        <v>273</v>
      </c>
      <c r="Q40" s="12" t="s">
        <v>273</v>
      </c>
      <c r="R40" s="12" t="s">
        <v>273</v>
      </c>
      <c r="S40" s="12" t="s">
        <v>273</v>
      </c>
      <c r="T40" s="12" t="s">
        <v>273</v>
      </c>
      <c r="U40" s="12" t="s">
        <v>273</v>
      </c>
      <c r="V40" s="12" t="s">
        <v>273</v>
      </c>
      <c r="W40" s="12" t="s">
        <v>273</v>
      </c>
      <c r="X40" s="12" t="s">
        <v>273</v>
      </c>
      <c r="Y40" s="15"/>
      <c r="Z40" s="13" t="s">
        <v>273</v>
      </c>
      <c r="AA40" s="135"/>
      <c r="AB40" s="14"/>
      <c r="AC40" s="11" t="s">
        <v>272</v>
      </c>
      <c r="AD40" s="11" t="s">
        <v>254</v>
      </c>
      <c r="AE40" s="14"/>
      <c r="AF40" s="14"/>
    </row>
    <row r="41" spans="2:32" x14ac:dyDescent="0.2">
      <c r="B41" s="11" t="s">
        <v>2073</v>
      </c>
      <c r="C41" s="11">
        <v>32</v>
      </c>
      <c r="D41" s="11" t="s">
        <v>81</v>
      </c>
      <c r="E41" s="11" t="s">
        <v>547</v>
      </c>
      <c r="F41" s="11" t="s">
        <v>559</v>
      </c>
      <c r="G41" s="11" t="s">
        <v>549</v>
      </c>
      <c r="H41" s="11" t="s">
        <v>561</v>
      </c>
      <c r="I41" s="11" t="s">
        <v>758</v>
      </c>
      <c r="J41" s="12" t="s">
        <v>273</v>
      </c>
      <c r="K41" s="11" t="s">
        <v>759</v>
      </c>
      <c r="L41" s="12" t="s">
        <v>273</v>
      </c>
      <c r="M41" s="11" t="s">
        <v>82</v>
      </c>
      <c r="N41" s="12" t="s">
        <v>273</v>
      </c>
      <c r="O41" s="11" t="s">
        <v>833</v>
      </c>
      <c r="P41" s="12" t="s">
        <v>273</v>
      </c>
      <c r="Q41" s="12" t="s">
        <v>273</v>
      </c>
      <c r="R41" s="12" t="s">
        <v>273</v>
      </c>
      <c r="S41" s="12" t="s">
        <v>273</v>
      </c>
      <c r="T41" s="12" t="s">
        <v>273</v>
      </c>
      <c r="U41" s="12" t="s">
        <v>273</v>
      </c>
      <c r="V41" s="12" t="s">
        <v>273</v>
      </c>
      <c r="W41" s="12" t="s">
        <v>273</v>
      </c>
      <c r="X41" s="12" t="s">
        <v>273</v>
      </c>
      <c r="Y41" s="15"/>
      <c r="Z41" s="13" t="s">
        <v>273</v>
      </c>
      <c r="AA41" s="135"/>
      <c r="AB41" s="14"/>
      <c r="AC41" s="11" t="s">
        <v>272</v>
      </c>
      <c r="AD41" s="11" t="s">
        <v>254</v>
      </c>
      <c r="AE41" s="14"/>
      <c r="AF41" s="14"/>
    </row>
    <row r="42" spans="2:32" x14ac:dyDescent="0.2">
      <c r="B42" s="11" t="s">
        <v>83</v>
      </c>
      <c r="C42" s="11">
        <v>33</v>
      </c>
      <c r="D42" s="11" t="s">
        <v>83</v>
      </c>
      <c r="E42" s="11" t="s">
        <v>540</v>
      </c>
      <c r="F42" s="11" t="s">
        <v>554</v>
      </c>
      <c r="G42" s="11" t="s">
        <v>542</v>
      </c>
      <c r="H42" s="11" t="s">
        <v>556</v>
      </c>
      <c r="I42" s="11" t="s">
        <v>760</v>
      </c>
      <c r="J42" s="12" t="s">
        <v>273</v>
      </c>
      <c r="K42" s="12" t="s">
        <v>273</v>
      </c>
      <c r="L42" s="12" t="s">
        <v>273</v>
      </c>
      <c r="M42" s="11" t="s">
        <v>84</v>
      </c>
      <c r="N42" s="12" t="s">
        <v>273</v>
      </c>
      <c r="O42" s="12" t="s">
        <v>273</v>
      </c>
      <c r="P42" s="11" t="s">
        <v>761</v>
      </c>
      <c r="Q42" s="12" t="s">
        <v>273</v>
      </c>
      <c r="R42" s="12" t="s">
        <v>273</v>
      </c>
      <c r="S42" s="12" t="s">
        <v>273</v>
      </c>
      <c r="T42" s="12" t="s">
        <v>273</v>
      </c>
      <c r="U42" s="12" t="s">
        <v>273</v>
      </c>
      <c r="V42" s="12" t="s">
        <v>273</v>
      </c>
      <c r="W42" s="12" t="s">
        <v>273</v>
      </c>
      <c r="X42" s="12" t="s">
        <v>273</v>
      </c>
      <c r="Y42" s="15"/>
      <c r="Z42" s="13" t="s">
        <v>273</v>
      </c>
      <c r="AA42" s="135"/>
      <c r="AB42" s="14"/>
      <c r="AC42" s="11" t="s">
        <v>272</v>
      </c>
      <c r="AD42" s="11" t="s">
        <v>254</v>
      </c>
      <c r="AE42" s="14"/>
      <c r="AF42" s="14"/>
    </row>
    <row r="43" spans="2:32" x14ac:dyDescent="0.2">
      <c r="B43" s="11" t="s">
        <v>85</v>
      </c>
      <c r="C43" s="11">
        <v>34</v>
      </c>
      <c r="D43" s="11" t="s">
        <v>85</v>
      </c>
      <c r="E43" s="11" t="s">
        <v>535</v>
      </c>
      <c r="F43" s="11" t="s">
        <v>548</v>
      </c>
      <c r="G43" s="11" t="s">
        <v>537</v>
      </c>
      <c r="H43" s="11" t="s">
        <v>550</v>
      </c>
      <c r="I43" s="11" t="s">
        <v>762</v>
      </c>
      <c r="J43" s="12" t="s">
        <v>273</v>
      </c>
      <c r="K43" s="12" t="s">
        <v>273</v>
      </c>
      <c r="L43" s="12" t="s">
        <v>273</v>
      </c>
      <c r="M43" s="11" t="s">
        <v>86</v>
      </c>
      <c r="N43" s="12" t="s">
        <v>273</v>
      </c>
      <c r="O43" s="12" t="s">
        <v>273</v>
      </c>
      <c r="P43" s="11" t="s">
        <v>831</v>
      </c>
      <c r="Q43" s="12" t="s">
        <v>273</v>
      </c>
      <c r="R43" s="12" t="s">
        <v>273</v>
      </c>
      <c r="S43" s="12" t="s">
        <v>273</v>
      </c>
      <c r="T43" s="12" t="s">
        <v>273</v>
      </c>
      <c r="U43" s="12" t="s">
        <v>273</v>
      </c>
      <c r="V43" s="12" t="s">
        <v>273</v>
      </c>
      <c r="W43" s="12" t="s">
        <v>273</v>
      </c>
      <c r="X43" s="12" t="s">
        <v>273</v>
      </c>
      <c r="Y43" s="15"/>
      <c r="Z43" s="13" t="s">
        <v>273</v>
      </c>
      <c r="AA43" s="135"/>
      <c r="AB43" s="14"/>
      <c r="AC43" s="11" t="s">
        <v>272</v>
      </c>
      <c r="AD43" s="11" t="s">
        <v>254</v>
      </c>
      <c r="AE43" s="14"/>
      <c r="AF43" s="14"/>
    </row>
    <row r="44" spans="2:32" x14ac:dyDescent="0.2">
      <c r="B44" s="11" t="s">
        <v>87</v>
      </c>
      <c r="C44" s="11">
        <v>35</v>
      </c>
      <c r="D44" s="11" t="s">
        <v>87</v>
      </c>
      <c r="E44" s="11" t="s">
        <v>702</v>
      </c>
      <c r="F44" s="11" t="s">
        <v>541</v>
      </c>
      <c r="G44" s="11" t="s">
        <v>704</v>
      </c>
      <c r="H44" s="11" t="s">
        <v>543</v>
      </c>
      <c r="I44" s="11" t="s">
        <v>764</v>
      </c>
      <c r="J44" s="11" t="s">
        <v>765</v>
      </c>
      <c r="K44" s="12" t="s">
        <v>273</v>
      </c>
      <c r="L44" s="11" t="s">
        <v>766</v>
      </c>
      <c r="M44" s="11" t="s">
        <v>88</v>
      </c>
      <c r="N44" s="12" t="s">
        <v>273</v>
      </c>
      <c r="O44" s="11" t="s">
        <v>767</v>
      </c>
      <c r="P44" s="11" t="s">
        <v>830</v>
      </c>
      <c r="Q44" s="12" t="s">
        <v>273</v>
      </c>
      <c r="R44" s="12" t="s">
        <v>273</v>
      </c>
      <c r="S44" s="12" t="s">
        <v>273</v>
      </c>
      <c r="T44" s="12" t="s">
        <v>273</v>
      </c>
      <c r="U44" s="12" t="s">
        <v>273</v>
      </c>
      <c r="V44" s="12" t="s">
        <v>273</v>
      </c>
      <c r="W44" s="12" t="s">
        <v>273</v>
      </c>
      <c r="X44" s="11" t="s">
        <v>275</v>
      </c>
      <c r="Y44" s="15"/>
      <c r="Z44" s="13" t="s">
        <v>273</v>
      </c>
      <c r="AA44" s="135" t="str">
        <f>_xlfn.IFS(AND(COUNTIF(Y44,"SCB*")=1, 'PCH176'!H68&gt;=2), "See the Notice *1", TRUE, "")</f>
        <v/>
      </c>
      <c r="AB44" s="14"/>
      <c r="AC44" s="11" t="s">
        <v>272</v>
      </c>
      <c r="AD44" s="11" t="s">
        <v>255</v>
      </c>
      <c r="AE44" s="14"/>
      <c r="AF44" s="14"/>
    </row>
    <row r="45" spans="2:32" x14ac:dyDescent="0.2">
      <c r="B45" s="11" t="s">
        <v>89</v>
      </c>
      <c r="C45" s="11">
        <v>36</v>
      </c>
      <c r="D45" s="11" t="s">
        <v>89</v>
      </c>
      <c r="E45" s="11" t="s">
        <v>649</v>
      </c>
      <c r="F45" s="11" t="s">
        <v>721</v>
      </c>
      <c r="G45" s="11" t="s">
        <v>651</v>
      </c>
      <c r="H45" s="11" t="s">
        <v>722</v>
      </c>
      <c r="I45" s="11" t="s">
        <v>769</v>
      </c>
      <c r="J45" s="11" t="s">
        <v>770</v>
      </c>
      <c r="K45" s="11" t="s">
        <v>771</v>
      </c>
      <c r="L45" s="11" t="s">
        <v>772</v>
      </c>
      <c r="M45" s="11" t="s">
        <v>90</v>
      </c>
      <c r="N45" s="12" t="s">
        <v>273</v>
      </c>
      <c r="O45" s="12" t="s">
        <v>273</v>
      </c>
      <c r="P45" s="12" t="s">
        <v>273</v>
      </c>
      <c r="Q45" s="12" t="s">
        <v>273</v>
      </c>
      <c r="R45" s="12" t="s">
        <v>273</v>
      </c>
      <c r="S45" s="12" t="s">
        <v>273</v>
      </c>
      <c r="T45" s="12" t="s">
        <v>273</v>
      </c>
      <c r="U45" s="12" t="s">
        <v>273</v>
      </c>
      <c r="V45" s="12" t="s">
        <v>273</v>
      </c>
      <c r="W45" s="12" t="s">
        <v>273</v>
      </c>
      <c r="X45" s="11" t="s">
        <v>276</v>
      </c>
      <c r="Y45" s="15"/>
      <c r="Z45" s="13" t="s">
        <v>273</v>
      </c>
      <c r="AA45" s="135" t="str">
        <f>_xlfn.IFS(AND(COUNTIF(Y45,"SCB*")=1, 'PCH176'!H68&gt;=2), "See the Notice *1", TRUE, "")</f>
        <v/>
      </c>
      <c r="AB45" s="14"/>
      <c r="AC45" s="11" t="s">
        <v>272</v>
      </c>
      <c r="AD45" s="11" t="s">
        <v>255</v>
      </c>
      <c r="AE45" s="14"/>
      <c r="AF45" s="14"/>
    </row>
    <row r="46" spans="2:32" x14ac:dyDescent="0.2">
      <c r="B46" s="11" t="s">
        <v>91</v>
      </c>
      <c r="C46" s="11">
        <v>37</v>
      </c>
      <c r="D46" s="11" t="s">
        <v>91</v>
      </c>
      <c r="E46" s="11" t="s">
        <v>672</v>
      </c>
      <c r="F46" s="11" t="s">
        <v>660</v>
      </c>
      <c r="G46" s="11" t="s">
        <v>674</v>
      </c>
      <c r="H46" s="11" t="s">
        <v>662</v>
      </c>
      <c r="I46" s="11" t="s">
        <v>773</v>
      </c>
      <c r="J46" s="11" t="s">
        <v>774</v>
      </c>
      <c r="K46" s="11" t="s">
        <v>775</v>
      </c>
      <c r="L46" s="11" t="s">
        <v>776</v>
      </c>
      <c r="M46" s="11" t="s">
        <v>92</v>
      </c>
      <c r="N46" s="11" t="s">
        <v>93</v>
      </c>
      <c r="O46" s="11" t="s">
        <v>829</v>
      </c>
      <c r="P46" s="12" t="s">
        <v>273</v>
      </c>
      <c r="Q46" s="12" t="s">
        <v>273</v>
      </c>
      <c r="R46" s="11" t="s">
        <v>828</v>
      </c>
      <c r="S46" s="12" t="s">
        <v>273</v>
      </c>
      <c r="T46" s="12" t="s">
        <v>273</v>
      </c>
      <c r="U46" s="12" t="s">
        <v>273</v>
      </c>
      <c r="V46" s="12" t="s">
        <v>273</v>
      </c>
      <c r="W46" s="12" t="s">
        <v>273</v>
      </c>
      <c r="X46" s="11" t="s">
        <v>277</v>
      </c>
      <c r="Y46" s="15"/>
      <c r="Z46" s="13" t="s">
        <v>273</v>
      </c>
      <c r="AA46" s="135" t="str">
        <f>_xlfn.IFS(AND(COUNTIF(Y46,"SCB*")=1, 'PCH176'!H68&gt;=2), "See the Notice *1", TRUE, "")</f>
        <v/>
      </c>
      <c r="AB46" s="14"/>
      <c r="AC46" s="11" t="s">
        <v>272</v>
      </c>
      <c r="AD46" s="11" t="s">
        <v>255</v>
      </c>
      <c r="AE46" s="14"/>
      <c r="AF46" s="14"/>
    </row>
    <row r="47" spans="2:32" x14ac:dyDescent="0.2">
      <c r="B47" s="11" t="s">
        <v>94</v>
      </c>
      <c r="C47" s="11">
        <v>38</v>
      </c>
      <c r="D47" s="11" t="s">
        <v>94</v>
      </c>
      <c r="E47" s="11" t="s">
        <v>641</v>
      </c>
      <c r="F47" s="11" t="s">
        <v>703</v>
      </c>
      <c r="G47" s="11" t="s">
        <v>643</v>
      </c>
      <c r="H47" s="11" t="s">
        <v>705</v>
      </c>
      <c r="I47" s="11" t="s">
        <v>777</v>
      </c>
      <c r="J47" s="11" t="s">
        <v>778</v>
      </c>
      <c r="K47" s="12" t="s">
        <v>273</v>
      </c>
      <c r="L47" s="11" t="s">
        <v>779</v>
      </c>
      <c r="M47" s="11" t="s">
        <v>95</v>
      </c>
      <c r="N47" s="11" t="s">
        <v>96</v>
      </c>
      <c r="O47" s="12" t="s">
        <v>273</v>
      </c>
      <c r="P47" s="11" t="s">
        <v>827</v>
      </c>
      <c r="Q47" s="12" t="s">
        <v>273</v>
      </c>
      <c r="R47" s="11" t="s">
        <v>780</v>
      </c>
      <c r="S47" s="12" t="s">
        <v>273</v>
      </c>
      <c r="T47" s="11" t="s">
        <v>2667</v>
      </c>
      <c r="U47" s="12" t="s">
        <v>273</v>
      </c>
      <c r="V47" s="12" t="s">
        <v>273</v>
      </c>
      <c r="W47" s="12" t="s">
        <v>273</v>
      </c>
      <c r="X47" s="11" t="s">
        <v>278</v>
      </c>
      <c r="Y47" s="15"/>
      <c r="Z47" s="13" t="s">
        <v>273</v>
      </c>
      <c r="AA47" s="135" t="str">
        <f>_xlfn.IFS(AND(COUNTIF(Y47,"SCB*")=1, 'PCH176'!H68&gt;=2), "See the Notice *1", TRUE, "")</f>
        <v/>
      </c>
      <c r="AB47" s="14"/>
      <c r="AC47" s="11" t="s">
        <v>272</v>
      </c>
      <c r="AD47" s="11" t="s">
        <v>255</v>
      </c>
      <c r="AE47" s="14"/>
      <c r="AF47" s="14"/>
    </row>
    <row r="48" spans="2:32" x14ac:dyDescent="0.2">
      <c r="B48" s="11" t="s">
        <v>97</v>
      </c>
      <c r="C48" s="11">
        <v>39</v>
      </c>
      <c r="D48" s="11" t="s">
        <v>97</v>
      </c>
      <c r="E48" s="11" t="s">
        <v>666</v>
      </c>
      <c r="F48" s="11" t="s">
        <v>650</v>
      </c>
      <c r="G48" s="11" t="s">
        <v>668</v>
      </c>
      <c r="H48" s="11" t="s">
        <v>652</v>
      </c>
      <c r="I48" s="11" t="s">
        <v>781</v>
      </c>
      <c r="J48" s="12" t="s">
        <v>273</v>
      </c>
      <c r="K48" s="12" t="s">
        <v>273</v>
      </c>
      <c r="L48" s="11" t="s">
        <v>782</v>
      </c>
      <c r="M48" s="11" t="s">
        <v>98</v>
      </c>
      <c r="N48" s="12" t="s">
        <v>273</v>
      </c>
      <c r="O48" s="11" t="s">
        <v>783</v>
      </c>
      <c r="P48" s="11" t="s">
        <v>2567</v>
      </c>
      <c r="Q48" s="12" t="s">
        <v>273</v>
      </c>
      <c r="R48" s="11" t="s">
        <v>784</v>
      </c>
      <c r="S48" s="12" t="s">
        <v>273</v>
      </c>
      <c r="T48" s="12" t="s">
        <v>273</v>
      </c>
      <c r="U48" s="12" t="s">
        <v>273</v>
      </c>
      <c r="V48" s="12" t="s">
        <v>273</v>
      </c>
      <c r="W48" s="12" t="s">
        <v>273</v>
      </c>
      <c r="X48" s="11" t="s">
        <v>279</v>
      </c>
      <c r="Y48" s="15"/>
      <c r="Z48" s="13" t="s">
        <v>273</v>
      </c>
      <c r="AA48" s="135" t="str">
        <f>_xlfn.IFS(AND(COUNTIF(Y48,"SCB*")=1, 'PCH176'!H68&gt;=2), "See the Notice *1", TRUE, "")</f>
        <v/>
      </c>
      <c r="AB48" s="14"/>
      <c r="AC48" s="11" t="s">
        <v>272</v>
      </c>
      <c r="AD48" s="11" t="s">
        <v>255</v>
      </c>
      <c r="AE48" s="14"/>
      <c r="AF48" s="14"/>
    </row>
    <row r="49" spans="2:32" x14ac:dyDescent="0.2">
      <c r="B49" s="11" t="s">
        <v>99</v>
      </c>
      <c r="C49" s="11">
        <v>40</v>
      </c>
      <c r="D49" s="11" t="s">
        <v>99</v>
      </c>
      <c r="E49" s="11" t="s">
        <v>621</v>
      </c>
      <c r="F49" s="11" t="s">
        <v>673</v>
      </c>
      <c r="G49" s="11" t="s">
        <v>623</v>
      </c>
      <c r="H49" s="11" t="s">
        <v>675</v>
      </c>
      <c r="I49" s="11" t="s">
        <v>785</v>
      </c>
      <c r="J49" s="12" t="s">
        <v>273</v>
      </c>
      <c r="K49" s="12" t="s">
        <v>273</v>
      </c>
      <c r="L49" s="11" t="s">
        <v>786</v>
      </c>
      <c r="M49" s="11" t="s">
        <v>100</v>
      </c>
      <c r="N49" s="12" t="s">
        <v>273</v>
      </c>
      <c r="O49" s="11" t="s">
        <v>787</v>
      </c>
      <c r="P49" s="11" t="s">
        <v>826</v>
      </c>
      <c r="Q49" s="12" t="s">
        <v>273</v>
      </c>
      <c r="R49" s="11" t="s">
        <v>788</v>
      </c>
      <c r="S49" s="12" t="s">
        <v>273</v>
      </c>
      <c r="T49" s="12" t="s">
        <v>273</v>
      </c>
      <c r="U49" s="12" t="s">
        <v>273</v>
      </c>
      <c r="V49" s="12" t="s">
        <v>273</v>
      </c>
      <c r="W49" s="12" t="s">
        <v>273</v>
      </c>
      <c r="X49" s="11" t="s">
        <v>280</v>
      </c>
      <c r="Y49" s="15"/>
      <c r="Z49" s="13" t="s">
        <v>273</v>
      </c>
      <c r="AA49" s="135" t="str">
        <f>_xlfn.IFS(AND(COUNTIF(Y49,"SCB*")=1, 'PCH176'!H68&gt;=2), "See the Notice *1", TRUE, "")</f>
        <v/>
      </c>
      <c r="AB49" s="14"/>
      <c r="AC49" s="11" t="s">
        <v>272</v>
      </c>
      <c r="AD49" s="11" t="s">
        <v>255</v>
      </c>
      <c r="AE49" s="14"/>
      <c r="AF49" s="14"/>
    </row>
    <row r="50" spans="2:32" x14ac:dyDescent="0.2">
      <c r="B50" s="11" t="s">
        <v>101</v>
      </c>
      <c r="C50" s="11">
        <v>41</v>
      </c>
      <c r="D50" s="11" t="s">
        <v>101</v>
      </c>
      <c r="E50" s="11" t="s">
        <v>659</v>
      </c>
      <c r="F50" s="11" t="s">
        <v>642</v>
      </c>
      <c r="G50" s="11" t="s">
        <v>661</v>
      </c>
      <c r="H50" s="11" t="s">
        <v>644</v>
      </c>
      <c r="I50" s="12" t="s">
        <v>273</v>
      </c>
      <c r="J50" s="12" t="s">
        <v>273</v>
      </c>
      <c r="K50" s="12" t="s">
        <v>273</v>
      </c>
      <c r="L50" s="11" t="s">
        <v>789</v>
      </c>
      <c r="M50" s="12" t="s">
        <v>273</v>
      </c>
      <c r="N50" s="12" t="s">
        <v>273</v>
      </c>
      <c r="O50" s="12" t="s">
        <v>273</v>
      </c>
      <c r="P50" s="12" t="s">
        <v>273</v>
      </c>
      <c r="Q50" s="12" t="s">
        <v>273</v>
      </c>
      <c r="R50" s="12" t="s">
        <v>273</v>
      </c>
      <c r="S50" s="11" t="s">
        <v>102</v>
      </c>
      <c r="T50" s="12" t="s">
        <v>273</v>
      </c>
      <c r="U50" s="12" t="s">
        <v>273</v>
      </c>
      <c r="V50" s="12" t="s">
        <v>273</v>
      </c>
      <c r="W50" s="12" t="s">
        <v>273</v>
      </c>
      <c r="X50" s="11" t="s">
        <v>281</v>
      </c>
      <c r="Y50" s="15"/>
      <c r="Z50" s="13" t="s">
        <v>273</v>
      </c>
      <c r="AA50" s="135" t="str">
        <f>_xlfn.IFS(AND(COUNTIF(Y50,"SCB*")=1, 'PCH176'!H68&gt;=2), "See the Notice *1", TRUE, "")</f>
        <v/>
      </c>
      <c r="AB50" s="14"/>
      <c r="AC50" s="11" t="s">
        <v>272</v>
      </c>
      <c r="AD50" s="11" t="s">
        <v>255</v>
      </c>
      <c r="AE50" s="14"/>
      <c r="AF50" s="14"/>
    </row>
    <row r="51" spans="2:32" x14ac:dyDescent="0.2">
      <c r="B51" s="11" t="s">
        <v>103</v>
      </c>
      <c r="C51" s="11">
        <v>42</v>
      </c>
      <c r="D51" s="11" t="s">
        <v>103</v>
      </c>
      <c r="E51" s="11" t="s">
        <v>615</v>
      </c>
      <c r="F51" s="11" t="s">
        <v>667</v>
      </c>
      <c r="G51" s="11" t="s">
        <v>617</v>
      </c>
      <c r="H51" s="11" t="s">
        <v>669</v>
      </c>
      <c r="I51" s="12" t="s">
        <v>273</v>
      </c>
      <c r="J51" s="12" t="s">
        <v>273</v>
      </c>
      <c r="K51" s="12" t="s">
        <v>273</v>
      </c>
      <c r="L51" s="12" t="s">
        <v>273</v>
      </c>
      <c r="M51" s="12" t="s">
        <v>273</v>
      </c>
      <c r="N51" s="12" t="s">
        <v>273</v>
      </c>
      <c r="O51" s="12" t="s">
        <v>273</v>
      </c>
      <c r="P51" s="12" t="s">
        <v>273</v>
      </c>
      <c r="Q51" s="12" t="s">
        <v>273</v>
      </c>
      <c r="R51" s="12" t="s">
        <v>273</v>
      </c>
      <c r="S51" s="11" t="s">
        <v>104</v>
      </c>
      <c r="T51" s="12" t="s">
        <v>273</v>
      </c>
      <c r="U51" s="12" t="s">
        <v>273</v>
      </c>
      <c r="V51" s="12" t="s">
        <v>273</v>
      </c>
      <c r="W51" s="12" t="s">
        <v>273</v>
      </c>
      <c r="X51" s="11" t="s">
        <v>282</v>
      </c>
      <c r="Y51" s="15"/>
      <c r="Z51" s="13" t="s">
        <v>273</v>
      </c>
      <c r="AA51" s="135"/>
      <c r="AB51" s="14"/>
      <c r="AC51" s="11" t="s">
        <v>272</v>
      </c>
      <c r="AD51" s="11" t="s">
        <v>255</v>
      </c>
      <c r="AE51" s="14"/>
      <c r="AF51" s="14"/>
    </row>
    <row r="52" spans="2:32" x14ac:dyDescent="0.2">
      <c r="B52" s="35" t="s">
        <v>254</v>
      </c>
      <c r="C52" s="27">
        <v>43</v>
      </c>
      <c r="D52" s="13" t="s">
        <v>273</v>
      </c>
      <c r="E52" s="13" t="s">
        <v>273</v>
      </c>
      <c r="F52" s="13" t="s">
        <v>273</v>
      </c>
      <c r="G52" s="13" t="s">
        <v>273</v>
      </c>
      <c r="H52" s="13" t="s">
        <v>273</v>
      </c>
      <c r="I52" s="13" t="s">
        <v>273</v>
      </c>
      <c r="J52" s="13" t="s">
        <v>273</v>
      </c>
      <c r="K52" s="13" t="s">
        <v>273</v>
      </c>
      <c r="L52" s="13" t="s">
        <v>273</v>
      </c>
      <c r="M52" s="13" t="s">
        <v>273</v>
      </c>
      <c r="N52" s="13" t="s">
        <v>273</v>
      </c>
      <c r="O52" s="13" t="s">
        <v>273</v>
      </c>
      <c r="P52" s="13" t="s">
        <v>273</v>
      </c>
      <c r="Q52" s="13" t="s">
        <v>273</v>
      </c>
      <c r="R52" s="13" t="s">
        <v>273</v>
      </c>
      <c r="S52" s="13" t="s">
        <v>273</v>
      </c>
      <c r="T52" s="13" t="s">
        <v>273</v>
      </c>
      <c r="U52" s="13" t="s">
        <v>273</v>
      </c>
      <c r="V52" s="13" t="s">
        <v>273</v>
      </c>
      <c r="W52" s="13" t="s">
        <v>273</v>
      </c>
      <c r="X52" s="13" t="s">
        <v>273</v>
      </c>
      <c r="Y52" s="21" t="s">
        <v>254</v>
      </c>
      <c r="Z52" s="13" t="s">
        <v>273</v>
      </c>
      <c r="AA52" s="135"/>
      <c r="AB52" s="14" t="s">
        <v>500</v>
      </c>
      <c r="AC52" s="15" t="s">
        <v>510</v>
      </c>
      <c r="AD52" s="15" t="s">
        <v>510</v>
      </c>
      <c r="AE52" s="14"/>
      <c r="AF52" s="14"/>
    </row>
    <row r="53" spans="2:32" x14ac:dyDescent="0.2">
      <c r="B53" s="35" t="s">
        <v>255</v>
      </c>
      <c r="C53" s="27">
        <v>44</v>
      </c>
      <c r="D53" s="13" t="s">
        <v>273</v>
      </c>
      <c r="E53" s="13" t="s">
        <v>273</v>
      </c>
      <c r="F53" s="13" t="s">
        <v>273</v>
      </c>
      <c r="G53" s="13" t="s">
        <v>273</v>
      </c>
      <c r="H53" s="13" t="s">
        <v>273</v>
      </c>
      <c r="I53" s="13" t="s">
        <v>273</v>
      </c>
      <c r="J53" s="13" t="s">
        <v>273</v>
      </c>
      <c r="K53" s="13" t="s">
        <v>273</v>
      </c>
      <c r="L53" s="13" t="s">
        <v>273</v>
      </c>
      <c r="M53" s="13" t="s">
        <v>273</v>
      </c>
      <c r="N53" s="13" t="s">
        <v>273</v>
      </c>
      <c r="O53" s="13" t="s">
        <v>273</v>
      </c>
      <c r="P53" s="13" t="s">
        <v>273</v>
      </c>
      <c r="Q53" s="13" t="s">
        <v>273</v>
      </c>
      <c r="R53" s="13" t="s">
        <v>273</v>
      </c>
      <c r="S53" s="13" t="s">
        <v>273</v>
      </c>
      <c r="T53" s="13" t="s">
        <v>273</v>
      </c>
      <c r="U53" s="13" t="s">
        <v>273</v>
      </c>
      <c r="V53" s="13" t="s">
        <v>273</v>
      </c>
      <c r="W53" s="13" t="s">
        <v>273</v>
      </c>
      <c r="X53" s="13" t="s">
        <v>273</v>
      </c>
      <c r="Y53" s="21" t="s">
        <v>255</v>
      </c>
      <c r="Z53" s="13" t="s">
        <v>273</v>
      </c>
      <c r="AA53" s="135"/>
      <c r="AB53" s="14" t="s">
        <v>502</v>
      </c>
      <c r="AC53" s="15" t="s">
        <v>510</v>
      </c>
      <c r="AD53" s="15" t="s">
        <v>510</v>
      </c>
      <c r="AE53" s="14"/>
      <c r="AF53" s="14"/>
    </row>
    <row r="54" spans="2:32" x14ac:dyDescent="0.2">
      <c r="B54" s="34" t="s">
        <v>253</v>
      </c>
      <c r="C54" s="27">
        <v>45</v>
      </c>
      <c r="D54" s="13" t="s">
        <v>273</v>
      </c>
      <c r="E54" s="13" t="s">
        <v>273</v>
      </c>
      <c r="F54" s="13" t="s">
        <v>273</v>
      </c>
      <c r="G54" s="13" t="s">
        <v>273</v>
      </c>
      <c r="H54" s="13" t="s">
        <v>273</v>
      </c>
      <c r="I54" s="13" t="s">
        <v>273</v>
      </c>
      <c r="J54" s="13" t="s">
        <v>273</v>
      </c>
      <c r="K54" s="13" t="s">
        <v>273</v>
      </c>
      <c r="L54" s="13" t="s">
        <v>273</v>
      </c>
      <c r="M54" s="13" t="s">
        <v>273</v>
      </c>
      <c r="N54" s="13" t="s">
        <v>273</v>
      </c>
      <c r="O54" s="13" t="s">
        <v>273</v>
      </c>
      <c r="P54" s="13" t="s">
        <v>273</v>
      </c>
      <c r="Q54" s="13" t="s">
        <v>273</v>
      </c>
      <c r="R54" s="13" t="s">
        <v>273</v>
      </c>
      <c r="S54" s="13" t="s">
        <v>273</v>
      </c>
      <c r="T54" s="13" t="s">
        <v>273</v>
      </c>
      <c r="U54" s="13" t="s">
        <v>273</v>
      </c>
      <c r="V54" s="13" t="s">
        <v>273</v>
      </c>
      <c r="W54" s="13" t="s">
        <v>273</v>
      </c>
      <c r="X54" s="13" t="s">
        <v>273</v>
      </c>
      <c r="Y54" s="19" t="s">
        <v>253</v>
      </c>
      <c r="Z54" s="13" t="s">
        <v>273</v>
      </c>
      <c r="AA54" s="135"/>
      <c r="AB54" s="14" t="s">
        <v>501</v>
      </c>
      <c r="AC54" s="15" t="s">
        <v>510</v>
      </c>
      <c r="AD54" s="15" t="s">
        <v>510</v>
      </c>
      <c r="AE54" s="14"/>
      <c r="AF54" s="14"/>
    </row>
    <row r="55" spans="2:32" x14ac:dyDescent="0.2">
      <c r="B55" s="35" t="s">
        <v>256</v>
      </c>
      <c r="C55" s="27">
        <v>46</v>
      </c>
      <c r="D55" s="13" t="s">
        <v>273</v>
      </c>
      <c r="E55" s="13" t="s">
        <v>273</v>
      </c>
      <c r="F55" s="13" t="s">
        <v>273</v>
      </c>
      <c r="G55" s="13" t="s">
        <v>273</v>
      </c>
      <c r="H55" s="13" t="s">
        <v>273</v>
      </c>
      <c r="I55" s="13" t="s">
        <v>273</v>
      </c>
      <c r="J55" s="13" t="s">
        <v>273</v>
      </c>
      <c r="K55" s="13" t="s">
        <v>273</v>
      </c>
      <c r="L55" s="13" t="s">
        <v>273</v>
      </c>
      <c r="M55" s="13" t="s">
        <v>273</v>
      </c>
      <c r="N55" s="13" t="s">
        <v>273</v>
      </c>
      <c r="O55" s="13" t="s">
        <v>273</v>
      </c>
      <c r="P55" s="13" t="s">
        <v>273</v>
      </c>
      <c r="Q55" s="13" t="s">
        <v>273</v>
      </c>
      <c r="R55" s="13" t="s">
        <v>273</v>
      </c>
      <c r="S55" s="13" t="s">
        <v>273</v>
      </c>
      <c r="T55" s="13" t="s">
        <v>273</v>
      </c>
      <c r="U55" s="13" t="s">
        <v>273</v>
      </c>
      <c r="V55" s="13" t="s">
        <v>273</v>
      </c>
      <c r="W55" s="13" t="s">
        <v>273</v>
      </c>
      <c r="X55" s="13" t="s">
        <v>273</v>
      </c>
      <c r="Y55" s="21" t="s">
        <v>256</v>
      </c>
      <c r="Z55" s="13" t="s">
        <v>273</v>
      </c>
      <c r="AA55" s="135"/>
      <c r="AB55" s="14" t="s">
        <v>503</v>
      </c>
      <c r="AC55" s="15" t="s">
        <v>510</v>
      </c>
      <c r="AD55" s="15" t="s">
        <v>510</v>
      </c>
      <c r="AE55" s="14"/>
      <c r="AF55" s="14"/>
    </row>
    <row r="56" spans="2:32" x14ac:dyDescent="0.2">
      <c r="B56" s="35" t="s">
        <v>256</v>
      </c>
      <c r="C56" s="27">
        <v>47</v>
      </c>
      <c r="D56" s="13" t="s">
        <v>273</v>
      </c>
      <c r="E56" s="13" t="s">
        <v>273</v>
      </c>
      <c r="F56" s="13" t="s">
        <v>273</v>
      </c>
      <c r="G56" s="13" t="s">
        <v>273</v>
      </c>
      <c r="H56" s="13" t="s">
        <v>273</v>
      </c>
      <c r="I56" s="13" t="s">
        <v>273</v>
      </c>
      <c r="J56" s="13" t="s">
        <v>273</v>
      </c>
      <c r="K56" s="13" t="s">
        <v>273</v>
      </c>
      <c r="L56" s="13" t="s">
        <v>273</v>
      </c>
      <c r="M56" s="13" t="s">
        <v>273</v>
      </c>
      <c r="N56" s="13" t="s">
        <v>273</v>
      </c>
      <c r="O56" s="13" t="s">
        <v>273</v>
      </c>
      <c r="P56" s="13" t="s">
        <v>273</v>
      </c>
      <c r="Q56" s="13" t="s">
        <v>273</v>
      </c>
      <c r="R56" s="13" t="s">
        <v>273</v>
      </c>
      <c r="S56" s="13" t="s">
        <v>273</v>
      </c>
      <c r="T56" s="13" t="s">
        <v>273</v>
      </c>
      <c r="U56" s="13" t="s">
        <v>273</v>
      </c>
      <c r="V56" s="13" t="s">
        <v>273</v>
      </c>
      <c r="W56" s="13" t="s">
        <v>273</v>
      </c>
      <c r="X56" s="13" t="s">
        <v>273</v>
      </c>
      <c r="Y56" s="21" t="s">
        <v>256</v>
      </c>
      <c r="Z56" s="13" t="s">
        <v>273</v>
      </c>
      <c r="AA56" s="135"/>
      <c r="AB56" s="14" t="s">
        <v>503</v>
      </c>
      <c r="AC56" s="15" t="s">
        <v>510</v>
      </c>
      <c r="AD56" s="15" t="s">
        <v>510</v>
      </c>
      <c r="AE56" s="14"/>
      <c r="AF56" s="14"/>
    </row>
    <row r="57" spans="2:32" x14ac:dyDescent="0.2">
      <c r="B57" s="11" t="s">
        <v>105</v>
      </c>
      <c r="C57" s="11">
        <v>48</v>
      </c>
      <c r="D57" s="11" t="s">
        <v>105</v>
      </c>
      <c r="E57" s="11" t="s">
        <v>790</v>
      </c>
      <c r="F57" s="11" t="s">
        <v>622</v>
      </c>
      <c r="G57" s="11" t="s">
        <v>791</v>
      </c>
      <c r="H57" s="11" t="s">
        <v>624</v>
      </c>
      <c r="I57" s="12" t="s">
        <v>273</v>
      </c>
      <c r="J57" s="11" t="s">
        <v>792</v>
      </c>
      <c r="K57" s="12" t="s">
        <v>273</v>
      </c>
      <c r="L57" s="11" t="s">
        <v>793</v>
      </c>
      <c r="M57" s="11" t="s">
        <v>95</v>
      </c>
      <c r="N57" s="12" t="s">
        <v>273</v>
      </c>
      <c r="O57" s="11" t="s">
        <v>2374</v>
      </c>
      <c r="P57" s="11" t="s">
        <v>825</v>
      </c>
      <c r="Q57" s="12" t="s">
        <v>273</v>
      </c>
      <c r="R57" s="11" t="s">
        <v>794</v>
      </c>
      <c r="S57" s="12" t="s">
        <v>273</v>
      </c>
      <c r="T57" s="12" t="s">
        <v>273</v>
      </c>
      <c r="U57" s="12" t="s">
        <v>273</v>
      </c>
      <c r="V57" s="12" t="s">
        <v>273</v>
      </c>
      <c r="W57" s="12" t="s">
        <v>273</v>
      </c>
      <c r="X57" s="11" t="s">
        <v>291</v>
      </c>
      <c r="Y57" s="15"/>
      <c r="Z57" s="13" t="s">
        <v>273</v>
      </c>
      <c r="AA57" s="135" t="str">
        <f>_xlfn.IFS(AND(COUNTIF(Y57,"SCB*")=1, 'PCH176'!I68&gt;=2), "See the Notice *1", TRUE, "")</f>
        <v/>
      </c>
      <c r="AB57" s="14"/>
      <c r="AC57" s="11" t="s">
        <v>272</v>
      </c>
      <c r="AD57" s="11" t="s">
        <v>255</v>
      </c>
      <c r="AE57" s="14"/>
      <c r="AF57" s="14"/>
    </row>
    <row r="58" spans="2:32" x14ac:dyDescent="0.2">
      <c r="B58" s="11" t="s">
        <v>106</v>
      </c>
      <c r="C58" s="16">
        <v>49</v>
      </c>
      <c r="D58" s="11" t="s">
        <v>106</v>
      </c>
      <c r="E58" s="11" t="s">
        <v>795</v>
      </c>
      <c r="F58" s="11" t="s">
        <v>796</v>
      </c>
      <c r="G58" s="11" t="s">
        <v>797</v>
      </c>
      <c r="H58" s="11" t="s">
        <v>798</v>
      </c>
      <c r="I58" s="12" t="s">
        <v>273</v>
      </c>
      <c r="J58" s="11" t="s">
        <v>799</v>
      </c>
      <c r="K58" s="11" t="s">
        <v>800</v>
      </c>
      <c r="L58" s="11" t="s">
        <v>801</v>
      </c>
      <c r="M58" s="11" t="s">
        <v>98</v>
      </c>
      <c r="N58" s="12" t="s">
        <v>273</v>
      </c>
      <c r="O58" s="12" t="s">
        <v>273</v>
      </c>
      <c r="P58" s="11" t="s">
        <v>824</v>
      </c>
      <c r="Q58" s="12" t="s">
        <v>273</v>
      </c>
      <c r="R58" s="11" t="s">
        <v>802</v>
      </c>
      <c r="S58" s="12" t="s">
        <v>273</v>
      </c>
      <c r="T58" s="12" t="s">
        <v>273</v>
      </c>
      <c r="U58" s="12" t="s">
        <v>273</v>
      </c>
      <c r="V58" s="12" t="s">
        <v>273</v>
      </c>
      <c r="W58" s="12" t="s">
        <v>273</v>
      </c>
      <c r="X58" s="16" t="s">
        <v>292</v>
      </c>
      <c r="Y58" s="15"/>
      <c r="Z58" s="13" t="s">
        <v>273</v>
      </c>
      <c r="AA58" s="135" t="str">
        <f>_xlfn.IFS(AND(COUNTIF(Y58,"SCB*")=1, 'PCH176'!I68&gt;=2), "See the Notice *1", TRUE, "")</f>
        <v/>
      </c>
      <c r="AB58" s="14"/>
      <c r="AC58" s="11" t="s">
        <v>272</v>
      </c>
      <c r="AD58" s="11" t="s">
        <v>255</v>
      </c>
      <c r="AE58" s="14"/>
      <c r="AF58" s="14"/>
    </row>
    <row r="59" spans="2:32" x14ac:dyDescent="0.2">
      <c r="B59" s="11" t="s">
        <v>107</v>
      </c>
      <c r="C59" s="11">
        <v>50</v>
      </c>
      <c r="D59" s="11" t="s">
        <v>107</v>
      </c>
      <c r="E59" s="11" t="s">
        <v>803</v>
      </c>
      <c r="F59" s="11" t="s">
        <v>804</v>
      </c>
      <c r="G59" s="11" t="s">
        <v>805</v>
      </c>
      <c r="H59" s="11" t="s">
        <v>806</v>
      </c>
      <c r="I59" s="12" t="s">
        <v>273</v>
      </c>
      <c r="J59" s="11" t="s">
        <v>807</v>
      </c>
      <c r="K59" s="11" t="s">
        <v>808</v>
      </c>
      <c r="L59" s="11" t="s">
        <v>809</v>
      </c>
      <c r="M59" s="11" t="s">
        <v>100</v>
      </c>
      <c r="N59" s="12" t="s">
        <v>273</v>
      </c>
      <c r="O59" s="11" t="s">
        <v>810</v>
      </c>
      <c r="P59" s="11" t="s">
        <v>823</v>
      </c>
      <c r="Q59" s="12" t="s">
        <v>273</v>
      </c>
      <c r="R59" s="11" t="s">
        <v>811</v>
      </c>
      <c r="S59" s="12" t="s">
        <v>273</v>
      </c>
      <c r="T59" s="12" t="s">
        <v>273</v>
      </c>
      <c r="U59" s="12" t="s">
        <v>273</v>
      </c>
      <c r="V59" s="12" t="s">
        <v>273</v>
      </c>
      <c r="W59" s="12" t="s">
        <v>273</v>
      </c>
      <c r="X59" s="11" t="s">
        <v>293</v>
      </c>
      <c r="Y59" s="15"/>
      <c r="Z59" s="13" t="s">
        <v>273</v>
      </c>
      <c r="AA59" s="135" t="str">
        <f>_xlfn.IFS(AND(COUNTIF(Y59,"SCB*")=1, 'PCH176'!I68&gt;=2), "See the Notice *1", TRUE, "")</f>
        <v/>
      </c>
      <c r="AB59" s="14"/>
      <c r="AC59" s="11" t="s">
        <v>272</v>
      </c>
      <c r="AD59" s="11" t="s">
        <v>255</v>
      </c>
      <c r="AE59" s="14"/>
      <c r="AF59" s="14"/>
    </row>
    <row r="60" spans="2:32" x14ac:dyDescent="0.2">
      <c r="B60" s="16" t="s">
        <v>108</v>
      </c>
      <c r="C60" s="11">
        <v>51</v>
      </c>
      <c r="D60" s="16" t="s">
        <v>108</v>
      </c>
      <c r="E60" s="16" t="s">
        <v>812</v>
      </c>
      <c r="F60" s="16" t="s">
        <v>813</v>
      </c>
      <c r="G60" s="16" t="s">
        <v>814</v>
      </c>
      <c r="H60" s="16" t="s">
        <v>815</v>
      </c>
      <c r="I60" s="12" t="s">
        <v>273</v>
      </c>
      <c r="J60" s="16" t="s">
        <v>816</v>
      </c>
      <c r="K60" s="12" t="s">
        <v>273</v>
      </c>
      <c r="L60" s="16" t="s">
        <v>817</v>
      </c>
      <c r="M60" s="12" t="s">
        <v>273</v>
      </c>
      <c r="N60" s="16" t="s">
        <v>818</v>
      </c>
      <c r="O60" s="16" t="s">
        <v>819</v>
      </c>
      <c r="P60" s="16" t="s">
        <v>822</v>
      </c>
      <c r="Q60" s="12" t="s">
        <v>273</v>
      </c>
      <c r="R60" s="16" t="s">
        <v>820</v>
      </c>
      <c r="S60" s="12" t="s">
        <v>273</v>
      </c>
      <c r="T60" s="12" t="s">
        <v>273</v>
      </c>
      <c r="U60" s="12" t="s">
        <v>273</v>
      </c>
      <c r="V60" s="12" t="s">
        <v>273</v>
      </c>
      <c r="W60" s="12" t="s">
        <v>273</v>
      </c>
      <c r="X60" s="11" t="s">
        <v>294</v>
      </c>
      <c r="Y60" s="15"/>
      <c r="Z60" s="13" t="s">
        <v>273</v>
      </c>
      <c r="AA60" s="135" t="str">
        <f>_xlfn.IFS(AND(COUNTIF(Y60,"SCB*")=1, 'PCH176'!I68&gt;=2), "See the Notice *1", TRUE, "")</f>
        <v/>
      </c>
      <c r="AB60" s="14"/>
      <c r="AC60" s="11" t="s">
        <v>272</v>
      </c>
      <c r="AD60" s="11" t="s">
        <v>255</v>
      </c>
      <c r="AE60" s="14"/>
      <c r="AF60" s="14"/>
    </row>
    <row r="61" spans="2:32" x14ac:dyDescent="0.2">
      <c r="B61" s="11" t="s">
        <v>109</v>
      </c>
      <c r="C61" s="11">
        <v>52</v>
      </c>
      <c r="D61" s="11" t="s">
        <v>109</v>
      </c>
      <c r="E61" s="11" t="s">
        <v>835</v>
      </c>
      <c r="F61" s="11" t="s">
        <v>836</v>
      </c>
      <c r="G61" s="11" t="s">
        <v>837</v>
      </c>
      <c r="H61" s="11" t="s">
        <v>838</v>
      </c>
      <c r="I61" s="12" t="s">
        <v>273</v>
      </c>
      <c r="J61" s="12" t="s">
        <v>273</v>
      </c>
      <c r="K61" s="12" t="s">
        <v>273</v>
      </c>
      <c r="L61" s="11" t="s">
        <v>839</v>
      </c>
      <c r="M61" s="12" t="s">
        <v>273</v>
      </c>
      <c r="N61" s="11" t="s">
        <v>840</v>
      </c>
      <c r="O61" s="11" t="s">
        <v>841</v>
      </c>
      <c r="P61" s="11" t="s">
        <v>997</v>
      </c>
      <c r="Q61" s="12" t="s">
        <v>273</v>
      </c>
      <c r="R61" s="11" t="s">
        <v>842</v>
      </c>
      <c r="S61" s="12" t="s">
        <v>273</v>
      </c>
      <c r="T61" s="12" t="s">
        <v>273</v>
      </c>
      <c r="U61" s="12" t="s">
        <v>273</v>
      </c>
      <c r="V61" s="12" t="s">
        <v>273</v>
      </c>
      <c r="W61" s="12" t="s">
        <v>273</v>
      </c>
      <c r="X61" s="11" t="s">
        <v>295</v>
      </c>
      <c r="Y61" s="15"/>
      <c r="Z61" s="13" t="s">
        <v>273</v>
      </c>
      <c r="AA61" s="135" t="str">
        <f>_xlfn.IFS(AND(COUNTIF(Y61,"SCB*")=1, 'PCH176'!I68&gt;=2), "See the Notice *1", TRUE, "")</f>
        <v/>
      </c>
      <c r="AB61" s="14"/>
      <c r="AC61" s="11" t="s">
        <v>272</v>
      </c>
      <c r="AD61" s="11" t="s">
        <v>255</v>
      </c>
      <c r="AE61" s="14"/>
      <c r="AF61" s="14"/>
    </row>
    <row r="62" spans="2:32" x14ac:dyDescent="0.2">
      <c r="B62" s="11" t="s">
        <v>110</v>
      </c>
      <c r="C62" s="11">
        <v>53</v>
      </c>
      <c r="D62" s="11" t="s">
        <v>110</v>
      </c>
      <c r="E62" s="11" t="s">
        <v>528</v>
      </c>
      <c r="F62" s="11" t="s">
        <v>843</v>
      </c>
      <c r="G62" s="11" t="s">
        <v>530</v>
      </c>
      <c r="H62" s="11" t="s">
        <v>844</v>
      </c>
      <c r="I62" s="12" t="s">
        <v>273</v>
      </c>
      <c r="J62" s="12" t="s">
        <v>273</v>
      </c>
      <c r="K62" s="11" t="s">
        <v>757</v>
      </c>
      <c r="L62" s="11" t="s">
        <v>845</v>
      </c>
      <c r="M62" s="12" t="s">
        <v>273</v>
      </c>
      <c r="N62" s="12" t="s">
        <v>273</v>
      </c>
      <c r="O62" s="11" t="s">
        <v>846</v>
      </c>
      <c r="P62" s="11" t="s">
        <v>996</v>
      </c>
      <c r="Q62" s="12" t="s">
        <v>273</v>
      </c>
      <c r="R62" s="11" t="s">
        <v>847</v>
      </c>
      <c r="S62" s="12" t="s">
        <v>273</v>
      </c>
      <c r="T62" s="12" t="s">
        <v>273</v>
      </c>
      <c r="U62" s="12" t="s">
        <v>273</v>
      </c>
      <c r="V62" s="12" t="s">
        <v>273</v>
      </c>
      <c r="W62" s="12" t="s">
        <v>273</v>
      </c>
      <c r="X62" s="11" t="s">
        <v>296</v>
      </c>
      <c r="Y62" s="15"/>
      <c r="Z62" s="13" t="s">
        <v>273</v>
      </c>
      <c r="AA62" s="135" t="str">
        <f>_xlfn.IFS(AND(COUNTIF(Y62,"SCB*")=1, 'PCH176'!I68&gt;=2), "See the Notice *1", TRUE, "")</f>
        <v/>
      </c>
      <c r="AB62" s="14"/>
      <c r="AC62" s="11" t="s">
        <v>272</v>
      </c>
      <c r="AD62" s="11" t="s">
        <v>255</v>
      </c>
      <c r="AE62" s="14"/>
      <c r="AF62" s="14"/>
    </row>
    <row r="63" spans="2:32" x14ac:dyDescent="0.2">
      <c r="B63" s="11" t="s">
        <v>111</v>
      </c>
      <c r="C63" s="11">
        <v>54</v>
      </c>
      <c r="D63" s="11" t="s">
        <v>111</v>
      </c>
      <c r="E63" s="11" t="s">
        <v>848</v>
      </c>
      <c r="F63" s="11" t="s">
        <v>536</v>
      </c>
      <c r="G63" s="11" t="s">
        <v>849</v>
      </c>
      <c r="H63" s="11" t="s">
        <v>538</v>
      </c>
      <c r="I63" s="12" t="s">
        <v>273</v>
      </c>
      <c r="J63" s="12" t="s">
        <v>273</v>
      </c>
      <c r="K63" s="11" t="s">
        <v>759</v>
      </c>
      <c r="L63" s="12" t="s">
        <v>273</v>
      </c>
      <c r="M63" s="12" t="s">
        <v>273</v>
      </c>
      <c r="N63" s="12" t="s">
        <v>273</v>
      </c>
      <c r="O63" s="12" t="s">
        <v>273</v>
      </c>
      <c r="P63" s="12" t="s">
        <v>273</v>
      </c>
      <c r="Q63" s="12" t="s">
        <v>273</v>
      </c>
      <c r="R63" s="12" t="s">
        <v>273</v>
      </c>
      <c r="S63" s="11" t="s">
        <v>112</v>
      </c>
      <c r="T63" s="12" t="s">
        <v>273</v>
      </c>
      <c r="U63" s="12" t="s">
        <v>273</v>
      </c>
      <c r="V63" s="12" t="s">
        <v>273</v>
      </c>
      <c r="W63" s="12" t="s">
        <v>273</v>
      </c>
      <c r="X63" s="11" t="s">
        <v>297</v>
      </c>
      <c r="Y63" s="15"/>
      <c r="Z63" s="13" t="s">
        <v>273</v>
      </c>
      <c r="AA63" s="135"/>
      <c r="AB63" s="14"/>
      <c r="AC63" s="11" t="s">
        <v>272</v>
      </c>
      <c r="AD63" s="11" t="s">
        <v>255</v>
      </c>
      <c r="AE63" s="14"/>
      <c r="AF63" s="14"/>
    </row>
    <row r="64" spans="2:32" x14ac:dyDescent="0.2">
      <c r="B64" s="11" t="s">
        <v>113</v>
      </c>
      <c r="C64" s="11">
        <v>55</v>
      </c>
      <c r="D64" s="11" t="s">
        <v>113</v>
      </c>
      <c r="E64" s="11" t="s">
        <v>521</v>
      </c>
      <c r="F64" s="11" t="s">
        <v>850</v>
      </c>
      <c r="G64" s="11" t="s">
        <v>523</v>
      </c>
      <c r="H64" s="11" t="s">
        <v>851</v>
      </c>
      <c r="I64" s="12" t="s">
        <v>273</v>
      </c>
      <c r="J64" s="12" t="s">
        <v>273</v>
      </c>
      <c r="K64" s="11" t="s">
        <v>852</v>
      </c>
      <c r="L64" s="12" t="s">
        <v>273</v>
      </c>
      <c r="M64" s="12" t="s">
        <v>273</v>
      </c>
      <c r="N64" s="12" t="s">
        <v>273</v>
      </c>
      <c r="O64" s="12" t="s">
        <v>273</v>
      </c>
      <c r="P64" s="12" t="s">
        <v>273</v>
      </c>
      <c r="Q64" s="12" t="s">
        <v>273</v>
      </c>
      <c r="R64" s="12" t="s">
        <v>273</v>
      </c>
      <c r="S64" s="11" t="s">
        <v>114</v>
      </c>
      <c r="T64" s="12" t="s">
        <v>273</v>
      </c>
      <c r="U64" s="12" t="s">
        <v>273</v>
      </c>
      <c r="V64" s="12" t="s">
        <v>273</v>
      </c>
      <c r="W64" s="12" t="s">
        <v>273</v>
      </c>
      <c r="X64" s="11" t="s">
        <v>298</v>
      </c>
      <c r="Y64" s="15"/>
      <c r="Z64" s="13" t="s">
        <v>273</v>
      </c>
      <c r="AA64" s="135"/>
      <c r="AB64" s="14"/>
      <c r="AC64" s="11" t="s">
        <v>272</v>
      </c>
      <c r="AD64" s="11" t="s">
        <v>255</v>
      </c>
      <c r="AE64" s="14"/>
      <c r="AF64" s="14"/>
    </row>
    <row r="65" spans="2:32" x14ac:dyDescent="0.2">
      <c r="B65" s="11" t="s">
        <v>115</v>
      </c>
      <c r="C65" s="11">
        <v>56</v>
      </c>
      <c r="D65" s="11" t="s">
        <v>115</v>
      </c>
      <c r="E65" s="11" t="s">
        <v>853</v>
      </c>
      <c r="F65" s="11" t="s">
        <v>529</v>
      </c>
      <c r="G65" s="11" t="s">
        <v>854</v>
      </c>
      <c r="H65" s="11" t="s">
        <v>531</v>
      </c>
      <c r="I65" s="11" t="s">
        <v>855</v>
      </c>
      <c r="J65" s="12" t="s">
        <v>273</v>
      </c>
      <c r="K65" s="12" t="s">
        <v>273</v>
      </c>
      <c r="L65" s="12" t="s">
        <v>273</v>
      </c>
      <c r="M65" s="11" t="s">
        <v>82</v>
      </c>
      <c r="N65" s="11" t="s">
        <v>39</v>
      </c>
      <c r="O65" s="11" t="s">
        <v>856</v>
      </c>
      <c r="P65" s="11" t="s">
        <v>995</v>
      </c>
      <c r="Q65" s="12" t="s">
        <v>273</v>
      </c>
      <c r="R65" s="11" t="s">
        <v>857</v>
      </c>
      <c r="S65" s="12" t="s">
        <v>273</v>
      </c>
      <c r="T65" s="12" t="s">
        <v>273</v>
      </c>
      <c r="U65" s="12" t="s">
        <v>273</v>
      </c>
      <c r="V65" s="12" t="s">
        <v>273</v>
      </c>
      <c r="W65" s="12" t="s">
        <v>273</v>
      </c>
      <c r="X65" s="13" t="s">
        <v>273</v>
      </c>
      <c r="Y65" s="15"/>
      <c r="Z65" s="13" t="s">
        <v>273</v>
      </c>
      <c r="AA65" s="135"/>
      <c r="AB65" s="14"/>
      <c r="AC65" s="11" t="s">
        <v>272</v>
      </c>
      <c r="AD65" s="11" t="s">
        <v>255</v>
      </c>
      <c r="AE65" s="14"/>
      <c r="AF65" s="14"/>
    </row>
    <row r="66" spans="2:32" x14ac:dyDescent="0.2">
      <c r="B66" s="11" t="s">
        <v>116</v>
      </c>
      <c r="C66" s="11">
        <v>57</v>
      </c>
      <c r="D66" s="11" t="s">
        <v>116</v>
      </c>
      <c r="E66" s="11" t="s">
        <v>858</v>
      </c>
      <c r="F66" s="11" t="s">
        <v>859</v>
      </c>
      <c r="G66" s="11" t="s">
        <v>860</v>
      </c>
      <c r="H66" s="11" t="s">
        <v>861</v>
      </c>
      <c r="I66" s="11" t="s">
        <v>862</v>
      </c>
      <c r="J66" s="12" t="s">
        <v>273</v>
      </c>
      <c r="K66" s="12" t="s">
        <v>273</v>
      </c>
      <c r="L66" s="12" t="s">
        <v>273</v>
      </c>
      <c r="M66" s="11" t="s">
        <v>84</v>
      </c>
      <c r="N66" s="11" t="s">
        <v>43</v>
      </c>
      <c r="O66" s="11" t="s">
        <v>863</v>
      </c>
      <c r="P66" s="11" t="s">
        <v>994</v>
      </c>
      <c r="Q66" s="12" t="s">
        <v>273</v>
      </c>
      <c r="R66" s="11" t="s">
        <v>864</v>
      </c>
      <c r="S66" s="11" t="s">
        <v>117</v>
      </c>
      <c r="T66" s="12" t="s">
        <v>273</v>
      </c>
      <c r="U66" s="12" t="s">
        <v>273</v>
      </c>
      <c r="V66" s="12" t="s">
        <v>273</v>
      </c>
      <c r="W66" s="12" t="s">
        <v>273</v>
      </c>
      <c r="X66" s="11" t="s">
        <v>1651</v>
      </c>
      <c r="Y66" s="15"/>
      <c r="Z66" s="13" t="s">
        <v>273</v>
      </c>
      <c r="AA66" s="135"/>
      <c r="AB66" s="14"/>
      <c r="AC66" s="11" t="s">
        <v>272</v>
      </c>
      <c r="AD66" s="11" t="s">
        <v>255</v>
      </c>
      <c r="AE66" s="14"/>
      <c r="AF66" s="14"/>
    </row>
    <row r="67" spans="2:32" x14ac:dyDescent="0.2">
      <c r="B67" s="11" t="s">
        <v>118</v>
      </c>
      <c r="C67" s="11">
        <v>58</v>
      </c>
      <c r="D67" s="11" t="s">
        <v>118</v>
      </c>
      <c r="E67" s="11" t="s">
        <v>865</v>
      </c>
      <c r="F67" s="11" t="s">
        <v>866</v>
      </c>
      <c r="G67" s="11" t="s">
        <v>867</v>
      </c>
      <c r="H67" s="11" t="s">
        <v>868</v>
      </c>
      <c r="I67" s="11" t="s">
        <v>869</v>
      </c>
      <c r="J67" s="12" t="s">
        <v>273</v>
      </c>
      <c r="K67" s="12" t="s">
        <v>273</v>
      </c>
      <c r="L67" s="12" t="s">
        <v>273</v>
      </c>
      <c r="M67" s="11" t="s">
        <v>86</v>
      </c>
      <c r="N67" s="12" t="s">
        <v>273</v>
      </c>
      <c r="O67" s="11" t="s">
        <v>870</v>
      </c>
      <c r="P67" s="11" t="s">
        <v>993</v>
      </c>
      <c r="Q67" s="12" t="s">
        <v>273</v>
      </c>
      <c r="R67" s="11" t="s">
        <v>871</v>
      </c>
      <c r="S67" s="11" t="s">
        <v>119</v>
      </c>
      <c r="T67" s="12" t="s">
        <v>273</v>
      </c>
      <c r="U67" s="12" t="s">
        <v>273</v>
      </c>
      <c r="V67" s="12" t="s">
        <v>273</v>
      </c>
      <c r="W67" s="12" t="s">
        <v>273</v>
      </c>
      <c r="X67" s="11" t="s">
        <v>1653</v>
      </c>
      <c r="Y67" s="15"/>
      <c r="Z67" s="13" t="s">
        <v>273</v>
      </c>
      <c r="AA67" s="135"/>
      <c r="AB67" s="14"/>
      <c r="AC67" s="11" t="s">
        <v>272</v>
      </c>
      <c r="AD67" s="11" t="s">
        <v>255</v>
      </c>
      <c r="AE67" s="14"/>
      <c r="AF67" s="14"/>
    </row>
    <row r="68" spans="2:32" x14ac:dyDescent="0.2">
      <c r="B68" s="11" t="s">
        <v>120</v>
      </c>
      <c r="C68" s="11">
        <v>59</v>
      </c>
      <c r="D68" s="11" t="s">
        <v>120</v>
      </c>
      <c r="E68" s="11" t="s">
        <v>872</v>
      </c>
      <c r="F68" s="11" t="s">
        <v>873</v>
      </c>
      <c r="G68" s="11" t="s">
        <v>874</v>
      </c>
      <c r="H68" s="11" t="s">
        <v>875</v>
      </c>
      <c r="I68" s="11" t="s">
        <v>876</v>
      </c>
      <c r="J68" s="12" t="s">
        <v>273</v>
      </c>
      <c r="K68" s="12" t="s">
        <v>273</v>
      </c>
      <c r="L68" s="12" t="s">
        <v>273</v>
      </c>
      <c r="M68" s="11" t="s">
        <v>877</v>
      </c>
      <c r="N68" s="12" t="s">
        <v>273</v>
      </c>
      <c r="O68" s="12" t="s">
        <v>273</v>
      </c>
      <c r="P68" s="12" t="s">
        <v>273</v>
      </c>
      <c r="Q68" s="12" t="s">
        <v>273</v>
      </c>
      <c r="R68" s="12" t="s">
        <v>273</v>
      </c>
      <c r="S68" s="12" t="s">
        <v>273</v>
      </c>
      <c r="T68" s="11" t="s">
        <v>697</v>
      </c>
      <c r="U68" s="12" t="s">
        <v>273</v>
      </c>
      <c r="V68" s="12" t="s">
        <v>273</v>
      </c>
      <c r="W68" s="12" t="s">
        <v>273</v>
      </c>
      <c r="X68" s="11" t="s">
        <v>1655</v>
      </c>
      <c r="Y68" s="15"/>
      <c r="Z68" s="13" t="s">
        <v>273</v>
      </c>
      <c r="AA68" s="135"/>
      <c r="AB68" s="14"/>
      <c r="AC68" s="11" t="s">
        <v>272</v>
      </c>
      <c r="AD68" s="11" t="s">
        <v>255</v>
      </c>
      <c r="AE68" s="14"/>
      <c r="AF68" s="14"/>
    </row>
    <row r="69" spans="2:32" x14ac:dyDescent="0.2">
      <c r="B69" s="11" t="s">
        <v>121</v>
      </c>
      <c r="C69" s="11">
        <v>60</v>
      </c>
      <c r="D69" s="11" t="s">
        <v>121</v>
      </c>
      <c r="E69" s="11" t="s">
        <v>878</v>
      </c>
      <c r="F69" s="11" t="s">
        <v>522</v>
      </c>
      <c r="G69" s="11" t="s">
        <v>879</v>
      </c>
      <c r="H69" s="11" t="s">
        <v>524</v>
      </c>
      <c r="I69" s="12" t="s">
        <v>273</v>
      </c>
      <c r="J69" s="12" t="s">
        <v>273</v>
      </c>
      <c r="K69" s="12" t="s">
        <v>273</v>
      </c>
      <c r="L69" s="12" t="s">
        <v>273</v>
      </c>
      <c r="M69" s="11" t="s">
        <v>880</v>
      </c>
      <c r="N69" s="12" t="s">
        <v>273</v>
      </c>
      <c r="O69" s="12" t="s">
        <v>273</v>
      </c>
      <c r="P69" s="12" t="s">
        <v>273</v>
      </c>
      <c r="Q69" s="12" t="s">
        <v>273</v>
      </c>
      <c r="R69" s="12" t="s">
        <v>273</v>
      </c>
      <c r="S69" s="12" t="s">
        <v>273</v>
      </c>
      <c r="T69" s="11" t="s">
        <v>698</v>
      </c>
      <c r="U69" s="12" t="s">
        <v>273</v>
      </c>
      <c r="V69" s="12" t="s">
        <v>273</v>
      </c>
      <c r="W69" s="12" t="s">
        <v>273</v>
      </c>
      <c r="X69" s="11" t="s">
        <v>1658</v>
      </c>
      <c r="Y69" s="15"/>
      <c r="Z69" s="13" t="s">
        <v>273</v>
      </c>
      <c r="AA69" s="135"/>
      <c r="AB69" s="14"/>
      <c r="AC69" s="11" t="s">
        <v>272</v>
      </c>
      <c r="AD69" s="11" t="s">
        <v>255</v>
      </c>
      <c r="AE69" s="14"/>
      <c r="AF69" s="14"/>
    </row>
    <row r="70" spans="2:32" x14ac:dyDescent="0.2">
      <c r="B70" s="11" t="s">
        <v>122</v>
      </c>
      <c r="C70" s="11">
        <v>61</v>
      </c>
      <c r="D70" s="11" t="s">
        <v>122</v>
      </c>
      <c r="E70" s="11" t="s">
        <v>881</v>
      </c>
      <c r="F70" s="11" t="s">
        <v>882</v>
      </c>
      <c r="G70" s="11" t="s">
        <v>883</v>
      </c>
      <c r="H70" s="11" t="s">
        <v>884</v>
      </c>
      <c r="I70" s="11" t="s">
        <v>885</v>
      </c>
      <c r="J70" s="12" t="s">
        <v>273</v>
      </c>
      <c r="K70" s="12" t="s">
        <v>273</v>
      </c>
      <c r="L70" s="12" t="s">
        <v>273</v>
      </c>
      <c r="M70" s="11" t="s">
        <v>886</v>
      </c>
      <c r="N70" s="12" t="s">
        <v>273</v>
      </c>
      <c r="O70" s="12" t="s">
        <v>273</v>
      </c>
      <c r="P70" s="12" t="s">
        <v>273</v>
      </c>
      <c r="Q70" s="12" t="s">
        <v>273</v>
      </c>
      <c r="R70" s="12" t="s">
        <v>273</v>
      </c>
      <c r="S70" s="12" t="s">
        <v>273</v>
      </c>
      <c r="T70" s="12" t="s">
        <v>273</v>
      </c>
      <c r="U70" s="12" t="s">
        <v>273</v>
      </c>
      <c r="V70" s="12" t="s">
        <v>273</v>
      </c>
      <c r="W70" s="12" t="s">
        <v>273</v>
      </c>
      <c r="X70" s="11" t="s">
        <v>1660</v>
      </c>
      <c r="Y70" s="15"/>
      <c r="Z70" s="13" t="s">
        <v>273</v>
      </c>
      <c r="AA70" s="135"/>
      <c r="AB70" s="14"/>
      <c r="AC70" s="11" t="s">
        <v>272</v>
      </c>
      <c r="AD70" s="11" t="s">
        <v>255</v>
      </c>
      <c r="AE70" s="14"/>
      <c r="AF70" s="14"/>
    </row>
    <row r="71" spans="2:32" x14ac:dyDescent="0.2">
      <c r="B71" s="11" t="s">
        <v>123</v>
      </c>
      <c r="C71" s="11">
        <v>62</v>
      </c>
      <c r="D71" s="11" t="s">
        <v>123</v>
      </c>
      <c r="E71" s="11" t="s">
        <v>887</v>
      </c>
      <c r="F71" s="11" t="s">
        <v>888</v>
      </c>
      <c r="G71" s="11" t="s">
        <v>889</v>
      </c>
      <c r="H71" s="11" t="s">
        <v>890</v>
      </c>
      <c r="I71" s="11" t="s">
        <v>891</v>
      </c>
      <c r="J71" s="12" t="s">
        <v>273</v>
      </c>
      <c r="K71" s="12" t="s">
        <v>273</v>
      </c>
      <c r="L71" s="12" t="s">
        <v>273</v>
      </c>
      <c r="M71" s="12" t="s">
        <v>273</v>
      </c>
      <c r="N71" s="11" t="s">
        <v>892</v>
      </c>
      <c r="O71" s="12" t="s">
        <v>273</v>
      </c>
      <c r="P71" s="12" t="s">
        <v>273</v>
      </c>
      <c r="Q71" s="12" t="s">
        <v>273</v>
      </c>
      <c r="R71" s="12" t="s">
        <v>273</v>
      </c>
      <c r="S71" s="12" t="s">
        <v>273</v>
      </c>
      <c r="T71" s="12" t="s">
        <v>273</v>
      </c>
      <c r="U71" s="12" t="s">
        <v>273</v>
      </c>
      <c r="V71" s="12" t="s">
        <v>273</v>
      </c>
      <c r="W71" s="12" t="s">
        <v>273</v>
      </c>
      <c r="X71" s="11" t="s">
        <v>1662</v>
      </c>
      <c r="Y71" s="15"/>
      <c r="Z71" s="13" t="s">
        <v>273</v>
      </c>
      <c r="AA71" s="135"/>
      <c r="AB71" s="14"/>
      <c r="AC71" s="11" t="s">
        <v>272</v>
      </c>
      <c r="AD71" s="11" t="s">
        <v>255</v>
      </c>
      <c r="AE71" s="14"/>
      <c r="AF71" s="14"/>
    </row>
    <row r="72" spans="2:32" x14ac:dyDescent="0.2">
      <c r="B72" s="11" t="s">
        <v>124</v>
      </c>
      <c r="C72" s="11">
        <v>63</v>
      </c>
      <c r="D72" s="11" t="s">
        <v>124</v>
      </c>
      <c r="E72" s="11" t="s">
        <v>893</v>
      </c>
      <c r="F72" s="11" t="s">
        <v>894</v>
      </c>
      <c r="G72" s="11" t="s">
        <v>895</v>
      </c>
      <c r="H72" s="11" t="s">
        <v>896</v>
      </c>
      <c r="I72" s="11" t="s">
        <v>897</v>
      </c>
      <c r="J72" s="12" t="s">
        <v>273</v>
      </c>
      <c r="K72" s="12" t="s">
        <v>273</v>
      </c>
      <c r="L72" s="12" t="s">
        <v>273</v>
      </c>
      <c r="M72" s="12" t="s">
        <v>273</v>
      </c>
      <c r="N72" s="11" t="s">
        <v>898</v>
      </c>
      <c r="O72" s="12" t="s">
        <v>273</v>
      </c>
      <c r="P72" s="12" t="s">
        <v>273</v>
      </c>
      <c r="Q72" s="12" t="s">
        <v>273</v>
      </c>
      <c r="R72" s="12" t="s">
        <v>273</v>
      </c>
      <c r="S72" s="12" t="s">
        <v>273</v>
      </c>
      <c r="T72" s="12" t="s">
        <v>273</v>
      </c>
      <c r="U72" s="12" t="s">
        <v>273</v>
      </c>
      <c r="V72" s="12" t="s">
        <v>273</v>
      </c>
      <c r="W72" s="12" t="s">
        <v>273</v>
      </c>
      <c r="X72" s="11" t="s">
        <v>1664</v>
      </c>
      <c r="Y72" s="15"/>
      <c r="Z72" s="13" t="s">
        <v>273</v>
      </c>
      <c r="AA72" s="135"/>
      <c r="AB72" s="14"/>
      <c r="AC72" s="11" t="s">
        <v>272</v>
      </c>
      <c r="AD72" s="11" t="s">
        <v>255</v>
      </c>
      <c r="AE72" s="14"/>
      <c r="AF72" s="14"/>
    </row>
    <row r="73" spans="2:32" x14ac:dyDescent="0.2">
      <c r="B73" s="11" t="s">
        <v>125</v>
      </c>
      <c r="C73" s="11">
        <v>64</v>
      </c>
      <c r="D73" s="11" t="s">
        <v>125</v>
      </c>
      <c r="E73" s="11" t="s">
        <v>899</v>
      </c>
      <c r="F73" s="11" t="s">
        <v>900</v>
      </c>
      <c r="G73" s="11" t="s">
        <v>901</v>
      </c>
      <c r="H73" s="11" t="s">
        <v>902</v>
      </c>
      <c r="I73" s="11" t="s">
        <v>903</v>
      </c>
      <c r="J73" s="12" t="s">
        <v>273</v>
      </c>
      <c r="K73" s="12" t="s">
        <v>273</v>
      </c>
      <c r="L73" s="12" t="s">
        <v>273</v>
      </c>
      <c r="M73" s="12" t="s">
        <v>273</v>
      </c>
      <c r="N73" s="11" t="s">
        <v>904</v>
      </c>
      <c r="O73" s="12" t="s">
        <v>273</v>
      </c>
      <c r="P73" s="12" t="s">
        <v>273</v>
      </c>
      <c r="Q73" s="12" t="s">
        <v>273</v>
      </c>
      <c r="R73" s="12" t="s">
        <v>273</v>
      </c>
      <c r="S73" s="12" t="s">
        <v>273</v>
      </c>
      <c r="T73" s="12" t="s">
        <v>273</v>
      </c>
      <c r="U73" s="12" t="s">
        <v>273</v>
      </c>
      <c r="V73" s="12" t="s">
        <v>273</v>
      </c>
      <c r="W73" s="12" t="s">
        <v>273</v>
      </c>
      <c r="X73" s="11" t="s">
        <v>1666</v>
      </c>
      <c r="Y73" s="15"/>
      <c r="Z73" s="13" t="s">
        <v>273</v>
      </c>
      <c r="AA73" s="135"/>
      <c r="AB73" s="14"/>
      <c r="AC73" s="11" t="s">
        <v>272</v>
      </c>
      <c r="AD73" s="11" t="s">
        <v>255</v>
      </c>
      <c r="AE73" s="14"/>
      <c r="AF73" s="14"/>
    </row>
    <row r="74" spans="2:32" x14ac:dyDescent="0.2">
      <c r="B74" s="11" t="s">
        <v>126</v>
      </c>
      <c r="C74" s="11">
        <v>65</v>
      </c>
      <c r="D74" s="11" t="s">
        <v>126</v>
      </c>
      <c r="E74" s="11" t="s">
        <v>905</v>
      </c>
      <c r="F74" s="11" t="s">
        <v>906</v>
      </c>
      <c r="G74" s="11" t="s">
        <v>907</v>
      </c>
      <c r="H74" s="11" t="s">
        <v>908</v>
      </c>
      <c r="I74" s="11" t="s">
        <v>746</v>
      </c>
      <c r="J74" s="11" t="s">
        <v>909</v>
      </c>
      <c r="K74" s="12" t="s">
        <v>273</v>
      </c>
      <c r="L74" s="11" t="s">
        <v>910</v>
      </c>
      <c r="M74" s="11" t="s">
        <v>76</v>
      </c>
      <c r="N74" s="12" t="s">
        <v>273</v>
      </c>
      <c r="O74" s="12" t="s">
        <v>273</v>
      </c>
      <c r="P74" s="12" t="s">
        <v>273</v>
      </c>
      <c r="Q74" s="12" t="s">
        <v>273</v>
      </c>
      <c r="R74" s="12" t="s">
        <v>273</v>
      </c>
      <c r="S74" s="11" t="s">
        <v>127</v>
      </c>
      <c r="T74" s="12" t="s">
        <v>273</v>
      </c>
      <c r="U74" s="12" t="s">
        <v>273</v>
      </c>
      <c r="V74" s="12" t="s">
        <v>273</v>
      </c>
      <c r="W74" s="12" t="s">
        <v>273</v>
      </c>
      <c r="X74" s="13" t="s">
        <v>273</v>
      </c>
      <c r="Y74" s="15"/>
      <c r="Z74" s="13" t="s">
        <v>273</v>
      </c>
      <c r="AA74" s="135" t="str">
        <f>_xlfn.IFS(AND(COUNTIF(Y74,"SCB*")=1, 'PCH176'!H68&gt;=2), "See the Notice *1", TRUE, "")</f>
        <v/>
      </c>
      <c r="AB74" s="14"/>
      <c r="AC74" s="11" t="s">
        <v>272</v>
      </c>
      <c r="AD74" s="11" t="s">
        <v>351</v>
      </c>
      <c r="AE74" s="14"/>
      <c r="AF74" s="14"/>
    </row>
    <row r="75" spans="2:32" x14ac:dyDescent="0.2">
      <c r="B75" s="11" t="s">
        <v>128</v>
      </c>
      <c r="C75" s="11">
        <v>66</v>
      </c>
      <c r="D75" s="11" t="s">
        <v>128</v>
      </c>
      <c r="E75" s="11" t="s">
        <v>911</v>
      </c>
      <c r="F75" s="11" t="s">
        <v>912</v>
      </c>
      <c r="G75" s="11" t="s">
        <v>913</v>
      </c>
      <c r="H75" s="11" t="s">
        <v>914</v>
      </c>
      <c r="I75" s="11" t="s">
        <v>753</v>
      </c>
      <c r="J75" s="11" t="s">
        <v>915</v>
      </c>
      <c r="K75" s="11" t="s">
        <v>916</v>
      </c>
      <c r="L75" s="11" t="s">
        <v>917</v>
      </c>
      <c r="M75" s="11" t="s">
        <v>78</v>
      </c>
      <c r="N75" s="12" t="s">
        <v>273</v>
      </c>
      <c r="O75" s="12" t="s">
        <v>273</v>
      </c>
      <c r="P75" s="12" t="s">
        <v>273</v>
      </c>
      <c r="Q75" s="12" t="s">
        <v>273</v>
      </c>
      <c r="R75" s="12" t="s">
        <v>273</v>
      </c>
      <c r="S75" s="11" t="s">
        <v>129</v>
      </c>
      <c r="T75" s="12" t="s">
        <v>273</v>
      </c>
      <c r="U75" s="12" t="s">
        <v>273</v>
      </c>
      <c r="V75" s="12" t="s">
        <v>273</v>
      </c>
      <c r="W75" s="12" t="s">
        <v>273</v>
      </c>
      <c r="X75" s="13" t="s">
        <v>273</v>
      </c>
      <c r="Y75" s="15"/>
      <c r="Z75" s="13" t="s">
        <v>273</v>
      </c>
      <c r="AA75" s="135" t="str">
        <f>_xlfn.IFS(AND(COUNTIF(Y75,"SCB*")=1, 'PCH176'!H68&gt;=2), "See the Notice *1", TRUE, "")</f>
        <v/>
      </c>
      <c r="AB75" s="14"/>
      <c r="AC75" s="11" t="s">
        <v>272</v>
      </c>
      <c r="AD75" s="11" t="s">
        <v>351</v>
      </c>
      <c r="AE75" s="14"/>
      <c r="AF75" s="14"/>
    </row>
    <row r="76" spans="2:32" x14ac:dyDescent="0.2">
      <c r="B76" s="11" t="s">
        <v>130</v>
      </c>
      <c r="C76" s="11">
        <v>67</v>
      </c>
      <c r="D76" s="11" t="s">
        <v>130</v>
      </c>
      <c r="E76" s="11" t="s">
        <v>918</v>
      </c>
      <c r="F76" s="11" t="s">
        <v>919</v>
      </c>
      <c r="G76" s="11" t="s">
        <v>920</v>
      </c>
      <c r="H76" s="11" t="s">
        <v>921</v>
      </c>
      <c r="I76" s="11" t="s">
        <v>756</v>
      </c>
      <c r="J76" s="11" t="s">
        <v>922</v>
      </c>
      <c r="K76" s="11" t="s">
        <v>923</v>
      </c>
      <c r="L76" s="11" t="s">
        <v>924</v>
      </c>
      <c r="M76" s="12" t="s">
        <v>273</v>
      </c>
      <c r="N76" s="12" t="s">
        <v>273</v>
      </c>
      <c r="O76" s="11" t="s">
        <v>575</v>
      </c>
      <c r="P76" s="12" t="s">
        <v>273</v>
      </c>
      <c r="Q76" s="12" t="s">
        <v>273</v>
      </c>
      <c r="R76" s="12" t="s">
        <v>273</v>
      </c>
      <c r="S76" s="11" t="s">
        <v>2630</v>
      </c>
      <c r="T76" s="12" t="s">
        <v>273</v>
      </c>
      <c r="U76" s="12" t="s">
        <v>273</v>
      </c>
      <c r="V76" s="12" t="s">
        <v>273</v>
      </c>
      <c r="W76" s="12" t="s">
        <v>273</v>
      </c>
      <c r="X76" s="13" t="s">
        <v>273</v>
      </c>
      <c r="Y76" s="15"/>
      <c r="Z76" s="13" t="s">
        <v>273</v>
      </c>
      <c r="AA76" s="135" t="str">
        <f>_xlfn.IFS(AND(COUNTIF(Y76,"SCB*")=1, 'PCH176'!H68&gt;=2), "See the Notice *1", TRUE, "")</f>
        <v/>
      </c>
      <c r="AB76" s="14"/>
      <c r="AC76" s="11" t="s">
        <v>272</v>
      </c>
      <c r="AD76" s="11" t="s">
        <v>351</v>
      </c>
      <c r="AE76" s="14"/>
      <c r="AF76" s="14"/>
    </row>
    <row r="77" spans="2:32" x14ac:dyDescent="0.2">
      <c r="B77" s="11" t="s">
        <v>131</v>
      </c>
      <c r="C77" s="11">
        <v>68</v>
      </c>
      <c r="D77" s="11" t="s">
        <v>131</v>
      </c>
      <c r="E77" s="11" t="s">
        <v>925</v>
      </c>
      <c r="F77" s="11" t="s">
        <v>926</v>
      </c>
      <c r="G77" s="11" t="s">
        <v>927</v>
      </c>
      <c r="H77" s="11" t="s">
        <v>928</v>
      </c>
      <c r="I77" s="11" t="s">
        <v>758</v>
      </c>
      <c r="J77" s="11" t="s">
        <v>929</v>
      </c>
      <c r="K77" s="12" t="s">
        <v>273</v>
      </c>
      <c r="L77" s="11" t="s">
        <v>930</v>
      </c>
      <c r="M77" s="12" t="s">
        <v>273</v>
      </c>
      <c r="N77" s="12" t="s">
        <v>273</v>
      </c>
      <c r="O77" s="11" t="s">
        <v>580</v>
      </c>
      <c r="P77" s="12" t="s">
        <v>273</v>
      </c>
      <c r="Q77" s="12" t="s">
        <v>273</v>
      </c>
      <c r="R77" s="12" t="s">
        <v>273</v>
      </c>
      <c r="S77" s="11" t="s">
        <v>2631</v>
      </c>
      <c r="T77" s="12" t="s">
        <v>273</v>
      </c>
      <c r="U77" s="12" t="s">
        <v>273</v>
      </c>
      <c r="V77" s="12" t="s">
        <v>273</v>
      </c>
      <c r="W77" s="12" t="s">
        <v>273</v>
      </c>
      <c r="X77" s="13" t="s">
        <v>273</v>
      </c>
      <c r="Y77" s="15"/>
      <c r="Z77" s="13" t="s">
        <v>273</v>
      </c>
      <c r="AA77" s="135" t="str">
        <f>_xlfn.IFS(AND(COUNTIF(Y77,"SCB*")=1, 'PCH176'!H68&gt;=2), "See the Notice *1", TRUE, "")</f>
        <v/>
      </c>
      <c r="AB77" s="14"/>
      <c r="AC77" s="11" t="s">
        <v>272</v>
      </c>
      <c r="AD77" s="11" t="s">
        <v>351</v>
      </c>
      <c r="AE77" s="14"/>
      <c r="AF77" s="14"/>
    </row>
    <row r="78" spans="2:32" x14ac:dyDescent="0.2">
      <c r="B78" s="11" t="s">
        <v>132</v>
      </c>
      <c r="C78" s="11">
        <v>69</v>
      </c>
      <c r="D78" s="11" t="s">
        <v>132</v>
      </c>
      <c r="E78" s="11" t="s">
        <v>931</v>
      </c>
      <c r="F78" s="11" t="s">
        <v>932</v>
      </c>
      <c r="G78" s="11" t="s">
        <v>933</v>
      </c>
      <c r="H78" s="11" t="s">
        <v>934</v>
      </c>
      <c r="I78" s="11" t="s">
        <v>760</v>
      </c>
      <c r="J78" s="12" t="s">
        <v>273</v>
      </c>
      <c r="K78" s="12" t="s">
        <v>273</v>
      </c>
      <c r="L78" s="11" t="s">
        <v>935</v>
      </c>
      <c r="M78" s="12" t="s">
        <v>273</v>
      </c>
      <c r="N78" s="12" t="s">
        <v>273</v>
      </c>
      <c r="O78" s="11" t="s">
        <v>585</v>
      </c>
      <c r="P78" s="12" t="s">
        <v>273</v>
      </c>
      <c r="Q78" s="12" t="s">
        <v>273</v>
      </c>
      <c r="R78" s="12" t="s">
        <v>273</v>
      </c>
      <c r="S78" s="11" t="s">
        <v>2632</v>
      </c>
      <c r="T78" s="12" t="s">
        <v>273</v>
      </c>
      <c r="U78" s="12" t="s">
        <v>273</v>
      </c>
      <c r="V78" s="12" t="s">
        <v>273</v>
      </c>
      <c r="W78" s="12" t="s">
        <v>273</v>
      </c>
      <c r="X78" s="11" t="s">
        <v>299</v>
      </c>
      <c r="Y78" s="15"/>
      <c r="Z78" s="13" t="s">
        <v>273</v>
      </c>
      <c r="AA78" s="135" t="str">
        <f>_xlfn.IFS(AND(COUNTIF(Y78,"SCB*")=1, 'PCH176'!H68&gt;=2), "See the Notice *1", TRUE, "")</f>
        <v/>
      </c>
      <c r="AB78" s="14"/>
      <c r="AC78" s="11" t="s">
        <v>272</v>
      </c>
      <c r="AD78" s="11" t="s">
        <v>351</v>
      </c>
      <c r="AE78" s="14"/>
      <c r="AF78" s="14"/>
    </row>
    <row r="79" spans="2:32" x14ac:dyDescent="0.2">
      <c r="B79" s="11" t="s">
        <v>133</v>
      </c>
      <c r="C79" s="11">
        <v>70</v>
      </c>
      <c r="D79" s="11" t="s">
        <v>133</v>
      </c>
      <c r="E79" s="11" t="s">
        <v>936</v>
      </c>
      <c r="F79" s="11" t="s">
        <v>937</v>
      </c>
      <c r="G79" s="11" t="s">
        <v>938</v>
      </c>
      <c r="H79" s="11" t="s">
        <v>939</v>
      </c>
      <c r="I79" s="11" t="s">
        <v>762</v>
      </c>
      <c r="J79" s="12" t="s">
        <v>273</v>
      </c>
      <c r="K79" s="12" t="s">
        <v>273</v>
      </c>
      <c r="L79" s="11" t="s">
        <v>940</v>
      </c>
      <c r="M79" s="12" t="s">
        <v>273</v>
      </c>
      <c r="N79" s="11" t="s">
        <v>941</v>
      </c>
      <c r="O79" s="12" t="s">
        <v>273</v>
      </c>
      <c r="P79" s="12" t="s">
        <v>273</v>
      </c>
      <c r="Q79" s="12" t="s">
        <v>273</v>
      </c>
      <c r="R79" s="12" t="s">
        <v>273</v>
      </c>
      <c r="S79" s="11" t="s">
        <v>2633</v>
      </c>
      <c r="T79" s="12" t="s">
        <v>273</v>
      </c>
      <c r="U79" s="12" t="s">
        <v>273</v>
      </c>
      <c r="V79" s="12" t="s">
        <v>273</v>
      </c>
      <c r="W79" s="12" t="s">
        <v>273</v>
      </c>
      <c r="X79" s="11" t="s">
        <v>300</v>
      </c>
      <c r="Y79" s="15"/>
      <c r="Z79" s="13" t="s">
        <v>273</v>
      </c>
      <c r="AA79" s="135" t="str">
        <f>_xlfn.IFS(AND(COUNTIF(Y79,"SCB*")=1, 'PCH176'!H68&gt;=2), "See the Notice *1", TRUE, "")</f>
        <v/>
      </c>
      <c r="AB79" s="14"/>
      <c r="AC79" s="11" t="s">
        <v>272</v>
      </c>
      <c r="AD79" s="11" t="s">
        <v>351</v>
      </c>
      <c r="AE79" s="14"/>
      <c r="AF79" s="14"/>
    </row>
    <row r="80" spans="2:32" x14ac:dyDescent="0.2">
      <c r="B80" s="11" t="s">
        <v>134</v>
      </c>
      <c r="C80" s="11">
        <v>71</v>
      </c>
      <c r="D80" s="11" t="s">
        <v>134</v>
      </c>
      <c r="E80" s="12" t="s">
        <v>273</v>
      </c>
      <c r="F80" s="11" t="s">
        <v>942</v>
      </c>
      <c r="G80" s="12" t="s">
        <v>273</v>
      </c>
      <c r="H80" s="11" t="s">
        <v>943</v>
      </c>
      <c r="I80" s="11" t="s">
        <v>764</v>
      </c>
      <c r="J80" s="12" t="s">
        <v>273</v>
      </c>
      <c r="K80" s="12" t="s">
        <v>273</v>
      </c>
      <c r="L80" s="11" t="s">
        <v>944</v>
      </c>
      <c r="M80" s="12" t="s">
        <v>273</v>
      </c>
      <c r="N80" s="11" t="s">
        <v>945</v>
      </c>
      <c r="O80" s="11" t="s">
        <v>946</v>
      </c>
      <c r="P80" s="12" t="s">
        <v>273</v>
      </c>
      <c r="Q80" s="12" t="s">
        <v>273</v>
      </c>
      <c r="R80" s="12" t="s">
        <v>273</v>
      </c>
      <c r="S80" s="11" t="s">
        <v>2634</v>
      </c>
      <c r="T80" s="12" t="s">
        <v>273</v>
      </c>
      <c r="U80" s="12" t="s">
        <v>273</v>
      </c>
      <c r="V80" s="12" t="s">
        <v>273</v>
      </c>
      <c r="W80" s="12" t="s">
        <v>273</v>
      </c>
      <c r="X80" s="11" t="s">
        <v>301</v>
      </c>
      <c r="Y80" s="15"/>
      <c r="Z80" s="13" t="s">
        <v>273</v>
      </c>
      <c r="AA80" s="135"/>
      <c r="AB80" s="14"/>
      <c r="AC80" s="11" t="s">
        <v>272</v>
      </c>
      <c r="AD80" s="11" t="s">
        <v>351</v>
      </c>
      <c r="AE80" s="14"/>
      <c r="AF80" s="14"/>
    </row>
    <row r="81" spans="2:32" x14ac:dyDescent="0.2">
      <c r="B81" s="11" t="s">
        <v>135</v>
      </c>
      <c r="C81" s="11">
        <v>72</v>
      </c>
      <c r="D81" s="11" t="s">
        <v>135</v>
      </c>
      <c r="E81" s="11" t="s">
        <v>947</v>
      </c>
      <c r="F81" s="11" t="s">
        <v>948</v>
      </c>
      <c r="G81" s="11" t="s">
        <v>949</v>
      </c>
      <c r="H81" s="11" t="s">
        <v>950</v>
      </c>
      <c r="I81" s="11" t="s">
        <v>769</v>
      </c>
      <c r="J81" s="12" t="s">
        <v>273</v>
      </c>
      <c r="K81" s="12" t="s">
        <v>273</v>
      </c>
      <c r="L81" s="12" t="s">
        <v>273</v>
      </c>
      <c r="M81" s="12" t="s">
        <v>273</v>
      </c>
      <c r="N81" s="11" t="s">
        <v>951</v>
      </c>
      <c r="O81" s="12" t="s">
        <v>273</v>
      </c>
      <c r="P81" s="12" t="s">
        <v>273</v>
      </c>
      <c r="Q81" s="12" t="s">
        <v>273</v>
      </c>
      <c r="R81" s="12" t="s">
        <v>273</v>
      </c>
      <c r="S81" s="11" t="s">
        <v>2635</v>
      </c>
      <c r="T81" s="12" t="s">
        <v>273</v>
      </c>
      <c r="U81" s="12" t="s">
        <v>273</v>
      </c>
      <c r="V81" s="12" t="s">
        <v>273</v>
      </c>
      <c r="W81" s="12" t="s">
        <v>273</v>
      </c>
      <c r="X81" s="11" t="s">
        <v>302</v>
      </c>
      <c r="Y81" s="15"/>
      <c r="Z81" s="13" t="s">
        <v>273</v>
      </c>
      <c r="AA81" s="135"/>
      <c r="AB81" s="14"/>
      <c r="AC81" s="11" t="s">
        <v>272</v>
      </c>
      <c r="AD81" s="11" t="s">
        <v>351</v>
      </c>
      <c r="AE81" s="14"/>
      <c r="AF81" s="14"/>
    </row>
    <row r="82" spans="2:32" x14ac:dyDescent="0.2">
      <c r="B82" s="11" t="s">
        <v>136</v>
      </c>
      <c r="C82" s="11">
        <v>73</v>
      </c>
      <c r="D82" s="11" t="s">
        <v>136</v>
      </c>
      <c r="E82" s="11" t="s">
        <v>952</v>
      </c>
      <c r="F82" s="11" t="s">
        <v>953</v>
      </c>
      <c r="G82" s="11" t="s">
        <v>954</v>
      </c>
      <c r="H82" s="11" t="s">
        <v>955</v>
      </c>
      <c r="I82" s="12" t="s">
        <v>273</v>
      </c>
      <c r="J82" s="12" t="s">
        <v>273</v>
      </c>
      <c r="K82" s="12" t="s">
        <v>273</v>
      </c>
      <c r="L82" s="12" t="s">
        <v>273</v>
      </c>
      <c r="M82" s="12" t="s">
        <v>273</v>
      </c>
      <c r="N82" s="12" t="s">
        <v>273</v>
      </c>
      <c r="O82" s="12" t="s">
        <v>273</v>
      </c>
      <c r="P82" s="12" t="s">
        <v>273</v>
      </c>
      <c r="Q82" s="12" t="s">
        <v>273</v>
      </c>
      <c r="R82" s="11" t="s">
        <v>956</v>
      </c>
      <c r="S82" s="12" t="s">
        <v>273</v>
      </c>
      <c r="T82" s="12" t="s">
        <v>273</v>
      </c>
      <c r="U82" s="12" t="s">
        <v>273</v>
      </c>
      <c r="V82" s="12" t="s">
        <v>273</v>
      </c>
      <c r="W82" s="12" t="s">
        <v>273</v>
      </c>
      <c r="X82" s="11" t="s">
        <v>303</v>
      </c>
      <c r="Y82" s="15"/>
      <c r="Z82" s="13" t="s">
        <v>273</v>
      </c>
      <c r="AA82" s="135"/>
      <c r="AB82" s="14"/>
      <c r="AC82" s="11" t="s">
        <v>272</v>
      </c>
      <c r="AD82" s="11" t="s">
        <v>351</v>
      </c>
      <c r="AE82" s="14"/>
      <c r="AF82" s="14"/>
    </row>
    <row r="83" spans="2:32" x14ac:dyDescent="0.2">
      <c r="B83" s="11" t="s">
        <v>137</v>
      </c>
      <c r="C83" s="11">
        <v>74</v>
      </c>
      <c r="D83" s="11" t="s">
        <v>137</v>
      </c>
      <c r="E83" s="11" t="s">
        <v>957</v>
      </c>
      <c r="F83" s="11" t="s">
        <v>958</v>
      </c>
      <c r="G83" s="11" t="s">
        <v>959</v>
      </c>
      <c r="H83" s="11" t="s">
        <v>960</v>
      </c>
      <c r="I83" s="12" t="s">
        <v>273</v>
      </c>
      <c r="J83" s="12" t="s">
        <v>273</v>
      </c>
      <c r="K83" s="12" t="s">
        <v>273</v>
      </c>
      <c r="L83" s="12" t="s">
        <v>273</v>
      </c>
      <c r="M83" s="12" t="s">
        <v>273</v>
      </c>
      <c r="N83" s="12" t="s">
        <v>273</v>
      </c>
      <c r="O83" s="12" t="s">
        <v>273</v>
      </c>
      <c r="P83" s="12" t="s">
        <v>273</v>
      </c>
      <c r="Q83" s="12" t="s">
        <v>273</v>
      </c>
      <c r="R83" s="11" t="s">
        <v>961</v>
      </c>
      <c r="S83" s="12" t="s">
        <v>273</v>
      </c>
      <c r="T83" s="12" t="s">
        <v>273</v>
      </c>
      <c r="U83" s="12" t="s">
        <v>273</v>
      </c>
      <c r="V83" s="12" t="s">
        <v>273</v>
      </c>
      <c r="W83" s="12" t="s">
        <v>273</v>
      </c>
      <c r="X83" s="11" t="s">
        <v>304</v>
      </c>
      <c r="Y83" s="15"/>
      <c r="Z83" s="13" t="s">
        <v>273</v>
      </c>
      <c r="AA83" s="135"/>
      <c r="AB83" s="14"/>
      <c r="AC83" s="11" t="s">
        <v>272</v>
      </c>
      <c r="AD83" s="11" t="s">
        <v>351</v>
      </c>
      <c r="AE83" s="14"/>
      <c r="AF83" s="14"/>
    </row>
    <row r="84" spans="2:32" x14ac:dyDescent="0.2">
      <c r="B84" s="11" t="s">
        <v>138</v>
      </c>
      <c r="C84" s="11">
        <v>75</v>
      </c>
      <c r="D84" s="11" t="s">
        <v>138</v>
      </c>
      <c r="E84" s="11" t="s">
        <v>962</v>
      </c>
      <c r="F84" s="11" t="s">
        <v>963</v>
      </c>
      <c r="G84" s="11" t="s">
        <v>964</v>
      </c>
      <c r="H84" s="11" t="s">
        <v>965</v>
      </c>
      <c r="I84" s="12" t="s">
        <v>273</v>
      </c>
      <c r="J84" s="12" t="s">
        <v>273</v>
      </c>
      <c r="K84" s="12" t="s">
        <v>273</v>
      </c>
      <c r="L84" s="12" t="s">
        <v>273</v>
      </c>
      <c r="M84" s="12" t="s">
        <v>273</v>
      </c>
      <c r="N84" s="12" t="s">
        <v>273</v>
      </c>
      <c r="O84" s="12" t="s">
        <v>273</v>
      </c>
      <c r="P84" s="12" t="s">
        <v>273</v>
      </c>
      <c r="Q84" s="12" t="s">
        <v>273</v>
      </c>
      <c r="R84" s="11" t="s">
        <v>966</v>
      </c>
      <c r="S84" s="12" t="s">
        <v>273</v>
      </c>
      <c r="T84" s="12" t="s">
        <v>273</v>
      </c>
      <c r="U84" s="12" t="s">
        <v>273</v>
      </c>
      <c r="V84" s="12" t="s">
        <v>273</v>
      </c>
      <c r="W84" s="12" t="s">
        <v>273</v>
      </c>
      <c r="X84" s="11" t="s">
        <v>305</v>
      </c>
      <c r="Y84" s="15"/>
      <c r="Z84" s="13" t="s">
        <v>273</v>
      </c>
      <c r="AA84" s="135"/>
      <c r="AB84" s="14"/>
      <c r="AC84" s="11" t="s">
        <v>272</v>
      </c>
      <c r="AD84" s="11" t="s">
        <v>351</v>
      </c>
      <c r="AE84" s="14"/>
      <c r="AF84" s="14"/>
    </row>
    <row r="85" spans="2:32" x14ac:dyDescent="0.2">
      <c r="B85" s="37" t="s">
        <v>257</v>
      </c>
      <c r="C85" s="27">
        <v>76</v>
      </c>
      <c r="D85" s="13" t="s">
        <v>273</v>
      </c>
      <c r="E85" s="13" t="s">
        <v>273</v>
      </c>
      <c r="F85" s="13" t="s">
        <v>273</v>
      </c>
      <c r="G85" s="13" t="s">
        <v>273</v>
      </c>
      <c r="H85" s="13" t="s">
        <v>273</v>
      </c>
      <c r="I85" s="13" t="s">
        <v>273</v>
      </c>
      <c r="J85" s="13" t="s">
        <v>273</v>
      </c>
      <c r="K85" s="13" t="s">
        <v>273</v>
      </c>
      <c r="L85" s="13" t="s">
        <v>273</v>
      </c>
      <c r="M85" s="13" t="s">
        <v>273</v>
      </c>
      <c r="N85" s="13" t="s">
        <v>273</v>
      </c>
      <c r="O85" s="13" t="s">
        <v>273</v>
      </c>
      <c r="P85" s="13" t="s">
        <v>273</v>
      </c>
      <c r="Q85" s="13" t="s">
        <v>273</v>
      </c>
      <c r="R85" s="13" t="s">
        <v>273</v>
      </c>
      <c r="S85" s="13" t="s">
        <v>273</v>
      </c>
      <c r="T85" s="13" t="s">
        <v>273</v>
      </c>
      <c r="U85" s="13" t="s">
        <v>353</v>
      </c>
      <c r="V85" s="13" t="s">
        <v>353</v>
      </c>
      <c r="W85" s="13" t="s">
        <v>353</v>
      </c>
      <c r="X85" s="13" t="s">
        <v>353</v>
      </c>
      <c r="Y85" s="22" t="s">
        <v>257</v>
      </c>
      <c r="Z85" s="13" t="s">
        <v>353</v>
      </c>
      <c r="AA85" s="135"/>
      <c r="AB85" s="14" t="s">
        <v>504</v>
      </c>
      <c r="AC85" s="15" t="s">
        <v>510</v>
      </c>
      <c r="AD85" s="15" t="s">
        <v>510</v>
      </c>
      <c r="AE85" s="14"/>
      <c r="AF85" s="14"/>
    </row>
    <row r="86" spans="2:32" x14ac:dyDescent="0.2">
      <c r="B86" s="34" t="s">
        <v>258</v>
      </c>
      <c r="C86" s="27">
        <v>77</v>
      </c>
      <c r="D86" s="13" t="s">
        <v>273</v>
      </c>
      <c r="E86" s="13" t="s">
        <v>273</v>
      </c>
      <c r="F86" s="13" t="s">
        <v>273</v>
      </c>
      <c r="G86" s="13" t="s">
        <v>273</v>
      </c>
      <c r="H86" s="13" t="s">
        <v>273</v>
      </c>
      <c r="I86" s="13" t="s">
        <v>273</v>
      </c>
      <c r="J86" s="13" t="s">
        <v>273</v>
      </c>
      <c r="K86" s="13" t="s">
        <v>273</v>
      </c>
      <c r="L86" s="13" t="s">
        <v>273</v>
      </c>
      <c r="M86" s="13" t="s">
        <v>273</v>
      </c>
      <c r="N86" s="13" t="s">
        <v>273</v>
      </c>
      <c r="O86" s="13" t="s">
        <v>273</v>
      </c>
      <c r="P86" s="13" t="s">
        <v>273</v>
      </c>
      <c r="Q86" s="13" t="s">
        <v>273</v>
      </c>
      <c r="R86" s="13" t="s">
        <v>273</v>
      </c>
      <c r="S86" s="13" t="s">
        <v>273</v>
      </c>
      <c r="T86" s="13" t="s">
        <v>273</v>
      </c>
      <c r="U86" s="13" t="s">
        <v>273</v>
      </c>
      <c r="V86" s="13" t="s">
        <v>273</v>
      </c>
      <c r="W86" s="13" t="s">
        <v>273</v>
      </c>
      <c r="X86" s="13" t="s">
        <v>273</v>
      </c>
      <c r="Y86" s="19" t="s">
        <v>258</v>
      </c>
      <c r="Z86" s="13" t="s">
        <v>273</v>
      </c>
      <c r="AA86" s="135"/>
      <c r="AB86" s="14" t="s">
        <v>506</v>
      </c>
      <c r="AC86" s="15" t="s">
        <v>510</v>
      </c>
      <c r="AD86" s="15" t="s">
        <v>510</v>
      </c>
      <c r="AE86" s="14"/>
      <c r="AF86" s="14"/>
    </row>
    <row r="87" spans="2:32" x14ac:dyDescent="0.2">
      <c r="B87" s="35" t="s">
        <v>259</v>
      </c>
      <c r="C87" s="27">
        <v>78</v>
      </c>
      <c r="D87" s="13" t="s">
        <v>273</v>
      </c>
      <c r="E87" s="13" t="s">
        <v>273</v>
      </c>
      <c r="F87" s="13" t="s">
        <v>273</v>
      </c>
      <c r="G87" s="13" t="s">
        <v>273</v>
      </c>
      <c r="H87" s="13" t="s">
        <v>273</v>
      </c>
      <c r="I87" s="13" t="s">
        <v>273</v>
      </c>
      <c r="J87" s="13" t="s">
        <v>273</v>
      </c>
      <c r="K87" s="13" t="s">
        <v>273</v>
      </c>
      <c r="L87" s="13" t="s">
        <v>273</v>
      </c>
      <c r="M87" s="13" t="s">
        <v>273</v>
      </c>
      <c r="N87" s="13" t="s">
        <v>273</v>
      </c>
      <c r="O87" s="13" t="s">
        <v>273</v>
      </c>
      <c r="P87" s="13" t="s">
        <v>273</v>
      </c>
      <c r="Q87" s="13" t="s">
        <v>273</v>
      </c>
      <c r="R87" s="13" t="s">
        <v>273</v>
      </c>
      <c r="S87" s="13" t="s">
        <v>273</v>
      </c>
      <c r="T87" s="13" t="s">
        <v>273</v>
      </c>
      <c r="U87" s="13" t="s">
        <v>273</v>
      </c>
      <c r="V87" s="13" t="s">
        <v>273</v>
      </c>
      <c r="W87" s="13" t="s">
        <v>273</v>
      </c>
      <c r="X87" s="13" t="s">
        <v>273</v>
      </c>
      <c r="Y87" s="21" t="s">
        <v>259</v>
      </c>
      <c r="Z87" s="13" t="s">
        <v>273</v>
      </c>
      <c r="AA87" s="135"/>
      <c r="AB87" s="14" t="s">
        <v>507</v>
      </c>
      <c r="AC87" s="15" t="s">
        <v>510</v>
      </c>
      <c r="AD87" s="15" t="s">
        <v>510</v>
      </c>
      <c r="AE87" s="14"/>
      <c r="AF87" s="14"/>
    </row>
    <row r="88" spans="2:32" x14ac:dyDescent="0.2">
      <c r="B88" s="37" t="s">
        <v>260</v>
      </c>
      <c r="C88" s="27">
        <v>79</v>
      </c>
      <c r="D88" s="13" t="s">
        <v>273</v>
      </c>
      <c r="E88" s="13" t="s">
        <v>273</v>
      </c>
      <c r="F88" s="13" t="s">
        <v>273</v>
      </c>
      <c r="G88" s="13" t="s">
        <v>273</v>
      </c>
      <c r="H88" s="13" t="s">
        <v>273</v>
      </c>
      <c r="I88" s="13" t="s">
        <v>273</v>
      </c>
      <c r="J88" s="13" t="s">
        <v>273</v>
      </c>
      <c r="K88" s="13" t="s">
        <v>273</v>
      </c>
      <c r="L88" s="13" t="s">
        <v>273</v>
      </c>
      <c r="M88" s="13" t="s">
        <v>273</v>
      </c>
      <c r="N88" s="13" t="s">
        <v>273</v>
      </c>
      <c r="O88" s="13" t="s">
        <v>273</v>
      </c>
      <c r="P88" s="13" t="s">
        <v>273</v>
      </c>
      <c r="Q88" s="13" t="s">
        <v>273</v>
      </c>
      <c r="R88" s="13" t="s">
        <v>273</v>
      </c>
      <c r="S88" s="13" t="s">
        <v>273</v>
      </c>
      <c r="T88" s="13" t="s">
        <v>273</v>
      </c>
      <c r="U88" s="13" t="s">
        <v>273</v>
      </c>
      <c r="V88" s="13" t="s">
        <v>273</v>
      </c>
      <c r="W88" s="13" t="s">
        <v>273</v>
      </c>
      <c r="X88" s="13" t="s">
        <v>273</v>
      </c>
      <c r="Y88" s="22" t="s">
        <v>260</v>
      </c>
      <c r="Z88" s="13" t="s">
        <v>273</v>
      </c>
      <c r="AA88" s="135"/>
      <c r="AB88" s="14" t="s">
        <v>505</v>
      </c>
      <c r="AC88" s="15" t="s">
        <v>510</v>
      </c>
      <c r="AD88" s="15" t="s">
        <v>510</v>
      </c>
      <c r="AE88" s="14"/>
      <c r="AF88" s="14"/>
    </row>
    <row r="89" spans="2:32" x14ac:dyDescent="0.2">
      <c r="B89" s="11" t="s">
        <v>139</v>
      </c>
      <c r="C89" s="11">
        <v>80</v>
      </c>
      <c r="D89" s="11" t="s">
        <v>139</v>
      </c>
      <c r="E89" s="11" t="s">
        <v>967</v>
      </c>
      <c r="F89" s="12" t="s">
        <v>273</v>
      </c>
      <c r="G89" s="11" t="s">
        <v>968</v>
      </c>
      <c r="H89" s="12" t="s">
        <v>273</v>
      </c>
      <c r="I89" s="12" t="s">
        <v>273</v>
      </c>
      <c r="J89" s="11" t="s">
        <v>969</v>
      </c>
      <c r="K89" s="11" t="s">
        <v>970</v>
      </c>
      <c r="L89" s="11" t="s">
        <v>971</v>
      </c>
      <c r="M89" s="12" t="s">
        <v>273</v>
      </c>
      <c r="N89" s="11" t="s">
        <v>93</v>
      </c>
      <c r="O89" s="11" t="s">
        <v>972</v>
      </c>
      <c r="P89" s="11" t="s">
        <v>973</v>
      </c>
      <c r="Q89" s="12" t="s">
        <v>273</v>
      </c>
      <c r="R89" s="11" t="s">
        <v>974</v>
      </c>
      <c r="S89" s="11" t="s">
        <v>140</v>
      </c>
      <c r="T89" s="12" t="s">
        <v>273</v>
      </c>
      <c r="U89" s="12" t="s">
        <v>273</v>
      </c>
      <c r="V89" s="12" t="s">
        <v>273</v>
      </c>
      <c r="W89" s="12" t="s">
        <v>273</v>
      </c>
      <c r="X89" s="11" t="s">
        <v>306</v>
      </c>
      <c r="Y89" s="15"/>
      <c r="Z89" s="15"/>
      <c r="AA89" s="135" t="str">
        <f>_xlfn.IFS(AND(COUNTIF(Y89,"SCB*")=1, 'PCH176'!L68&gt;=2), "See the Notice *1", TRUE, "")</f>
        <v/>
      </c>
      <c r="AB89" s="14"/>
      <c r="AC89" s="11" t="s">
        <v>272</v>
      </c>
      <c r="AD89" s="11" t="s">
        <v>351</v>
      </c>
      <c r="AE89" s="14"/>
      <c r="AF89" s="14"/>
    </row>
    <row r="90" spans="2:32" x14ac:dyDescent="0.2">
      <c r="B90" s="11" t="s">
        <v>141</v>
      </c>
      <c r="C90" s="11">
        <v>81</v>
      </c>
      <c r="D90" s="11" t="s">
        <v>141</v>
      </c>
      <c r="E90" s="11" t="s">
        <v>975</v>
      </c>
      <c r="F90" s="11" t="s">
        <v>976</v>
      </c>
      <c r="G90" s="11" t="s">
        <v>977</v>
      </c>
      <c r="H90" s="11" t="s">
        <v>978</v>
      </c>
      <c r="I90" s="12" t="s">
        <v>273</v>
      </c>
      <c r="J90" s="11" t="s">
        <v>979</v>
      </c>
      <c r="K90" s="11" t="s">
        <v>980</v>
      </c>
      <c r="L90" s="11" t="s">
        <v>981</v>
      </c>
      <c r="M90" s="11" t="s">
        <v>142</v>
      </c>
      <c r="N90" s="11" t="s">
        <v>96</v>
      </c>
      <c r="O90" s="11" t="s">
        <v>982</v>
      </c>
      <c r="P90" s="12" t="s">
        <v>273</v>
      </c>
      <c r="Q90" s="12" t="s">
        <v>273</v>
      </c>
      <c r="R90" s="11" t="s">
        <v>983</v>
      </c>
      <c r="S90" s="11" t="s">
        <v>143</v>
      </c>
      <c r="T90" s="12" t="s">
        <v>273</v>
      </c>
      <c r="U90" s="12" t="s">
        <v>273</v>
      </c>
      <c r="V90" s="12" t="s">
        <v>273</v>
      </c>
      <c r="W90" s="12" t="s">
        <v>273</v>
      </c>
      <c r="X90" s="11" t="s">
        <v>307</v>
      </c>
      <c r="Y90" s="15"/>
      <c r="Z90" s="15"/>
      <c r="AA90" s="135" t="str">
        <f>_xlfn.IFS(AND(COUNTIF(Y90,"SCB*")=1, 'PCH176'!L68&gt;=2), "See the Notice *1", TRUE, "")</f>
        <v/>
      </c>
      <c r="AB90" s="14"/>
      <c r="AC90" s="11" t="s">
        <v>272</v>
      </c>
      <c r="AD90" s="11" t="s">
        <v>351</v>
      </c>
      <c r="AE90" s="14"/>
      <c r="AF90" s="14"/>
    </row>
    <row r="91" spans="2:32" x14ac:dyDescent="0.2">
      <c r="B91" s="16" t="s">
        <v>144</v>
      </c>
      <c r="C91" s="11">
        <v>82</v>
      </c>
      <c r="D91" s="16" t="s">
        <v>144</v>
      </c>
      <c r="E91" s="16" t="s">
        <v>984</v>
      </c>
      <c r="F91" s="16" t="s">
        <v>985</v>
      </c>
      <c r="G91" s="16" t="s">
        <v>986</v>
      </c>
      <c r="H91" s="16" t="s">
        <v>987</v>
      </c>
      <c r="I91" s="16" t="s">
        <v>145</v>
      </c>
      <c r="J91" s="16" t="s">
        <v>988</v>
      </c>
      <c r="K91" s="16" t="s">
        <v>989</v>
      </c>
      <c r="L91" s="16" t="s">
        <v>990</v>
      </c>
      <c r="M91" s="16" t="s">
        <v>146</v>
      </c>
      <c r="N91" s="12" t="s">
        <v>273</v>
      </c>
      <c r="O91" s="16" t="s">
        <v>991</v>
      </c>
      <c r="P91" s="12" t="s">
        <v>273</v>
      </c>
      <c r="Q91" s="12" t="s">
        <v>273</v>
      </c>
      <c r="R91" s="16" t="s">
        <v>992</v>
      </c>
      <c r="S91" s="12" t="s">
        <v>273</v>
      </c>
      <c r="T91" s="12" t="s">
        <v>273</v>
      </c>
      <c r="U91" s="12" t="s">
        <v>273</v>
      </c>
      <c r="V91" s="12" t="s">
        <v>273</v>
      </c>
      <c r="W91" s="12" t="s">
        <v>273</v>
      </c>
      <c r="X91" s="11" t="s">
        <v>308</v>
      </c>
      <c r="Y91" s="15"/>
      <c r="Z91" s="15"/>
      <c r="AA91" s="135" t="str">
        <f>_xlfn.IFS(AND(COUNTIF(Y91,"SCB*")=1, 'PCH176'!L68&gt;=2), "See the Notice *1", TRUE, "")</f>
        <v/>
      </c>
      <c r="AB91" s="14"/>
      <c r="AC91" s="11" t="s">
        <v>272</v>
      </c>
      <c r="AD91" s="11" t="s">
        <v>351</v>
      </c>
      <c r="AE91" s="14"/>
      <c r="AF91" s="14"/>
    </row>
    <row r="92" spans="2:32" x14ac:dyDescent="0.2">
      <c r="B92" s="11" t="s">
        <v>147</v>
      </c>
      <c r="C92" s="11">
        <v>83</v>
      </c>
      <c r="D92" s="11" t="s">
        <v>147</v>
      </c>
      <c r="E92" s="11" t="s">
        <v>998</v>
      </c>
      <c r="F92" s="11" t="s">
        <v>999</v>
      </c>
      <c r="G92" s="11" t="s">
        <v>1000</v>
      </c>
      <c r="H92" s="11" t="s">
        <v>1001</v>
      </c>
      <c r="I92" s="11" t="s">
        <v>148</v>
      </c>
      <c r="J92" s="11" t="s">
        <v>1002</v>
      </c>
      <c r="K92" s="12" t="s">
        <v>273</v>
      </c>
      <c r="L92" s="11" t="s">
        <v>1003</v>
      </c>
      <c r="M92" s="11" t="s">
        <v>149</v>
      </c>
      <c r="N92" s="12" t="s">
        <v>273</v>
      </c>
      <c r="O92" s="11" t="s">
        <v>1004</v>
      </c>
      <c r="P92" s="12" t="s">
        <v>273</v>
      </c>
      <c r="Q92" s="12" t="s">
        <v>273</v>
      </c>
      <c r="R92" s="11" t="s">
        <v>1005</v>
      </c>
      <c r="S92" s="12" t="s">
        <v>273</v>
      </c>
      <c r="T92" s="12" t="s">
        <v>273</v>
      </c>
      <c r="U92" s="12" t="s">
        <v>273</v>
      </c>
      <c r="V92" s="12" t="s">
        <v>273</v>
      </c>
      <c r="W92" s="12" t="s">
        <v>273</v>
      </c>
      <c r="X92" s="11" t="s">
        <v>309</v>
      </c>
      <c r="Y92" s="15"/>
      <c r="Z92" s="15"/>
      <c r="AA92" s="135" t="str">
        <f>_xlfn.IFS(AND(COUNTIF(Y92,"SCB*")=1, 'PCH176'!L68&gt;=2), "See the Notice *1", TRUE, "")</f>
        <v/>
      </c>
      <c r="AB92" s="14"/>
      <c r="AC92" s="11" t="s">
        <v>272</v>
      </c>
      <c r="AD92" s="11" t="s">
        <v>351</v>
      </c>
      <c r="AE92" s="14"/>
      <c r="AF92" s="14"/>
    </row>
    <row r="93" spans="2:32" x14ac:dyDescent="0.2">
      <c r="B93" s="11" t="s">
        <v>150</v>
      </c>
      <c r="C93" s="16">
        <v>84</v>
      </c>
      <c r="D93" s="11" t="s">
        <v>150</v>
      </c>
      <c r="E93" s="11" t="s">
        <v>1006</v>
      </c>
      <c r="F93" s="11" t="s">
        <v>1007</v>
      </c>
      <c r="G93" s="11" t="s">
        <v>1008</v>
      </c>
      <c r="H93" s="11" t="s">
        <v>1009</v>
      </c>
      <c r="I93" s="11" t="s">
        <v>151</v>
      </c>
      <c r="J93" s="12" t="s">
        <v>273</v>
      </c>
      <c r="K93" s="12" t="s">
        <v>273</v>
      </c>
      <c r="L93" s="11" t="s">
        <v>1010</v>
      </c>
      <c r="M93" s="12" t="s">
        <v>273</v>
      </c>
      <c r="N93" s="11" t="s">
        <v>191</v>
      </c>
      <c r="O93" s="11" t="s">
        <v>1011</v>
      </c>
      <c r="P93" s="12" t="s">
        <v>273</v>
      </c>
      <c r="Q93" s="12" t="s">
        <v>273</v>
      </c>
      <c r="R93" s="11" t="s">
        <v>1012</v>
      </c>
      <c r="S93" s="12" t="s">
        <v>273</v>
      </c>
      <c r="T93" s="12" t="s">
        <v>273</v>
      </c>
      <c r="U93" s="12" t="s">
        <v>273</v>
      </c>
      <c r="V93" s="12" t="s">
        <v>273</v>
      </c>
      <c r="W93" s="12" t="s">
        <v>273</v>
      </c>
      <c r="X93" s="16" t="s">
        <v>310</v>
      </c>
      <c r="Y93" s="15"/>
      <c r="Z93" s="15"/>
      <c r="AA93" s="135" t="str">
        <f>_xlfn.IFS(AND(COUNTIF(Y93,"SCB*")=1, 'PCH176'!L68&gt;=2), "See the Notice *1", TRUE, "")</f>
        <v/>
      </c>
      <c r="AB93" s="14"/>
      <c r="AC93" s="11" t="s">
        <v>272</v>
      </c>
      <c r="AD93" s="11" t="s">
        <v>351</v>
      </c>
      <c r="AE93" s="14"/>
      <c r="AF93" s="14"/>
    </row>
    <row r="94" spans="2:32" x14ac:dyDescent="0.2">
      <c r="B94" s="11" t="s">
        <v>152</v>
      </c>
      <c r="C94" s="11">
        <v>85</v>
      </c>
      <c r="D94" s="11" t="s">
        <v>152</v>
      </c>
      <c r="E94" s="11" t="s">
        <v>1013</v>
      </c>
      <c r="F94" s="11" t="s">
        <v>1014</v>
      </c>
      <c r="G94" s="11" t="s">
        <v>1015</v>
      </c>
      <c r="H94" s="11" t="s">
        <v>1016</v>
      </c>
      <c r="I94" s="11" t="s">
        <v>153</v>
      </c>
      <c r="J94" s="12" t="s">
        <v>273</v>
      </c>
      <c r="K94" s="12" t="s">
        <v>273</v>
      </c>
      <c r="L94" s="12" t="s">
        <v>273</v>
      </c>
      <c r="M94" s="12" t="s">
        <v>273</v>
      </c>
      <c r="N94" s="11" t="s">
        <v>193</v>
      </c>
      <c r="O94" s="12" t="s">
        <v>273</v>
      </c>
      <c r="P94" s="12" t="s">
        <v>273</v>
      </c>
      <c r="Q94" s="12" t="s">
        <v>273</v>
      </c>
      <c r="R94" s="12" t="s">
        <v>273</v>
      </c>
      <c r="S94" s="12" t="s">
        <v>273</v>
      </c>
      <c r="T94" s="12" t="s">
        <v>273</v>
      </c>
      <c r="U94" s="12" t="s">
        <v>273</v>
      </c>
      <c r="V94" s="12" t="s">
        <v>273</v>
      </c>
      <c r="W94" s="12" t="s">
        <v>273</v>
      </c>
      <c r="X94" s="11" t="s">
        <v>311</v>
      </c>
      <c r="Y94" s="15"/>
      <c r="Z94" s="15"/>
      <c r="AA94" s="135"/>
      <c r="AB94" s="14"/>
      <c r="AC94" s="11" t="s">
        <v>272</v>
      </c>
      <c r="AD94" s="11" t="s">
        <v>351</v>
      </c>
      <c r="AE94" s="14"/>
      <c r="AF94" s="14"/>
    </row>
    <row r="95" spans="2:32" x14ac:dyDescent="0.2">
      <c r="B95" s="11" t="s">
        <v>154</v>
      </c>
      <c r="C95" s="11">
        <v>86</v>
      </c>
      <c r="D95" s="11" t="s">
        <v>154</v>
      </c>
      <c r="E95" s="11" t="s">
        <v>1017</v>
      </c>
      <c r="F95" s="11" t="s">
        <v>1018</v>
      </c>
      <c r="G95" s="11" t="s">
        <v>1019</v>
      </c>
      <c r="H95" s="11" t="s">
        <v>1020</v>
      </c>
      <c r="I95" s="12" t="s">
        <v>273</v>
      </c>
      <c r="J95" s="12" t="s">
        <v>273</v>
      </c>
      <c r="K95" s="12" t="s">
        <v>273</v>
      </c>
      <c r="L95" s="12" t="s">
        <v>273</v>
      </c>
      <c r="M95" s="12" t="s">
        <v>273</v>
      </c>
      <c r="N95" s="12" t="s">
        <v>273</v>
      </c>
      <c r="O95" s="12" t="s">
        <v>273</v>
      </c>
      <c r="P95" s="12" t="s">
        <v>273</v>
      </c>
      <c r="Q95" s="12" t="s">
        <v>273</v>
      </c>
      <c r="R95" s="12" t="s">
        <v>273</v>
      </c>
      <c r="S95" s="12" t="s">
        <v>273</v>
      </c>
      <c r="T95" s="12" t="s">
        <v>273</v>
      </c>
      <c r="U95" s="12" t="s">
        <v>273</v>
      </c>
      <c r="V95" s="12" t="s">
        <v>273</v>
      </c>
      <c r="W95" s="12" t="s">
        <v>273</v>
      </c>
      <c r="X95" s="11" t="s">
        <v>312</v>
      </c>
      <c r="Y95" s="15"/>
      <c r="Z95" s="15"/>
      <c r="AA95" s="135"/>
      <c r="AB95" s="14"/>
      <c r="AC95" s="11" t="s">
        <v>272</v>
      </c>
      <c r="AD95" s="11" t="s">
        <v>351</v>
      </c>
      <c r="AE95" s="14"/>
      <c r="AF95" s="14"/>
    </row>
    <row r="96" spans="2:32" x14ac:dyDescent="0.2">
      <c r="B96" s="11" t="s">
        <v>155</v>
      </c>
      <c r="C96" s="11">
        <v>87</v>
      </c>
      <c r="D96" s="11" t="s">
        <v>155</v>
      </c>
      <c r="E96" s="11" t="s">
        <v>1021</v>
      </c>
      <c r="F96" s="11" t="s">
        <v>1022</v>
      </c>
      <c r="G96" s="11" t="s">
        <v>1023</v>
      </c>
      <c r="H96" s="11" t="s">
        <v>1024</v>
      </c>
      <c r="I96" s="12" t="s">
        <v>273</v>
      </c>
      <c r="J96" s="12" t="s">
        <v>273</v>
      </c>
      <c r="K96" s="12" t="s">
        <v>273</v>
      </c>
      <c r="L96" s="12" t="s">
        <v>273</v>
      </c>
      <c r="M96" s="12" t="s">
        <v>273</v>
      </c>
      <c r="N96" s="12" t="s">
        <v>273</v>
      </c>
      <c r="O96" s="12" t="s">
        <v>273</v>
      </c>
      <c r="P96" s="12" t="s">
        <v>273</v>
      </c>
      <c r="Q96" s="12" t="s">
        <v>273</v>
      </c>
      <c r="R96" s="12" t="s">
        <v>273</v>
      </c>
      <c r="S96" s="12" t="s">
        <v>273</v>
      </c>
      <c r="T96" s="12" t="s">
        <v>273</v>
      </c>
      <c r="U96" s="12" t="s">
        <v>273</v>
      </c>
      <c r="V96" s="12" t="s">
        <v>273</v>
      </c>
      <c r="W96" s="12" t="s">
        <v>273</v>
      </c>
      <c r="X96" s="11" t="s">
        <v>313</v>
      </c>
      <c r="Y96" s="15"/>
      <c r="Z96" s="15"/>
      <c r="AA96" s="135"/>
      <c r="AB96" s="14"/>
      <c r="AC96" s="11" t="s">
        <v>272</v>
      </c>
      <c r="AD96" s="11" t="s">
        <v>351</v>
      </c>
      <c r="AE96" s="14"/>
      <c r="AF96" s="14"/>
    </row>
    <row r="97" spans="2:32" x14ac:dyDescent="0.2">
      <c r="B97" s="35" t="s">
        <v>351</v>
      </c>
      <c r="C97" s="27">
        <v>88</v>
      </c>
      <c r="D97" s="13" t="s">
        <v>273</v>
      </c>
      <c r="E97" s="13" t="s">
        <v>273</v>
      </c>
      <c r="F97" s="13" t="s">
        <v>273</v>
      </c>
      <c r="G97" s="13" t="s">
        <v>273</v>
      </c>
      <c r="H97" s="13" t="s">
        <v>273</v>
      </c>
      <c r="I97" s="13" t="s">
        <v>273</v>
      </c>
      <c r="J97" s="13" t="s">
        <v>273</v>
      </c>
      <c r="K97" s="13" t="s">
        <v>273</v>
      </c>
      <c r="L97" s="13" t="s">
        <v>273</v>
      </c>
      <c r="M97" s="13" t="s">
        <v>273</v>
      </c>
      <c r="N97" s="13" t="s">
        <v>273</v>
      </c>
      <c r="O97" s="13" t="s">
        <v>273</v>
      </c>
      <c r="P97" s="13" t="s">
        <v>273</v>
      </c>
      <c r="Q97" s="13" t="s">
        <v>273</v>
      </c>
      <c r="R97" s="13" t="s">
        <v>273</v>
      </c>
      <c r="S97" s="13" t="s">
        <v>273</v>
      </c>
      <c r="T97" s="13" t="s">
        <v>273</v>
      </c>
      <c r="U97" s="13" t="s">
        <v>273</v>
      </c>
      <c r="V97" s="13" t="s">
        <v>273</v>
      </c>
      <c r="W97" s="13" t="s">
        <v>273</v>
      </c>
      <c r="X97" s="13" t="s">
        <v>273</v>
      </c>
      <c r="Y97" s="21" t="s">
        <v>351</v>
      </c>
      <c r="Z97" s="13" t="s">
        <v>273</v>
      </c>
      <c r="AA97" s="135"/>
      <c r="AB97" s="14" t="s">
        <v>502</v>
      </c>
      <c r="AC97" s="15" t="s">
        <v>510</v>
      </c>
      <c r="AD97" s="15" t="s">
        <v>510</v>
      </c>
      <c r="AE97" s="14"/>
      <c r="AF97" s="14"/>
    </row>
    <row r="98" spans="2:32" x14ac:dyDescent="0.2">
      <c r="B98" s="34" t="s">
        <v>253</v>
      </c>
      <c r="C98" s="27">
        <v>89</v>
      </c>
      <c r="D98" s="13" t="s">
        <v>273</v>
      </c>
      <c r="E98" s="13" t="s">
        <v>273</v>
      </c>
      <c r="F98" s="13" t="s">
        <v>273</v>
      </c>
      <c r="G98" s="13" t="s">
        <v>273</v>
      </c>
      <c r="H98" s="13" t="s">
        <v>273</v>
      </c>
      <c r="I98" s="13" t="s">
        <v>273</v>
      </c>
      <c r="J98" s="13" t="s">
        <v>273</v>
      </c>
      <c r="K98" s="13" t="s">
        <v>273</v>
      </c>
      <c r="L98" s="13" t="s">
        <v>273</v>
      </c>
      <c r="M98" s="13" t="s">
        <v>273</v>
      </c>
      <c r="N98" s="13" t="s">
        <v>273</v>
      </c>
      <c r="O98" s="13" t="s">
        <v>273</v>
      </c>
      <c r="P98" s="13" t="s">
        <v>273</v>
      </c>
      <c r="Q98" s="13" t="s">
        <v>273</v>
      </c>
      <c r="R98" s="13" t="s">
        <v>273</v>
      </c>
      <c r="S98" s="13" t="s">
        <v>273</v>
      </c>
      <c r="T98" s="13" t="s">
        <v>273</v>
      </c>
      <c r="U98" s="13" t="s">
        <v>273</v>
      </c>
      <c r="V98" s="13" t="s">
        <v>273</v>
      </c>
      <c r="W98" s="13" t="s">
        <v>273</v>
      </c>
      <c r="X98" s="13" t="s">
        <v>273</v>
      </c>
      <c r="Y98" s="19" t="s">
        <v>253</v>
      </c>
      <c r="Z98" s="13" t="s">
        <v>273</v>
      </c>
      <c r="AA98" s="135"/>
      <c r="AB98" s="14" t="s">
        <v>501</v>
      </c>
      <c r="AC98" s="15" t="s">
        <v>510</v>
      </c>
      <c r="AD98" s="15" t="s">
        <v>510</v>
      </c>
      <c r="AE98" s="14"/>
      <c r="AF98" s="14"/>
    </row>
    <row r="99" spans="2:32" x14ac:dyDescent="0.2">
      <c r="B99" s="11" t="s">
        <v>156</v>
      </c>
      <c r="C99" s="11">
        <v>90</v>
      </c>
      <c r="D99" s="11" t="s">
        <v>156</v>
      </c>
      <c r="E99" s="11" t="s">
        <v>1025</v>
      </c>
      <c r="F99" s="11" t="s">
        <v>1026</v>
      </c>
      <c r="G99" s="11" t="s">
        <v>1027</v>
      </c>
      <c r="H99" s="11" t="s">
        <v>1028</v>
      </c>
      <c r="I99" s="11" t="s">
        <v>157</v>
      </c>
      <c r="J99" s="11" t="s">
        <v>1029</v>
      </c>
      <c r="K99" s="12" t="s">
        <v>273</v>
      </c>
      <c r="L99" s="12" t="s">
        <v>273</v>
      </c>
      <c r="M99" s="11" t="s">
        <v>88</v>
      </c>
      <c r="N99" s="11" t="s">
        <v>1030</v>
      </c>
      <c r="O99" s="11" t="s">
        <v>1031</v>
      </c>
      <c r="P99" s="12" t="s">
        <v>273</v>
      </c>
      <c r="Q99" s="12" t="s">
        <v>273</v>
      </c>
      <c r="R99" s="11" t="s">
        <v>1032</v>
      </c>
      <c r="S99" s="12" t="s">
        <v>273</v>
      </c>
      <c r="T99" s="12" t="s">
        <v>273</v>
      </c>
      <c r="U99" s="12" t="s">
        <v>273</v>
      </c>
      <c r="V99" s="12" t="s">
        <v>273</v>
      </c>
      <c r="W99" s="12" t="s">
        <v>273</v>
      </c>
      <c r="X99" s="11" t="s">
        <v>314</v>
      </c>
      <c r="Y99" s="15"/>
      <c r="Z99" s="15"/>
      <c r="AA99" s="135" t="str">
        <f>_xlfn.IFS(AND(COUNTIF(Y99,"SCB*")=1, 'PCH176'!G68&gt;=2), "See the Notice *1", TRUE, "")</f>
        <v/>
      </c>
      <c r="AB99" s="14"/>
      <c r="AC99" s="11" t="s">
        <v>272</v>
      </c>
      <c r="AD99" s="11" t="s">
        <v>351</v>
      </c>
      <c r="AE99" s="14"/>
      <c r="AF99" s="14"/>
    </row>
    <row r="100" spans="2:32" x14ac:dyDescent="0.2">
      <c r="B100" s="11" t="s">
        <v>158</v>
      </c>
      <c r="C100" s="11">
        <v>91</v>
      </c>
      <c r="D100" s="11" t="s">
        <v>158</v>
      </c>
      <c r="E100" s="11" t="s">
        <v>1033</v>
      </c>
      <c r="F100" s="11" t="s">
        <v>1034</v>
      </c>
      <c r="G100" s="11" t="s">
        <v>1035</v>
      </c>
      <c r="H100" s="11" t="s">
        <v>1036</v>
      </c>
      <c r="I100" s="11" t="s">
        <v>159</v>
      </c>
      <c r="J100" s="11" t="s">
        <v>1037</v>
      </c>
      <c r="K100" s="11" t="s">
        <v>1038</v>
      </c>
      <c r="L100" s="12" t="s">
        <v>273</v>
      </c>
      <c r="M100" s="11" t="s">
        <v>90</v>
      </c>
      <c r="N100" s="11" t="s">
        <v>1039</v>
      </c>
      <c r="O100" s="11" t="s">
        <v>1040</v>
      </c>
      <c r="P100" s="12" t="s">
        <v>273</v>
      </c>
      <c r="Q100" s="12" t="s">
        <v>273</v>
      </c>
      <c r="R100" s="11" t="s">
        <v>1041</v>
      </c>
      <c r="S100" s="12" t="s">
        <v>273</v>
      </c>
      <c r="T100" s="12" t="s">
        <v>273</v>
      </c>
      <c r="U100" s="12" t="s">
        <v>273</v>
      </c>
      <c r="V100" s="12" t="s">
        <v>273</v>
      </c>
      <c r="W100" s="12" t="s">
        <v>273</v>
      </c>
      <c r="X100" s="11" t="s">
        <v>315</v>
      </c>
      <c r="Y100" s="15"/>
      <c r="Z100" s="15"/>
      <c r="AA100" s="135" t="str">
        <f>_xlfn.IFS(AND(COUNTIF(Y100,"SCB*")=1, 'PCH176'!G68&gt;=2), "See the Notice *1", TRUE, "")</f>
        <v/>
      </c>
      <c r="AB100" s="14"/>
      <c r="AC100" s="11" t="s">
        <v>272</v>
      </c>
      <c r="AD100" s="11" t="s">
        <v>351</v>
      </c>
      <c r="AE100" s="14"/>
      <c r="AF100" s="14"/>
    </row>
    <row r="101" spans="2:32" x14ac:dyDescent="0.2">
      <c r="B101" s="11" t="s">
        <v>160</v>
      </c>
      <c r="C101" s="11">
        <v>92</v>
      </c>
      <c r="D101" s="11" t="s">
        <v>160</v>
      </c>
      <c r="E101" s="11" t="s">
        <v>1042</v>
      </c>
      <c r="F101" s="11" t="s">
        <v>1043</v>
      </c>
      <c r="G101" s="11" t="s">
        <v>1044</v>
      </c>
      <c r="H101" s="11" t="s">
        <v>1045</v>
      </c>
      <c r="I101" s="11" t="s">
        <v>161</v>
      </c>
      <c r="J101" s="11" t="s">
        <v>1046</v>
      </c>
      <c r="K101" s="11" t="s">
        <v>1047</v>
      </c>
      <c r="L101" s="12" t="s">
        <v>273</v>
      </c>
      <c r="M101" s="11" t="s">
        <v>92</v>
      </c>
      <c r="N101" s="11" t="s">
        <v>1048</v>
      </c>
      <c r="O101" s="11" t="s">
        <v>1049</v>
      </c>
      <c r="P101" s="12" t="s">
        <v>273</v>
      </c>
      <c r="Q101" s="12" t="s">
        <v>273</v>
      </c>
      <c r="R101" s="11" t="s">
        <v>1050</v>
      </c>
      <c r="S101" s="12" t="s">
        <v>273</v>
      </c>
      <c r="T101" s="12" t="s">
        <v>273</v>
      </c>
      <c r="U101" s="12" t="s">
        <v>273</v>
      </c>
      <c r="V101" s="12" t="s">
        <v>273</v>
      </c>
      <c r="W101" s="12" t="s">
        <v>273</v>
      </c>
      <c r="X101" s="11" t="s">
        <v>316</v>
      </c>
      <c r="Y101" s="15"/>
      <c r="Z101" s="15"/>
      <c r="AA101" s="135" t="str">
        <f>_xlfn.IFS(AND(COUNTIF(Y101,"SCB*")=1, 'PCH176'!G68&gt;=2), "See the Notice *1", TRUE, "")</f>
        <v/>
      </c>
      <c r="AB101" s="14"/>
      <c r="AC101" s="11" t="s">
        <v>272</v>
      </c>
      <c r="AD101" s="11" t="s">
        <v>351</v>
      </c>
      <c r="AE101" s="14"/>
      <c r="AF101" s="14"/>
    </row>
    <row r="102" spans="2:32" x14ac:dyDescent="0.2">
      <c r="B102" s="11" t="s">
        <v>162</v>
      </c>
      <c r="C102" s="11">
        <v>93</v>
      </c>
      <c r="D102" s="11" t="s">
        <v>162</v>
      </c>
      <c r="E102" s="11" t="s">
        <v>1051</v>
      </c>
      <c r="F102" s="11" t="s">
        <v>1052</v>
      </c>
      <c r="G102" s="11" t="s">
        <v>1053</v>
      </c>
      <c r="H102" s="11" t="s">
        <v>1054</v>
      </c>
      <c r="I102" s="11" t="s">
        <v>163</v>
      </c>
      <c r="J102" s="11" t="s">
        <v>1055</v>
      </c>
      <c r="K102" s="12" t="s">
        <v>273</v>
      </c>
      <c r="L102" s="12" t="s">
        <v>273</v>
      </c>
      <c r="M102" s="11" t="s">
        <v>82</v>
      </c>
      <c r="N102" s="11" t="s">
        <v>1056</v>
      </c>
      <c r="O102" s="12" t="s">
        <v>273</v>
      </c>
      <c r="P102" s="12" t="s">
        <v>273</v>
      </c>
      <c r="Q102" s="12" t="s">
        <v>273</v>
      </c>
      <c r="R102" s="11" t="s">
        <v>1057</v>
      </c>
      <c r="S102" s="12" t="s">
        <v>273</v>
      </c>
      <c r="T102" s="12" t="s">
        <v>273</v>
      </c>
      <c r="U102" s="12" t="s">
        <v>273</v>
      </c>
      <c r="V102" s="12" t="s">
        <v>273</v>
      </c>
      <c r="W102" s="12" t="s">
        <v>273</v>
      </c>
      <c r="X102" s="11" t="s">
        <v>317</v>
      </c>
      <c r="Y102" s="15"/>
      <c r="Z102" s="15"/>
      <c r="AA102" s="135" t="str">
        <f>_xlfn.IFS(AND(COUNTIF(Y102,"SCB*")=1, 'PCH176'!G68&gt;=2), "See the Notice *1", TRUE, "")</f>
        <v/>
      </c>
      <c r="AB102" s="14"/>
      <c r="AC102" s="11" t="s">
        <v>272</v>
      </c>
      <c r="AD102" s="11" t="s">
        <v>351</v>
      </c>
      <c r="AE102" s="14"/>
      <c r="AF102" s="14"/>
    </row>
    <row r="103" spans="2:32" x14ac:dyDescent="0.2">
      <c r="B103" s="11" t="s">
        <v>164</v>
      </c>
      <c r="C103" s="11">
        <v>94</v>
      </c>
      <c r="D103" s="11" t="s">
        <v>164</v>
      </c>
      <c r="E103" s="11" t="s">
        <v>1173</v>
      </c>
      <c r="F103" s="11" t="s">
        <v>1170</v>
      </c>
      <c r="G103" s="11" t="s">
        <v>1059</v>
      </c>
      <c r="H103" s="11" t="s">
        <v>1060</v>
      </c>
      <c r="I103" s="11" t="s">
        <v>551</v>
      </c>
      <c r="J103" s="12" t="s">
        <v>273</v>
      </c>
      <c r="K103" s="12" t="s">
        <v>273</v>
      </c>
      <c r="L103" s="12" t="s">
        <v>273</v>
      </c>
      <c r="M103" s="11" t="s">
        <v>84</v>
      </c>
      <c r="N103" s="11" t="s">
        <v>1061</v>
      </c>
      <c r="O103" s="11" t="s">
        <v>1169</v>
      </c>
      <c r="P103" s="12" t="s">
        <v>273</v>
      </c>
      <c r="Q103" s="12" t="s">
        <v>273</v>
      </c>
      <c r="R103" s="11" t="s">
        <v>1062</v>
      </c>
      <c r="S103" s="12" t="s">
        <v>273</v>
      </c>
      <c r="T103" s="12" t="s">
        <v>273</v>
      </c>
      <c r="U103" s="12" t="s">
        <v>273</v>
      </c>
      <c r="V103" s="12" t="s">
        <v>273</v>
      </c>
      <c r="W103" s="12" t="s">
        <v>273</v>
      </c>
      <c r="X103" s="11" t="s">
        <v>318</v>
      </c>
      <c r="Y103" s="15"/>
      <c r="Z103" s="15"/>
      <c r="AA103" s="135" t="str">
        <f>_xlfn.IFS(AND(COUNTIF(Y103,"SCB*")=1, 'PCH176'!G68&gt;=2), "See the Notice *1", TRUE, "")</f>
        <v/>
      </c>
      <c r="AB103" s="14"/>
      <c r="AC103" s="11" t="s">
        <v>272</v>
      </c>
      <c r="AD103" s="11" t="s">
        <v>351</v>
      </c>
      <c r="AE103" s="14"/>
      <c r="AF103" s="14"/>
    </row>
    <row r="104" spans="2:32" x14ac:dyDescent="0.2">
      <c r="B104" s="11" t="s">
        <v>165</v>
      </c>
      <c r="C104" s="11">
        <v>95</v>
      </c>
      <c r="D104" s="11" t="s">
        <v>165</v>
      </c>
      <c r="E104" s="11" t="s">
        <v>1063</v>
      </c>
      <c r="F104" s="11" t="s">
        <v>2389</v>
      </c>
      <c r="G104" s="11" t="s">
        <v>1064</v>
      </c>
      <c r="H104" s="11" t="s">
        <v>2661</v>
      </c>
      <c r="I104" s="11" t="s">
        <v>619</v>
      </c>
      <c r="J104" s="12" t="s">
        <v>273</v>
      </c>
      <c r="K104" s="12" t="s">
        <v>273</v>
      </c>
      <c r="L104" s="12" t="s">
        <v>273</v>
      </c>
      <c r="M104" s="12" t="s">
        <v>273</v>
      </c>
      <c r="N104" s="11" t="s">
        <v>1065</v>
      </c>
      <c r="O104" s="11" t="s">
        <v>580</v>
      </c>
      <c r="P104" s="12" t="s">
        <v>273</v>
      </c>
      <c r="Q104" s="12" t="s">
        <v>273</v>
      </c>
      <c r="R104" s="11" t="s">
        <v>1066</v>
      </c>
      <c r="S104" s="12" t="s">
        <v>273</v>
      </c>
      <c r="T104" s="12" t="s">
        <v>273</v>
      </c>
      <c r="U104" s="12" t="s">
        <v>273</v>
      </c>
      <c r="V104" s="12" t="s">
        <v>273</v>
      </c>
      <c r="W104" s="12" t="s">
        <v>273</v>
      </c>
      <c r="X104" s="11" t="s">
        <v>319</v>
      </c>
      <c r="Y104" s="15"/>
      <c r="Z104" s="15"/>
      <c r="AA104" s="135" t="str">
        <f>_xlfn.IFS(AND(COUNTIF(Y104,"SCB*")=1, 'PCH176'!G68&gt;=2), "See the Notice *1", TRUE, "")</f>
        <v/>
      </c>
      <c r="AB104" s="14"/>
      <c r="AC104" s="11" t="s">
        <v>272</v>
      </c>
      <c r="AD104" s="11" t="s">
        <v>351</v>
      </c>
      <c r="AE104" s="14"/>
      <c r="AF104" s="14"/>
    </row>
    <row r="105" spans="2:32" x14ac:dyDescent="0.2">
      <c r="B105" s="11" t="s">
        <v>166</v>
      </c>
      <c r="C105" s="11">
        <v>96</v>
      </c>
      <c r="D105" s="11" t="s">
        <v>166</v>
      </c>
      <c r="E105" s="11" t="s">
        <v>1172</v>
      </c>
      <c r="F105" s="11" t="s">
        <v>1171</v>
      </c>
      <c r="G105" s="11" t="s">
        <v>1068</v>
      </c>
      <c r="H105" s="11" t="s">
        <v>1069</v>
      </c>
      <c r="I105" s="11" t="s">
        <v>557</v>
      </c>
      <c r="J105" s="12" t="s">
        <v>273</v>
      </c>
      <c r="K105" s="12" t="s">
        <v>273</v>
      </c>
      <c r="L105" s="12" t="s">
        <v>273</v>
      </c>
      <c r="M105" s="12" t="s">
        <v>273</v>
      </c>
      <c r="N105" s="11" t="s">
        <v>1070</v>
      </c>
      <c r="O105" s="11" t="s">
        <v>585</v>
      </c>
      <c r="P105" s="12" t="s">
        <v>273</v>
      </c>
      <c r="Q105" s="12" t="s">
        <v>273</v>
      </c>
      <c r="R105" s="11" t="s">
        <v>1071</v>
      </c>
      <c r="S105" s="11" t="s">
        <v>167</v>
      </c>
      <c r="T105" s="12" t="s">
        <v>273</v>
      </c>
      <c r="U105" s="12" t="s">
        <v>273</v>
      </c>
      <c r="V105" s="12" t="s">
        <v>273</v>
      </c>
      <c r="W105" s="12" t="s">
        <v>273</v>
      </c>
      <c r="X105" s="11" t="s">
        <v>320</v>
      </c>
      <c r="Y105" s="15"/>
      <c r="Z105" s="15"/>
      <c r="AA105" s="135" t="str">
        <f>_xlfn.IFS(AND(COUNTIF(Y105,"SCB*")=1, 'PCH176'!G68&gt;=2), "See the Notice *1", TRUE, "")</f>
        <v/>
      </c>
      <c r="AB105" s="14"/>
      <c r="AC105" s="11" t="s">
        <v>272</v>
      </c>
      <c r="AD105" s="11" t="s">
        <v>351</v>
      </c>
      <c r="AE105" s="14"/>
      <c r="AF105" s="14"/>
    </row>
    <row r="106" spans="2:32" x14ac:dyDescent="0.2">
      <c r="B106" s="11" t="s">
        <v>168</v>
      </c>
      <c r="C106" s="11">
        <v>97</v>
      </c>
      <c r="D106" s="11" t="s">
        <v>168</v>
      </c>
      <c r="E106" s="11" t="s">
        <v>1072</v>
      </c>
      <c r="F106" s="11" t="s">
        <v>2388</v>
      </c>
      <c r="G106" s="11" t="s">
        <v>1073</v>
      </c>
      <c r="H106" s="11" t="s">
        <v>2662</v>
      </c>
      <c r="I106" s="11" t="s">
        <v>625</v>
      </c>
      <c r="J106" s="12" t="s">
        <v>273</v>
      </c>
      <c r="K106" s="12" t="s">
        <v>273</v>
      </c>
      <c r="L106" s="12" t="s">
        <v>273</v>
      </c>
      <c r="M106" s="12" t="s">
        <v>273</v>
      </c>
      <c r="N106" s="12" t="s">
        <v>273</v>
      </c>
      <c r="O106" s="12" t="s">
        <v>273</v>
      </c>
      <c r="P106" s="12" t="s">
        <v>273</v>
      </c>
      <c r="Q106" s="12" t="s">
        <v>273</v>
      </c>
      <c r="R106" s="11" t="s">
        <v>1074</v>
      </c>
      <c r="S106" s="11" t="s">
        <v>169</v>
      </c>
      <c r="T106" s="12" t="s">
        <v>273</v>
      </c>
      <c r="U106" s="12" t="s">
        <v>273</v>
      </c>
      <c r="V106" s="12" t="s">
        <v>273</v>
      </c>
      <c r="W106" s="12" t="s">
        <v>273</v>
      </c>
      <c r="X106" s="11" t="s">
        <v>321</v>
      </c>
      <c r="Y106" s="15"/>
      <c r="Z106" s="15"/>
      <c r="AA106" s="135"/>
      <c r="AB106" s="14"/>
      <c r="AC106" s="11" t="s">
        <v>272</v>
      </c>
      <c r="AD106" s="11" t="s">
        <v>351</v>
      </c>
      <c r="AE106" s="14"/>
      <c r="AF106" s="14"/>
    </row>
    <row r="107" spans="2:32" x14ac:dyDescent="0.2">
      <c r="B107" s="11" t="s">
        <v>170</v>
      </c>
      <c r="C107" s="11">
        <v>98</v>
      </c>
      <c r="D107" s="11" t="s">
        <v>170</v>
      </c>
      <c r="E107" s="11" t="s">
        <v>1075</v>
      </c>
      <c r="F107" s="11" t="s">
        <v>1076</v>
      </c>
      <c r="G107" s="11" t="s">
        <v>1077</v>
      </c>
      <c r="H107" s="11" t="s">
        <v>1078</v>
      </c>
      <c r="I107" s="11" t="s">
        <v>562</v>
      </c>
      <c r="J107" s="11" t="s">
        <v>1079</v>
      </c>
      <c r="K107" s="12" t="s">
        <v>273</v>
      </c>
      <c r="L107" s="11" t="s">
        <v>1080</v>
      </c>
      <c r="M107" s="12" t="s">
        <v>273</v>
      </c>
      <c r="N107" s="11" t="s">
        <v>171</v>
      </c>
      <c r="O107" s="11" t="s">
        <v>1081</v>
      </c>
      <c r="P107" s="12" t="s">
        <v>273</v>
      </c>
      <c r="Q107" s="12" t="s">
        <v>273</v>
      </c>
      <c r="R107" s="11" t="s">
        <v>1082</v>
      </c>
      <c r="S107" s="12" t="s">
        <v>273</v>
      </c>
      <c r="T107" s="12" t="s">
        <v>273</v>
      </c>
      <c r="U107" s="12" t="s">
        <v>273</v>
      </c>
      <c r="V107" s="12" t="s">
        <v>273</v>
      </c>
      <c r="W107" s="12" t="s">
        <v>273</v>
      </c>
      <c r="X107" s="11" t="s">
        <v>322</v>
      </c>
      <c r="Y107" s="15"/>
      <c r="Z107" s="15"/>
      <c r="AA107" s="135" t="str">
        <f>_xlfn.IFS(AND(COUNTIF(Y107,"SCB*")=1, 'PCH176'!F68&gt;=2), "See the Notice *1", TRUE, "")</f>
        <v/>
      </c>
      <c r="AB107" s="14"/>
      <c r="AC107" s="11" t="s">
        <v>272</v>
      </c>
      <c r="AD107" s="11" t="s">
        <v>351</v>
      </c>
      <c r="AE107" s="14"/>
      <c r="AF107" s="14"/>
    </row>
    <row r="108" spans="2:32" x14ac:dyDescent="0.2">
      <c r="B108" s="11" t="s">
        <v>172</v>
      </c>
      <c r="C108" s="11">
        <v>99</v>
      </c>
      <c r="D108" s="11" t="s">
        <v>172</v>
      </c>
      <c r="E108" s="11" t="s">
        <v>1083</v>
      </c>
      <c r="F108" s="11" t="s">
        <v>1084</v>
      </c>
      <c r="G108" s="11" t="s">
        <v>1085</v>
      </c>
      <c r="H108" s="11" t="s">
        <v>1086</v>
      </c>
      <c r="I108" s="11" t="s">
        <v>645</v>
      </c>
      <c r="J108" s="11" t="s">
        <v>1087</v>
      </c>
      <c r="K108" s="11" t="s">
        <v>1088</v>
      </c>
      <c r="L108" s="11" t="s">
        <v>1089</v>
      </c>
      <c r="M108" s="12" t="s">
        <v>273</v>
      </c>
      <c r="N108" s="11" t="s">
        <v>173</v>
      </c>
      <c r="O108" s="11" t="s">
        <v>1090</v>
      </c>
      <c r="P108" s="12" t="s">
        <v>273</v>
      </c>
      <c r="Q108" s="12" t="s">
        <v>273</v>
      </c>
      <c r="R108" s="11" t="s">
        <v>1091</v>
      </c>
      <c r="S108" s="12" t="s">
        <v>273</v>
      </c>
      <c r="T108" s="12" t="s">
        <v>273</v>
      </c>
      <c r="U108" s="12" t="s">
        <v>273</v>
      </c>
      <c r="V108" s="12" t="s">
        <v>273</v>
      </c>
      <c r="W108" s="12" t="s">
        <v>273</v>
      </c>
      <c r="X108" s="11" t="s">
        <v>323</v>
      </c>
      <c r="Y108" s="15"/>
      <c r="Z108" s="15"/>
      <c r="AA108" s="135" t="str">
        <f>_xlfn.IFS(AND(COUNTIF(Y108,"SCB*")=1, 'PCH176'!F68&gt;=2), "See the Notice *1", TRUE, "")</f>
        <v/>
      </c>
      <c r="AB108" s="14"/>
      <c r="AC108" s="11" t="s">
        <v>272</v>
      </c>
      <c r="AD108" s="11" t="s">
        <v>351</v>
      </c>
      <c r="AE108" s="14"/>
      <c r="AF108" s="14"/>
    </row>
    <row r="109" spans="2:32" x14ac:dyDescent="0.2">
      <c r="B109" s="11" t="s">
        <v>174</v>
      </c>
      <c r="C109" s="11">
        <v>100</v>
      </c>
      <c r="D109" s="11" t="s">
        <v>174</v>
      </c>
      <c r="E109" s="11" t="s">
        <v>1092</v>
      </c>
      <c r="F109" s="11" t="s">
        <v>1093</v>
      </c>
      <c r="G109" s="11" t="s">
        <v>1094</v>
      </c>
      <c r="H109" s="11" t="s">
        <v>1095</v>
      </c>
      <c r="I109" s="11" t="s">
        <v>567</v>
      </c>
      <c r="J109" s="11" t="s">
        <v>1096</v>
      </c>
      <c r="K109" s="11" t="s">
        <v>1097</v>
      </c>
      <c r="L109" s="11" t="s">
        <v>1098</v>
      </c>
      <c r="M109" s="11" t="s">
        <v>146</v>
      </c>
      <c r="N109" s="12" t="s">
        <v>273</v>
      </c>
      <c r="O109" s="11" t="s">
        <v>1099</v>
      </c>
      <c r="P109" s="12" t="s">
        <v>273</v>
      </c>
      <c r="Q109" s="12" t="s">
        <v>273</v>
      </c>
      <c r="R109" s="12" t="s">
        <v>273</v>
      </c>
      <c r="S109" s="12" t="s">
        <v>273</v>
      </c>
      <c r="T109" s="12" t="s">
        <v>273</v>
      </c>
      <c r="U109" s="12" t="s">
        <v>273</v>
      </c>
      <c r="V109" s="12" t="s">
        <v>273</v>
      </c>
      <c r="W109" s="12" t="s">
        <v>273</v>
      </c>
      <c r="X109" s="11" t="s">
        <v>324</v>
      </c>
      <c r="Y109" s="15"/>
      <c r="Z109" s="15"/>
      <c r="AA109" s="135" t="str">
        <f>_xlfn.IFS(AND(COUNTIF(Y109,"SCB*")=1, 'PCH176'!F68&gt;=2), "See the Notice *1", TRUE, "")</f>
        <v/>
      </c>
      <c r="AB109" s="14"/>
      <c r="AC109" s="11" t="s">
        <v>272</v>
      </c>
      <c r="AD109" s="11" t="s">
        <v>351</v>
      </c>
      <c r="AE109" s="14"/>
      <c r="AF109" s="14"/>
    </row>
    <row r="110" spans="2:32" x14ac:dyDescent="0.2">
      <c r="B110" s="11" t="s">
        <v>175</v>
      </c>
      <c r="C110" s="11">
        <v>101</v>
      </c>
      <c r="D110" s="11" t="s">
        <v>175</v>
      </c>
      <c r="E110" s="11" t="s">
        <v>1100</v>
      </c>
      <c r="F110" s="11" t="s">
        <v>1101</v>
      </c>
      <c r="G110" s="11" t="s">
        <v>1102</v>
      </c>
      <c r="H110" s="11" t="s">
        <v>1103</v>
      </c>
      <c r="I110" s="11" t="s">
        <v>653</v>
      </c>
      <c r="J110" s="11" t="s">
        <v>1104</v>
      </c>
      <c r="K110" s="12" t="s">
        <v>273</v>
      </c>
      <c r="L110" s="11" t="s">
        <v>1105</v>
      </c>
      <c r="M110" s="11" t="s">
        <v>149</v>
      </c>
      <c r="N110" s="12" t="s">
        <v>273</v>
      </c>
      <c r="O110" s="11" t="s">
        <v>1106</v>
      </c>
      <c r="P110" s="12" t="s">
        <v>273</v>
      </c>
      <c r="Q110" s="12" t="s">
        <v>273</v>
      </c>
      <c r="R110" s="12" t="s">
        <v>273</v>
      </c>
      <c r="S110" s="12" t="s">
        <v>273</v>
      </c>
      <c r="T110" s="12" t="s">
        <v>273</v>
      </c>
      <c r="U110" s="12" t="s">
        <v>273</v>
      </c>
      <c r="V110" s="12" t="s">
        <v>273</v>
      </c>
      <c r="W110" s="12" t="s">
        <v>273</v>
      </c>
      <c r="X110" s="11" t="s">
        <v>325</v>
      </c>
      <c r="Y110" s="15"/>
      <c r="Z110" s="15"/>
      <c r="AA110" s="135" t="str">
        <f>_xlfn.IFS(AND(COUNTIF(Y110,"SCB*")=1, 'PCH176'!F68&gt;=2), "See the Notice *1", TRUE, "")</f>
        <v/>
      </c>
      <c r="AB110" s="14"/>
      <c r="AC110" s="11" t="s">
        <v>272</v>
      </c>
      <c r="AD110" s="11" t="s">
        <v>351</v>
      </c>
      <c r="AE110" s="14"/>
      <c r="AF110" s="14"/>
    </row>
    <row r="111" spans="2:32" x14ac:dyDescent="0.2">
      <c r="B111" s="11" t="s">
        <v>176</v>
      </c>
      <c r="C111" s="11">
        <v>102</v>
      </c>
      <c r="D111" s="11" t="s">
        <v>176</v>
      </c>
      <c r="E111" s="11" t="s">
        <v>1107</v>
      </c>
      <c r="F111" s="11" t="s">
        <v>1108</v>
      </c>
      <c r="G111" s="11" t="s">
        <v>1109</v>
      </c>
      <c r="H111" s="11" t="s">
        <v>1110</v>
      </c>
      <c r="I111" s="11" t="s">
        <v>590</v>
      </c>
      <c r="J111" s="11" t="s">
        <v>1174</v>
      </c>
      <c r="K111" s="12" t="s">
        <v>273</v>
      </c>
      <c r="L111" s="12" t="s">
        <v>273</v>
      </c>
      <c r="M111" s="11" t="s">
        <v>142</v>
      </c>
      <c r="N111" s="12" t="s">
        <v>273</v>
      </c>
      <c r="O111" s="12" t="s">
        <v>273</v>
      </c>
      <c r="P111" s="12" t="s">
        <v>273</v>
      </c>
      <c r="Q111" s="12" t="s">
        <v>273</v>
      </c>
      <c r="R111" s="11" t="s">
        <v>1111</v>
      </c>
      <c r="S111" s="12" t="s">
        <v>273</v>
      </c>
      <c r="T111" s="12" t="s">
        <v>273</v>
      </c>
      <c r="U111" s="12" t="s">
        <v>273</v>
      </c>
      <c r="V111" s="12" t="s">
        <v>273</v>
      </c>
      <c r="W111" s="12" t="s">
        <v>273</v>
      </c>
      <c r="X111" s="11" t="s">
        <v>326</v>
      </c>
      <c r="Y111" s="15"/>
      <c r="Z111" s="15"/>
      <c r="AA111" s="135" t="str">
        <f>_xlfn.IFS(AND(COUNTIF(Y111,"SCB*")=1, 'PCH176'!F68&gt;=2), "See the Notice *1", TRUE, "")</f>
        <v/>
      </c>
      <c r="AB111" s="14"/>
      <c r="AC111" s="11" t="s">
        <v>272</v>
      </c>
      <c r="AD111" s="11" t="s">
        <v>351</v>
      </c>
      <c r="AE111" s="14"/>
      <c r="AF111" s="14"/>
    </row>
    <row r="112" spans="2:32" x14ac:dyDescent="0.2">
      <c r="B112" s="11" t="s">
        <v>177</v>
      </c>
      <c r="C112" s="11">
        <v>103</v>
      </c>
      <c r="D112" s="11" t="s">
        <v>177</v>
      </c>
      <c r="E112" s="11" t="s">
        <v>1112</v>
      </c>
      <c r="F112" s="11" t="s">
        <v>1113</v>
      </c>
      <c r="G112" s="11" t="s">
        <v>1114</v>
      </c>
      <c r="H112" s="11" t="s">
        <v>1115</v>
      </c>
      <c r="I112" s="11" t="s">
        <v>663</v>
      </c>
      <c r="J112" s="11" t="s">
        <v>1175</v>
      </c>
      <c r="K112" s="11" t="s">
        <v>1116</v>
      </c>
      <c r="L112" s="12" t="s">
        <v>273</v>
      </c>
      <c r="M112" s="12" t="s">
        <v>273</v>
      </c>
      <c r="N112" s="12" t="s">
        <v>273</v>
      </c>
      <c r="O112" s="12" t="s">
        <v>273</v>
      </c>
      <c r="P112" s="12" t="s">
        <v>273</v>
      </c>
      <c r="Q112" s="12" t="s">
        <v>273</v>
      </c>
      <c r="R112" s="11" t="s">
        <v>1117</v>
      </c>
      <c r="S112" s="12" t="s">
        <v>273</v>
      </c>
      <c r="T112" s="12" t="s">
        <v>273</v>
      </c>
      <c r="U112" s="12" t="s">
        <v>273</v>
      </c>
      <c r="V112" s="12" t="s">
        <v>273</v>
      </c>
      <c r="W112" s="12" t="s">
        <v>273</v>
      </c>
      <c r="X112" s="11" t="s">
        <v>327</v>
      </c>
      <c r="Y112" s="15"/>
      <c r="Z112" s="15"/>
      <c r="AA112" s="135" t="str">
        <f>_xlfn.IFS(AND(COUNTIF(Y112,"SCB*")=1, 'PCH176'!F68&gt;=2), "See the Notice *1", TRUE, "")</f>
        <v/>
      </c>
      <c r="AB112" s="14"/>
      <c r="AC112" s="11" t="s">
        <v>272</v>
      </c>
      <c r="AD112" s="11" t="s">
        <v>351</v>
      </c>
      <c r="AE112" s="14"/>
      <c r="AF112" s="14"/>
    </row>
    <row r="113" spans="2:32" x14ac:dyDescent="0.2">
      <c r="B113" s="11" t="s">
        <v>178</v>
      </c>
      <c r="C113" s="11">
        <v>104</v>
      </c>
      <c r="D113" s="11" t="s">
        <v>178</v>
      </c>
      <c r="E113" s="11" t="s">
        <v>1118</v>
      </c>
      <c r="F113" s="11" t="s">
        <v>1119</v>
      </c>
      <c r="G113" s="11" t="s">
        <v>1120</v>
      </c>
      <c r="H113" s="11" t="s">
        <v>1121</v>
      </c>
      <c r="I113" s="11" t="s">
        <v>596</v>
      </c>
      <c r="J113" s="12" t="s">
        <v>273</v>
      </c>
      <c r="K113" s="11" t="s">
        <v>1122</v>
      </c>
      <c r="L113" s="12" t="s">
        <v>273</v>
      </c>
      <c r="M113" s="12" t="s">
        <v>273</v>
      </c>
      <c r="N113" s="12" t="s">
        <v>273</v>
      </c>
      <c r="O113" s="12" t="s">
        <v>273</v>
      </c>
      <c r="P113" s="12" t="s">
        <v>273</v>
      </c>
      <c r="Q113" s="12" t="s">
        <v>273</v>
      </c>
      <c r="R113" s="12" t="s">
        <v>273</v>
      </c>
      <c r="S113" s="11" t="s">
        <v>179</v>
      </c>
      <c r="T113" s="12" t="s">
        <v>273</v>
      </c>
      <c r="U113" s="12" t="s">
        <v>273</v>
      </c>
      <c r="V113" s="12" t="s">
        <v>273</v>
      </c>
      <c r="W113" s="12" t="s">
        <v>273</v>
      </c>
      <c r="X113" s="11" t="s">
        <v>328</v>
      </c>
      <c r="Y113" s="15"/>
      <c r="Z113" s="15"/>
      <c r="AA113" s="135"/>
      <c r="AB113" s="14"/>
      <c r="AC113" s="11" t="s">
        <v>272</v>
      </c>
      <c r="AD113" s="11" t="s">
        <v>351</v>
      </c>
      <c r="AE113" s="14"/>
      <c r="AF113" s="14"/>
    </row>
    <row r="114" spans="2:32" x14ac:dyDescent="0.2">
      <c r="B114" s="11" t="s">
        <v>180</v>
      </c>
      <c r="C114" s="11">
        <v>105</v>
      </c>
      <c r="D114" s="11" t="s">
        <v>180</v>
      </c>
      <c r="E114" s="11" t="s">
        <v>1123</v>
      </c>
      <c r="F114" s="11" t="s">
        <v>1124</v>
      </c>
      <c r="G114" s="11" t="s">
        <v>1125</v>
      </c>
      <c r="H114" s="11" t="s">
        <v>1126</v>
      </c>
      <c r="I114" s="11" t="s">
        <v>670</v>
      </c>
      <c r="J114" s="12" t="s">
        <v>273</v>
      </c>
      <c r="K114" s="11" t="s">
        <v>1127</v>
      </c>
      <c r="L114" s="12" t="s">
        <v>273</v>
      </c>
      <c r="M114" s="12" t="s">
        <v>273</v>
      </c>
      <c r="N114" s="12" t="s">
        <v>273</v>
      </c>
      <c r="O114" s="12" t="s">
        <v>273</v>
      </c>
      <c r="P114" s="12" t="s">
        <v>273</v>
      </c>
      <c r="Q114" s="12" t="s">
        <v>273</v>
      </c>
      <c r="R114" s="12" t="s">
        <v>273</v>
      </c>
      <c r="S114" s="11" t="s">
        <v>181</v>
      </c>
      <c r="T114" s="12" t="s">
        <v>273</v>
      </c>
      <c r="U114" s="12" t="s">
        <v>273</v>
      </c>
      <c r="V114" s="12" t="s">
        <v>273</v>
      </c>
      <c r="W114" s="12" t="s">
        <v>273</v>
      </c>
      <c r="X114" s="11" t="s">
        <v>329</v>
      </c>
      <c r="Y114" s="15"/>
      <c r="Z114" s="15"/>
      <c r="AA114" s="135"/>
      <c r="AB114" s="14"/>
      <c r="AC114" s="11" t="s">
        <v>272</v>
      </c>
      <c r="AD114" s="11" t="s">
        <v>351</v>
      </c>
      <c r="AE114" s="14"/>
      <c r="AF114" s="14"/>
    </row>
    <row r="115" spans="2:32" x14ac:dyDescent="0.2">
      <c r="B115" s="11" t="s">
        <v>182</v>
      </c>
      <c r="C115" s="11">
        <v>106</v>
      </c>
      <c r="D115" s="11" t="s">
        <v>182</v>
      </c>
      <c r="E115" s="11" t="s">
        <v>1128</v>
      </c>
      <c r="F115" s="11" t="s">
        <v>1129</v>
      </c>
      <c r="G115" s="11" t="s">
        <v>1130</v>
      </c>
      <c r="H115" s="11" t="s">
        <v>1131</v>
      </c>
      <c r="I115" s="11" t="s">
        <v>604</v>
      </c>
      <c r="J115" s="11" t="s">
        <v>1132</v>
      </c>
      <c r="K115" s="12" t="s">
        <v>273</v>
      </c>
      <c r="L115" s="11" t="s">
        <v>1133</v>
      </c>
      <c r="M115" s="12" t="s">
        <v>273</v>
      </c>
      <c r="N115" s="11" t="s">
        <v>1134</v>
      </c>
      <c r="O115" s="12" t="s">
        <v>273</v>
      </c>
      <c r="P115" s="12" t="s">
        <v>273</v>
      </c>
      <c r="Q115" s="12" t="s">
        <v>273</v>
      </c>
      <c r="R115" s="11" t="s">
        <v>1135</v>
      </c>
      <c r="S115" s="12" t="s">
        <v>273</v>
      </c>
      <c r="T115" s="12" t="s">
        <v>273</v>
      </c>
      <c r="U115" s="12" t="s">
        <v>273</v>
      </c>
      <c r="V115" s="12" t="s">
        <v>273</v>
      </c>
      <c r="W115" s="12" t="s">
        <v>273</v>
      </c>
      <c r="X115" s="11" t="s">
        <v>330</v>
      </c>
      <c r="Y115" s="15"/>
      <c r="Z115" s="15"/>
      <c r="AA115" s="135" t="str">
        <f>_xlfn.IFS(AND(COUNTIF(Y115,"SCB*")=1, 'PCH176'!M68&gt;=2), "See the Notice *1", TRUE, "")</f>
        <v/>
      </c>
      <c r="AB115" s="14"/>
      <c r="AC115" s="11" t="s">
        <v>272</v>
      </c>
      <c r="AD115" s="11" t="s">
        <v>351</v>
      </c>
      <c r="AE115" s="14"/>
      <c r="AF115" s="14"/>
    </row>
    <row r="116" spans="2:32" x14ac:dyDescent="0.2">
      <c r="B116" s="11" t="s">
        <v>183</v>
      </c>
      <c r="C116" s="11">
        <v>107</v>
      </c>
      <c r="D116" s="11" t="s">
        <v>183</v>
      </c>
      <c r="E116" s="11" t="s">
        <v>1136</v>
      </c>
      <c r="F116" s="11" t="s">
        <v>1137</v>
      </c>
      <c r="G116" s="11" t="s">
        <v>1138</v>
      </c>
      <c r="H116" s="11" t="s">
        <v>1139</v>
      </c>
      <c r="I116" s="11" t="s">
        <v>676</v>
      </c>
      <c r="J116" s="11" t="s">
        <v>1140</v>
      </c>
      <c r="K116" s="11" t="s">
        <v>1141</v>
      </c>
      <c r="L116" s="11" t="s">
        <v>1142</v>
      </c>
      <c r="M116" s="12" t="s">
        <v>273</v>
      </c>
      <c r="N116" s="11" t="s">
        <v>1143</v>
      </c>
      <c r="O116" s="12" t="s">
        <v>273</v>
      </c>
      <c r="P116" s="12" t="s">
        <v>273</v>
      </c>
      <c r="Q116" s="12" t="s">
        <v>273</v>
      </c>
      <c r="R116" s="11" t="s">
        <v>1144</v>
      </c>
      <c r="S116" s="12" t="s">
        <v>273</v>
      </c>
      <c r="T116" s="12" t="s">
        <v>273</v>
      </c>
      <c r="U116" s="12" t="s">
        <v>273</v>
      </c>
      <c r="V116" s="12" t="s">
        <v>273</v>
      </c>
      <c r="W116" s="12" t="s">
        <v>273</v>
      </c>
      <c r="X116" s="11" t="s">
        <v>331</v>
      </c>
      <c r="Y116" s="15"/>
      <c r="Z116" s="15"/>
      <c r="AA116" s="135" t="str">
        <f>_xlfn.IFS(AND(COUNTIF(Y116,"SCB*")=1, 'PCH176'!M68&gt;=2), "See the Notice *1", TRUE, "")</f>
        <v/>
      </c>
      <c r="AB116" s="14"/>
      <c r="AC116" s="11" t="s">
        <v>272</v>
      </c>
      <c r="AD116" s="11" t="s">
        <v>351</v>
      </c>
      <c r="AE116" s="14"/>
      <c r="AF116" s="14"/>
    </row>
    <row r="117" spans="2:32" x14ac:dyDescent="0.2">
      <c r="B117" s="11" t="s">
        <v>184</v>
      </c>
      <c r="C117" s="11">
        <v>108</v>
      </c>
      <c r="D117" s="11" t="s">
        <v>184</v>
      </c>
      <c r="E117" s="11" t="s">
        <v>1145</v>
      </c>
      <c r="F117" s="11" t="s">
        <v>1146</v>
      </c>
      <c r="G117" s="11" t="s">
        <v>1147</v>
      </c>
      <c r="H117" s="11" t="s">
        <v>1148</v>
      </c>
      <c r="I117" s="11" t="s">
        <v>612</v>
      </c>
      <c r="J117" s="11" t="s">
        <v>1149</v>
      </c>
      <c r="K117" s="11" t="s">
        <v>1150</v>
      </c>
      <c r="L117" s="11" t="s">
        <v>1151</v>
      </c>
      <c r="M117" s="12" t="s">
        <v>273</v>
      </c>
      <c r="N117" s="12" t="s">
        <v>273</v>
      </c>
      <c r="O117" s="12" t="s">
        <v>273</v>
      </c>
      <c r="P117" s="12" t="s">
        <v>273</v>
      </c>
      <c r="Q117" s="12" t="s">
        <v>273</v>
      </c>
      <c r="R117" s="11" t="s">
        <v>1152</v>
      </c>
      <c r="S117" s="12" t="s">
        <v>273</v>
      </c>
      <c r="T117" s="12" t="s">
        <v>273</v>
      </c>
      <c r="U117" s="12" t="s">
        <v>273</v>
      </c>
      <c r="V117" s="12" t="s">
        <v>273</v>
      </c>
      <c r="W117" s="12" t="s">
        <v>273</v>
      </c>
      <c r="X117" s="11" t="s">
        <v>332</v>
      </c>
      <c r="Y117" s="15"/>
      <c r="Z117" s="15"/>
      <c r="AA117" s="135" t="str">
        <f>_xlfn.IFS(AND(COUNTIF(Y117,"SCB*")=1, 'PCH176'!M68&gt;=2), "See the Notice *1", TRUE, "")</f>
        <v/>
      </c>
      <c r="AB117" s="14"/>
      <c r="AC117" s="11" t="s">
        <v>272</v>
      </c>
      <c r="AD117" s="11" t="s">
        <v>351</v>
      </c>
      <c r="AE117" s="14"/>
      <c r="AF117" s="14"/>
    </row>
    <row r="118" spans="2:32" x14ac:dyDescent="0.2">
      <c r="B118" s="11" t="s">
        <v>185</v>
      </c>
      <c r="C118" s="11">
        <v>109</v>
      </c>
      <c r="D118" s="11" t="s">
        <v>185</v>
      </c>
      <c r="E118" s="11" t="s">
        <v>962</v>
      </c>
      <c r="F118" s="11" t="s">
        <v>1153</v>
      </c>
      <c r="G118" s="11" t="s">
        <v>964</v>
      </c>
      <c r="H118" s="11" t="s">
        <v>1154</v>
      </c>
      <c r="I118" s="11" t="s">
        <v>706</v>
      </c>
      <c r="J118" s="11" t="s">
        <v>1155</v>
      </c>
      <c r="K118" s="12" t="s">
        <v>273</v>
      </c>
      <c r="L118" s="11" t="s">
        <v>1156</v>
      </c>
      <c r="M118" s="12" t="s">
        <v>273</v>
      </c>
      <c r="N118" s="12" t="s">
        <v>273</v>
      </c>
      <c r="O118" s="12" t="s">
        <v>273</v>
      </c>
      <c r="P118" s="12" t="s">
        <v>273</v>
      </c>
      <c r="Q118" s="12" t="s">
        <v>273</v>
      </c>
      <c r="R118" s="11" t="s">
        <v>1157</v>
      </c>
      <c r="S118" s="12" t="s">
        <v>273</v>
      </c>
      <c r="T118" s="12" t="s">
        <v>273</v>
      </c>
      <c r="U118" s="12" t="s">
        <v>273</v>
      </c>
      <c r="V118" s="12" t="s">
        <v>273</v>
      </c>
      <c r="W118" s="12" t="s">
        <v>273</v>
      </c>
      <c r="X118" s="11" t="s">
        <v>333</v>
      </c>
      <c r="Y118" s="15"/>
      <c r="Z118" s="15"/>
      <c r="AA118" s="135" t="str">
        <f>_xlfn.IFS(AND(COUNTIF(Y118,"SCB*")=1, 'PCH176'!M68&gt;=2), "See the Notice *1", TRUE, "")</f>
        <v/>
      </c>
      <c r="AB118" s="14"/>
      <c r="AC118" s="11" t="s">
        <v>272</v>
      </c>
      <c r="AD118" s="11" t="s">
        <v>351</v>
      </c>
      <c r="AE118" s="14"/>
      <c r="AF118" s="14"/>
    </row>
    <row r="119" spans="2:32" x14ac:dyDescent="0.2">
      <c r="B119" s="35" t="s">
        <v>254</v>
      </c>
      <c r="C119" s="27">
        <v>110</v>
      </c>
      <c r="D119" s="13" t="s">
        <v>273</v>
      </c>
      <c r="E119" s="13" t="s">
        <v>273</v>
      </c>
      <c r="F119" s="13" t="s">
        <v>273</v>
      </c>
      <c r="G119" s="13" t="s">
        <v>273</v>
      </c>
      <c r="H119" s="13" t="s">
        <v>273</v>
      </c>
      <c r="I119" s="13" t="s">
        <v>273</v>
      </c>
      <c r="J119" s="13" t="s">
        <v>273</v>
      </c>
      <c r="K119" s="13" t="s">
        <v>273</v>
      </c>
      <c r="L119" s="13" t="s">
        <v>273</v>
      </c>
      <c r="M119" s="13" t="s">
        <v>273</v>
      </c>
      <c r="N119" s="13" t="s">
        <v>273</v>
      </c>
      <c r="O119" s="13" t="s">
        <v>273</v>
      </c>
      <c r="P119" s="13" t="s">
        <v>273</v>
      </c>
      <c r="Q119" s="13" t="s">
        <v>273</v>
      </c>
      <c r="R119" s="13" t="s">
        <v>273</v>
      </c>
      <c r="S119" s="13" t="s">
        <v>273</v>
      </c>
      <c r="T119" s="13" t="s">
        <v>273</v>
      </c>
      <c r="U119" s="13" t="s">
        <v>273</v>
      </c>
      <c r="V119" s="13" t="s">
        <v>273</v>
      </c>
      <c r="W119" s="13" t="s">
        <v>273</v>
      </c>
      <c r="X119" s="13" t="s">
        <v>273</v>
      </c>
      <c r="Y119" s="21" t="s">
        <v>254</v>
      </c>
      <c r="Z119" s="13" t="s">
        <v>273</v>
      </c>
      <c r="AA119" s="135"/>
      <c r="AB119" s="14" t="s">
        <v>500</v>
      </c>
      <c r="AC119" s="15" t="s">
        <v>510</v>
      </c>
      <c r="AD119" s="14" t="s">
        <v>510</v>
      </c>
      <c r="AE119" s="14"/>
      <c r="AF119" s="14"/>
    </row>
    <row r="120" spans="2:32" x14ac:dyDescent="0.2">
      <c r="B120" s="35" t="s">
        <v>256</v>
      </c>
      <c r="C120" s="27">
        <v>111</v>
      </c>
      <c r="D120" s="13" t="s">
        <v>273</v>
      </c>
      <c r="E120" s="13" t="s">
        <v>273</v>
      </c>
      <c r="F120" s="13" t="s">
        <v>273</v>
      </c>
      <c r="G120" s="13" t="s">
        <v>273</v>
      </c>
      <c r="H120" s="13" t="s">
        <v>273</v>
      </c>
      <c r="I120" s="13" t="s">
        <v>273</v>
      </c>
      <c r="J120" s="13" t="s">
        <v>273</v>
      </c>
      <c r="K120" s="13" t="s">
        <v>273</v>
      </c>
      <c r="L120" s="13" t="s">
        <v>273</v>
      </c>
      <c r="M120" s="13" t="s">
        <v>273</v>
      </c>
      <c r="N120" s="13" t="s">
        <v>273</v>
      </c>
      <c r="O120" s="13" t="s">
        <v>273</v>
      </c>
      <c r="P120" s="13" t="s">
        <v>273</v>
      </c>
      <c r="Q120" s="13" t="s">
        <v>273</v>
      </c>
      <c r="R120" s="13" t="s">
        <v>273</v>
      </c>
      <c r="S120" s="13" t="s">
        <v>273</v>
      </c>
      <c r="T120" s="13" t="s">
        <v>273</v>
      </c>
      <c r="U120" s="13" t="s">
        <v>273</v>
      </c>
      <c r="V120" s="13" t="s">
        <v>273</v>
      </c>
      <c r="W120" s="13" t="s">
        <v>273</v>
      </c>
      <c r="X120" s="13" t="s">
        <v>273</v>
      </c>
      <c r="Y120" s="21" t="s">
        <v>256</v>
      </c>
      <c r="Z120" s="13" t="s">
        <v>273</v>
      </c>
      <c r="AA120" s="135"/>
      <c r="AB120" s="14" t="s">
        <v>503</v>
      </c>
      <c r="AC120" s="15" t="s">
        <v>510</v>
      </c>
      <c r="AD120" s="15" t="s">
        <v>510</v>
      </c>
      <c r="AE120" s="14"/>
      <c r="AF120" s="14"/>
    </row>
    <row r="121" spans="2:32" x14ac:dyDescent="0.2">
      <c r="B121" s="35" t="s">
        <v>256</v>
      </c>
      <c r="C121" s="27">
        <v>112</v>
      </c>
      <c r="D121" s="13" t="s">
        <v>273</v>
      </c>
      <c r="E121" s="13" t="s">
        <v>273</v>
      </c>
      <c r="F121" s="13" t="s">
        <v>273</v>
      </c>
      <c r="G121" s="13" t="s">
        <v>273</v>
      </c>
      <c r="H121" s="13" t="s">
        <v>273</v>
      </c>
      <c r="I121" s="13" t="s">
        <v>273</v>
      </c>
      <c r="J121" s="13" t="s">
        <v>273</v>
      </c>
      <c r="K121" s="13" t="s">
        <v>273</v>
      </c>
      <c r="L121" s="13" t="s">
        <v>273</v>
      </c>
      <c r="M121" s="13" t="s">
        <v>273</v>
      </c>
      <c r="N121" s="13" t="s">
        <v>273</v>
      </c>
      <c r="O121" s="13" t="s">
        <v>273</v>
      </c>
      <c r="P121" s="13" t="s">
        <v>273</v>
      </c>
      <c r="Q121" s="13" t="s">
        <v>273</v>
      </c>
      <c r="R121" s="13" t="s">
        <v>273</v>
      </c>
      <c r="S121" s="13" t="s">
        <v>273</v>
      </c>
      <c r="T121" s="13" t="s">
        <v>273</v>
      </c>
      <c r="U121" s="13" t="s">
        <v>273</v>
      </c>
      <c r="V121" s="13" t="s">
        <v>273</v>
      </c>
      <c r="W121" s="13" t="s">
        <v>273</v>
      </c>
      <c r="X121" s="13" t="s">
        <v>273</v>
      </c>
      <c r="Y121" s="21" t="s">
        <v>256</v>
      </c>
      <c r="Z121" s="13" t="s">
        <v>273</v>
      </c>
      <c r="AA121" s="135"/>
      <c r="AB121" s="14" t="s">
        <v>503</v>
      </c>
      <c r="AC121" s="15" t="s">
        <v>510</v>
      </c>
      <c r="AD121" s="15" t="s">
        <v>510</v>
      </c>
      <c r="AE121" s="14"/>
      <c r="AF121" s="14"/>
    </row>
    <row r="122" spans="2:32" x14ac:dyDescent="0.2">
      <c r="B122" s="35" t="s">
        <v>256</v>
      </c>
      <c r="C122" s="27">
        <v>113</v>
      </c>
      <c r="D122" s="13" t="s">
        <v>273</v>
      </c>
      <c r="E122" s="13" t="s">
        <v>273</v>
      </c>
      <c r="F122" s="13" t="s">
        <v>273</v>
      </c>
      <c r="G122" s="13" t="s">
        <v>273</v>
      </c>
      <c r="H122" s="13" t="s">
        <v>273</v>
      </c>
      <c r="I122" s="13" t="s">
        <v>273</v>
      </c>
      <c r="J122" s="13" t="s">
        <v>273</v>
      </c>
      <c r="K122" s="13" t="s">
        <v>273</v>
      </c>
      <c r="L122" s="13" t="s">
        <v>273</v>
      </c>
      <c r="M122" s="13" t="s">
        <v>273</v>
      </c>
      <c r="N122" s="13" t="s">
        <v>273</v>
      </c>
      <c r="O122" s="13" t="s">
        <v>273</v>
      </c>
      <c r="P122" s="13" t="s">
        <v>273</v>
      </c>
      <c r="Q122" s="13" t="s">
        <v>273</v>
      </c>
      <c r="R122" s="13" t="s">
        <v>273</v>
      </c>
      <c r="S122" s="13" t="s">
        <v>273</v>
      </c>
      <c r="T122" s="13" t="s">
        <v>273</v>
      </c>
      <c r="U122" s="13" t="s">
        <v>273</v>
      </c>
      <c r="V122" s="13" t="s">
        <v>273</v>
      </c>
      <c r="W122" s="13" t="s">
        <v>273</v>
      </c>
      <c r="X122" s="13" t="s">
        <v>273</v>
      </c>
      <c r="Y122" s="21" t="s">
        <v>256</v>
      </c>
      <c r="Z122" s="13" t="s">
        <v>273</v>
      </c>
      <c r="AA122" s="135"/>
      <c r="AB122" s="14" t="s">
        <v>503</v>
      </c>
      <c r="AC122" s="15" t="s">
        <v>510</v>
      </c>
      <c r="AD122" s="15" t="s">
        <v>510</v>
      </c>
      <c r="AE122" s="14"/>
      <c r="AF122" s="14"/>
    </row>
    <row r="123" spans="2:32" x14ac:dyDescent="0.2">
      <c r="B123" s="34" t="s">
        <v>253</v>
      </c>
      <c r="C123" s="27">
        <v>114</v>
      </c>
      <c r="D123" s="13" t="s">
        <v>273</v>
      </c>
      <c r="E123" s="13" t="s">
        <v>273</v>
      </c>
      <c r="F123" s="13" t="s">
        <v>273</v>
      </c>
      <c r="G123" s="13" t="s">
        <v>273</v>
      </c>
      <c r="H123" s="13" t="s">
        <v>273</v>
      </c>
      <c r="I123" s="13" t="s">
        <v>273</v>
      </c>
      <c r="J123" s="13" t="s">
        <v>273</v>
      </c>
      <c r="K123" s="13" t="s">
        <v>273</v>
      </c>
      <c r="L123" s="13" t="s">
        <v>273</v>
      </c>
      <c r="M123" s="13" t="s">
        <v>273</v>
      </c>
      <c r="N123" s="13" t="s">
        <v>273</v>
      </c>
      <c r="O123" s="13" t="s">
        <v>273</v>
      </c>
      <c r="P123" s="13" t="s">
        <v>273</v>
      </c>
      <c r="Q123" s="13" t="s">
        <v>273</v>
      </c>
      <c r="R123" s="13" t="s">
        <v>273</v>
      </c>
      <c r="S123" s="13" t="s">
        <v>273</v>
      </c>
      <c r="T123" s="13" t="s">
        <v>273</v>
      </c>
      <c r="U123" s="13" t="s">
        <v>273</v>
      </c>
      <c r="V123" s="13" t="s">
        <v>273</v>
      </c>
      <c r="W123" s="13" t="s">
        <v>273</v>
      </c>
      <c r="X123" s="13" t="s">
        <v>273</v>
      </c>
      <c r="Y123" s="19" t="s">
        <v>253</v>
      </c>
      <c r="Z123" s="13" t="s">
        <v>273</v>
      </c>
      <c r="AA123" s="135"/>
      <c r="AB123" s="14" t="s">
        <v>501</v>
      </c>
      <c r="AC123" s="15" t="s">
        <v>510</v>
      </c>
      <c r="AD123" s="15" t="s">
        <v>510</v>
      </c>
      <c r="AE123" s="14"/>
      <c r="AF123" s="14"/>
    </row>
    <row r="124" spans="2:32" x14ac:dyDescent="0.2">
      <c r="B124" s="16" t="s">
        <v>189</v>
      </c>
      <c r="C124" s="11">
        <v>115</v>
      </c>
      <c r="D124" s="16" t="s">
        <v>189</v>
      </c>
      <c r="E124" s="16" t="s">
        <v>1164</v>
      </c>
      <c r="F124" s="16" t="s">
        <v>953</v>
      </c>
      <c r="G124" s="16" t="s">
        <v>1165</v>
      </c>
      <c r="H124" s="16" t="s">
        <v>955</v>
      </c>
      <c r="I124" s="16" t="s">
        <v>1168</v>
      </c>
      <c r="J124" s="12" t="s">
        <v>273</v>
      </c>
      <c r="K124" s="12" t="s">
        <v>273</v>
      </c>
      <c r="L124" s="12" t="s">
        <v>273</v>
      </c>
      <c r="M124" s="12" t="s">
        <v>273</v>
      </c>
      <c r="N124" s="12" t="s">
        <v>273</v>
      </c>
      <c r="O124" s="12" t="s">
        <v>273</v>
      </c>
      <c r="P124" s="12" t="s">
        <v>273</v>
      </c>
      <c r="Q124" s="12" t="s">
        <v>273</v>
      </c>
      <c r="R124" s="12" t="s">
        <v>273</v>
      </c>
      <c r="S124" s="12" t="s">
        <v>273</v>
      </c>
      <c r="T124" s="12" t="s">
        <v>273</v>
      </c>
      <c r="U124" s="12" t="s">
        <v>273</v>
      </c>
      <c r="V124" s="12" t="s">
        <v>273</v>
      </c>
      <c r="W124" s="12" t="s">
        <v>273</v>
      </c>
      <c r="X124" s="11" t="s">
        <v>337</v>
      </c>
      <c r="Y124" s="15"/>
      <c r="Z124" s="13" t="s">
        <v>273</v>
      </c>
      <c r="AA124" s="135"/>
      <c r="AB124" s="14"/>
      <c r="AC124" s="11" t="s">
        <v>272</v>
      </c>
      <c r="AD124" s="11" t="s">
        <v>254</v>
      </c>
      <c r="AE124" s="14"/>
      <c r="AF124" s="14"/>
    </row>
    <row r="125" spans="2:32" x14ac:dyDescent="0.2">
      <c r="B125" s="11" t="s">
        <v>190</v>
      </c>
      <c r="C125" s="11">
        <v>116</v>
      </c>
      <c r="D125" s="11" t="s">
        <v>190</v>
      </c>
      <c r="E125" s="11" t="s">
        <v>952</v>
      </c>
      <c r="F125" s="11" t="s">
        <v>953</v>
      </c>
      <c r="G125" s="11" t="s">
        <v>954</v>
      </c>
      <c r="H125" s="11" t="s">
        <v>955</v>
      </c>
      <c r="I125" s="12" t="s">
        <v>273</v>
      </c>
      <c r="J125" s="12" t="s">
        <v>273</v>
      </c>
      <c r="K125" s="12" t="s">
        <v>273</v>
      </c>
      <c r="L125" s="12" t="s">
        <v>273</v>
      </c>
      <c r="M125" s="11" t="s">
        <v>640</v>
      </c>
      <c r="N125" s="11" t="s">
        <v>191</v>
      </c>
      <c r="O125" s="12" t="s">
        <v>273</v>
      </c>
      <c r="P125" s="12" t="s">
        <v>273</v>
      </c>
      <c r="Q125" s="12" t="s">
        <v>273</v>
      </c>
      <c r="R125" s="12" t="s">
        <v>273</v>
      </c>
      <c r="S125" s="12" t="s">
        <v>273</v>
      </c>
      <c r="T125" s="12" t="s">
        <v>273</v>
      </c>
      <c r="U125" s="12" t="s">
        <v>273</v>
      </c>
      <c r="V125" s="12" t="s">
        <v>273</v>
      </c>
      <c r="W125" s="12" t="s">
        <v>273</v>
      </c>
      <c r="X125" s="11" t="s">
        <v>1745</v>
      </c>
      <c r="Y125" s="15"/>
      <c r="Z125" s="15"/>
      <c r="AA125" s="135"/>
      <c r="AB125" s="14"/>
      <c r="AC125" s="11" t="s">
        <v>272</v>
      </c>
      <c r="AD125" s="11" t="s">
        <v>254</v>
      </c>
      <c r="AE125" s="14"/>
      <c r="AF125" s="14"/>
    </row>
    <row r="126" spans="2:32" x14ac:dyDescent="0.2">
      <c r="B126" s="11" t="s">
        <v>192</v>
      </c>
      <c r="C126" s="11">
        <v>117</v>
      </c>
      <c r="D126" s="11" t="s">
        <v>192</v>
      </c>
      <c r="E126" s="11" t="s">
        <v>957</v>
      </c>
      <c r="F126" s="11" t="s">
        <v>958</v>
      </c>
      <c r="G126" s="11" t="s">
        <v>959</v>
      </c>
      <c r="H126" s="11" t="s">
        <v>960</v>
      </c>
      <c r="I126" s="12" t="s">
        <v>273</v>
      </c>
      <c r="J126" s="11" t="s">
        <v>1196</v>
      </c>
      <c r="K126" s="12" t="s">
        <v>273</v>
      </c>
      <c r="L126" s="12" t="s">
        <v>273</v>
      </c>
      <c r="M126" s="11" t="s">
        <v>714</v>
      </c>
      <c r="N126" s="11" t="s">
        <v>193</v>
      </c>
      <c r="O126" s="12" t="s">
        <v>273</v>
      </c>
      <c r="P126" s="12" t="s">
        <v>273</v>
      </c>
      <c r="Q126" s="12" t="s">
        <v>273</v>
      </c>
      <c r="R126" s="12" t="s">
        <v>273</v>
      </c>
      <c r="S126" s="12" t="s">
        <v>273</v>
      </c>
      <c r="T126" s="12" t="s">
        <v>273</v>
      </c>
      <c r="U126" s="12" t="s">
        <v>273</v>
      </c>
      <c r="V126" s="12" t="s">
        <v>273</v>
      </c>
      <c r="W126" s="12" t="s">
        <v>273</v>
      </c>
      <c r="X126" s="11" t="s">
        <v>1747</v>
      </c>
      <c r="Y126" s="15"/>
      <c r="Z126" s="15"/>
      <c r="AA126" s="135" t="str">
        <f>_xlfn.IFS(AND(COUNTIF(Y126,"SCB*")=1, 'PCH176'!G68&gt;=2), "See the Notice *1", TRUE, "")</f>
        <v/>
      </c>
      <c r="AB126" s="14"/>
      <c r="AC126" s="11" t="s">
        <v>272</v>
      </c>
      <c r="AD126" s="11" t="s">
        <v>254</v>
      </c>
      <c r="AE126" s="14"/>
      <c r="AF126" s="14"/>
    </row>
    <row r="127" spans="2:32" x14ac:dyDescent="0.2">
      <c r="B127" s="11" t="s">
        <v>194</v>
      </c>
      <c r="C127" s="11">
        <v>118</v>
      </c>
      <c r="D127" s="11" t="s">
        <v>194</v>
      </c>
      <c r="E127" s="11" t="s">
        <v>962</v>
      </c>
      <c r="F127" s="11" t="s">
        <v>963</v>
      </c>
      <c r="G127" s="11" t="s">
        <v>964</v>
      </c>
      <c r="H127" s="11" t="s">
        <v>965</v>
      </c>
      <c r="I127" s="12" t="s">
        <v>273</v>
      </c>
      <c r="J127" s="11" t="s">
        <v>1197</v>
      </c>
      <c r="K127" s="11" t="s">
        <v>1198</v>
      </c>
      <c r="L127" s="12" t="s">
        <v>273</v>
      </c>
      <c r="M127" s="11" t="s">
        <v>2333</v>
      </c>
      <c r="N127" s="12" t="s">
        <v>273</v>
      </c>
      <c r="O127" s="12" t="s">
        <v>273</v>
      </c>
      <c r="P127" s="12" t="s">
        <v>273</v>
      </c>
      <c r="Q127" s="12" t="s">
        <v>273</v>
      </c>
      <c r="R127" s="12" t="s">
        <v>273</v>
      </c>
      <c r="S127" s="12" t="s">
        <v>273</v>
      </c>
      <c r="T127" s="12" t="s">
        <v>273</v>
      </c>
      <c r="U127" s="12" t="s">
        <v>273</v>
      </c>
      <c r="V127" s="12" t="s">
        <v>273</v>
      </c>
      <c r="W127" s="12" t="s">
        <v>273</v>
      </c>
      <c r="X127" s="11" t="s">
        <v>1749</v>
      </c>
      <c r="Y127" s="15"/>
      <c r="Z127" s="15"/>
      <c r="AA127" s="135" t="str">
        <f>_xlfn.IFS(AND(COUNTIF(Y127,"SCB*")=1, 'PCH176'!G68&gt;=2), "See the Notice *1", TRUE, "")</f>
        <v/>
      </c>
      <c r="AB127" s="14"/>
      <c r="AC127" s="11" t="s">
        <v>272</v>
      </c>
      <c r="AD127" s="11" t="s">
        <v>254</v>
      </c>
      <c r="AE127" s="14"/>
      <c r="AF127" s="14"/>
    </row>
    <row r="128" spans="2:32" x14ac:dyDescent="0.2">
      <c r="B128" s="11" t="s">
        <v>195</v>
      </c>
      <c r="C128" s="11">
        <v>119</v>
      </c>
      <c r="D128" s="11" t="s">
        <v>195</v>
      </c>
      <c r="E128" s="11" t="s">
        <v>1145</v>
      </c>
      <c r="F128" s="11" t="s">
        <v>1158</v>
      </c>
      <c r="G128" s="11" t="s">
        <v>1147</v>
      </c>
      <c r="H128" s="11" t="s">
        <v>1159</v>
      </c>
      <c r="I128" s="11" t="s">
        <v>1199</v>
      </c>
      <c r="J128" s="11" t="s">
        <v>1200</v>
      </c>
      <c r="K128" s="11" t="s">
        <v>1201</v>
      </c>
      <c r="L128" s="12" t="s">
        <v>273</v>
      </c>
      <c r="M128" s="12" t="s">
        <v>273</v>
      </c>
      <c r="N128" s="11" t="s">
        <v>1202</v>
      </c>
      <c r="O128" s="12" t="s">
        <v>273</v>
      </c>
      <c r="P128" s="12" t="s">
        <v>273</v>
      </c>
      <c r="Q128" s="12" t="s">
        <v>273</v>
      </c>
      <c r="R128" s="12" t="s">
        <v>273</v>
      </c>
      <c r="S128" s="11" t="s">
        <v>196</v>
      </c>
      <c r="T128" s="12" t="s">
        <v>273</v>
      </c>
      <c r="U128" s="12" t="s">
        <v>273</v>
      </c>
      <c r="V128" s="12" t="s">
        <v>273</v>
      </c>
      <c r="W128" s="12" t="s">
        <v>273</v>
      </c>
      <c r="X128" s="11" t="s">
        <v>1752</v>
      </c>
      <c r="Y128" s="15"/>
      <c r="Z128" s="15"/>
      <c r="AA128" s="135" t="str">
        <f>_xlfn.IFS(AND(COUNTIF(Y128,"SCB*")=1, 'PCH176'!G68&gt;=2), "See the Notice *1", TRUE, "")</f>
        <v/>
      </c>
      <c r="AB128" s="14"/>
      <c r="AC128" s="11" t="s">
        <v>272</v>
      </c>
      <c r="AD128" s="11" t="s">
        <v>254</v>
      </c>
      <c r="AE128" s="14"/>
      <c r="AF128" s="14"/>
    </row>
    <row r="129" spans="2:32" x14ac:dyDescent="0.2">
      <c r="B129" s="11" t="s">
        <v>197</v>
      </c>
      <c r="C129" s="11">
        <v>120</v>
      </c>
      <c r="D129" s="11" t="s">
        <v>197</v>
      </c>
      <c r="E129" s="11" t="s">
        <v>1136</v>
      </c>
      <c r="F129" s="11" t="s">
        <v>1153</v>
      </c>
      <c r="G129" s="11" t="s">
        <v>1138</v>
      </c>
      <c r="H129" s="11" t="s">
        <v>1154</v>
      </c>
      <c r="I129" s="11" t="s">
        <v>1203</v>
      </c>
      <c r="J129" s="11" t="s">
        <v>1204</v>
      </c>
      <c r="K129" s="12" t="s">
        <v>273</v>
      </c>
      <c r="L129" s="12" t="s">
        <v>273</v>
      </c>
      <c r="M129" s="12" t="s">
        <v>273</v>
      </c>
      <c r="N129" s="11" t="s">
        <v>1205</v>
      </c>
      <c r="O129" s="12" t="s">
        <v>273</v>
      </c>
      <c r="P129" s="12" t="s">
        <v>273</v>
      </c>
      <c r="Q129" s="12" t="s">
        <v>273</v>
      </c>
      <c r="R129" s="12" t="s">
        <v>273</v>
      </c>
      <c r="S129" s="11" t="s">
        <v>198</v>
      </c>
      <c r="T129" s="12" t="s">
        <v>273</v>
      </c>
      <c r="U129" s="12" t="s">
        <v>273</v>
      </c>
      <c r="V129" s="12" t="s">
        <v>273</v>
      </c>
      <c r="W129" s="12" t="s">
        <v>273</v>
      </c>
      <c r="X129" s="11" t="s">
        <v>1755</v>
      </c>
      <c r="Y129" s="15"/>
      <c r="Z129" s="15"/>
      <c r="AA129" s="135" t="str">
        <f>_xlfn.IFS(AND(COUNTIF(Y129,"SCB*")=1, 'PCH176'!G68&gt;=2), "See the Notice *1", TRUE, "")</f>
        <v/>
      </c>
      <c r="AB129" s="14"/>
      <c r="AC129" s="11" t="s">
        <v>272</v>
      </c>
      <c r="AD129" s="11" t="s">
        <v>254</v>
      </c>
      <c r="AE129" s="14"/>
      <c r="AF129" s="14"/>
    </row>
    <row r="130" spans="2:32" x14ac:dyDescent="0.2">
      <c r="B130" s="11" t="s">
        <v>199</v>
      </c>
      <c r="C130" s="11">
        <v>121</v>
      </c>
      <c r="D130" s="11" t="s">
        <v>199</v>
      </c>
      <c r="E130" s="11" t="s">
        <v>1128</v>
      </c>
      <c r="F130" s="11" t="s">
        <v>1146</v>
      </c>
      <c r="G130" s="11" t="s">
        <v>1130</v>
      </c>
      <c r="H130" s="11" t="s">
        <v>1148</v>
      </c>
      <c r="I130" s="11" t="s">
        <v>1206</v>
      </c>
      <c r="J130" s="12" t="s">
        <v>273</v>
      </c>
      <c r="K130" s="11" t="s">
        <v>733</v>
      </c>
      <c r="L130" s="12" t="s">
        <v>273</v>
      </c>
      <c r="M130" s="12" t="s">
        <v>273</v>
      </c>
      <c r="N130" s="11" t="s">
        <v>1207</v>
      </c>
      <c r="O130" s="12" t="s">
        <v>273</v>
      </c>
      <c r="P130" s="12" t="s">
        <v>273</v>
      </c>
      <c r="Q130" s="12" t="s">
        <v>273</v>
      </c>
      <c r="R130" s="12" t="s">
        <v>273</v>
      </c>
      <c r="S130" s="12" t="s">
        <v>273</v>
      </c>
      <c r="T130" s="12" t="s">
        <v>273</v>
      </c>
      <c r="U130" s="12" t="s">
        <v>273</v>
      </c>
      <c r="V130" s="12" t="s">
        <v>273</v>
      </c>
      <c r="W130" s="12" t="s">
        <v>273</v>
      </c>
      <c r="X130" s="11" t="s">
        <v>1758</v>
      </c>
      <c r="Y130" s="15"/>
      <c r="Z130" s="15"/>
      <c r="AA130" s="135" t="str">
        <f>_xlfn.IFS(AND(COUNTIF(Y130,"SCB*")=1, 'PCH176'!G68&gt;=2), "See the Notice *1", TRUE, "")</f>
        <v/>
      </c>
      <c r="AB130" s="14"/>
      <c r="AC130" s="11" t="s">
        <v>272</v>
      </c>
      <c r="AD130" s="11" t="s">
        <v>254</v>
      </c>
      <c r="AE130" s="14"/>
      <c r="AF130" s="14"/>
    </row>
    <row r="131" spans="2:32" x14ac:dyDescent="0.2">
      <c r="B131" s="11" t="s">
        <v>200</v>
      </c>
      <c r="C131" s="11">
        <v>122</v>
      </c>
      <c r="D131" s="11" t="s">
        <v>200</v>
      </c>
      <c r="E131" s="11" t="s">
        <v>790</v>
      </c>
      <c r="F131" s="11" t="s">
        <v>1137</v>
      </c>
      <c r="G131" s="11" t="s">
        <v>791</v>
      </c>
      <c r="H131" s="11" t="s">
        <v>1139</v>
      </c>
      <c r="I131" s="11" t="s">
        <v>1208</v>
      </c>
      <c r="J131" s="12" t="s">
        <v>273</v>
      </c>
      <c r="K131" s="11" t="s">
        <v>747</v>
      </c>
      <c r="L131" s="12" t="s">
        <v>273</v>
      </c>
      <c r="M131" s="12" t="s">
        <v>273</v>
      </c>
      <c r="N131" s="11" t="s">
        <v>1209</v>
      </c>
      <c r="O131" s="12" t="s">
        <v>273</v>
      </c>
      <c r="P131" s="12" t="s">
        <v>273</v>
      </c>
      <c r="Q131" s="13" t="s">
        <v>273</v>
      </c>
      <c r="R131" s="13" t="s">
        <v>273</v>
      </c>
      <c r="S131" s="13" t="s">
        <v>273</v>
      </c>
      <c r="T131" s="13" t="s">
        <v>273</v>
      </c>
      <c r="U131" s="13" t="s">
        <v>273</v>
      </c>
      <c r="V131" s="13" t="s">
        <v>273</v>
      </c>
      <c r="W131" s="13" t="s">
        <v>273</v>
      </c>
      <c r="X131" s="11" t="s">
        <v>1761</v>
      </c>
      <c r="Y131" s="15"/>
      <c r="Z131" s="15"/>
      <c r="AA131" s="135" t="str">
        <f>_xlfn.IFS(AND(COUNTIF(Y131,"SCB*")=1, 'PCH176'!G68&gt;=2), "See the Notice *1", TRUE, "")</f>
        <v/>
      </c>
      <c r="AB131" s="14"/>
      <c r="AC131" s="11" t="s">
        <v>272</v>
      </c>
      <c r="AD131" s="11" t="s">
        <v>254</v>
      </c>
      <c r="AE131" s="14"/>
      <c r="AF131" s="14"/>
    </row>
    <row r="132" spans="2:32" x14ac:dyDescent="0.2">
      <c r="B132" s="11" t="s">
        <v>201</v>
      </c>
      <c r="C132" s="11">
        <v>123</v>
      </c>
      <c r="D132" s="11" t="s">
        <v>201</v>
      </c>
      <c r="E132" s="11" t="s">
        <v>803</v>
      </c>
      <c r="F132" s="11" t="s">
        <v>796</v>
      </c>
      <c r="G132" s="11" t="s">
        <v>805</v>
      </c>
      <c r="H132" s="11" t="s">
        <v>798</v>
      </c>
      <c r="I132" s="12" t="s">
        <v>273</v>
      </c>
      <c r="J132" s="12" t="s">
        <v>273</v>
      </c>
      <c r="K132" s="11" t="s">
        <v>1210</v>
      </c>
      <c r="L132" s="12" t="s">
        <v>273</v>
      </c>
      <c r="M132" s="12" t="s">
        <v>273</v>
      </c>
      <c r="N132" s="11" t="s">
        <v>892</v>
      </c>
      <c r="O132" s="12" t="s">
        <v>273</v>
      </c>
      <c r="P132" s="12" t="s">
        <v>273</v>
      </c>
      <c r="Q132" s="13" t="s">
        <v>273</v>
      </c>
      <c r="R132" s="13" t="s">
        <v>273</v>
      </c>
      <c r="S132" s="13" t="s">
        <v>273</v>
      </c>
      <c r="T132" s="13" t="s">
        <v>273</v>
      </c>
      <c r="U132" s="13" t="s">
        <v>273</v>
      </c>
      <c r="V132" s="13" t="s">
        <v>273</v>
      </c>
      <c r="W132" s="13" t="s">
        <v>273</v>
      </c>
      <c r="X132" s="11" t="s">
        <v>1764</v>
      </c>
      <c r="Y132" s="15"/>
      <c r="Z132" s="15"/>
      <c r="AA132" s="135"/>
      <c r="AB132" s="14"/>
      <c r="AC132" s="11" t="s">
        <v>272</v>
      </c>
      <c r="AD132" s="11" t="s">
        <v>254</v>
      </c>
      <c r="AE132" s="14"/>
      <c r="AF132" s="14"/>
    </row>
    <row r="133" spans="2:32" x14ac:dyDescent="0.2">
      <c r="B133" s="11" t="s">
        <v>202</v>
      </c>
      <c r="C133" s="11">
        <v>124</v>
      </c>
      <c r="D133" s="11" t="s">
        <v>202</v>
      </c>
      <c r="E133" s="11" t="s">
        <v>835</v>
      </c>
      <c r="F133" s="11" t="s">
        <v>813</v>
      </c>
      <c r="G133" s="11" t="s">
        <v>837</v>
      </c>
      <c r="H133" s="11" t="s">
        <v>815</v>
      </c>
      <c r="I133" s="11" t="s">
        <v>1160</v>
      </c>
      <c r="J133" s="11" t="s">
        <v>1211</v>
      </c>
      <c r="K133" s="12" t="s">
        <v>273</v>
      </c>
      <c r="L133" s="11" t="s">
        <v>1212</v>
      </c>
      <c r="M133" s="12" t="s">
        <v>273</v>
      </c>
      <c r="N133" s="11" t="s">
        <v>898</v>
      </c>
      <c r="O133" s="12" t="s">
        <v>273</v>
      </c>
      <c r="P133" s="12" t="s">
        <v>273</v>
      </c>
      <c r="Q133" s="11" t="s">
        <v>1261</v>
      </c>
      <c r="R133" s="13" t="s">
        <v>273</v>
      </c>
      <c r="S133" s="13" t="s">
        <v>273</v>
      </c>
      <c r="T133" s="11" t="s">
        <v>2677</v>
      </c>
      <c r="U133" s="13" t="s">
        <v>273</v>
      </c>
      <c r="V133" s="13" t="s">
        <v>273</v>
      </c>
      <c r="W133" s="13" t="s">
        <v>273</v>
      </c>
      <c r="X133" s="11" t="s">
        <v>1766</v>
      </c>
      <c r="Y133" s="15"/>
      <c r="Z133" s="13" t="s">
        <v>273</v>
      </c>
      <c r="AA133" s="135" t="str">
        <f>_xlfn.IFS(AND(COUNTIF(Y133,"SCB*")=1, 'PCH176'!E68&gt;=2), "See the Notice *1", TRUE, "")</f>
        <v/>
      </c>
      <c r="AB133" s="14"/>
      <c r="AC133" s="11" t="s">
        <v>272</v>
      </c>
      <c r="AD133" s="11" t="s">
        <v>254</v>
      </c>
      <c r="AE133" s="14"/>
      <c r="AF133" s="14"/>
    </row>
    <row r="134" spans="2:32" x14ac:dyDescent="0.2">
      <c r="B134" s="11" t="s">
        <v>203</v>
      </c>
      <c r="C134" s="11">
        <v>125</v>
      </c>
      <c r="D134" s="11" t="s">
        <v>203</v>
      </c>
      <c r="E134" s="11" t="s">
        <v>848</v>
      </c>
      <c r="F134" s="11" t="s">
        <v>843</v>
      </c>
      <c r="G134" s="11" t="s">
        <v>849</v>
      </c>
      <c r="H134" s="11" t="s">
        <v>844</v>
      </c>
      <c r="I134" s="11" t="s">
        <v>1162</v>
      </c>
      <c r="J134" s="11" t="s">
        <v>1213</v>
      </c>
      <c r="K134" s="11" t="s">
        <v>1214</v>
      </c>
      <c r="L134" s="11" t="s">
        <v>1215</v>
      </c>
      <c r="M134" s="12" t="s">
        <v>273</v>
      </c>
      <c r="N134" s="11" t="s">
        <v>1216</v>
      </c>
      <c r="O134" s="12" t="s">
        <v>273</v>
      </c>
      <c r="P134" s="12" t="s">
        <v>273</v>
      </c>
      <c r="Q134" s="11" t="s">
        <v>1217</v>
      </c>
      <c r="R134" s="13" t="s">
        <v>273</v>
      </c>
      <c r="S134" s="13" t="s">
        <v>273</v>
      </c>
      <c r="T134" s="11" t="s">
        <v>2679</v>
      </c>
      <c r="U134" s="13" t="s">
        <v>273</v>
      </c>
      <c r="V134" s="13" t="s">
        <v>273</v>
      </c>
      <c r="W134" s="13" t="s">
        <v>273</v>
      </c>
      <c r="X134" s="11" t="s">
        <v>1769</v>
      </c>
      <c r="Y134" s="15"/>
      <c r="Z134" s="13" t="s">
        <v>273</v>
      </c>
      <c r="AA134" s="135" t="str">
        <f>_xlfn.IFS(AND(COUNTIF(Y134,"SCB1*")=1, 'PCH176'!E68&gt;=2), "See the Notice *1", AND(COUNTIF(Y134,"SCB3*")=1, 'PCH176'!G68&gt;=2), "See the Notice *1", TRUE, "")</f>
        <v/>
      </c>
      <c r="AB134" s="14"/>
      <c r="AC134" s="11" t="s">
        <v>272</v>
      </c>
      <c r="AD134" s="11" t="s">
        <v>254</v>
      </c>
      <c r="AE134" s="14"/>
      <c r="AF134" s="14"/>
    </row>
    <row r="135" spans="2:32" x14ac:dyDescent="0.2">
      <c r="B135" s="11" t="s">
        <v>204</v>
      </c>
      <c r="C135" s="11">
        <v>126</v>
      </c>
      <c r="D135" s="11" t="s">
        <v>204</v>
      </c>
      <c r="E135" s="11" t="s">
        <v>1123</v>
      </c>
      <c r="F135" s="11" t="s">
        <v>850</v>
      </c>
      <c r="G135" s="11" t="s">
        <v>1125</v>
      </c>
      <c r="H135" s="11" t="s">
        <v>851</v>
      </c>
      <c r="I135" s="11" t="s">
        <v>1166</v>
      </c>
      <c r="J135" s="11" t="s">
        <v>1218</v>
      </c>
      <c r="K135" s="11" t="s">
        <v>1219</v>
      </c>
      <c r="L135" s="11" t="s">
        <v>1220</v>
      </c>
      <c r="M135" s="12" t="s">
        <v>273</v>
      </c>
      <c r="N135" s="11" t="s">
        <v>1221</v>
      </c>
      <c r="O135" s="12" t="s">
        <v>273</v>
      </c>
      <c r="P135" s="12" t="s">
        <v>273</v>
      </c>
      <c r="Q135" s="11" t="s">
        <v>1222</v>
      </c>
      <c r="R135" s="13" t="s">
        <v>273</v>
      </c>
      <c r="S135" s="13" t="s">
        <v>273</v>
      </c>
      <c r="T135" s="13" t="s">
        <v>273</v>
      </c>
      <c r="U135" s="13" t="s">
        <v>273</v>
      </c>
      <c r="V135" s="13" t="s">
        <v>273</v>
      </c>
      <c r="W135" s="13" t="s">
        <v>273</v>
      </c>
      <c r="X135" s="11" t="s">
        <v>1772</v>
      </c>
      <c r="Y135" s="15"/>
      <c r="Z135" s="13" t="s">
        <v>273</v>
      </c>
      <c r="AA135" s="135" t="str">
        <f>_xlfn.IFS(AND(COUNTIF(Y135,"SCB1*")=1, 'PCH176'!E68&gt;=2), "See the Notice *1", AND(COUNTIF(Y135,"SCB3*")=1, 'PCH176'!G68&gt;=2), "See the Notice *1", TRUE, "")</f>
        <v/>
      </c>
      <c r="AB135" s="14"/>
      <c r="AC135" s="11" t="s">
        <v>272</v>
      </c>
      <c r="AD135" s="11" t="s">
        <v>254</v>
      </c>
      <c r="AE135" s="14"/>
      <c r="AF135" s="14"/>
    </row>
    <row r="136" spans="2:32" x14ac:dyDescent="0.2">
      <c r="B136" s="11" t="s">
        <v>205</v>
      </c>
      <c r="C136" s="11">
        <v>127</v>
      </c>
      <c r="D136" s="11" t="s">
        <v>205</v>
      </c>
      <c r="E136" s="11" t="s">
        <v>1118</v>
      </c>
      <c r="F136" s="11" t="s">
        <v>1129</v>
      </c>
      <c r="G136" s="11" t="s">
        <v>1120</v>
      </c>
      <c r="H136" s="11" t="s">
        <v>1131</v>
      </c>
      <c r="I136" s="11" t="s">
        <v>1168</v>
      </c>
      <c r="J136" s="11" t="s">
        <v>1223</v>
      </c>
      <c r="K136" s="12" t="s">
        <v>273</v>
      </c>
      <c r="L136" s="11" t="s">
        <v>1224</v>
      </c>
      <c r="M136" s="12" t="s">
        <v>273</v>
      </c>
      <c r="N136" s="11" t="s">
        <v>1225</v>
      </c>
      <c r="O136" s="12" t="s">
        <v>273</v>
      </c>
      <c r="P136" s="12" t="s">
        <v>273</v>
      </c>
      <c r="Q136" s="11" t="s">
        <v>1263</v>
      </c>
      <c r="R136" s="13" t="s">
        <v>273</v>
      </c>
      <c r="S136" s="13" t="s">
        <v>273</v>
      </c>
      <c r="T136" s="11" t="s">
        <v>1262</v>
      </c>
      <c r="U136" s="13" t="s">
        <v>273</v>
      </c>
      <c r="V136" s="13" t="s">
        <v>273</v>
      </c>
      <c r="W136" s="13" t="s">
        <v>273</v>
      </c>
      <c r="X136" s="11" t="s">
        <v>1775</v>
      </c>
      <c r="Y136" s="15"/>
      <c r="Z136" s="13" t="s">
        <v>273</v>
      </c>
      <c r="AA136" s="135" t="str">
        <f>_xlfn.IFS(AND(COUNTIF(Y136,"SCB1*")=1, 'PCH176'!E68&gt;=2), "See the Notice *1", AND(COUNTIF(Y136,"SCB3*")=1, 'PCH176'!G68&gt;=2), "See the Notice *1", TRUE, "")</f>
        <v/>
      </c>
      <c r="AB136" s="14"/>
      <c r="AC136" s="11" t="s">
        <v>272</v>
      </c>
      <c r="AD136" s="11" t="s">
        <v>254</v>
      </c>
      <c r="AE136" s="14"/>
      <c r="AF136" s="14"/>
    </row>
    <row r="137" spans="2:32" x14ac:dyDescent="0.2">
      <c r="B137" s="11" t="s">
        <v>206</v>
      </c>
      <c r="C137" s="11">
        <v>128</v>
      </c>
      <c r="D137" s="11" t="s">
        <v>206</v>
      </c>
      <c r="E137" s="11" t="s">
        <v>1112</v>
      </c>
      <c r="F137" s="11" t="s">
        <v>1124</v>
      </c>
      <c r="G137" s="11" t="s">
        <v>1114</v>
      </c>
      <c r="H137" s="11" t="s">
        <v>1126</v>
      </c>
      <c r="I137" s="11" t="s">
        <v>1206</v>
      </c>
      <c r="J137" s="12" t="s">
        <v>273</v>
      </c>
      <c r="K137" s="12" t="s">
        <v>273</v>
      </c>
      <c r="L137" s="11" t="s">
        <v>1226</v>
      </c>
      <c r="M137" s="12" t="s">
        <v>273</v>
      </c>
      <c r="N137" s="11" t="s">
        <v>1227</v>
      </c>
      <c r="O137" s="11" t="s">
        <v>1228</v>
      </c>
      <c r="P137" s="12" t="s">
        <v>273</v>
      </c>
      <c r="Q137" s="11" t="s">
        <v>1229</v>
      </c>
      <c r="R137" s="13" t="s">
        <v>273</v>
      </c>
      <c r="S137" s="13" t="s">
        <v>273</v>
      </c>
      <c r="T137" s="11" t="s">
        <v>1264</v>
      </c>
      <c r="U137" s="13" t="s">
        <v>273</v>
      </c>
      <c r="V137" s="13" t="s">
        <v>273</v>
      </c>
      <c r="W137" s="13" t="s">
        <v>273</v>
      </c>
      <c r="X137" s="11" t="s">
        <v>1778</v>
      </c>
      <c r="Y137" s="15"/>
      <c r="Z137" s="13" t="s">
        <v>273</v>
      </c>
      <c r="AA137" s="135" t="str">
        <f>_xlfn.IFS(AND(COUNTIF(Y137,"SCB1*")=1, 'PCH176'!E68&gt;=2), "See the Notice *1", AND(COUNTIF(Y137,"SCB3*")=1, 'PCH176'!G68&gt;=2), "See the Notice *1", TRUE, "")</f>
        <v/>
      </c>
      <c r="AB137" s="14"/>
      <c r="AC137" s="11" t="s">
        <v>272</v>
      </c>
      <c r="AD137" s="11" t="s">
        <v>254</v>
      </c>
      <c r="AE137" s="14"/>
      <c r="AF137" s="14"/>
    </row>
    <row r="138" spans="2:32" x14ac:dyDescent="0.2">
      <c r="B138" s="11" t="s">
        <v>207</v>
      </c>
      <c r="C138" s="11">
        <v>129</v>
      </c>
      <c r="D138" s="11" t="s">
        <v>207</v>
      </c>
      <c r="E138" s="11" t="s">
        <v>1107</v>
      </c>
      <c r="F138" s="11" t="s">
        <v>1119</v>
      </c>
      <c r="G138" s="11" t="s">
        <v>1109</v>
      </c>
      <c r="H138" s="11" t="s">
        <v>1121</v>
      </c>
      <c r="I138" s="11" t="s">
        <v>1208</v>
      </c>
      <c r="J138" s="12" t="s">
        <v>273</v>
      </c>
      <c r="K138" s="12" t="s">
        <v>273</v>
      </c>
      <c r="L138" s="11" t="s">
        <v>1230</v>
      </c>
      <c r="M138" s="12" t="s">
        <v>273</v>
      </c>
      <c r="N138" s="12" t="s">
        <v>273</v>
      </c>
      <c r="O138" s="11" t="s">
        <v>1231</v>
      </c>
      <c r="P138" s="12" t="s">
        <v>273</v>
      </c>
      <c r="Q138" s="11" t="s">
        <v>1232</v>
      </c>
      <c r="R138" s="13" t="s">
        <v>273</v>
      </c>
      <c r="S138" s="13" t="s">
        <v>273</v>
      </c>
      <c r="T138" s="11" t="s">
        <v>1265</v>
      </c>
      <c r="U138" s="13" t="s">
        <v>273</v>
      </c>
      <c r="V138" s="13" t="s">
        <v>273</v>
      </c>
      <c r="W138" s="13" t="s">
        <v>273</v>
      </c>
      <c r="X138" s="11" t="s">
        <v>1780</v>
      </c>
      <c r="Y138" s="15"/>
      <c r="Z138" s="13" t="s">
        <v>273</v>
      </c>
      <c r="AA138" s="135" t="str">
        <f>_xlfn.IFS(AND(COUNTIF(Y138,"SCB*")=1, 'PCH176'!E68&gt;=2), "See the Notice *1", TRUE, "")</f>
        <v/>
      </c>
      <c r="AB138" s="14"/>
      <c r="AC138" s="11" t="s">
        <v>272</v>
      </c>
      <c r="AD138" s="11" t="s">
        <v>254</v>
      </c>
      <c r="AE138" s="14"/>
      <c r="AF138" s="14"/>
    </row>
    <row r="139" spans="2:32" x14ac:dyDescent="0.2">
      <c r="B139" s="11" t="s">
        <v>208</v>
      </c>
      <c r="C139" s="11">
        <v>130</v>
      </c>
      <c r="D139" s="11" t="s">
        <v>208</v>
      </c>
      <c r="E139" s="11" t="s">
        <v>1100</v>
      </c>
      <c r="F139" s="11" t="s">
        <v>1113</v>
      </c>
      <c r="G139" s="11" t="s">
        <v>1102</v>
      </c>
      <c r="H139" s="11" t="s">
        <v>1115</v>
      </c>
      <c r="I139" s="11" t="s">
        <v>1199</v>
      </c>
      <c r="J139" s="12" t="s">
        <v>273</v>
      </c>
      <c r="K139" s="12" t="s">
        <v>273</v>
      </c>
      <c r="L139" s="11" t="s">
        <v>1233</v>
      </c>
      <c r="M139" s="12" t="s">
        <v>273</v>
      </c>
      <c r="N139" s="11" t="s">
        <v>209</v>
      </c>
      <c r="O139" s="11" t="s">
        <v>1234</v>
      </c>
      <c r="P139" s="12" t="s">
        <v>273</v>
      </c>
      <c r="Q139" s="11" t="s">
        <v>1235</v>
      </c>
      <c r="R139" s="13" t="s">
        <v>273</v>
      </c>
      <c r="S139" s="13" t="s">
        <v>273</v>
      </c>
      <c r="T139" s="11" t="s">
        <v>1266</v>
      </c>
      <c r="U139" s="13" t="s">
        <v>273</v>
      </c>
      <c r="V139" s="13" t="s">
        <v>273</v>
      </c>
      <c r="W139" s="13" t="s">
        <v>273</v>
      </c>
      <c r="X139" s="11" t="s">
        <v>1782</v>
      </c>
      <c r="Y139" s="15"/>
      <c r="Z139" s="13" t="s">
        <v>273</v>
      </c>
      <c r="AA139" s="135" t="str">
        <f>_xlfn.IFS(AND(COUNTIF(Y139,"SCB*")=1, 'PCH176'!E68&gt;=2), "See the Notice *1", TRUE, "")</f>
        <v/>
      </c>
      <c r="AB139" s="14"/>
      <c r="AC139" s="11" t="s">
        <v>272</v>
      </c>
      <c r="AD139" s="11" t="s">
        <v>254</v>
      </c>
      <c r="AE139" s="14"/>
      <c r="AF139" s="14"/>
    </row>
    <row r="140" spans="2:32" x14ac:dyDescent="0.2">
      <c r="B140" s="11" t="s">
        <v>210</v>
      </c>
      <c r="C140" s="11">
        <v>131</v>
      </c>
      <c r="D140" s="11" t="s">
        <v>210</v>
      </c>
      <c r="E140" s="11" t="s">
        <v>1092</v>
      </c>
      <c r="F140" s="11" t="s">
        <v>1108</v>
      </c>
      <c r="G140" s="11" t="s">
        <v>1094</v>
      </c>
      <c r="H140" s="11" t="s">
        <v>1110</v>
      </c>
      <c r="I140" s="11" t="s">
        <v>1203</v>
      </c>
      <c r="J140" s="12" t="s">
        <v>273</v>
      </c>
      <c r="K140" s="12" t="s">
        <v>273</v>
      </c>
      <c r="L140" s="12" t="s">
        <v>273</v>
      </c>
      <c r="M140" s="12" t="s">
        <v>273</v>
      </c>
      <c r="N140" s="11" t="s">
        <v>211</v>
      </c>
      <c r="O140" s="11" t="s">
        <v>1236</v>
      </c>
      <c r="P140" s="12" t="s">
        <v>273</v>
      </c>
      <c r="Q140" s="11" t="s">
        <v>1237</v>
      </c>
      <c r="R140" s="13" t="s">
        <v>273</v>
      </c>
      <c r="S140" s="13" t="s">
        <v>273</v>
      </c>
      <c r="T140" s="11" t="s">
        <v>1267</v>
      </c>
      <c r="U140" s="13" t="s">
        <v>273</v>
      </c>
      <c r="V140" s="13" t="s">
        <v>273</v>
      </c>
      <c r="W140" s="13" t="s">
        <v>273</v>
      </c>
      <c r="X140" s="11" t="s">
        <v>1784</v>
      </c>
      <c r="Y140" s="15"/>
      <c r="Z140" s="13" t="s">
        <v>273</v>
      </c>
      <c r="AA140" s="135"/>
      <c r="AB140" s="14"/>
      <c r="AC140" s="11" t="s">
        <v>272</v>
      </c>
      <c r="AD140" s="11" t="s">
        <v>254</v>
      </c>
      <c r="AE140" s="14"/>
      <c r="AF140" s="14"/>
    </row>
    <row r="141" spans="2:32" x14ac:dyDescent="0.2">
      <c r="B141" s="35" t="s">
        <v>254</v>
      </c>
      <c r="C141" s="27">
        <v>132</v>
      </c>
      <c r="D141" s="13" t="s">
        <v>273</v>
      </c>
      <c r="E141" s="13" t="s">
        <v>273</v>
      </c>
      <c r="F141" s="13" t="s">
        <v>273</v>
      </c>
      <c r="G141" s="13" t="s">
        <v>273</v>
      </c>
      <c r="H141" s="13" t="s">
        <v>273</v>
      </c>
      <c r="I141" s="13" t="s">
        <v>273</v>
      </c>
      <c r="J141" s="13" t="s">
        <v>273</v>
      </c>
      <c r="K141" s="13" t="s">
        <v>273</v>
      </c>
      <c r="L141" s="13" t="s">
        <v>273</v>
      </c>
      <c r="M141" s="13" t="s">
        <v>273</v>
      </c>
      <c r="N141" s="13" t="s">
        <v>273</v>
      </c>
      <c r="O141" s="13" t="s">
        <v>273</v>
      </c>
      <c r="P141" s="13" t="s">
        <v>273</v>
      </c>
      <c r="Q141" s="13" t="s">
        <v>273</v>
      </c>
      <c r="R141" s="13" t="s">
        <v>273</v>
      </c>
      <c r="S141" s="13" t="s">
        <v>273</v>
      </c>
      <c r="T141" s="13" t="s">
        <v>273</v>
      </c>
      <c r="U141" s="13" t="s">
        <v>273</v>
      </c>
      <c r="V141" s="13" t="s">
        <v>273</v>
      </c>
      <c r="W141" s="13" t="s">
        <v>273</v>
      </c>
      <c r="X141" s="13" t="s">
        <v>273</v>
      </c>
      <c r="Y141" s="21" t="s">
        <v>254</v>
      </c>
      <c r="Z141" s="13" t="s">
        <v>273</v>
      </c>
      <c r="AA141" s="135"/>
      <c r="AB141" s="14" t="s">
        <v>500</v>
      </c>
      <c r="AC141" s="15" t="s">
        <v>510</v>
      </c>
      <c r="AD141" s="14" t="s">
        <v>510</v>
      </c>
      <c r="AE141" s="14"/>
      <c r="AF141" s="14"/>
    </row>
    <row r="142" spans="2:32" x14ac:dyDescent="0.2">
      <c r="B142" s="34" t="s">
        <v>253</v>
      </c>
      <c r="C142" s="27">
        <v>133</v>
      </c>
      <c r="D142" s="13" t="s">
        <v>273</v>
      </c>
      <c r="E142" s="13" t="s">
        <v>273</v>
      </c>
      <c r="F142" s="13" t="s">
        <v>273</v>
      </c>
      <c r="G142" s="13" t="s">
        <v>273</v>
      </c>
      <c r="H142" s="13" t="s">
        <v>273</v>
      </c>
      <c r="I142" s="13" t="s">
        <v>273</v>
      </c>
      <c r="J142" s="13" t="s">
        <v>273</v>
      </c>
      <c r="K142" s="13" t="s">
        <v>273</v>
      </c>
      <c r="L142" s="13" t="s">
        <v>273</v>
      </c>
      <c r="M142" s="13" t="s">
        <v>273</v>
      </c>
      <c r="N142" s="13" t="s">
        <v>273</v>
      </c>
      <c r="O142" s="13" t="s">
        <v>273</v>
      </c>
      <c r="P142" s="13" t="s">
        <v>273</v>
      </c>
      <c r="Q142" s="13" t="s">
        <v>273</v>
      </c>
      <c r="R142" s="13" t="s">
        <v>273</v>
      </c>
      <c r="S142" s="13" t="s">
        <v>273</v>
      </c>
      <c r="T142" s="13" t="s">
        <v>273</v>
      </c>
      <c r="U142" s="13" t="s">
        <v>273</v>
      </c>
      <c r="V142" s="13" t="s">
        <v>273</v>
      </c>
      <c r="W142" s="13" t="s">
        <v>273</v>
      </c>
      <c r="X142" s="13" t="s">
        <v>273</v>
      </c>
      <c r="Y142" s="19" t="s">
        <v>253</v>
      </c>
      <c r="Z142" s="13" t="s">
        <v>273</v>
      </c>
      <c r="AA142" s="135"/>
      <c r="AB142" s="14" t="s">
        <v>501</v>
      </c>
      <c r="AC142" s="15" t="s">
        <v>510</v>
      </c>
      <c r="AD142" s="14" t="s">
        <v>510</v>
      </c>
      <c r="AE142" s="14"/>
      <c r="AF142" s="14"/>
    </row>
    <row r="143" spans="2:32" x14ac:dyDescent="0.2">
      <c r="B143" s="11" t="s">
        <v>212</v>
      </c>
      <c r="C143" s="11">
        <v>134</v>
      </c>
      <c r="D143" s="11" t="s">
        <v>212</v>
      </c>
      <c r="E143" s="11" t="s">
        <v>659</v>
      </c>
      <c r="F143" s="11" t="s">
        <v>1101</v>
      </c>
      <c r="G143" s="11" t="s">
        <v>661</v>
      </c>
      <c r="H143" s="11" t="s">
        <v>1103</v>
      </c>
      <c r="I143" s="11" t="s">
        <v>1238</v>
      </c>
      <c r="J143" s="11" t="s">
        <v>1239</v>
      </c>
      <c r="K143" s="12" t="s">
        <v>273</v>
      </c>
      <c r="L143" s="11" t="s">
        <v>1240</v>
      </c>
      <c r="M143" s="12" t="s">
        <v>273</v>
      </c>
      <c r="N143" s="11" t="s">
        <v>1134</v>
      </c>
      <c r="O143" s="12" t="s">
        <v>273</v>
      </c>
      <c r="P143" s="12" t="s">
        <v>273</v>
      </c>
      <c r="Q143" s="11" t="s">
        <v>1241</v>
      </c>
      <c r="R143" s="13" t="s">
        <v>273</v>
      </c>
      <c r="S143" s="13" t="s">
        <v>273</v>
      </c>
      <c r="T143" s="11" t="s">
        <v>2680</v>
      </c>
      <c r="U143" s="13" t="s">
        <v>273</v>
      </c>
      <c r="V143" s="13" t="s">
        <v>273</v>
      </c>
      <c r="W143" s="13" t="s">
        <v>273</v>
      </c>
      <c r="X143" s="11" t="s">
        <v>1787</v>
      </c>
      <c r="Y143" s="15"/>
      <c r="Z143" s="13" t="s">
        <v>273</v>
      </c>
      <c r="AA143" s="135" t="str">
        <f>_xlfn.IFS(AND(COUNTIF(Y143,"SCB*")=1, 'PCH176'!F68&gt;=2), "See the Notice *1", TRUE, "")</f>
        <v/>
      </c>
      <c r="AB143" s="14"/>
      <c r="AC143" s="11" t="s">
        <v>272</v>
      </c>
      <c r="AD143" s="11" t="s">
        <v>254</v>
      </c>
      <c r="AE143" s="14"/>
      <c r="AF143" s="14"/>
    </row>
    <row r="144" spans="2:32" x14ac:dyDescent="0.2">
      <c r="B144" s="11" t="s">
        <v>213</v>
      </c>
      <c r="C144" s="11">
        <v>135</v>
      </c>
      <c r="D144" s="11" t="s">
        <v>213</v>
      </c>
      <c r="E144" s="11" t="s">
        <v>893</v>
      </c>
      <c r="F144" s="11" t="s">
        <v>667</v>
      </c>
      <c r="G144" s="11" t="s">
        <v>895</v>
      </c>
      <c r="H144" s="11" t="s">
        <v>669</v>
      </c>
      <c r="I144" s="11" t="s">
        <v>1242</v>
      </c>
      <c r="J144" s="11" t="s">
        <v>1243</v>
      </c>
      <c r="K144" s="17" t="s">
        <v>2687</v>
      </c>
      <c r="L144" s="11" t="s">
        <v>1244</v>
      </c>
      <c r="M144" s="12" t="s">
        <v>273</v>
      </c>
      <c r="N144" s="11" t="s">
        <v>1143</v>
      </c>
      <c r="O144" s="12" t="s">
        <v>273</v>
      </c>
      <c r="P144" s="12" t="s">
        <v>273</v>
      </c>
      <c r="Q144" s="11" t="s">
        <v>1245</v>
      </c>
      <c r="R144" s="13" t="s">
        <v>273</v>
      </c>
      <c r="S144" s="13" t="s">
        <v>273</v>
      </c>
      <c r="T144" s="11" t="s">
        <v>2682</v>
      </c>
      <c r="U144" s="13" t="s">
        <v>273</v>
      </c>
      <c r="V144" s="13" t="s">
        <v>273</v>
      </c>
      <c r="W144" s="13" t="s">
        <v>273</v>
      </c>
      <c r="X144" s="11" t="s">
        <v>1790</v>
      </c>
      <c r="Y144" s="15"/>
      <c r="Z144" s="13" t="s">
        <v>273</v>
      </c>
      <c r="AA144" s="135" t="str">
        <f>_xlfn.IFS(AND(COUNTIF(Y144,"SCB*")=1, 'PCH176'!F68&gt;=2), "See the Notice *1", TRUE, "")</f>
        <v/>
      </c>
      <c r="AB144" s="14"/>
      <c r="AC144" s="11" t="s">
        <v>272</v>
      </c>
      <c r="AD144" s="11" t="s">
        <v>254</v>
      </c>
      <c r="AE144" s="14"/>
      <c r="AF144" s="14"/>
    </row>
    <row r="145" spans="2:32" x14ac:dyDescent="0.2">
      <c r="B145" s="11" t="s">
        <v>214</v>
      </c>
      <c r="C145" s="11">
        <v>136</v>
      </c>
      <c r="D145" s="11" t="s">
        <v>214</v>
      </c>
      <c r="E145" s="11" t="s">
        <v>899</v>
      </c>
      <c r="F145" s="11" t="s">
        <v>900</v>
      </c>
      <c r="G145" s="11" t="s">
        <v>901</v>
      </c>
      <c r="H145" s="11" t="s">
        <v>902</v>
      </c>
      <c r="I145" s="11" t="s">
        <v>1246</v>
      </c>
      <c r="J145" s="11" t="s">
        <v>1247</v>
      </c>
      <c r="K145" s="11" t="s">
        <v>1248</v>
      </c>
      <c r="L145" s="11" t="s">
        <v>1249</v>
      </c>
      <c r="M145" s="12" t="s">
        <v>273</v>
      </c>
      <c r="N145" s="12" t="s">
        <v>273</v>
      </c>
      <c r="O145" s="12" t="s">
        <v>273</v>
      </c>
      <c r="P145" s="12" t="s">
        <v>273</v>
      </c>
      <c r="Q145" s="11" t="s">
        <v>1250</v>
      </c>
      <c r="R145" s="13" t="s">
        <v>273</v>
      </c>
      <c r="S145" s="11" t="s">
        <v>215</v>
      </c>
      <c r="T145" s="13" t="s">
        <v>273</v>
      </c>
      <c r="U145" s="13" t="s">
        <v>273</v>
      </c>
      <c r="V145" s="13" t="s">
        <v>273</v>
      </c>
      <c r="W145" s="13" t="s">
        <v>273</v>
      </c>
      <c r="X145" s="11" t="s">
        <v>1793</v>
      </c>
      <c r="Y145" s="15"/>
      <c r="Z145" s="13" t="s">
        <v>273</v>
      </c>
      <c r="AA145" s="135" t="str">
        <f>_xlfn.IFS(AND(COUNTIF(Y145,"SCB*")=1, 'PCH176'!F68&gt;=2), "See the Notice *1", TRUE, "")</f>
        <v/>
      </c>
      <c r="AB145" s="14"/>
      <c r="AC145" s="11" t="s">
        <v>272</v>
      </c>
      <c r="AD145" s="11" t="s">
        <v>254</v>
      </c>
      <c r="AE145" s="14"/>
      <c r="AF145" s="14"/>
    </row>
    <row r="146" spans="2:32" x14ac:dyDescent="0.2">
      <c r="B146" s="11" t="s">
        <v>216</v>
      </c>
      <c r="C146" s="11">
        <v>137</v>
      </c>
      <c r="D146" s="11" t="s">
        <v>216</v>
      </c>
      <c r="E146" s="11" t="s">
        <v>905</v>
      </c>
      <c r="F146" s="11" t="s">
        <v>906</v>
      </c>
      <c r="G146" s="11" t="s">
        <v>907</v>
      </c>
      <c r="H146" s="11" t="s">
        <v>908</v>
      </c>
      <c r="I146" s="11" t="s">
        <v>1251</v>
      </c>
      <c r="J146" s="11" t="s">
        <v>1252</v>
      </c>
      <c r="K146" s="12" t="s">
        <v>273</v>
      </c>
      <c r="L146" s="11" t="s">
        <v>1253</v>
      </c>
      <c r="M146" s="12" t="s">
        <v>273</v>
      </c>
      <c r="N146" s="12" t="s">
        <v>273</v>
      </c>
      <c r="O146" s="12" t="s">
        <v>273</v>
      </c>
      <c r="P146" s="12" t="s">
        <v>273</v>
      </c>
      <c r="Q146" s="11" t="s">
        <v>1254</v>
      </c>
      <c r="R146" s="13" t="s">
        <v>273</v>
      </c>
      <c r="S146" s="11" t="s">
        <v>217</v>
      </c>
      <c r="T146" s="13" t="s">
        <v>273</v>
      </c>
      <c r="U146" s="13" t="s">
        <v>273</v>
      </c>
      <c r="V146" s="13" t="s">
        <v>273</v>
      </c>
      <c r="W146" s="13" t="s">
        <v>273</v>
      </c>
      <c r="X146" s="11" t="s">
        <v>1794</v>
      </c>
      <c r="Y146" s="15"/>
      <c r="Z146" s="13" t="s">
        <v>273</v>
      </c>
      <c r="AA146" s="135" t="str">
        <f>_xlfn.IFS(AND(COUNTIF(Y146,"SCB*")=1, 'PCH176'!F68&gt;=2), "See the Notice *1", TRUE, "")</f>
        <v/>
      </c>
      <c r="AB146" s="14"/>
      <c r="AC146" s="11" t="s">
        <v>272</v>
      </c>
      <c r="AD146" s="11" t="s">
        <v>254</v>
      </c>
      <c r="AE146" s="14"/>
      <c r="AF146" s="14"/>
    </row>
    <row r="147" spans="2:32" x14ac:dyDescent="0.2">
      <c r="B147" s="11" t="s">
        <v>218</v>
      </c>
      <c r="C147" s="11">
        <v>138</v>
      </c>
      <c r="D147" s="11" t="s">
        <v>218</v>
      </c>
      <c r="E147" s="11" t="s">
        <v>911</v>
      </c>
      <c r="F147" s="11" t="s">
        <v>912</v>
      </c>
      <c r="G147" s="11" t="s">
        <v>913</v>
      </c>
      <c r="H147" s="11" t="s">
        <v>914</v>
      </c>
      <c r="I147" s="11" t="s">
        <v>1255</v>
      </c>
      <c r="J147" s="11" t="s">
        <v>1256</v>
      </c>
      <c r="K147" s="12" t="s">
        <v>273</v>
      </c>
      <c r="L147" s="12" t="s">
        <v>273</v>
      </c>
      <c r="M147" s="12" t="s">
        <v>273</v>
      </c>
      <c r="N147" s="12" t="s">
        <v>273</v>
      </c>
      <c r="O147" s="12" t="s">
        <v>273</v>
      </c>
      <c r="P147" s="12" t="s">
        <v>273</v>
      </c>
      <c r="Q147" s="13" t="s">
        <v>273</v>
      </c>
      <c r="R147" s="13" t="s">
        <v>273</v>
      </c>
      <c r="S147" s="13" t="s">
        <v>273</v>
      </c>
      <c r="T147" s="13" t="s">
        <v>273</v>
      </c>
      <c r="U147" s="13" t="s">
        <v>273</v>
      </c>
      <c r="V147" s="13" t="s">
        <v>273</v>
      </c>
      <c r="W147" s="13" t="s">
        <v>273</v>
      </c>
      <c r="X147" s="11" t="s">
        <v>1797</v>
      </c>
      <c r="Y147" s="15"/>
      <c r="Z147" s="13" t="s">
        <v>273</v>
      </c>
      <c r="AA147" s="135" t="str">
        <f>_xlfn.IFS(AND(COUNTIF(Y147,"SCB*")=1, 'PCH176'!F68&gt;=2), "See the Notice *1", TRUE, "")</f>
        <v/>
      </c>
      <c r="AB147" s="14"/>
      <c r="AC147" s="11" t="s">
        <v>272</v>
      </c>
      <c r="AD147" s="11" t="s">
        <v>254</v>
      </c>
      <c r="AE147" s="14"/>
      <c r="AF147" s="14"/>
    </row>
    <row r="148" spans="2:32" x14ac:dyDescent="0.2">
      <c r="B148" s="11" t="s">
        <v>219</v>
      </c>
      <c r="C148" s="11">
        <v>139</v>
      </c>
      <c r="D148" s="11" t="s">
        <v>219</v>
      </c>
      <c r="E148" s="11" t="s">
        <v>918</v>
      </c>
      <c r="F148" s="11" t="s">
        <v>919</v>
      </c>
      <c r="G148" s="11" t="s">
        <v>920</v>
      </c>
      <c r="H148" s="11" t="s">
        <v>921</v>
      </c>
      <c r="I148" s="11" t="s">
        <v>1257</v>
      </c>
      <c r="J148" s="11" t="s">
        <v>1258</v>
      </c>
      <c r="K148" s="12" t="s">
        <v>273</v>
      </c>
      <c r="L148" s="12" t="s">
        <v>273</v>
      </c>
      <c r="M148" s="11" t="s">
        <v>49</v>
      </c>
      <c r="N148" s="12" t="s">
        <v>273</v>
      </c>
      <c r="O148" s="12" t="s">
        <v>273</v>
      </c>
      <c r="P148" s="12" t="s">
        <v>273</v>
      </c>
      <c r="Q148" s="13" t="s">
        <v>273</v>
      </c>
      <c r="R148" s="13" t="s">
        <v>273</v>
      </c>
      <c r="S148" s="13" t="s">
        <v>273</v>
      </c>
      <c r="T148" s="13" t="s">
        <v>273</v>
      </c>
      <c r="U148" s="13" t="s">
        <v>273</v>
      </c>
      <c r="V148" s="13" t="s">
        <v>273</v>
      </c>
      <c r="W148" s="13" t="s">
        <v>273</v>
      </c>
      <c r="X148" s="11" t="s">
        <v>1799</v>
      </c>
      <c r="Y148" s="15"/>
      <c r="Z148" s="13" t="s">
        <v>273</v>
      </c>
      <c r="AA148" s="135" t="str">
        <f>_xlfn.IFS(AND(COUNTIF(Y148,"SCB*")=1, 'PCH176'!F68&gt;=2), "See the Notice *1", TRUE, "")</f>
        <v/>
      </c>
      <c r="AB148" s="14"/>
      <c r="AC148" s="11" t="s">
        <v>272</v>
      </c>
      <c r="AD148" s="11" t="s">
        <v>254</v>
      </c>
      <c r="AE148" s="14"/>
      <c r="AF148" s="14"/>
    </row>
    <row r="149" spans="2:32" x14ac:dyDescent="0.2">
      <c r="B149" s="11" t="s">
        <v>220</v>
      </c>
      <c r="C149" s="11">
        <v>140</v>
      </c>
      <c r="D149" s="11" t="s">
        <v>220</v>
      </c>
      <c r="E149" s="11" t="s">
        <v>1083</v>
      </c>
      <c r="F149" s="11" t="s">
        <v>926</v>
      </c>
      <c r="G149" s="11" t="s">
        <v>1085</v>
      </c>
      <c r="H149" s="11" t="s">
        <v>928</v>
      </c>
      <c r="I149" s="11" t="s">
        <v>1259</v>
      </c>
      <c r="J149" s="12" t="s">
        <v>273</v>
      </c>
      <c r="K149" s="12" t="s">
        <v>273</v>
      </c>
      <c r="L149" s="12" t="s">
        <v>273</v>
      </c>
      <c r="M149" s="11" t="s">
        <v>52</v>
      </c>
      <c r="N149" s="12" t="s">
        <v>273</v>
      </c>
      <c r="O149" s="12" t="s">
        <v>273</v>
      </c>
      <c r="P149" s="12" t="s">
        <v>273</v>
      </c>
      <c r="Q149" s="13" t="s">
        <v>273</v>
      </c>
      <c r="R149" s="13" t="s">
        <v>273</v>
      </c>
      <c r="S149" s="13" t="s">
        <v>273</v>
      </c>
      <c r="T149" s="13" t="s">
        <v>273</v>
      </c>
      <c r="U149" s="13" t="s">
        <v>273</v>
      </c>
      <c r="V149" s="13" t="s">
        <v>273</v>
      </c>
      <c r="W149" s="13" t="s">
        <v>273</v>
      </c>
      <c r="X149" s="11" t="s">
        <v>1802</v>
      </c>
      <c r="Y149" s="15"/>
      <c r="Z149" s="13" t="s">
        <v>273</v>
      </c>
      <c r="AA149" s="135"/>
      <c r="AB149" s="14"/>
      <c r="AC149" s="11" t="s">
        <v>272</v>
      </c>
      <c r="AD149" s="11" t="s">
        <v>254</v>
      </c>
      <c r="AE149" s="14"/>
      <c r="AF149" s="14"/>
    </row>
    <row r="150" spans="2:32" x14ac:dyDescent="0.2">
      <c r="B150" s="16" t="s">
        <v>221</v>
      </c>
      <c r="C150" s="11">
        <v>141</v>
      </c>
      <c r="D150" s="16" t="s">
        <v>221</v>
      </c>
      <c r="E150" s="16" t="s">
        <v>1075</v>
      </c>
      <c r="F150" s="16" t="s">
        <v>1093</v>
      </c>
      <c r="G150" s="16" t="s">
        <v>1077</v>
      </c>
      <c r="H150" s="16" t="s">
        <v>1095</v>
      </c>
      <c r="I150" s="16" t="s">
        <v>1260</v>
      </c>
      <c r="J150" s="12" t="s">
        <v>273</v>
      </c>
      <c r="K150" s="12" t="s">
        <v>273</v>
      </c>
      <c r="L150" s="12" t="s">
        <v>273</v>
      </c>
      <c r="M150" s="16" t="s">
        <v>55</v>
      </c>
      <c r="N150" s="12" t="s">
        <v>273</v>
      </c>
      <c r="O150" s="12" t="s">
        <v>273</v>
      </c>
      <c r="P150" s="12" t="s">
        <v>273</v>
      </c>
      <c r="Q150" s="13" t="s">
        <v>273</v>
      </c>
      <c r="R150" s="13" t="s">
        <v>273</v>
      </c>
      <c r="S150" s="13" t="s">
        <v>273</v>
      </c>
      <c r="T150" s="13" t="s">
        <v>273</v>
      </c>
      <c r="U150" s="13" t="s">
        <v>273</v>
      </c>
      <c r="V150" s="13" t="s">
        <v>273</v>
      </c>
      <c r="W150" s="13" t="s">
        <v>273</v>
      </c>
      <c r="X150" s="11" t="s">
        <v>1804</v>
      </c>
      <c r="Y150" s="15"/>
      <c r="Z150" s="13" t="s">
        <v>273</v>
      </c>
      <c r="AA150" s="135"/>
      <c r="AB150" s="14"/>
      <c r="AC150" s="11" t="s">
        <v>272</v>
      </c>
      <c r="AD150" s="11" t="s">
        <v>254</v>
      </c>
      <c r="AE150" s="14"/>
      <c r="AF150" s="14"/>
    </row>
    <row r="151" spans="2:32" x14ac:dyDescent="0.2">
      <c r="B151" s="11" t="s">
        <v>222</v>
      </c>
      <c r="C151" s="11">
        <v>142</v>
      </c>
      <c r="D151" s="11" t="s">
        <v>222</v>
      </c>
      <c r="E151" s="11" t="s">
        <v>1072</v>
      </c>
      <c r="F151" s="11" t="s">
        <v>1084</v>
      </c>
      <c r="G151" s="11" t="s">
        <v>1073</v>
      </c>
      <c r="H151" s="11" t="s">
        <v>1086</v>
      </c>
      <c r="I151" s="12" t="s">
        <v>273</v>
      </c>
      <c r="J151" s="11" t="s">
        <v>1268</v>
      </c>
      <c r="K151" s="12" t="s">
        <v>273</v>
      </c>
      <c r="L151" s="11" t="s">
        <v>1269</v>
      </c>
      <c r="M151" s="12" t="s">
        <v>273</v>
      </c>
      <c r="N151" s="11" t="s">
        <v>209</v>
      </c>
      <c r="O151" s="12" t="s">
        <v>273</v>
      </c>
      <c r="P151" s="12" t="s">
        <v>273</v>
      </c>
      <c r="Q151" s="13" t="s">
        <v>273</v>
      </c>
      <c r="R151" s="13" t="s">
        <v>273</v>
      </c>
      <c r="S151" s="13" t="s">
        <v>273</v>
      </c>
      <c r="T151" s="13" t="s">
        <v>273</v>
      </c>
      <c r="U151" s="13" t="s">
        <v>273</v>
      </c>
      <c r="V151" s="13" t="s">
        <v>273</v>
      </c>
      <c r="W151" s="13" t="s">
        <v>273</v>
      </c>
      <c r="X151" s="13" t="s">
        <v>273</v>
      </c>
      <c r="Y151" s="15"/>
      <c r="Z151" s="13" t="s">
        <v>273</v>
      </c>
      <c r="AA151" s="135" t="str">
        <f>_xlfn.IFS(AND(COUNTIF(Y151,"SCB*")=1, 'PCH176'!E68&gt;=2), "See the Notice *1", TRUE, "")</f>
        <v/>
      </c>
      <c r="AB151" s="14"/>
      <c r="AC151" s="11" t="s">
        <v>272</v>
      </c>
      <c r="AD151" s="11" t="s">
        <v>254</v>
      </c>
      <c r="AE151" s="14"/>
      <c r="AF151" s="14"/>
    </row>
    <row r="152" spans="2:32" x14ac:dyDescent="0.2">
      <c r="B152" s="11" t="s">
        <v>223</v>
      </c>
      <c r="C152" s="11">
        <v>143</v>
      </c>
      <c r="D152" s="11" t="s">
        <v>223</v>
      </c>
      <c r="E152" s="11" t="s">
        <v>1063</v>
      </c>
      <c r="F152" s="11" t="s">
        <v>1076</v>
      </c>
      <c r="G152" s="11" t="s">
        <v>1064</v>
      </c>
      <c r="H152" s="11" t="s">
        <v>1078</v>
      </c>
      <c r="I152" s="12" t="s">
        <v>273</v>
      </c>
      <c r="J152" s="11" t="s">
        <v>1270</v>
      </c>
      <c r="K152" s="11" t="s">
        <v>1271</v>
      </c>
      <c r="L152" s="11" t="s">
        <v>1272</v>
      </c>
      <c r="M152" s="12" t="s">
        <v>273</v>
      </c>
      <c r="N152" s="11" t="s">
        <v>211</v>
      </c>
      <c r="O152" s="12" t="s">
        <v>273</v>
      </c>
      <c r="P152" s="12" t="s">
        <v>273</v>
      </c>
      <c r="Q152" s="13" t="s">
        <v>273</v>
      </c>
      <c r="R152" s="13" t="s">
        <v>273</v>
      </c>
      <c r="S152" s="13" t="s">
        <v>273</v>
      </c>
      <c r="T152" s="13" t="s">
        <v>273</v>
      </c>
      <c r="U152" s="13" t="s">
        <v>273</v>
      </c>
      <c r="V152" s="13" t="s">
        <v>273</v>
      </c>
      <c r="W152" s="13" t="s">
        <v>273</v>
      </c>
      <c r="X152" s="13" t="s">
        <v>273</v>
      </c>
      <c r="Y152" s="15"/>
      <c r="Z152" s="13" t="s">
        <v>273</v>
      </c>
      <c r="AA152" s="135" t="str">
        <f>_xlfn.IFS(AND(COUNTIF(Y152,"SCB*")=1, 'PCH176'!E68&gt;=2), "See the Notice *1", TRUE, "")</f>
        <v/>
      </c>
      <c r="AB152" s="14"/>
      <c r="AC152" s="11" t="s">
        <v>272</v>
      </c>
      <c r="AD152" s="11" t="s">
        <v>254</v>
      </c>
      <c r="AE152" s="14"/>
      <c r="AF152" s="14"/>
    </row>
    <row r="153" spans="2:32" x14ac:dyDescent="0.2">
      <c r="B153" s="11" t="s">
        <v>224</v>
      </c>
      <c r="C153" s="11">
        <v>144</v>
      </c>
      <c r="D153" s="11" t="s">
        <v>224</v>
      </c>
      <c r="E153" s="11" t="s">
        <v>1051</v>
      </c>
      <c r="F153" s="11" t="s">
        <v>1067</v>
      </c>
      <c r="G153" s="11" t="s">
        <v>1053</v>
      </c>
      <c r="H153" s="11" t="s">
        <v>1069</v>
      </c>
      <c r="I153" s="12" t="s">
        <v>273</v>
      </c>
      <c r="J153" s="11" t="s">
        <v>1273</v>
      </c>
      <c r="K153" s="11" t="s">
        <v>1274</v>
      </c>
      <c r="L153" s="11" t="s">
        <v>1275</v>
      </c>
      <c r="M153" s="12" t="s">
        <v>273</v>
      </c>
      <c r="N153" s="12" t="s">
        <v>273</v>
      </c>
      <c r="O153" s="12" t="s">
        <v>273</v>
      </c>
      <c r="P153" s="12" t="s">
        <v>273</v>
      </c>
      <c r="Q153" s="13" t="s">
        <v>273</v>
      </c>
      <c r="R153" s="13" t="s">
        <v>273</v>
      </c>
      <c r="S153" s="13" t="s">
        <v>273</v>
      </c>
      <c r="T153" s="13" t="s">
        <v>273</v>
      </c>
      <c r="U153" s="13" t="s">
        <v>273</v>
      </c>
      <c r="V153" s="13" t="s">
        <v>273</v>
      </c>
      <c r="W153" s="13" t="s">
        <v>273</v>
      </c>
      <c r="X153" s="13" t="s">
        <v>273</v>
      </c>
      <c r="Y153" s="15"/>
      <c r="Z153" s="13" t="s">
        <v>273</v>
      </c>
      <c r="AA153" s="135" t="str">
        <f>_xlfn.IFS(AND(COUNTIF(Y153,"SCB*")=1, 'PCH176'!E68&gt;=2), "See the Notice *1", TRUE, "")</f>
        <v/>
      </c>
      <c r="AB153" s="14"/>
      <c r="AC153" s="11" t="s">
        <v>272</v>
      </c>
      <c r="AD153" s="11" t="s">
        <v>254</v>
      </c>
      <c r="AE153" s="14"/>
      <c r="AF153" s="14"/>
    </row>
    <row r="154" spans="2:32" x14ac:dyDescent="0.2">
      <c r="B154" s="11" t="s">
        <v>225</v>
      </c>
      <c r="C154" s="11">
        <v>145</v>
      </c>
      <c r="D154" s="11" t="s">
        <v>225</v>
      </c>
      <c r="E154" s="11" t="s">
        <v>1033</v>
      </c>
      <c r="F154" s="11" t="s">
        <v>1058</v>
      </c>
      <c r="G154" s="11" t="s">
        <v>1035</v>
      </c>
      <c r="H154" s="11" t="s">
        <v>1060</v>
      </c>
      <c r="I154" s="12" t="s">
        <v>273</v>
      </c>
      <c r="J154" s="11" t="s">
        <v>1276</v>
      </c>
      <c r="K154" s="12" t="s">
        <v>273</v>
      </c>
      <c r="L154" s="11" t="s">
        <v>1277</v>
      </c>
      <c r="M154" s="12" t="s">
        <v>273</v>
      </c>
      <c r="N154" s="11" t="s">
        <v>1278</v>
      </c>
      <c r="O154" s="12" t="s">
        <v>273</v>
      </c>
      <c r="P154" s="12" t="s">
        <v>273</v>
      </c>
      <c r="Q154" s="13" t="s">
        <v>273</v>
      </c>
      <c r="R154" s="13" t="s">
        <v>273</v>
      </c>
      <c r="S154" s="13" t="s">
        <v>273</v>
      </c>
      <c r="T154" s="13" t="s">
        <v>273</v>
      </c>
      <c r="U154" s="13" t="s">
        <v>273</v>
      </c>
      <c r="V154" s="13" t="s">
        <v>273</v>
      </c>
      <c r="W154" s="13" t="s">
        <v>273</v>
      </c>
      <c r="X154" s="13" t="s">
        <v>273</v>
      </c>
      <c r="Y154" s="15"/>
      <c r="Z154" s="13" t="s">
        <v>273</v>
      </c>
      <c r="AA154" s="135" t="str">
        <f>_xlfn.IFS(AND(COUNTIF(Y154,"SCB*")=1, 'PCH176'!E68&gt;=2), "See the Notice *1", TRUE, "")</f>
        <v/>
      </c>
      <c r="AB154" s="14"/>
      <c r="AC154" s="11" t="s">
        <v>272</v>
      </c>
      <c r="AD154" s="11" t="s">
        <v>254</v>
      </c>
      <c r="AE154" s="14"/>
      <c r="AF154" s="14"/>
    </row>
    <row r="155" spans="2:32" x14ac:dyDescent="0.2">
      <c r="B155" s="11" t="s">
        <v>226</v>
      </c>
      <c r="C155" s="11">
        <v>146</v>
      </c>
      <c r="D155" s="11" t="s">
        <v>226</v>
      </c>
      <c r="E155" s="11" t="s">
        <v>1021</v>
      </c>
      <c r="F155" s="11" t="s">
        <v>1043</v>
      </c>
      <c r="G155" s="11" t="s">
        <v>1023</v>
      </c>
      <c r="H155" s="11" t="s">
        <v>1045</v>
      </c>
      <c r="I155" s="12" t="s">
        <v>273</v>
      </c>
      <c r="J155" s="12" t="s">
        <v>273</v>
      </c>
      <c r="K155" s="12" t="s">
        <v>273</v>
      </c>
      <c r="L155" s="11" t="s">
        <v>1279</v>
      </c>
      <c r="M155" s="12" t="s">
        <v>273</v>
      </c>
      <c r="N155" s="11" t="s">
        <v>1280</v>
      </c>
      <c r="O155" s="12" t="s">
        <v>273</v>
      </c>
      <c r="P155" s="12" t="s">
        <v>273</v>
      </c>
      <c r="Q155" s="13" t="s">
        <v>273</v>
      </c>
      <c r="R155" s="13" t="s">
        <v>273</v>
      </c>
      <c r="S155" s="13" t="s">
        <v>273</v>
      </c>
      <c r="T155" s="13" t="s">
        <v>273</v>
      </c>
      <c r="U155" s="13" t="s">
        <v>273</v>
      </c>
      <c r="V155" s="13" t="s">
        <v>273</v>
      </c>
      <c r="W155" s="13" t="s">
        <v>273</v>
      </c>
      <c r="X155" s="13" t="s">
        <v>273</v>
      </c>
      <c r="Y155" s="15"/>
      <c r="Z155" s="13" t="s">
        <v>273</v>
      </c>
      <c r="AA155" s="135" t="str">
        <f>_xlfn.IFS(AND(COUNTIF(Y155,"SCB*")=1, 'PCH176'!E68&gt;=2), "See the Notice *1", TRUE, "")</f>
        <v/>
      </c>
      <c r="AB155" s="14"/>
      <c r="AC155" s="11" t="s">
        <v>272</v>
      </c>
      <c r="AD155" s="11" t="s">
        <v>254</v>
      </c>
      <c r="AE155" s="14"/>
      <c r="AF155" s="14"/>
    </row>
    <row r="156" spans="2:32" x14ac:dyDescent="0.2">
      <c r="B156" s="11" t="s">
        <v>227</v>
      </c>
      <c r="C156" s="11">
        <v>147</v>
      </c>
      <c r="D156" s="11" t="s">
        <v>227</v>
      </c>
      <c r="E156" s="11" t="s">
        <v>1017</v>
      </c>
      <c r="F156" s="11" t="s">
        <v>1026</v>
      </c>
      <c r="G156" s="11" t="s">
        <v>1019</v>
      </c>
      <c r="H156" s="11" t="s">
        <v>1028</v>
      </c>
      <c r="I156" s="12" t="s">
        <v>273</v>
      </c>
      <c r="J156" s="12" t="s">
        <v>273</v>
      </c>
      <c r="K156" s="12" t="s">
        <v>273</v>
      </c>
      <c r="L156" s="11" t="s">
        <v>1281</v>
      </c>
      <c r="M156" s="12" t="s">
        <v>273</v>
      </c>
      <c r="N156" s="12" t="s">
        <v>273</v>
      </c>
      <c r="O156" s="12" t="s">
        <v>273</v>
      </c>
      <c r="P156" s="12" t="s">
        <v>273</v>
      </c>
      <c r="Q156" s="13" t="s">
        <v>273</v>
      </c>
      <c r="R156" s="13" t="s">
        <v>273</v>
      </c>
      <c r="S156" s="13" t="s">
        <v>273</v>
      </c>
      <c r="T156" s="13" t="s">
        <v>273</v>
      </c>
      <c r="U156" s="13" t="s">
        <v>273</v>
      </c>
      <c r="V156" s="13" t="s">
        <v>273</v>
      </c>
      <c r="W156" s="13" t="s">
        <v>273</v>
      </c>
      <c r="X156" s="11" t="s">
        <v>345</v>
      </c>
      <c r="Y156" s="15"/>
      <c r="Z156" s="13" t="s">
        <v>273</v>
      </c>
      <c r="AA156" s="135" t="str">
        <f>_xlfn.IFS(AND(COUNTIF(Y156,"SCB*")=1, 'PCH176'!E68&gt;=2), "See the Notice *1", TRUE, "")</f>
        <v/>
      </c>
      <c r="AB156" s="14"/>
      <c r="AC156" s="11" t="s">
        <v>272</v>
      </c>
      <c r="AD156" s="11" t="s">
        <v>254</v>
      </c>
      <c r="AE156" s="14"/>
      <c r="AF156" s="14"/>
    </row>
    <row r="157" spans="2:32" x14ac:dyDescent="0.2">
      <c r="B157" s="11" t="s">
        <v>228</v>
      </c>
      <c r="C157" s="16">
        <v>148</v>
      </c>
      <c r="D157" s="11" t="s">
        <v>228</v>
      </c>
      <c r="E157" s="11" t="s">
        <v>1013</v>
      </c>
      <c r="F157" s="11" t="s">
        <v>1022</v>
      </c>
      <c r="G157" s="11" t="s">
        <v>1015</v>
      </c>
      <c r="H157" s="11" t="s">
        <v>1024</v>
      </c>
      <c r="I157" s="12" t="s">
        <v>273</v>
      </c>
      <c r="J157" s="12" t="s">
        <v>273</v>
      </c>
      <c r="K157" s="12" t="s">
        <v>273</v>
      </c>
      <c r="L157" s="12" t="s">
        <v>273</v>
      </c>
      <c r="M157" s="12" t="s">
        <v>273</v>
      </c>
      <c r="N157" s="12" t="s">
        <v>273</v>
      </c>
      <c r="O157" s="12" t="s">
        <v>273</v>
      </c>
      <c r="P157" s="12" t="s">
        <v>273</v>
      </c>
      <c r="Q157" s="13" t="s">
        <v>273</v>
      </c>
      <c r="R157" s="13" t="s">
        <v>273</v>
      </c>
      <c r="S157" s="13" t="s">
        <v>273</v>
      </c>
      <c r="T157" s="13" t="s">
        <v>273</v>
      </c>
      <c r="U157" s="13" t="s">
        <v>273</v>
      </c>
      <c r="V157" s="13" t="s">
        <v>273</v>
      </c>
      <c r="W157" s="13" t="s">
        <v>273</v>
      </c>
      <c r="X157" s="16" t="s">
        <v>346</v>
      </c>
      <c r="Y157" s="15"/>
      <c r="Z157" s="13" t="s">
        <v>273</v>
      </c>
      <c r="AA157" s="135"/>
      <c r="AB157" s="14"/>
      <c r="AC157" s="11" t="s">
        <v>272</v>
      </c>
      <c r="AD157" s="11" t="s">
        <v>254</v>
      </c>
      <c r="AE157" s="14"/>
      <c r="AF157" s="14"/>
    </row>
    <row r="158" spans="2:32" x14ac:dyDescent="0.2">
      <c r="B158" s="11" t="s">
        <v>229</v>
      </c>
      <c r="C158" s="11">
        <v>149</v>
      </c>
      <c r="D158" s="11" t="s">
        <v>229</v>
      </c>
      <c r="E158" s="11" t="s">
        <v>1006</v>
      </c>
      <c r="F158" s="11" t="s">
        <v>1018</v>
      </c>
      <c r="G158" s="11" t="s">
        <v>1008</v>
      </c>
      <c r="H158" s="11" t="s">
        <v>1020</v>
      </c>
      <c r="I158" s="12" t="s">
        <v>273</v>
      </c>
      <c r="J158" s="12" t="s">
        <v>273</v>
      </c>
      <c r="K158" s="12" t="s">
        <v>273</v>
      </c>
      <c r="L158" s="12" t="s">
        <v>273</v>
      </c>
      <c r="M158" s="12" t="s">
        <v>273</v>
      </c>
      <c r="N158" s="12" t="s">
        <v>273</v>
      </c>
      <c r="O158" s="11" t="s">
        <v>230</v>
      </c>
      <c r="P158" s="12" t="s">
        <v>273</v>
      </c>
      <c r="Q158" s="13" t="s">
        <v>273</v>
      </c>
      <c r="R158" s="13" t="s">
        <v>273</v>
      </c>
      <c r="S158" s="13" t="s">
        <v>273</v>
      </c>
      <c r="T158" s="11" t="s">
        <v>698</v>
      </c>
      <c r="U158" s="13" t="s">
        <v>273</v>
      </c>
      <c r="V158" s="13" t="s">
        <v>273</v>
      </c>
      <c r="W158" s="13" t="s">
        <v>273</v>
      </c>
      <c r="X158" s="11" t="s">
        <v>347</v>
      </c>
      <c r="Y158" s="15"/>
      <c r="Z158" s="13" t="s">
        <v>273</v>
      </c>
      <c r="AA158" s="135"/>
      <c r="AB158" s="14"/>
      <c r="AC158" s="11" t="s">
        <v>272</v>
      </c>
      <c r="AD158" s="11" t="s">
        <v>254</v>
      </c>
      <c r="AE158" s="14"/>
      <c r="AF158" s="14"/>
    </row>
    <row r="159" spans="2:32" x14ac:dyDescent="0.2">
      <c r="B159" s="11" t="s">
        <v>231</v>
      </c>
      <c r="C159" s="11">
        <v>150</v>
      </c>
      <c r="D159" s="11" t="s">
        <v>231</v>
      </c>
      <c r="E159" s="11" t="s">
        <v>998</v>
      </c>
      <c r="F159" s="11" t="s">
        <v>1014</v>
      </c>
      <c r="G159" s="11" t="s">
        <v>1000</v>
      </c>
      <c r="H159" s="11" t="s">
        <v>1016</v>
      </c>
      <c r="I159" s="12" t="s">
        <v>273</v>
      </c>
      <c r="J159" s="12" t="s">
        <v>273</v>
      </c>
      <c r="K159" s="12" t="s">
        <v>273</v>
      </c>
      <c r="L159" s="12" t="s">
        <v>273</v>
      </c>
      <c r="M159" s="12" t="s">
        <v>273</v>
      </c>
      <c r="N159" s="12" t="s">
        <v>273</v>
      </c>
      <c r="O159" s="12" t="s">
        <v>273</v>
      </c>
      <c r="P159" s="12" t="s">
        <v>273</v>
      </c>
      <c r="Q159" s="13" t="s">
        <v>273</v>
      </c>
      <c r="R159" s="13" t="s">
        <v>273</v>
      </c>
      <c r="S159" s="13" t="s">
        <v>273</v>
      </c>
      <c r="T159" s="13" t="s">
        <v>273</v>
      </c>
      <c r="U159" s="13" t="s">
        <v>273</v>
      </c>
      <c r="V159" s="13" t="s">
        <v>273</v>
      </c>
      <c r="W159" s="13" t="s">
        <v>273</v>
      </c>
      <c r="X159" s="11" t="s">
        <v>348</v>
      </c>
      <c r="Y159" s="15"/>
      <c r="Z159" s="13" t="s">
        <v>273</v>
      </c>
      <c r="AA159" s="135"/>
      <c r="AB159" s="14"/>
      <c r="AC159" s="11" t="s">
        <v>272</v>
      </c>
      <c r="AD159" s="11" t="s">
        <v>254</v>
      </c>
      <c r="AE159" s="14"/>
      <c r="AF159" s="14"/>
    </row>
    <row r="160" spans="2:32" x14ac:dyDescent="0.2">
      <c r="B160" s="11" t="s">
        <v>232</v>
      </c>
      <c r="C160" s="11">
        <v>151</v>
      </c>
      <c r="D160" s="11" t="s">
        <v>232</v>
      </c>
      <c r="E160" s="11" t="s">
        <v>984</v>
      </c>
      <c r="F160" s="11" t="s">
        <v>1007</v>
      </c>
      <c r="G160" s="11" t="s">
        <v>986</v>
      </c>
      <c r="H160" s="11" t="s">
        <v>1009</v>
      </c>
      <c r="I160" s="12" t="s">
        <v>273</v>
      </c>
      <c r="J160" s="12" t="s">
        <v>273</v>
      </c>
      <c r="K160" s="12" t="s">
        <v>273</v>
      </c>
      <c r="L160" s="12" t="s">
        <v>273</v>
      </c>
      <c r="M160" s="12" t="s">
        <v>273</v>
      </c>
      <c r="N160" s="12" t="s">
        <v>273</v>
      </c>
      <c r="O160" s="12" t="s">
        <v>273</v>
      </c>
      <c r="P160" s="12" t="s">
        <v>273</v>
      </c>
      <c r="Q160" s="13" t="s">
        <v>273</v>
      </c>
      <c r="R160" s="13" t="s">
        <v>273</v>
      </c>
      <c r="S160" s="13" t="s">
        <v>273</v>
      </c>
      <c r="T160" s="13" t="s">
        <v>273</v>
      </c>
      <c r="U160" s="13" t="s">
        <v>273</v>
      </c>
      <c r="V160" s="13" t="s">
        <v>273</v>
      </c>
      <c r="W160" s="13" t="s">
        <v>273</v>
      </c>
      <c r="X160" s="11" t="s">
        <v>350</v>
      </c>
      <c r="Y160" s="15"/>
      <c r="Z160" s="13" t="s">
        <v>273</v>
      </c>
      <c r="AA160" s="135"/>
      <c r="AB160" s="14"/>
      <c r="AC160" s="11" t="s">
        <v>272</v>
      </c>
      <c r="AD160" s="11" t="s">
        <v>254</v>
      </c>
      <c r="AE160" s="14"/>
      <c r="AF160" s="14"/>
    </row>
    <row r="161" spans="2:32" x14ac:dyDescent="0.2">
      <c r="B161" s="40" t="s">
        <v>261</v>
      </c>
      <c r="C161" s="27">
        <v>152</v>
      </c>
      <c r="D161" s="40" t="s">
        <v>261</v>
      </c>
      <c r="E161" s="13" t="s">
        <v>273</v>
      </c>
      <c r="F161" s="13" t="s">
        <v>273</v>
      </c>
      <c r="G161" s="13" t="s">
        <v>273</v>
      </c>
      <c r="H161" s="13" t="s">
        <v>273</v>
      </c>
      <c r="I161" s="13" t="s">
        <v>273</v>
      </c>
      <c r="J161" s="13" t="s">
        <v>273</v>
      </c>
      <c r="K161" s="13" t="s">
        <v>273</v>
      </c>
      <c r="L161" s="13" t="s">
        <v>273</v>
      </c>
      <c r="M161" s="13" t="s">
        <v>273</v>
      </c>
      <c r="N161" s="13" t="s">
        <v>273</v>
      </c>
      <c r="O161" s="13" t="s">
        <v>273</v>
      </c>
      <c r="P161" s="13" t="s">
        <v>273</v>
      </c>
      <c r="Q161" s="13" t="s">
        <v>273</v>
      </c>
      <c r="R161" s="13" t="s">
        <v>273</v>
      </c>
      <c r="S161" s="13" t="s">
        <v>273</v>
      </c>
      <c r="T161" s="13" t="s">
        <v>273</v>
      </c>
      <c r="U161" s="13" t="s">
        <v>273</v>
      </c>
      <c r="V161" s="13" t="s">
        <v>273</v>
      </c>
      <c r="W161" s="13" t="s">
        <v>273</v>
      </c>
      <c r="X161" s="13" t="s">
        <v>273</v>
      </c>
      <c r="Y161" s="25" t="s">
        <v>261</v>
      </c>
      <c r="Z161" s="13" t="s">
        <v>273</v>
      </c>
      <c r="AA161" s="135"/>
      <c r="AB161" s="14" t="s">
        <v>508</v>
      </c>
      <c r="AC161" s="15" t="s">
        <v>510</v>
      </c>
      <c r="AD161" s="14" t="s">
        <v>510</v>
      </c>
      <c r="AE161" s="14"/>
      <c r="AF161" s="14"/>
    </row>
    <row r="162" spans="2:32" x14ac:dyDescent="0.2">
      <c r="B162" s="35" t="s">
        <v>254</v>
      </c>
      <c r="C162" s="27">
        <v>153</v>
      </c>
      <c r="D162" s="13" t="s">
        <v>273</v>
      </c>
      <c r="E162" s="13" t="s">
        <v>273</v>
      </c>
      <c r="F162" s="13" t="s">
        <v>273</v>
      </c>
      <c r="G162" s="13" t="s">
        <v>273</v>
      </c>
      <c r="H162" s="13" t="s">
        <v>273</v>
      </c>
      <c r="I162" s="13" t="s">
        <v>273</v>
      </c>
      <c r="J162" s="13" t="s">
        <v>273</v>
      </c>
      <c r="K162" s="13" t="s">
        <v>273</v>
      </c>
      <c r="L162" s="13" t="s">
        <v>273</v>
      </c>
      <c r="M162" s="13" t="s">
        <v>273</v>
      </c>
      <c r="N162" s="13" t="s">
        <v>273</v>
      </c>
      <c r="O162" s="13" t="s">
        <v>273</v>
      </c>
      <c r="P162" s="13" t="s">
        <v>273</v>
      </c>
      <c r="Q162" s="13" t="s">
        <v>273</v>
      </c>
      <c r="R162" s="13" t="s">
        <v>273</v>
      </c>
      <c r="S162" s="13" t="s">
        <v>273</v>
      </c>
      <c r="T162" s="13" t="s">
        <v>273</v>
      </c>
      <c r="U162" s="13" t="s">
        <v>273</v>
      </c>
      <c r="V162" s="13" t="s">
        <v>273</v>
      </c>
      <c r="W162" s="13" t="s">
        <v>273</v>
      </c>
      <c r="X162" s="13" t="s">
        <v>273</v>
      </c>
      <c r="Y162" s="21" t="s">
        <v>254</v>
      </c>
      <c r="Z162" s="13" t="s">
        <v>273</v>
      </c>
      <c r="AA162" s="135"/>
      <c r="AB162" s="14" t="s">
        <v>500</v>
      </c>
      <c r="AC162" s="15" t="s">
        <v>510</v>
      </c>
      <c r="AD162" s="14" t="s">
        <v>510</v>
      </c>
      <c r="AE162" s="14"/>
      <c r="AF162" s="14"/>
    </row>
    <row r="163" spans="2:32" x14ac:dyDescent="0.2">
      <c r="B163" s="34" t="s">
        <v>253</v>
      </c>
      <c r="C163" s="27">
        <v>154</v>
      </c>
      <c r="D163" s="13" t="s">
        <v>273</v>
      </c>
      <c r="E163" s="13" t="s">
        <v>273</v>
      </c>
      <c r="F163" s="13" t="s">
        <v>273</v>
      </c>
      <c r="G163" s="13" t="s">
        <v>273</v>
      </c>
      <c r="H163" s="13" t="s">
        <v>273</v>
      </c>
      <c r="I163" s="13" t="s">
        <v>273</v>
      </c>
      <c r="J163" s="13" t="s">
        <v>273</v>
      </c>
      <c r="K163" s="13" t="s">
        <v>273</v>
      </c>
      <c r="L163" s="13" t="s">
        <v>273</v>
      </c>
      <c r="M163" s="13" t="s">
        <v>273</v>
      </c>
      <c r="N163" s="13" t="s">
        <v>273</v>
      </c>
      <c r="O163" s="13" t="s">
        <v>273</v>
      </c>
      <c r="P163" s="13" t="s">
        <v>273</v>
      </c>
      <c r="Q163" s="13" t="s">
        <v>273</v>
      </c>
      <c r="R163" s="13" t="s">
        <v>273</v>
      </c>
      <c r="S163" s="13" t="s">
        <v>273</v>
      </c>
      <c r="T163" s="13" t="s">
        <v>273</v>
      </c>
      <c r="U163" s="13" t="s">
        <v>273</v>
      </c>
      <c r="V163" s="13" t="s">
        <v>273</v>
      </c>
      <c r="W163" s="13" t="s">
        <v>273</v>
      </c>
      <c r="X163" s="13" t="s">
        <v>273</v>
      </c>
      <c r="Y163" s="19" t="s">
        <v>253</v>
      </c>
      <c r="Z163" s="13" t="s">
        <v>273</v>
      </c>
      <c r="AA163" s="135"/>
      <c r="AB163" s="14" t="s">
        <v>501</v>
      </c>
      <c r="AC163" s="15" t="s">
        <v>510</v>
      </c>
      <c r="AD163" s="14" t="s">
        <v>510</v>
      </c>
      <c r="AE163" s="14"/>
      <c r="AF163" s="14"/>
    </row>
    <row r="164" spans="2:32" x14ac:dyDescent="0.2">
      <c r="B164" s="34" t="s">
        <v>253</v>
      </c>
      <c r="C164" s="27">
        <v>155</v>
      </c>
      <c r="D164" s="13" t="s">
        <v>273</v>
      </c>
      <c r="E164" s="13" t="s">
        <v>273</v>
      </c>
      <c r="F164" s="13" t="s">
        <v>273</v>
      </c>
      <c r="G164" s="13" t="s">
        <v>273</v>
      </c>
      <c r="H164" s="13" t="s">
        <v>273</v>
      </c>
      <c r="I164" s="13" t="s">
        <v>273</v>
      </c>
      <c r="J164" s="13" t="s">
        <v>273</v>
      </c>
      <c r="K164" s="13" t="s">
        <v>273</v>
      </c>
      <c r="L164" s="13" t="s">
        <v>273</v>
      </c>
      <c r="M164" s="13" t="s">
        <v>273</v>
      </c>
      <c r="N164" s="13" t="s">
        <v>273</v>
      </c>
      <c r="O164" s="13" t="s">
        <v>273</v>
      </c>
      <c r="P164" s="13" t="s">
        <v>273</v>
      </c>
      <c r="Q164" s="13" t="s">
        <v>273</v>
      </c>
      <c r="R164" s="13" t="s">
        <v>273</v>
      </c>
      <c r="S164" s="13" t="s">
        <v>273</v>
      </c>
      <c r="T164" s="13" t="s">
        <v>273</v>
      </c>
      <c r="U164" s="13" t="s">
        <v>273</v>
      </c>
      <c r="V164" s="13" t="s">
        <v>273</v>
      </c>
      <c r="W164" s="13" t="s">
        <v>273</v>
      </c>
      <c r="X164" s="13" t="s">
        <v>273</v>
      </c>
      <c r="Y164" s="19" t="s">
        <v>253</v>
      </c>
      <c r="Z164" s="13" t="s">
        <v>273</v>
      </c>
      <c r="AA164" s="135"/>
      <c r="AB164" s="14" t="s">
        <v>501</v>
      </c>
      <c r="AC164" s="15" t="s">
        <v>510</v>
      </c>
      <c r="AD164" s="14" t="s">
        <v>510</v>
      </c>
      <c r="AE164" s="14"/>
      <c r="AF164" s="14"/>
    </row>
    <row r="165" spans="2:32" x14ac:dyDescent="0.2">
      <c r="B165" s="35" t="s">
        <v>256</v>
      </c>
      <c r="C165" s="27">
        <v>156</v>
      </c>
      <c r="D165" s="13" t="s">
        <v>273</v>
      </c>
      <c r="E165" s="13" t="s">
        <v>273</v>
      </c>
      <c r="F165" s="13" t="s">
        <v>273</v>
      </c>
      <c r="G165" s="13" t="s">
        <v>273</v>
      </c>
      <c r="H165" s="13" t="s">
        <v>273</v>
      </c>
      <c r="I165" s="13" t="s">
        <v>273</v>
      </c>
      <c r="J165" s="13" t="s">
        <v>273</v>
      </c>
      <c r="K165" s="13" t="s">
        <v>273</v>
      </c>
      <c r="L165" s="13" t="s">
        <v>273</v>
      </c>
      <c r="M165" s="13" t="s">
        <v>273</v>
      </c>
      <c r="N165" s="13" t="s">
        <v>273</v>
      </c>
      <c r="O165" s="13" t="s">
        <v>273</v>
      </c>
      <c r="P165" s="13" t="s">
        <v>273</v>
      </c>
      <c r="Q165" s="13" t="s">
        <v>273</v>
      </c>
      <c r="R165" s="13" t="s">
        <v>273</v>
      </c>
      <c r="S165" s="13" t="s">
        <v>273</v>
      </c>
      <c r="T165" s="13" t="s">
        <v>273</v>
      </c>
      <c r="U165" s="13" t="s">
        <v>273</v>
      </c>
      <c r="V165" s="13" t="s">
        <v>273</v>
      </c>
      <c r="W165" s="13" t="s">
        <v>273</v>
      </c>
      <c r="X165" s="13" t="s">
        <v>273</v>
      </c>
      <c r="Y165" s="21" t="s">
        <v>256</v>
      </c>
      <c r="Z165" s="13" t="s">
        <v>273</v>
      </c>
      <c r="AA165" s="135"/>
      <c r="AB165" s="14" t="s">
        <v>503</v>
      </c>
      <c r="AC165" s="15" t="s">
        <v>510</v>
      </c>
      <c r="AD165" s="14" t="s">
        <v>510</v>
      </c>
      <c r="AE165" s="14"/>
      <c r="AF165" s="14"/>
    </row>
    <row r="166" spans="2:32" x14ac:dyDescent="0.2">
      <c r="B166" s="11" t="s">
        <v>233</v>
      </c>
      <c r="C166" s="11">
        <v>157</v>
      </c>
      <c r="D166" s="11" t="s">
        <v>233</v>
      </c>
      <c r="E166" s="11" t="s">
        <v>975</v>
      </c>
      <c r="F166" s="11" t="s">
        <v>999</v>
      </c>
      <c r="G166" s="11" t="s">
        <v>977</v>
      </c>
      <c r="H166" s="11" t="s">
        <v>1001</v>
      </c>
      <c r="I166" s="12" t="s">
        <v>273</v>
      </c>
      <c r="J166" s="12" t="s">
        <v>273</v>
      </c>
      <c r="K166" s="11" t="s">
        <v>970</v>
      </c>
      <c r="L166" s="11" t="s">
        <v>944</v>
      </c>
      <c r="M166" s="11" t="s">
        <v>38</v>
      </c>
      <c r="N166" s="11" t="s">
        <v>191</v>
      </c>
      <c r="O166" s="11" t="s">
        <v>946</v>
      </c>
      <c r="P166" s="11" t="s">
        <v>973</v>
      </c>
      <c r="Q166" s="11" t="s">
        <v>1282</v>
      </c>
      <c r="R166" s="13" t="s">
        <v>273</v>
      </c>
      <c r="S166" s="13" t="s">
        <v>273</v>
      </c>
      <c r="T166" s="11" t="s">
        <v>1310</v>
      </c>
      <c r="U166" s="13" t="s">
        <v>273</v>
      </c>
      <c r="V166" s="13" t="s">
        <v>273</v>
      </c>
      <c r="W166" s="13" t="s">
        <v>273</v>
      </c>
      <c r="X166" s="13" t="s">
        <v>273</v>
      </c>
      <c r="Y166" s="15"/>
      <c r="Z166" s="13" t="s">
        <v>273</v>
      </c>
      <c r="AA166" s="135"/>
      <c r="AB166" s="14"/>
      <c r="AC166" s="11" t="s">
        <v>272</v>
      </c>
      <c r="AD166" s="11" t="s">
        <v>254</v>
      </c>
      <c r="AE166" s="14"/>
      <c r="AF166" s="14"/>
    </row>
    <row r="167" spans="2:32" x14ac:dyDescent="0.2">
      <c r="B167" s="11" t="s">
        <v>234</v>
      </c>
      <c r="C167" s="11">
        <v>158</v>
      </c>
      <c r="D167" s="11" t="s">
        <v>234</v>
      </c>
      <c r="E167" s="11" t="s">
        <v>967</v>
      </c>
      <c r="F167" s="11" t="s">
        <v>985</v>
      </c>
      <c r="G167" s="11" t="s">
        <v>968</v>
      </c>
      <c r="H167" s="11" t="s">
        <v>987</v>
      </c>
      <c r="I167" s="12" t="s">
        <v>273</v>
      </c>
      <c r="J167" s="12" t="s">
        <v>273</v>
      </c>
      <c r="K167" s="12" t="s">
        <v>273</v>
      </c>
      <c r="L167" s="12" t="s">
        <v>273</v>
      </c>
      <c r="M167" s="11" t="s">
        <v>42</v>
      </c>
      <c r="N167" s="11" t="s">
        <v>941</v>
      </c>
      <c r="O167" s="12" t="s">
        <v>273</v>
      </c>
      <c r="P167" s="12" t="s">
        <v>273</v>
      </c>
      <c r="Q167" s="13" t="s">
        <v>273</v>
      </c>
      <c r="R167" s="13" t="s">
        <v>273</v>
      </c>
      <c r="S167" s="13" t="s">
        <v>273</v>
      </c>
      <c r="T167" s="13" t="s">
        <v>273</v>
      </c>
      <c r="U167" s="13" t="s">
        <v>273</v>
      </c>
      <c r="V167" s="13" t="s">
        <v>273</v>
      </c>
      <c r="W167" s="13" t="s">
        <v>273</v>
      </c>
      <c r="X167" s="13" t="s">
        <v>273</v>
      </c>
      <c r="Y167" s="15"/>
      <c r="Z167" s="13" t="s">
        <v>273</v>
      </c>
      <c r="AA167" s="135"/>
      <c r="AB167" s="14"/>
      <c r="AC167" s="11" t="s">
        <v>272</v>
      </c>
      <c r="AD167" s="11" t="s">
        <v>254</v>
      </c>
      <c r="AE167" s="14"/>
      <c r="AF167" s="14"/>
    </row>
    <row r="168" spans="2:32" x14ac:dyDescent="0.2">
      <c r="B168" s="11" t="s">
        <v>235</v>
      </c>
      <c r="C168" s="11">
        <v>159</v>
      </c>
      <c r="D168" s="11" t="s">
        <v>235</v>
      </c>
      <c r="E168" s="11" t="s">
        <v>947</v>
      </c>
      <c r="F168" s="11" t="s">
        <v>976</v>
      </c>
      <c r="G168" s="11" t="s">
        <v>949</v>
      </c>
      <c r="H168" s="11" t="s">
        <v>978</v>
      </c>
      <c r="I168" s="12" t="s">
        <v>273</v>
      </c>
      <c r="J168" s="11" t="s">
        <v>1283</v>
      </c>
      <c r="K168" s="12" t="s">
        <v>273</v>
      </c>
      <c r="L168" s="11" t="s">
        <v>1284</v>
      </c>
      <c r="M168" s="11" t="s">
        <v>46</v>
      </c>
      <c r="N168" s="11" t="s">
        <v>945</v>
      </c>
      <c r="O168" s="12" t="s">
        <v>273</v>
      </c>
      <c r="P168" s="12" t="s">
        <v>273</v>
      </c>
      <c r="Q168" s="13" t="s">
        <v>273</v>
      </c>
      <c r="R168" s="13" t="s">
        <v>273</v>
      </c>
      <c r="S168" s="13" t="s">
        <v>273</v>
      </c>
      <c r="T168" s="11" t="s">
        <v>2668</v>
      </c>
      <c r="U168" s="13" t="s">
        <v>273</v>
      </c>
      <c r="V168" s="11" t="s">
        <v>2381</v>
      </c>
      <c r="W168" s="13" t="s">
        <v>273</v>
      </c>
      <c r="X168" s="13" t="s">
        <v>273</v>
      </c>
      <c r="Y168" s="15"/>
      <c r="Z168" s="13" t="s">
        <v>273</v>
      </c>
      <c r="AA168" s="135" t="str">
        <f>_xlfn.IFS(AND(COUNTIF(Y168,"SCB*")=1, 'PCH176'!J68&gt;=2), "See the Notice *1", TRUE, "")</f>
        <v/>
      </c>
      <c r="AB168" s="14"/>
      <c r="AC168" s="11" t="s">
        <v>272</v>
      </c>
      <c r="AD168" s="11" t="s">
        <v>254</v>
      </c>
      <c r="AE168" s="14"/>
      <c r="AF168" s="14"/>
    </row>
    <row r="169" spans="2:32" x14ac:dyDescent="0.2">
      <c r="B169" s="24" t="s">
        <v>2059</v>
      </c>
      <c r="C169" s="11">
        <v>160</v>
      </c>
      <c r="D169" s="24" t="s">
        <v>2059</v>
      </c>
      <c r="E169" s="12" t="s">
        <v>273</v>
      </c>
      <c r="F169" s="12" t="s">
        <v>273</v>
      </c>
      <c r="G169" s="12" t="s">
        <v>273</v>
      </c>
      <c r="H169" s="12" t="s">
        <v>273</v>
      </c>
      <c r="I169" s="12" t="s">
        <v>273</v>
      </c>
      <c r="J169" s="12" t="s">
        <v>273</v>
      </c>
      <c r="K169" s="12" t="s">
        <v>273</v>
      </c>
      <c r="L169" s="12" t="s">
        <v>273</v>
      </c>
      <c r="M169" s="12" t="s">
        <v>273</v>
      </c>
      <c r="N169" s="12" t="s">
        <v>273</v>
      </c>
      <c r="O169" s="12" t="s">
        <v>273</v>
      </c>
      <c r="P169" s="12" t="s">
        <v>273</v>
      </c>
      <c r="Q169" s="12" t="s">
        <v>273</v>
      </c>
      <c r="R169" s="12" t="s">
        <v>273</v>
      </c>
      <c r="S169" s="12" t="s">
        <v>273</v>
      </c>
      <c r="T169" s="12" t="s">
        <v>273</v>
      </c>
      <c r="U169" s="12" t="s">
        <v>273</v>
      </c>
      <c r="V169" s="12" t="s">
        <v>273</v>
      </c>
      <c r="W169" s="12" t="s">
        <v>273</v>
      </c>
      <c r="X169" s="12" t="s">
        <v>273</v>
      </c>
      <c r="Y169" s="24" t="s">
        <v>2059</v>
      </c>
      <c r="Z169" s="13" t="s">
        <v>273</v>
      </c>
      <c r="AA169" s="135"/>
      <c r="AB169" s="20" t="s">
        <v>2069</v>
      </c>
      <c r="AC169" s="15" t="s">
        <v>510</v>
      </c>
      <c r="AD169" s="14" t="s">
        <v>510</v>
      </c>
      <c r="AE169" s="14"/>
      <c r="AF169" s="14"/>
    </row>
    <row r="170" spans="2:32" x14ac:dyDescent="0.2">
      <c r="B170" s="11" t="s">
        <v>236</v>
      </c>
      <c r="C170" s="11">
        <v>161</v>
      </c>
      <c r="D170" s="11" t="s">
        <v>236</v>
      </c>
      <c r="E170" s="11" t="s">
        <v>936</v>
      </c>
      <c r="F170" s="11" t="s">
        <v>948</v>
      </c>
      <c r="G170" s="11" t="s">
        <v>938</v>
      </c>
      <c r="H170" s="11" t="s">
        <v>950</v>
      </c>
      <c r="I170" s="12" t="s">
        <v>273</v>
      </c>
      <c r="J170" s="11" t="s">
        <v>1285</v>
      </c>
      <c r="K170" s="11" t="s">
        <v>1286</v>
      </c>
      <c r="L170" s="11" t="s">
        <v>1287</v>
      </c>
      <c r="M170" s="12" t="s">
        <v>273</v>
      </c>
      <c r="N170" s="11" t="s">
        <v>193</v>
      </c>
      <c r="O170" s="12" t="s">
        <v>273</v>
      </c>
      <c r="P170" s="12" t="s">
        <v>273</v>
      </c>
      <c r="Q170" s="13" t="s">
        <v>273</v>
      </c>
      <c r="R170" s="13" t="s">
        <v>273</v>
      </c>
      <c r="S170" s="13" t="s">
        <v>273</v>
      </c>
      <c r="T170" s="11" t="s">
        <v>1311</v>
      </c>
      <c r="U170" s="13" t="s">
        <v>273</v>
      </c>
      <c r="V170" s="13" t="s">
        <v>273</v>
      </c>
      <c r="W170" s="13" t="s">
        <v>273</v>
      </c>
      <c r="X170" s="11" t="s">
        <v>1856</v>
      </c>
      <c r="Y170" s="15"/>
      <c r="Z170" s="13" t="s">
        <v>273</v>
      </c>
      <c r="AA170" s="135" t="str">
        <f>_xlfn.IFS(AND(COUNTIF(Y170,"SCB*")=1, 'PCH176'!J68&gt;=2), "See the Notice *1", TRUE, "")</f>
        <v/>
      </c>
      <c r="AB170" s="14"/>
      <c r="AC170" s="11" t="s">
        <v>272</v>
      </c>
      <c r="AD170" s="11" t="s">
        <v>254</v>
      </c>
      <c r="AE170" s="14"/>
      <c r="AF170" s="14"/>
    </row>
    <row r="171" spans="2:32" x14ac:dyDescent="0.2">
      <c r="B171" s="11" t="s">
        <v>237</v>
      </c>
      <c r="C171" s="11">
        <v>162</v>
      </c>
      <c r="D171" s="11" t="s">
        <v>237</v>
      </c>
      <c r="E171" s="11" t="s">
        <v>931</v>
      </c>
      <c r="F171" s="11" t="s">
        <v>942</v>
      </c>
      <c r="G171" s="11" t="s">
        <v>933</v>
      </c>
      <c r="H171" s="11" t="s">
        <v>943</v>
      </c>
      <c r="I171" s="12" t="s">
        <v>273</v>
      </c>
      <c r="J171" s="11" t="s">
        <v>1288</v>
      </c>
      <c r="K171" s="11" t="s">
        <v>1289</v>
      </c>
      <c r="L171" s="11" t="s">
        <v>1290</v>
      </c>
      <c r="M171" s="12" t="s">
        <v>273</v>
      </c>
      <c r="N171" s="12" t="s">
        <v>273</v>
      </c>
      <c r="O171" s="12" t="s">
        <v>273</v>
      </c>
      <c r="P171" s="12" t="s">
        <v>273</v>
      </c>
      <c r="Q171" s="13" t="s">
        <v>273</v>
      </c>
      <c r="R171" s="13" t="s">
        <v>273</v>
      </c>
      <c r="S171" s="13" t="s">
        <v>273</v>
      </c>
      <c r="T171" s="11" t="s">
        <v>1312</v>
      </c>
      <c r="U171" s="13" t="s">
        <v>273</v>
      </c>
      <c r="V171" s="13" t="s">
        <v>273</v>
      </c>
      <c r="W171" s="13" t="s">
        <v>273</v>
      </c>
      <c r="X171" s="11" t="s">
        <v>1857</v>
      </c>
      <c r="Y171" s="15"/>
      <c r="Z171" s="13" t="s">
        <v>273</v>
      </c>
      <c r="AA171" s="135" t="str">
        <f>_xlfn.IFS(AND(COUNTIF(Y171,"SCB*")=1, 'PCH176'!J68&gt;=2), "See the Notice *1", TRUE, "")</f>
        <v/>
      </c>
      <c r="AB171" s="14"/>
      <c r="AC171" s="11" t="s">
        <v>272</v>
      </c>
      <c r="AD171" s="11" t="s">
        <v>254</v>
      </c>
      <c r="AE171" s="14"/>
      <c r="AF171" s="14"/>
    </row>
    <row r="172" spans="2:32" x14ac:dyDescent="0.2">
      <c r="B172" s="11" t="s">
        <v>238</v>
      </c>
      <c r="C172" s="11">
        <v>163</v>
      </c>
      <c r="D172" s="11" t="s">
        <v>238</v>
      </c>
      <c r="E172" s="11" t="s">
        <v>925</v>
      </c>
      <c r="F172" s="11" t="s">
        <v>937</v>
      </c>
      <c r="G172" s="11" t="s">
        <v>927</v>
      </c>
      <c r="H172" s="11" t="s">
        <v>939</v>
      </c>
      <c r="I172" s="12" t="s">
        <v>273</v>
      </c>
      <c r="J172" s="11" t="s">
        <v>1291</v>
      </c>
      <c r="K172" s="12" t="s">
        <v>273</v>
      </c>
      <c r="L172" s="11" t="s">
        <v>1292</v>
      </c>
      <c r="M172" s="12" t="s">
        <v>273</v>
      </c>
      <c r="N172" s="12" t="s">
        <v>273</v>
      </c>
      <c r="O172" s="12" t="s">
        <v>273</v>
      </c>
      <c r="P172" s="12" t="s">
        <v>273</v>
      </c>
      <c r="Q172" s="13" t="s">
        <v>273</v>
      </c>
      <c r="R172" s="13" t="s">
        <v>273</v>
      </c>
      <c r="S172" s="13" t="s">
        <v>273</v>
      </c>
      <c r="T172" s="11" t="s">
        <v>1313</v>
      </c>
      <c r="U172" s="13" t="s">
        <v>273</v>
      </c>
      <c r="V172" s="13" t="s">
        <v>273</v>
      </c>
      <c r="W172" s="13" t="s">
        <v>273</v>
      </c>
      <c r="X172" s="11" t="s">
        <v>1858</v>
      </c>
      <c r="Y172" s="15"/>
      <c r="Z172" s="13" t="s">
        <v>273</v>
      </c>
      <c r="AA172" s="135" t="str">
        <f>_xlfn.IFS(AND(COUNTIF(Y172,"SCB*")=1, 'PCH176'!J68&gt;=2), "See the Notice *1", TRUE, "")</f>
        <v/>
      </c>
      <c r="AB172" s="14"/>
      <c r="AC172" s="11" t="s">
        <v>272</v>
      </c>
      <c r="AD172" s="11" t="s">
        <v>254</v>
      </c>
      <c r="AE172" s="14"/>
      <c r="AF172" s="14"/>
    </row>
    <row r="173" spans="2:32" x14ac:dyDescent="0.2">
      <c r="B173" s="11" t="s">
        <v>239</v>
      </c>
      <c r="C173" s="11">
        <v>164</v>
      </c>
      <c r="D173" s="11" t="s">
        <v>239</v>
      </c>
      <c r="E173" s="11" t="s">
        <v>918</v>
      </c>
      <c r="F173" s="11" t="s">
        <v>932</v>
      </c>
      <c r="G173" s="11" t="s">
        <v>920</v>
      </c>
      <c r="H173" s="11" t="s">
        <v>934</v>
      </c>
      <c r="I173" s="12" t="s">
        <v>273</v>
      </c>
      <c r="J173" s="12" t="s">
        <v>273</v>
      </c>
      <c r="K173" s="12" t="s">
        <v>273</v>
      </c>
      <c r="L173" s="11" t="s">
        <v>1293</v>
      </c>
      <c r="M173" s="12" t="s">
        <v>273</v>
      </c>
      <c r="N173" s="12" t="s">
        <v>273</v>
      </c>
      <c r="O173" s="12" t="s">
        <v>273</v>
      </c>
      <c r="P173" s="12" t="s">
        <v>273</v>
      </c>
      <c r="Q173" s="13" t="s">
        <v>273</v>
      </c>
      <c r="R173" s="13" t="s">
        <v>273</v>
      </c>
      <c r="S173" s="13" t="s">
        <v>273</v>
      </c>
      <c r="T173" s="11" t="s">
        <v>1314</v>
      </c>
      <c r="U173" s="13" t="s">
        <v>273</v>
      </c>
      <c r="V173" s="13" t="s">
        <v>273</v>
      </c>
      <c r="W173" s="13" t="s">
        <v>273</v>
      </c>
      <c r="X173" s="13" t="s">
        <v>273</v>
      </c>
      <c r="Y173" s="15"/>
      <c r="Z173" s="13" t="s">
        <v>273</v>
      </c>
      <c r="AA173" s="135" t="str">
        <f>_xlfn.IFS(AND(COUNTIF(Y173,"SCB*")=1, 'PCH176'!J68&gt;=2), "See the Notice *1", TRUE, "")</f>
        <v/>
      </c>
      <c r="AB173" s="14"/>
      <c r="AC173" s="11" t="s">
        <v>272</v>
      </c>
      <c r="AD173" s="11" t="s">
        <v>254</v>
      </c>
      <c r="AE173" s="14"/>
      <c r="AF173" s="14"/>
    </row>
    <row r="174" spans="2:32" x14ac:dyDescent="0.2">
      <c r="B174" s="11" t="s">
        <v>240</v>
      </c>
      <c r="C174" s="11">
        <v>165</v>
      </c>
      <c r="D174" s="11" t="s">
        <v>240</v>
      </c>
      <c r="E174" s="11" t="s">
        <v>911</v>
      </c>
      <c r="F174" s="11" t="s">
        <v>926</v>
      </c>
      <c r="G174" s="11" t="s">
        <v>913</v>
      </c>
      <c r="H174" s="11" t="s">
        <v>928</v>
      </c>
      <c r="I174" s="11" t="s">
        <v>855</v>
      </c>
      <c r="J174" s="12" t="s">
        <v>273</v>
      </c>
      <c r="K174" s="12" t="s">
        <v>273</v>
      </c>
      <c r="L174" s="11" t="s">
        <v>1294</v>
      </c>
      <c r="M174" s="11" t="s">
        <v>76</v>
      </c>
      <c r="N174" s="12" t="s">
        <v>273</v>
      </c>
      <c r="O174" s="12" t="s">
        <v>273</v>
      </c>
      <c r="P174" s="12" t="s">
        <v>273</v>
      </c>
      <c r="Q174" s="13" t="s">
        <v>273</v>
      </c>
      <c r="R174" s="13" t="s">
        <v>273</v>
      </c>
      <c r="S174" s="13" t="s">
        <v>273</v>
      </c>
      <c r="T174" s="13" t="s">
        <v>273</v>
      </c>
      <c r="U174" s="13" t="s">
        <v>273</v>
      </c>
      <c r="V174" s="13" t="s">
        <v>273</v>
      </c>
      <c r="W174" s="13" t="s">
        <v>273</v>
      </c>
      <c r="X174" s="13" t="s">
        <v>273</v>
      </c>
      <c r="Y174" s="15"/>
      <c r="Z174" s="13" t="s">
        <v>273</v>
      </c>
      <c r="AA174" s="135" t="str">
        <f>_xlfn.IFS(AND(COUNTIF(Y174,"SCB*")=1, 'PCH176'!J68&gt;=2), "See the Notice *1", TRUE, "")</f>
        <v/>
      </c>
      <c r="AB174" s="14"/>
      <c r="AC174" s="11" t="s">
        <v>272</v>
      </c>
      <c r="AD174" s="11" t="s">
        <v>254</v>
      </c>
      <c r="AE174" s="14"/>
      <c r="AF174" s="14"/>
    </row>
    <row r="175" spans="2:32" x14ac:dyDescent="0.2">
      <c r="B175" s="11" t="s">
        <v>241</v>
      </c>
      <c r="C175" s="11">
        <v>166</v>
      </c>
      <c r="D175" s="11" t="s">
        <v>241</v>
      </c>
      <c r="E175" s="11" t="s">
        <v>905</v>
      </c>
      <c r="F175" s="11" t="s">
        <v>919</v>
      </c>
      <c r="G175" s="11" t="s">
        <v>907</v>
      </c>
      <c r="H175" s="11" t="s">
        <v>921</v>
      </c>
      <c r="I175" s="11" t="s">
        <v>862</v>
      </c>
      <c r="J175" s="12" t="s">
        <v>273</v>
      </c>
      <c r="K175" s="12" t="s">
        <v>273</v>
      </c>
      <c r="L175" s="12" t="s">
        <v>273</v>
      </c>
      <c r="M175" s="11" t="s">
        <v>78</v>
      </c>
      <c r="N175" s="12" t="s">
        <v>273</v>
      </c>
      <c r="O175" s="12" t="s">
        <v>273</v>
      </c>
      <c r="P175" s="12" t="s">
        <v>273</v>
      </c>
      <c r="Q175" s="13" t="s">
        <v>273</v>
      </c>
      <c r="R175" s="13" t="s">
        <v>273</v>
      </c>
      <c r="S175" s="13" t="s">
        <v>273</v>
      </c>
      <c r="T175" s="13" t="s">
        <v>273</v>
      </c>
      <c r="U175" s="13" t="s">
        <v>273</v>
      </c>
      <c r="V175" s="13" t="s">
        <v>273</v>
      </c>
      <c r="W175" s="13" t="s">
        <v>273</v>
      </c>
      <c r="X175" s="13" t="s">
        <v>273</v>
      </c>
      <c r="Y175" s="15"/>
      <c r="Z175" s="13" t="s">
        <v>273</v>
      </c>
      <c r="AA175" s="135"/>
      <c r="AB175" s="14"/>
      <c r="AC175" s="11" t="s">
        <v>272</v>
      </c>
      <c r="AD175" s="11" t="s">
        <v>254</v>
      </c>
      <c r="AE175" s="14"/>
      <c r="AF175" s="14"/>
    </row>
    <row r="176" spans="2:32" x14ac:dyDescent="0.2">
      <c r="B176" s="11" t="s">
        <v>242</v>
      </c>
      <c r="C176" s="11">
        <v>167</v>
      </c>
      <c r="D176" s="11" t="s">
        <v>242</v>
      </c>
      <c r="E176" s="11" t="s">
        <v>899</v>
      </c>
      <c r="F176" s="11" t="s">
        <v>912</v>
      </c>
      <c r="G176" s="11" t="s">
        <v>901</v>
      </c>
      <c r="H176" s="11" t="s">
        <v>914</v>
      </c>
      <c r="I176" s="11" t="s">
        <v>869</v>
      </c>
      <c r="J176" s="12" t="s">
        <v>273</v>
      </c>
      <c r="K176" s="11" t="s">
        <v>1116</v>
      </c>
      <c r="L176" s="12" t="s">
        <v>273</v>
      </c>
      <c r="M176" s="11" t="s">
        <v>80</v>
      </c>
      <c r="N176" s="12" t="s">
        <v>273</v>
      </c>
      <c r="O176" s="12" t="s">
        <v>273</v>
      </c>
      <c r="P176" s="12" t="s">
        <v>273</v>
      </c>
      <c r="Q176" s="13" t="s">
        <v>273</v>
      </c>
      <c r="R176" s="13" t="s">
        <v>273</v>
      </c>
      <c r="S176" s="13" t="s">
        <v>273</v>
      </c>
      <c r="T176" s="13" t="s">
        <v>273</v>
      </c>
      <c r="U176" s="13" t="s">
        <v>273</v>
      </c>
      <c r="V176" s="13" t="s">
        <v>273</v>
      </c>
      <c r="W176" s="13" t="s">
        <v>273</v>
      </c>
      <c r="X176" s="13" t="s">
        <v>273</v>
      </c>
      <c r="Y176" s="15"/>
      <c r="Z176" s="13" t="s">
        <v>273</v>
      </c>
      <c r="AA176" s="135"/>
      <c r="AB176" s="14"/>
      <c r="AC176" s="11" t="s">
        <v>272</v>
      </c>
      <c r="AD176" s="11" t="s">
        <v>254</v>
      </c>
      <c r="AE176" s="14"/>
      <c r="AF176" s="14"/>
    </row>
    <row r="177" spans="2:32" x14ac:dyDescent="0.2">
      <c r="B177" s="11" t="s">
        <v>243</v>
      </c>
      <c r="C177" s="11">
        <v>168</v>
      </c>
      <c r="D177" s="11" t="s">
        <v>243</v>
      </c>
      <c r="E177" s="11" t="s">
        <v>1025</v>
      </c>
      <c r="F177" s="11" t="s">
        <v>906</v>
      </c>
      <c r="G177" s="11" t="s">
        <v>1027</v>
      </c>
      <c r="H177" s="11" t="s">
        <v>908</v>
      </c>
      <c r="I177" s="11" t="s">
        <v>876</v>
      </c>
      <c r="J177" s="11" t="s">
        <v>1295</v>
      </c>
      <c r="K177" s="11" t="s">
        <v>1122</v>
      </c>
      <c r="L177" s="11" t="s">
        <v>1296</v>
      </c>
      <c r="M177" s="12" t="s">
        <v>273</v>
      </c>
      <c r="N177" s="11" t="s">
        <v>171</v>
      </c>
      <c r="O177" s="12" t="s">
        <v>273</v>
      </c>
      <c r="P177" s="12" t="s">
        <v>273</v>
      </c>
      <c r="Q177" s="13" t="s">
        <v>273</v>
      </c>
      <c r="R177" s="13" t="s">
        <v>273</v>
      </c>
      <c r="S177" s="13" t="s">
        <v>273</v>
      </c>
      <c r="T177" s="11" t="s">
        <v>2677</v>
      </c>
      <c r="U177" s="13" t="s">
        <v>273</v>
      </c>
      <c r="V177" s="13" t="s">
        <v>273</v>
      </c>
      <c r="W177" s="13" t="s">
        <v>273</v>
      </c>
      <c r="X177" s="13" t="s">
        <v>273</v>
      </c>
      <c r="Y177" s="15"/>
      <c r="Z177" s="13" t="s">
        <v>273</v>
      </c>
      <c r="AA177" s="135" t="str">
        <f>_xlfn.IFS(AND(COUNTIF(Y177,"SCB*")=1, 'PCH176'!K68&gt;=2), "See the Notice *1", TRUE, "")</f>
        <v/>
      </c>
      <c r="AB177" s="14"/>
      <c r="AC177" s="11" t="s">
        <v>272</v>
      </c>
      <c r="AD177" s="11" t="s">
        <v>254</v>
      </c>
      <c r="AE177" s="14"/>
      <c r="AF177" s="14"/>
    </row>
    <row r="178" spans="2:32" x14ac:dyDescent="0.2">
      <c r="B178" s="11" t="s">
        <v>244</v>
      </c>
      <c r="C178" s="11">
        <v>169</v>
      </c>
      <c r="D178" s="11" t="s">
        <v>244</v>
      </c>
      <c r="E178" s="11" t="s">
        <v>1042</v>
      </c>
      <c r="F178" s="11" t="s">
        <v>1034</v>
      </c>
      <c r="G178" s="11" t="s">
        <v>1044</v>
      </c>
      <c r="H178" s="11" t="s">
        <v>1036</v>
      </c>
      <c r="I178" s="12" t="s">
        <v>273</v>
      </c>
      <c r="J178" s="11" t="s">
        <v>1297</v>
      </c>
      <c r="K178" s="11" t="s">
        <v>1298</v>
      </c>
      <c r="L178" s="11" t="s">
        <v>1299</v>
      </c>
      <c r="M178" s="12" t="s">
        <v>273</v>
      </c>
      <c r="N178" s="11" t="s">
        <v>173</v>
      </c>
      <c r="O178" s="12" t="s">
        <v>273</v>
      </c>
      <c r="P178" s="12" t="s">
        <v>273</v>
      </c>
      <c r="Q178" s="13" t="s">
        <v>273</v>
      </c>
      <c r="R178" s="13" t="s">
        <v>273</v>
      </c>
      <c r="S178" s="13" t="s">
        <v>273</v>
      </c>
      <c r="T178" s="11" t="s">
        <v>2679</v>
      </c>
      <c r="U178" s="13" t="s">
        <v>273</v>
      </c>
      <c r="V178" s="13" t="s">
        <v>273</v>
      </c>
      <c r="W178" s="13" t="s">
        <v>273</v>
      </c>
      <c r="X178" s="13" t="s">
        <v>273</v>
      </c>
      <c r="Y178" s="15"/>
      <c r="Z178" s="13" t="s">
        <v>273</v>
      </c>
      <c r="AA178" s="135" t="str">
        <f>_xlfn.IFS(AND(COUNTIF(Y178,"SCB*")=1, 'PCH176'!K68&gt;=2), "See the Notice *1", TRUE, "")</f>
        <v/>
      </c>
      <c r="AB178" s="14"/>
      <c r="AC178" s="11" t="s">
        <v>272</v>
      </c>
      <c r="AD178" s="11" t="s">
        <v>254</v>
      </c>
      <c r="AE178" s="14"/>
      <c r="AF178" s="14"/>
    </row>
    <row r="179" spans="2:32" x14ac:dyDescent="0.2">
      <c r="B179" s="11" t="s">
        <v>245</v>
      </c>
      <c r="C179" s="11">
        <v>170</v>
      </c>
      <c r="D179" s="11" t="s">
        <v>245</v>
      </c>
      <c r="E179" s="11" t="s">
        <v>2665</v>
      </c>
      <c r="F179" s="11" t="s">
        <v>2669</v>
      </c>
      <c r="G179" s="11" t="s">
        <v>1059</v>
      </c>
      <c r="H179" s="11" t="s">
        <v>1054</v>
      </c>
      <c r="I179" s="12" t="s">
        <v>273</v>
      </c>
      <c r="J179" s="11" t="s">
        <v>1300</v>
      </c>
      <c r="K179" s="11" t="s">
        <v>1301</v>
      </c>
      <c r="L179" s="11" t="s">
        <v>1302</v>
      </c>
      <c r="M179" s="11" t="s">
        <v>146</v>
      </c>
      <c r="N179" s="12" t="s">
        <v>273</v>
      </c>
      <c r="O179" s="12" t="s">
        <v>273</v>
      </c>
      <c r="P179" s="12" t="s">
        <v>273</v>
      </c>
      <c r="Q179" s="13" t="s">
        <v>273</v>
      </c>
      <c r="R179" s="13" t="s">
        <v>273</v>
      </c>
      <c r="S179" s="13" t="s">
        <v>273</v>
      </c>
      <c r="T179" s="11" t="s">
        <v>2680</v>
      </c>
      <c r="U179" s="13" t="s">
        <v>273</v>
      </c>
      <c r="V179" s="13" t="s">
        <v>273</v>
      </c>
      <c r="W179" s="13" t="s">
        <v>273</v>
      </c>
      <c r="X179" s="13" t="s">
        <v>273</v>
      </c>
      <c r="Y179" s="15"/>
      <c r="Z179" s="13" t="s">
        <v>273</v>
      </c>
      <c r="AA179" s="135" t="str">
        <f>_xlfn.IFS(AND(COUNTIF(Y179,"SCB*")=1, 'PCH176'!K68&gt;=2), "See the Notice *1", TRUE, "")</f>
        <v/>
      </c>
      <c r="AB179" s="14"/>
      <c r="AC179" s="11" t="s">
        <v>272</v>
      </c>
      <c r="AD179" s="11" t="s">
        <v>254</v>
      </c>
      <c r="AE179" s="14"/>
      <c r="AF179" s="14"/>
    </row>
    <row r="180" spans="2:32" x14ac:dyDescent="0.2">
      <c r="B180" s="11" t="s">
        <v>246</v>
      </c>
      <c r="C180" s="11">
        <v>171</v>
      </c>
      <c r="D180" s="11" t="s">
        <v>246</v>
      </c>
      <c r="E180" s="11" t="s">
        <v>2666</v>
      </c>
      <c r="F180" s="11" t="s">
        <v>2663</v>
      </c>
      <c r="G180" s="11" t="s">
        <v>1068</v>
      </c>
      <c r="H180" s="11" t="s">
        <v>2661</v>
      </c>
      <c r="I180" s="12" t="s">
        <v>273</v>
      </c>
      <c r="J180" s="11" t="s">
        <v>1303</v>
      </c>
      <c r="K180" s="12" t="s">
        <v>273</v>
      </c>
      <c r="L180" s="11" t="s">
        <v>1939</v>
      </c>
      <c r="M180" s="11" t="s">
        <v>149</v>
      </c>
      <c r="N180" s="12" t="s">
        <v>273</v>
      </c>
      <c r="O180" s="12" t="s">
        <v>273</v>
      </c>
      <c r="P180" s="12" t="s">
        <v>273</v>
      </c>
      <c r="Q180" s="11" t="s">
        <v>1304</v>
      </c>
      <c r="R180" s="13" t="s">
        <v>273</v>
      </c>
      <c r="S180" s="11" t="s">
        <v>247</v>
      </c>
      <c r="T180" s="11" t="s">
        <v>2682</v>
      </c>
      <c r="U180" s="13" t="s">
        <v>273</v>
      </c>
      <c r="V180" s="13" t="s">
        <v>273</v>
      </c>
      <c r="W180" s="13" t="s">
        <v>273</v>
      </c>
      <c r="X180" s="13" t="s">
        <v>273</v>
      </c>
      <c r="Y180" s="15"/>
      <c r="Z180" s="13" t="s">
        <v>273</v>
      </c>
      <c r="AA180" s="135" t="str">
        <f>_xlfn.IFS(AND(COUNTIF(Y180,"SCB*")=1, 'PCH176'!K68&gt;=2), "See the Notice *1", TRUE, "")</f>
        <v/>
      </c>
      <c r="AB180" s="14"/>
      <c r="AC180" s="11" t="s">
        <v>272</v>
      </c>
      <c r="AD180" s="11" t="s">
        <v>254</v>
      </c>
      <c r="AE180" s="14"/>
      <c r="AF180" s="14"/>
    </row>
    <row r="181" spans="2:32" x14ac:dyDescent="0.2">
      <c r="B181" s="11" t="s">
        <v>248</v>
      </c>
      <c r="C181" s="11">
        <v>172</v>
      </c>
      <c r="D181" s="11" t="s">
        <v>248</v>
      </c>
      <c r="E181" s="11" t="s">
        <v>887</v>
      </c>
      <c r="F181" s="11" t="s">
        <v>2664</v>
      </c>
      <c r="G181" s="11" t="s">
        <v>889</v>
      </c>
      <c r="H181" s="11" t="s">
        <v>2662</v>
      </c>
      <c r="I181" s="11" t="s">
        <v>885</v>
      </c>
      <c r="J181" s="11" t="s">
        <v>1305</v>
      </c>
      <c r="K181" s="12" t="s">
        <v>273</v>
      </c>
      <c r="L181" s="11" t="s">
        <v>1306</v>
      </c>
      <c r="M181" s="12" t="s">
        <v>273</v>
      </c>
      <c r="N181" s="12" t="s">
        <v>273</v>
      </c>
      <c r="O181" s="12" t="s">
        <v>273</v>
      </c>
      <c r="P181" s="12" t="s">
        <v>273</v>
      </c>
      <c r="Q181" s="13" t="s">
        <v>273</v>
      </c>
      <c r="R181" s="13" t="s">
        <v>273</v>
      </c>
      <c r="S181" s="11" t="s">
        <v>249</v>
      </c>
      <c r="T181" s="11" t="s">
        <v>697</v>
      </c>
      <c r="U181" s="13" t="s">
        <v>273</v>
      </c>
      <c r="V181" s="11" t="s">
        <v>1859</v>
      </c>
      <c r="W181" s="13" t="s">
        <v>273</v>
      </c>
      <c r="X181" s="13" t="s">
        <v>273</v>
      </c>
      <c r="Y181" s="15"/>
      <c r="Z181" s="13" t="s">
        <v>273</v>
      </c>
      <c r="AA181" s="135" t="str">
        <f>_xlfn.IFS(AND(COUNTIF(Y181,"SCB2*")=1, 'PCH176'!F68&gt;=2), "See the Notice *1", AND(COUNTIF(Y181,"SCB7*")=1, 'PCH176'!K68&gt;=2), "See the Notice *1", TRUE, "")</f>
        <v/>
      </c>
      <c r="AB181" s="14"/>
      <c r="AC181" s="11" t="s">
        <v>272</v>
      </c>
      <c r="AD181" s="11" t="s">
        <v>254</v>
      </c>
      <c r="AE181" s="14"/>
      <c r="AF181" s="14"/>
    </row>
    <row r="182" spans="2:32" x14ac:dyDescent="0.2">
      <c r="B182" s="11" t="s">
        <v>250</v>
      </c>
      <c r="C182" s="11">
        <v>173</v>
      </c>
      <c r="D182" s="11" t="s">
        <v>250</v>
      </c>
      <c r="E182" s="11" t="s">
        <v>881</v>
      </c>
      <c r="F182" s="11" t="s">
        <v>894</v>
      </c>
      <c r="G182" s="11" t="s">
        <v>883</v>
      </c>
      <c r="H182" s="11" t="s">
        <v>896</v>
      </c>
      <c r="I182" s="11" t="s">
        <v>891</v>
      </c>
      <c r="J182" s="11" t="s">
        <v>1307</v>
      </c>
      <c r="K182" s="12" t="s">
        <v>273</v>
      </c>
      <c r="L182" s="11" t="s">
        <v>1308</v>
      </c>
      <c r="M182" s="12" t="s">
        <v>273</v>
      </c>
      <c r="N182" s="12" t="s">
        <v>273</v>
      </c>
      <c r="O182" s="12" t="s">
        <v>273</v>
      </c>
      <c r="P182" s="11" t="s">
        <v>761</v>
      </c>
      <c r="Q182" s="13" t="s">
        <v>273</v>
      </c>
      <c r="R182" s="13" t="s">
        <v>273</v>
      </c>
      <c r="S182" s="13" t="s">
        <v>273</v>
      </c>
      <c r="T182" s="13" t="s">
        <v>273</v>
      </c>
      <c r="U182" s="13" t="s">
        <v>273</v>
      </c>
      <c r="V182" s="11" t="s">
        <v>1860</v>
      </c>
      <c r="W182" s="13" t="s">
        <v>273</v>
      </c>
      <c r="X182" s="13" t="s">
        <v>273</v>
      </c>
      <c r="Y182" s="15"/>
      <c r="Z182" s="13" t="s">
        <v>273</v>
      </c>
      <c r="AA182" s="135" t="str">
        <f>_xlfn.IFS(AND(COUNTIF(Y182,"SCB2*")=1, 'PCH176'!F68&gt;=2), "See the Notice *1", AND(COUNTIF(Y182,"SCB7*")=1, 'PCH176'!K68&gt;=2), "See the Notice *1", TRUE, "")</f>
        <v/>
      </c>
      <c r="AB182" s="14"/>
      <c r="AC182" s="11" t="s">
        <v>272</v>
      </c>
      <c r="AD182" s="11" t="s">
        <v>254</v>
      </c>
      <c r="AE182" s="14"/>
      <c r="AF182" s="14"/>
    </row>
    <row r="183" spans="2:32" x14ac:dyDescent="0.2">
      <c r="B183" s="16" t="s">
        <v>251</v>
      </c>
      <c r="C183" s="11">
        <v>174</v>
      </c>
      <c r="D183" s="16" t="s">
        <v>251</v>
      </c>
      <c r="E183" s="16" t="s">
        <v>878</v>
      </c>
      <c r="F183" s="16" t="s">
        <v>888</v>
      </c>
      <c r="G183" s="16" t="s">
        <v>879</v>
      </c>
      <c r="H183" s="16" t="s">
        <v>890</v>
      </c>
      <c r="I183" s="16" t="s">
        <v>897</v>
      </c>
      <c r="J183" s="16" t="s">
        <v>1309</v>
      </c>
      <c r="K183" s="12" t="s">
        <v>273</v>
      </c>
      <c r="L183" s="12" t="s">
        <v>273</v>
      </c>
      <c r="M183" s="12" t="s">
        <v>273</v>
      </c>
      <c r="N183" s="12" t="s">
        <v>273</v>
      </c>
      <c r="O183" s="12" t="s">
        <v>273</v>
      </c>
      <c r="P183" s="16" t="s">
        <v>763</v>
      </c>
      <c r="Q183" s="13" t="s">
        <v>273</v>
      </c>
      <c r="R183" s="13" t="s">
        <v>273</v>
      </c>
      <c r="S183" s="13" t="s">
        <v>273</v>
      </c>
      <c r="T183" s="13" t="s">
        <v>273</v>
      </c>
      <c r="U183" s="13" t="s">
        <v>273</v>
      </c>
      <c r="V183" s="11" t="s">
        <v>1861</v>
      </c>
      <c r="W183" s="13" t="s">
        <v>273</v>
      </c>
      <c r="X183" s="13" t="s">
        <v>273</v>
      </c>
      <c r="Y183" s="15"/>
      <c r="Z183" s="13" t="s">
        <v>273</v>
      </c>
      <c r="AA183" s="135" t="str">
        <f>_xlfn.IFS(AND(COUNTIF(Y183,"SCB*")=1, 'PCH176'!F68&gt;=2), "See the Notice *1", TRUE, "")</f>
        <v/>
      </c>
      <c r="AB183" s="14"/>
      <c r="AC183" s="11" t="s">
        <v>272</v>
      </c>
      <c r="AD183" s="11" t="s">
        <v>254</v>
      </c>
      <c r="AE183" s="14"/>
      <c r="AF183" s="14"/>
    </row>
    <row r="184" spans="2:32" x14ac:dyDescent="0.2">
      <c r="B184" s="11" t="s">
        <v>252</v>
      </c>
      <c r="C184" s="11">
        <v>175</v>
      </c>
      <c r="D184" s="11" t="s">
        <v>252</v>
      </c>
      <c r="E184" s="11" t="s">
        <v>872</v>
      </c>
      <c r="F184" s="11" t="s">
        <v>882</v>
      </c>
      <c r="G184" s="11" t="s">
        <v>874</v>
      </c>
      <c r="H184" s="11" t="s">
        <v>884</v>
      </c>
      <c r="I184" s="11" t="s">
        <v>903</v>
      </c>
      <c r="J184" s="11" t="s">
        <v>1315</v>
      </c>
      <c r="K184" s="12" t="s">
        <v>273</v>
      </c>
      <c r="L184" s="12" t="s">
        <v>273</v>
      </c>
      <c r="M184" s="12" t="s">
        <v>273</v>
      </c>
      <c r="N184" s="12" t="s">
        <v>273</v>
      </c>
      <c r="O184" s="11" t="s">
        <v>230</v>
      </c>
      <c r="P184" s="11" t="s">
        <v>768</v>
      </c>
      <c r="Q184" s="13" t="s">
        <v>273</v>
      </c>
      <c r="R184" s="13" t="s">
        <v>273</v>
      </c>
      <c r="S184" s="13" t="s">
        <v>273</v>
      </c>
      <c r="T184" s="11" t="s">
        <v>2668</v>
      </c>
      <c r="U184" s="13" t="s">
        <v>273</v>
      </c>
      <c r="V184" s="11" t="s">
        <v>1862</v>
      </c>
      <c r="W184" s="13" t="s">
        <v>273</v>
      </c>
      <c r="X184" s="11" t="s">
        <v>349</v>
      </c>
      <c r="Y184" s="15"/>
      <c r="Z184" s="13" t="s">
        <v>273</v>
      </c>
      <c r="AA184" s="135" t="str">
        <f>_xlfn.IFS(AND(COUNTIF(Y184,"SCB*")=1, 'PCH176'!F68&gt;=2), "See the Notice *1", TRUE, "")</f>
        <v/>
      </c>
      <c r="AB184" s="14"/>
      <c r="AC184" s="11" t="s">
        <v>272</v>
      </c>
      <c r="AD184" s="11" t="s">
        <v>254</v>
      </c>
      <c r="AE184" s="14"/>
      <c r="AF184" s="14"/>
    </row>
    <row r="185" spans="2:32" x14ac:dyDescent="0.2">
      <c r="B185" s="35" t="s">
        <v>254</v>
      </c>
      <c r="C185" s="27">
        <v>176</v>
      </c>
      <c r="D185" s="13" t="s">
        <v>273</v>
      </c>
      <c r="E185" s="13" t="s">
        <v>273</v>
      </c>
      <c r="F185" s="13" t="s">
        <v>273</v>
      </c>
      <c r="G185" s="13" t="s">
        <v>273</v>
      </c>
      <c r="H185" s="13" t="s">
        <v>273</v>
      </c>
      <c r="I185" s="13" t="s">
        <v>273</v>
      </c>
      <c r="J185" s="13" t="s">
        <v>273</v>
      </c>
      <c r="K185" s="13" t="s">
        <v>273</v>
      </c>
      <c r="L185" s="13" t="s">
        <v>273</v>
      </c>
      <c r="M185" s="13" t="s">
        <v>273</v>
      </c>
      <c r="N185" s="13" t="s">
        <v>273</v>
      </c>
      <c r="O185" s="13" t="s">
        <v>273</v>
      </c>
      <c r="P185" s="13" t="s">
        <v>273</v>
      </c>
      <c r="Q185" s="13" t="s">
        <v>273</v>
      </c>
      <c r="R185" s="13" t="s">
        <v>273</v>
      </c>
      <c r="S185" s="13" t="s">
        <v>273</v>
      </c>
      <c r="T185" s="13" t="s">
        <v>273</v>
      </c>
      <c r="U185" s="13" t="s">
        <v>273</v>
      </c>
      <c r="V185" s="13" t="s">
        <v>273</v>
      </c>
      <c r="W185" s="13" t="s">
        <v>273</v>
      </c>
      <c r="X185" s="13" t="s">
        <v>273</v>
      </c>
      <c r="Y185" s="21" t="s">
        <v>254</v>
      </c>
      <c r="Z185" s="13" t="s">
        <v>273</v>
      </c>
      <c r="AA185" s="136"/>
      <c r="AB185" s="20" t="s">
        <v>500</v>
      </c>
      <c r="AC185" s="15" t="s">
        <v>510</v>
      </c>
      <c r="AD185" s="14" t="s">
        <v>510</v>
      </c>
      <c r="AE185" s="14"/>
      <c r="AF185" s="14"/>
    </row>
    <row r="188" spans="2:32" x14ac:dyDescent="0.2">
      <c r="B188" s="1" t="s">
        <v>2556</v>
      </c>
    </row>
    <row r="189" spans="2:32" x14ac:dyDescent="0.2">
      <c r="B189" s="1" t="s">
        <v>2559</v>
      </c>
    </row>
    <row r="190" spans="2:32" x14ac:dyDescent="0.2">
      <c r="B190" s="1" t="s">
        <v>2557</v>
      </c>
    </row>
    <row r="191" spans="2:32" x14ac:dyDescent="0.2">
      <c r="B191" s="1" t="s">
        <v>2558</v>
      </c>
    </row>
  </sheetData>
  <sheetProtection algorithmName="SHA-512" hashValue="AGAwL8dQ7pzmV5+kFAXtqpJXySTR58yAvHpbBaeE9b9P3HOed6qeBdTLEjZLkKQLnFbqJn5aBiqlXv45qxWp6w==" saltValue="qRzYDry4jUD1n1mdAJXdow==" spinCount="100000" sheet="1" objects="1" scenarios="1" formatCells="0" formatColumns="0" formatRows="0" insertColumns="0" insertRows="0" insertHyperlinks="0" deleteColumns="0" deleteRows="0" selectLockedCells="1" sort="0" autoFilter="0" pivotTables="0"/>
  <mergeCells count="17">
    <mergeCell ref="Z8:Z9"/>
    <mergeCell ref="AE7:AF7"/>
    <mergeCell ref="AE8:AE9"/>
    <mergeCell ref="AF8:AF9"/>
    <mergeCell ref="X7:X9"/>
    <mergeCell ref="AC7:AD7"/>
    <mergeCell ref="Y8:Y9"/>
    <mergeCell ref="AA8:AA9"/>
    <mergeCell ref="AC8:AC9"/>
    <mergeCell ref="AD8:AD9"/>
    <mergeCell ref="Y7:AB7"/>
    <mergeCell ref="AB8:AB9"/>
    <mergeCell ref="B7:B9"/>
    <mergeCell ref="C7:C9"/>
    <mergeCell ref="D7:D9"/>
    <mergeCell ref="E7:T7"/>
    <mergeCell ref="U7:W7"/>
  </mergeCells>
  <phoneticPr fontId="3"/>
  <conditionalFormatting sqref="Y11:Y30 Y33:Y51 Y57:Y84 Y89:Y96 Y99:Y118 Y124:Y140 Y143:Y160 Y166:Y168 Y170:Y184">
    <cfRule type="duplicateValues" dxfId="8" priority="194"/>
  </conditionalFormatting>
  <conditionalFormatting sqref="Y11:Y30 Y33:Y51 Y57:Y84 Y89:Z96 Y99:Z118 Y124:Y140 Y143:Y160 Y166:Y168 Y170:Y184">
    <cfRule type="notContainsBlanks" dxfId="7" priority="195">
      <formula>LEN(TRIM(Y11))&gt;0</formula>
    </cfRule>
  </conditionalFormatting>
  <conditionalFormatting sqref="Z125:Z132">
    <cfRule type="notContainsBlanks" dxfId="6" priority="196">
      <formula>LEN(TRIM(Z125))&gt;0</formula>
    </cfRule>
  </conditionalFormatting>
  <dataValidations count="184">
    <dataValidation type="list" allowBlank="1" showInputMessage="1" showErrorMessage="1" sqref="Y184" xr:uid="{2C684631-7136-4FAC-8152-943F73493B0D}">
      <formula1>$D$184:$X$184</formula1>
    </dataValidation>
    <dataValidation type="list" allowBlank="1" showInputMessage="1" showErrorMessage="1" sqref="Y183" xr:uid="{3EBAFFA9-43DF-423E-8C36-6F889983DB47}">
      <formula1>$D$183:$X$183</formula1>
    </dataValidation>
    <dataValidation type="list" allowBlank="1" showInputMessage="1" showErrorMessage="1" sqref="Y182" xr:uid="{BC093A2B-8776-407A-A8A9-343DFF086BD5}">
      <formula1>$D$182:$X$182</formula1>
    </dataValidation>
    <dataValidation type="list" allowBlank="1" showInputMessage="1" showErrorMessage="1" sqref="Y181" xr:uid="{A1EE5CCE-F3EF-48FC-B2A2-14F8D1B2C006}">
      <formula1>$D$181:$X$181</formula1>
    </dataValidation>
    <dataValidation type="list" allowBlank="1" showInputMessage="1" showErrorMessage="1" sqref="Y180" xr:uid="{795D9453-783F-4A90-8BFD-987ED7D107C5}">
      <formula1>$D$180:$X$180</formula1>
    </dataValidation>
    <dataValidation type="list" allowBlank="1" showInputMessage="1" showErrorMessage="1" sqref="Y179" xr:uid="{A48C9CA0-63DF-40F4-B792-0FCD60CB9389}">
      <formula1>$D$179:$X$179</formula1>
    </dataValidation>
    <dataValidation type="list" allowBlank="1" showInputMessage="1" showErrorMessage="1" sqref="Y178" xr:uid="{CE06E211-51C4-4648-B966-2C7A1F56D120}">
      <formula1>$D$178:$X$178</formula1>
    </dataValidation>
    <dataValidation type="list" allowBlank="1" showInputMessage="1" showErrorMessage="1" sqref="Y177" xr:uid="{C9C09465-7292-46E6-8FC3-2F497D6D6C48}">
      <formula1>$D$177:$X$177</formula1>
    </dataValidation>
    <dataValidation type="list" allowBlank="1" showInputMessage="1" showErrorMessage="1" sqref="Y176" xr:uid="{12028FD1-D989-4F45-AE95-629CB2CA4197}">
      <formula1>$D$176:$X$176</formula1>
    </dataValidation>
    <dataValidation type="list" allowBlank="1" showInputMessage="1" showErrorMessage="1" sqref="Y175" xr:uid="{ADDE6B4D-D4ED-4424-BAFC-A10C9132A447}">
      <formula1>$D$175:$X$175</formula1>
    </dataValidation>
    <dataValidation type="list" allowBlank="1" showInputMessage="1" showErrorMessage="1" sqref="Y174" xr:uid="{D2FD7DDC-190C-4CA0-B072-83116AFDEA7E}">
      <formula1>$D$174:$X$174</formula1>
    </dataValidation>
    <dataValidation type="list" allowBlank="1" showInputMessage="1" showErrorMessage="1" sqref="Y173" xr:uid="{ACB688F6-893B-482A-A823-1A3673A3F361}">
      <formula1>$D$173:$X$173</formula1>
    </dataValidation>
    <dataValidation type="list" allowBlank="1" showInputMessage="1" showErrorMessage="1" sqref="Y172" xr:uid="{FE292776-8F2F-4DAE-A74C-39750467C3D4}">
      <formula1>$D$172:$X$172</formula1>
    </dataValidation>
    <dataValidation type="list" allowBlank="1" showInputMessage="1" showErrorMessage="1" sqref="Y171" xr:uid="{68F525C7-C6C7-419B-8EC7-3D63D7E53720}">
      <formula1>$D$171:$X$171</formula1>
    </dataValidation>
    <dataValidation type="list" allowBlank="1" showInputMessage="1" showErrorMessage="1" sqref="Y170" xr:uid="{B9D00B57-983F-4FE2-8F82-80E92A9933CC}">
      <formula1>$D$170:$X$170</formula1>
    </dataValidation>
    <dataValidation type="list" allowBlank="1" showInputMessage="1" showErrorMessage="1" sqref="Y168" xr:uid="{D82A61E0-4468-400B-8BA5-FBEE09DC5C66}">
      <formula1>$D$168:$X$168</formula1>
    </dataValidation>
    <dataValidation type="list" allowBlank="1" showInputMessage="1" showErrorMessage="1" sqref="Y167" xr:uid="{0F73C23A-7EDB-4B13-8226-83D73829A900}">
      <formula1>$D$167:$X$167</formula1>
    </dataValidation>
    <dataValidation type="list" allowBlank="1" showInputMessage="1" showErrorMessage="1" sqref="Y166" xr:uid="{8921BC53-7AA3-4A99-878E-A4EBC6DA6349}">
      <formula1>$D$166:$X$166</formula1>
    </dataValidation>
    <dataValidation type="list" allowBlank="1" showInputMessage="1" showErrorMessage="1" sqref="Y155" xr:uid="{876EC4BF-79E2-4E22-945A-824478FA580B}">
      <formula1>$D$155:$X$155</formula1>
    </dataValidation>
    <dataValidation type="list" allowBlank="1" showInputMessage="1" showErrorMessage="1" sqref="Y154" xr:uid="{CB11C95D-71A5-41A3-AE5A-1A8857B891FC}">
      <formula1>$D$154:$X$154</formula1>
    </dataValidation>
    <dataValidation type="list" allowBlank="1" showInputMessage="1" showErrorMessage="1" sqref="Y153" xr:uid="{47E1FF2D-2BAA-46D6-A8DF-F0D16518A8B8}">
      <formula1>$D$153:$X$153</formula1>
    </dataValidation>
    <dataValidation type="list" allowBlank="1" showInputMessage="1" showErrorMessage="1" sqref="Y152" xr:uid="{7B78BC8E-8D3E-4964-BEF4-54A925F52162}">
      <formula1>$D$152:$X$152</formula1>
    </dataValidation>
    <dataValidation type="list" allowBlank="1" showInputMessage="1" showErrorMessage="1" sqref="Y151" xr:uid="{EC113761-971E-4EF2-8A07-85780B855260}">
      <formula1>$D$151:$X$151</formula1>
    </dataValidation>
    <dataValidation type="list" allowBlank="1" showInputMessage="1" showErrorMessage="1" sqref="Y150" xr:uid="{53267974-7632-4570-ADE0-5FB7875BC3C2}">
      <formula1>$D$150:$X$150</formula1>
    </dataValidation>
    <dataValidation type="list" allowBlank="1" showInputMessage="1" showErrorMessage="1" sqref="Y149" xr:uid="{E80ECE2B-7582-442C-AE94-52CB96A3766D}">
      <formula1>$D$149:$X$149</formula1>
    </dataValidation>
    <dataValidation type="list" allowBlank="1" showInputMessage="1" showErrorMessage="1" sqref="Y148" xr:uid="{53293DBC-3F1B-42A8-A854-2A2298094737}">
      <formula1>$D$148:$X$148</formula1>
    </dataValidation>
    <dataValidation type="list" allowBlank="1" showInputMessage="1" showErrorMessage="1" sqref="Y147" xr:uid="{874BAD4C-B975-4165-8E1E-EB445FC45210}">
      <formula1>$D$147:$X$147</formula1>
    </dataValidation>
    <dataValidation type="list" allowBlank="1" showInputMessage="1" showErrorMessage="1" sqref="Y146" xr:uid="{CF2C1CD9-8498-4239-A913-CDD6DD0E72B3}">
      <formula1>$D$146:$X$146</formula1>
    </dataValidation>
    <dataValidation type="list" allowBlank="1" showInputMessage="1" showErrorMessage="1" sqref="Y145" xr:uid="{780D5980-5623-4C68-8BE8-A7E2D18D5656}">
      <formula1>$D$145:$X$145</formula1>
    </dataValidation>
    <dataValidation type="list" allowBlank="1" showInputMessage="1" showErrorMessage="1" sqref="Y144" xr:uid="{9D301FAD-CB1D-4295-896A-EA814C0B3408}">
      <formula1>$D$144:$X$144</formula1>
    </dataValidation>
    <dataValidation type="list" allowBlank="1" showInputMessage="1" showErrorMessage="1" sqref="Y143" xr:uid="{60890766-01FD-4E49-B063-07726555D16A}">
      <formula1>$D$143:$X$143</formula1>
    </dataValidation>
    <dataValidation type="list" allowBlank="1" showInputMessage="1" showErrorMessage="1" sqref="Y140" xr:uid="{8BF4C730-3951-4DD0-92CB-CF0169CFB01C}">
      <formula1>$D$140:$X$140</formula1>
    </dataValidation>
    <dataValidation type="list" allowBlank="1" showInputMessage="1" showErrorMessage="1" sqref="Y139" xr:uid="{0B20B624-8054-4117-BC72-A86797F43005}">
      <formula1>$D$139:$X$139</formula1>
    </dataValidation>
    <dataValidation type="list" allowBlank="1" showInputMessage="1" showErrorMessage="1" sqref="Y160" xr:uid="{CA0BCBF7-7749-4C9D-BCA3-532FEF9864AD}">
      <formula1>$D$160:$X$160</formula1>
    </dataValidation>
    <dataValidation type="list" allowBlank="1" showInputMessage="1" showErrorMessage="1" sqref="Y159" xr:uid="{2CC7A2EA-C874-45A7-82F0-F6EFD22B0823}">
      <formula1>$D$159:$X$159</formula1>
    </dataValidation>
    <dataValidation type="list" allowBlank="1" showInputMessage="1" showErrorMessage="1" sqref="Y158" xr:uid="{1073A26B-764B-4A74-AAD6-B0E23A36598A}">
      <formula1>$D$158:$X$158</formula1>
    </dataValidation>
    <dataValidation type="list" allowBlank="1" showInputMessage="1" showErrorMessage="1" sqref="Y157" xr:uid="{3CD82A42-7B8C-4642-AF87-1D56D8A8DBAB}">
      <formula1>$D$157:$X$157</formula1>
    </dataValidation>
    <dataValidation type="list" allowBlank="1" showInputMessage="1" showErrorMessage="1" sqref="Y156" xr:uid="{894D969D-6D0C-4B40-B3E5-7BA4F65E7B95}">
      <formula1>$D$156:$X$156</formula1>
    </dataValidation>
    <dataValidation type="list" allowBlank="1" showInputMessage="1" showErrorMessage="1" sqref="Y138" xr:uid="{E865280A-7D70-433F-8D5E-2CDD3D80D852}">
      <formula1>$D$138:$X$138</formula1>
    </dataValidation>
    <dataValidation type="list" allowBlank="1" showInputMessage="1" showErrorMessage="1" sqref="Y137" xr:uid="{2ED9E7DB-7D0D-459E-A89A-5518D5BADE7B}">
      <formula1>$D$137:$X$137</formula1>
    </dataValidation>
    <dataValidation type="list" allowBlank="1" showInputMessage="1" showErrorMessage="1" sqref="Y136" xr:uid="{F3555F2A-882A-417C-9500-B3E0FE923138}">
      <formula1>$D$136:$X$136</formula1>
    </dataValidation>
    <dataValidation type="list" allowBlank="1" showInputMessage="1" showErrorMessage="1" sqref="Y135" xr:uid="{6642CDE6-9305-4ED9-A7A3-C639FC1E84F6}">
      <formula1>$D$135:$X$135</formula1>
    </dataValidation>
    <dataValidation type="list" allowBlank="1" showInputMessage="1" showErrorMessage="1" sqref="Y134" xr:uid="{4E191EB4-49DA-400B-B31E-A2DAC2959AEB}">
      <formula1>$D$134:$X$134</formula1>
    </dataValidation>
    <dataValidation type="list" allowBlank="1" showInputMessage="1" showErrorMessage="1" sqref="Y133" xr:uid="{6A4A4216-46DA-4369-AE50-7A542C1FF1EF}">
      <formula1>$D$133:$X$133</formula1>
    </dataValidation>
    <dataValidation type="list" allowBlank="1" showInputMessage="1" showErrorMessage="1" sqref="Y132" xr:uid="{8A5F0371-2D49-47AA-97A6-B455C6318970}">
      <formula1>$D$132:$X$132</formula1>
    </dataValidation>
    <dataValidation type="list" allowBlank="1" showInputMessage="1" showErrorMessage="1" sqref="Y131" xr:uid="{835B6BAE-0E55-4DE9-B5D6-D2DB7ACDAB66}">
      <formula1>$D$131:$X$131</formula1>
    </dataValidation>
    <dataValidation type="list" allowBlank="1" showInputMessage="1" showErrorMessage="1" sqref="Y130" xr:uid="{9C3802AD-1FF4-4D4F-9EC1-56B9BF9E22F1}">
      <formula1>$D$130:$X$130</formula1>
    </dataValidation>
    <dataValidation type="list" allowBlank="1" showInputMessage="1" showErrorMessage="1" sqref="Y129" xr:uid="{E299A12C-1165-41D1-AA5B-627D3515FE6A}">
      <formula1>$D$129:$X$129</formula1>
    </dataValidation>
    <dataValidation type="list" allowBlank="1" showInputMessage="1" showErrorMessage="1" sqref="Y128" xr:uid="{C2590FC2-0FC3-4C2B-9F29-6027ABE5CFF0}">
      <formula1>$D$128:$X$128</formula1>
    </dataValidation>
    <dataValidation type="list" allowBlank="1" showInputMessage="1" showErrorMessage="1" sqref="Y127" xr:uid="{732DE4F0-C70F-4119-9AC9-AC512F7C9082}">
      <formula1>$D$127:$X$127</formula1>
    </dataValidation>
    <dataValidation type="list" allowBlank="1" showInputMessage="1" showErrorMessage="1" sqref="Y126" xr:uid="{302DB127-070D-4EFE-A11B-2411E2711DD1}">
      <formula1>$D$126:$X$126</formula1>
    </dataValidation>
    <dataValidation type="list" allowBlank="1" showInputMessage="1" showErrorMessage="1" sqref="Y125" xr:uid="{9271A3D0-192A-416C-A0E2-8D353BBA051C}">
      <formula1>$D$125:$X$125</formula1>
    </dataValidation>
    <dataValidation type="list" allowBlank="1" showInputMessage="1" showErrorMessage="1" sqref="Y124" xr:uid="{076032EB-4062-488E-BC5A-8C769B10879A}">
      <formula1>$D$124:$X$124</formula1>
    </dataValidation>
    <dataValidation type="list" allowBlank="1" showInputMessage="1" showErrorMessage="1" sqref="Y118" xr:uid="{A31BE5FA-234A-4FB3-9D34-12B1F33D11E0}">
      <formula1>$D$118:$X$118</formula1>
    </dataValidation>
    <dataValidation type="list" allowBlank="1" showInputMessage="1" showErrorMessage="1" sqref="Y117" xr:uid="{092E6534-F5B6-4465-833E-1488C8CDCC58}">
      <formula1>$D$117:$X$117</formula1>
    </dataValidation>
    <dataValidation type="list" allowBlank="1" showInputMessage="1" showErrorMessage="1" sqref="Y116" xr:uid="{106EBCE4-226C-43AC-9644-E7DB0EE109F5}">
      <formula1>$D$116:$X$116</formula1>
    </dataValidation>
    <dataValidation type="list" allowBlank="1" showInputMessage="1" showErrorMessage="1" sqref="Y115" xr:uid="{18E3B097-96B2-4BEE-9B87-6ADE6BB7B0A5}">
      <formula1>$D$115:$X$115</formula1>
    </dataValidation>
    <dataValidation type="list" allowBlank="1" showInputMessage="1" showErrorMessage="1" sqref="Y114" xr:uid="{62287D49-F4F8-4F15-BA0C-7D2BDA01F456}">
      <formula1>$D$114:$X$114</formula1>
    </dataValidation>
    <dataValidation type="list" allowBlank="1" showInputMessage="1" showErrorMessage="1" sqref="Y113" xr:uid="{3D1A7FFA-881D-4FF9-888C-A62D25DAD798}">
      <formula1>$D$113:$X$113</formula1>
    </dataValidation>
    <dataValidation type="list" allowBlank="1" showInputMessage="1" showErrorMessage="1" sqref="Y112" xr:uid="{EAB349B8-F615-4E61-8B1B-05DCA2A4E67A}">
      <formula1>$D$112:$X$112</formula1>
    </dataValidation>
    <dataValidation type="list" allowBlank="1" showInputMessage="1" showErrorMessage="1" sqref="Y111" xr:uid="{7D52C3D2-CD48-4775-A333-B41832691F1B}">
      <formula1>$D$111:$X$111</formula1>
    </dataValidation>
    <dataValidation type="list" allowBlank="1" showInputMessage="1" showErrorMessage="1" sqref="Y110" xr:uid="{3D55536F-D889-406C-BC44-B3D47CBEC990}">
      <formula1>$D$110:$X$110</formula1>
    </dataValidation>
    <dataValidation type="list" allowBlank="1" showInputMessage="1" showErrorMessage="1" sqref="Y109" xr:uid="{5F59C654-5058-4A8E-926D-A9792A48D5F5}">
      <formula1>$D$109:$X$109</formula1>
    </dataValidation>
    <dataValidation type="list" allowBlank="1" showInputMessage="1" showErrorMessage="1" sqref="Y108" xr:uid="{7DA65845-AAFD-4A75-8E08-616E99F14383}">
      <formula1>$D$108:$X$108</formula1>
    </dataValidation>
    <dataValidation type="list" allowBlank="1" showInputMessage="1" showErrorMessage="1" sqref="Y107" xr:uid="{0BCCA543-93E6-479C-8F46-EBC911E2A08F}">
      <formula1>$D$107:$X$107</formula1>
    </dataValidation>
    <dataValidation type="list" allowBlank="1" showInputMessage="1" showErrorMessage="1" sqref="Y106" xr:uid="{F6BF6AB5-43F8-4367-9006-D1444FC3DACF}">
      <formula1>$D$106:$X$106</formula1>
    </dataValidation>
    <dataValidation type="list" allowBlank="1" showInputMessage="1" showErrorMessage="1" sqref="Y105" xr:uid="{B697FFDB-ABBF-4A14-8697-A8058AE6D413}">
      <formula1>$D$105:$X$105</formula1>
    </dataValidation>
    <dataValidation type="list" allowBlank="1" showInputMessage="1" showErrorMessage="1" sqref="Y104" xr:uid="{02CA01BD-FFF4-4A49-9B20-48AE46875B50}">
      <formula1>$D$104:$X$104</formula1>
    </dataValidation>
    <dataValidation type="list" allowBlank="1" showInputMessage="1" showErrorMessage="1" sqref="Y103" xr:uid="{4F27B5A4-D69D-4A82-9A55-4FC5AAE5AC57}">
      <formula1>$D$103:$X$103</formula1>
    </dataValidation>
    <dataValidation type="list" allowBlank="1" showInputMessage="1" showErrorMessage="1" sqref="Y102" xr:uid="{AF10496C-6CE8-40DE-BF43-45064B82C2D4}">
      <formula1>$D$102:$X$102</formula1>
    </dataValidation>
    <dataValidation type="list" allowBlank="1" showInputMessage="1" showErrorMessage="1" sqref="Y101" xr:uid="{4664979C-5172-4242-A738-08686193EF91}">
      <formula1>$D$101:$X$101</formula1>
    </dataValidation>
    <dataValidation type="list" allowBlank="1" showInputMessage="1" showErrorMessage="1" sqref="Y100" xr:uid="{BFC7798A-A9D9-4B7D-B5AB-942541FFE275}">
      <formula1>$D$100:$X$100</formula1>
    </dataValidation>
    <dataValidation type="list" allowBlank="1" showInputMessage="1" showErrorMessage="1" sqref="Y99" xr:uid="{C198D673-1B0F-4926-8E1B-8B0216845375}">
      <formula1>$D$99:$X$99</formula1>
    </dataValidation>
    <dataValidation type="list" allowBlank="1" showInputMessage="1" showErrorMessage="1" sqref="Y96" xr:uid="{B3D3C99F-3F09-4627-9AE9-5961C50E59E8}">
      <formula1>$D$96:$X$96</formula1>
    </dataValidation>
    <dataValidation type="list" allowBlank="1" showInputMessage="1" showErrorMessage="1" sqref="Y95" xr:uid="{3E29C257-6C47-4E52-97BD-EF150F4A66D0}">
      <formula1>$D$95:$X$95</formula1>
    </dataValidation>
    <dataValidation type="list" allowBlank="1" showInputMessage="1" showErrorMessage="1" sqref="Y94" xr:uid="{8AAAA042-BED3-4985-9E0F-599CA79FEEA5}">
      <formula1>$D$94:$X$94</formula1>
    </dataValidation>
    <dataValidation type="list" allowBlank="1" showInputMessage="1" showErrorMessage="1" sqref="Y93" xr:uid="{0691CACB-0A6B-4C9F-9A21-3EE862B8ECAB}">
      <formula1>$D$93:$X$93</formula1>
    </dataValidation>
    <dataValidation type="list" allowBlank="1" showInputMessage="1" showErrorMessage="1" sqref="Y92" xr:uid="{CA44C90D-B50C-4FBE-984F-52D6D3449FBE}">
      <formula1>$D$92:$X$92</formula1>
    </dataValidation>
    <dataValidation type="list" allowBlank="1" showInputMessage="1" showErrorMessage="1" sqref="Y91" xr:uid="{C994CAE7-1E3A-4685-86D8-1B210E714581}">
      <formula1>$D$91:$X$91</formula1>
    </dataValidation>
    <dataValidation type="list" allowBlank="1" showInputMessage="1" showErrorMessage="1" sqref="Y90" xr:uid="{98DF2735-525B-45B1-BF44-512797626688}">
      <formula1>$D$90:$X$90</formula1>
    </dataValidation>
    <dataValidation type="list" allowBlank="1" showInputMessage="1" showErrorMessage="1" sqref="Y89" xr:uid="{4F2B8061-8396-4B10-B255-957A5FBE2023}">
      <formula1>$D$89:$X$89</formula1>
    </dataValidation>
    <dataValidation type="list" allowBlank="1" showInputMessage="1" showErrorMessage="1" sqref="Y84" xr:uid="{54475F19-A0CC-4F8C-9DD8-0811CF455AC6}">
      <formula1>$D$84:$X$84</formula1>
    </dataValidation>
    <dataValidation type="list" allowBlank="1" showInputMessage="1" showErrorMessage="1" sqref="Y83" xr:uid="{D41B81B2-101E-4F67-8D40-7A9F0107AFD3}">
      <formula1>$D$83:$X$83</formula1>
    </dataValidation>
    <dataValidation type="list" allowBlank="1" showInputMessage="1" showErrorMessage="1" sqref="Y82" xr:uid="{3FE54FC4-612F-4E7A-887A-B22117BE5B0C}">
      <formula1>$D$82:$X$82</formula1>
    </dataValidation>
    <dataValidation type="list" allowBlank="1" showInputMessage="1" showErrorMessage="1" sqref="Y81" xr:uid="{57E42077-48C2-4AF6-89F3-2ED5F859AE04}">
      <formula1>$D$81:$X$81</formula1>
    </dataValidation>
    <dataValidation type="list" allowBlank="1" showInputMessage="1" showErrorMessage="1" sqref="Y80" xr:uid="{514B2DEB-A1F5-4996-9E5C-76D248BC6F37}">
      <formula1>$D$80:$X$80</formula1>
    </dataValidation>
    <dataValidation type="list" allowBlank="1" showInputMessage="1" showErrorMessage="1" sqref="Y79" xr:uid="{C1CD0C17-BBF7-49F7-9DB1-F067B11B895C}">
      <formula1>$D$79:$X$79</formula1>
    </dataValidation>
    <dataValidation type="list" allowBlank="1" showInputMessage="1" showErrorMessage="1" sqref="Y78" xr:uid="{3818D101-42C1-4202-9DC2-108601A00FE3}">
      <formula1>$D$78:$X$78</formula1>
    </dataValidation>
    <dataValidation type="list" allowBlank="1" showInputMessage="1" showErrorMessage="1" sqref="Y77" xr:uid="{E65E5397-4E20-4743-BB3F-9216155348D6}">
      <formula1>$D$77:$X$77</formula1>
    </dataValidation>
    <dataValidation type="list" allowBlank="1" showInputMessage="1" showErrorMessage="1" sqref="Y76" xr:uid="{6116DE07-46C0-48B7-9AC4-BBF6E4485930}">
      <formula1>$D$76:$X$76</formula1>
    </dataValidation>
    <dataValidation type="list" allowBlank="1" showInputMessage="1" showErrorMessage="1" sqref="Y75" xr:uid="{45882B5B-7700-40A1-8A28-E4FCBB579D4D}">
      <formula1>$D$75:$X$75</formula1>
    </dataValidation>
    <dataValidation type="list" allowBlank="1" showInputMessage="1" showErrorMessage="1" sqref="Y74" xr:uid="{0399708A-D72E-4E11-A4EE-82499CD091FA}">
      <formula1>$D$74:$X$74</formula1>
    </dataValidation>
    <dataValidation type="list" allowBlank="1" showInputMessage="1" showErrorMessage="1" sqref="Y73" xr:uid="{3ECCF64C-9B4B-4068-AC59-B33514FA9FAB}">
      <formula1>$D$73:$X$73</formula1>
    </dataValidation>
    <dataValidation type="list" allowBlank="1" showInputMessage="1" showErrorMessage="1" sqref="Y72" xr:uid="{802FFDF9-E6A4-4542-ADFB-4A1C21C83424}">
      <formula1>$D$72:$X$72</formula1>
    </dataValidation>
    <dataValidation type="list" allowBlank="1" showInputMessage="1" showErrorMessage="1" sqref="Y71" xr:uid="{4E5DB9E6-A0F6-43D0-906D-9A3AC839EF2E}">
      <formula1>$D$71:$X$71</formula1>
    </dataValidation>
    <dataValidation type="list" allowBlank="1" showInputMessage="1" showErrorMessage="1" sqref="Y70" xr:uid="{0E9D5BFA-F1E0-415D-9105-178E61DFA11D}">
      <formula1>$D$70:$X$70</formula1>
    </dataValidation>
    <dataValidation type="list" allowBlank="1" showInputMessage="1" showErrorMessage="1" sqref="Y69" xr:uid="{3CB28E32-D64E-49A8-8421-789E6DC69F6B}">
      <formula1>$D$69:$X$69</formula1>
    </dataValidation>
    <dataValidation type="list" allowBlank="1" showInputMessage="1" showErrorMessage="1" sqref="Y68" xr:uid="{8445B05A-7634-488B-ABB3-A3C4FE8B731B}">
      <formula1>$D$68:$X$68</formula1>
    </dataValidation>
    <dataValidation type="list" allowBlank="1" showInputMessage="1" showErrorMessage="1" sqref="Y67" xr:uid="{F69818E3-AE44-44C0-8190-3828B757DFE9}">
      <formula1>$D$67:$X$67</formula1>
    </dataValidation>
    <dataValidation type="list" allowBlank="1" showInputMessage="1" showErrorMessage="1" sqref="Y66" xr:uid="{93B0CF3D-F3F4-4F2C-8ABF-8B220C73D1DF}">
      <formula1>$D$66:$X$66</formula1>
    </dataValidation>
    <dataValidation type="list" allowBlank="1" showInputMessage="1" showErrorMessage="1" sqref="Y65" xr:uid="{B3D61AE1-9425-4648-AC83-165DA9D21EBC}">
      <formula1>$D$65:$X$65</formula1>
    </dataValidation>
    <dataValidation type="list" allowBlank="1" showInputMessage="1" showErrorMessage="1" sqref="Y64" xr:uid="{2A375ACC-91CF-4DF1-8E05-7D221FD29E62}">
      <formula1>$D$64:$X$64</formula1>
    </dataValidation>
    <dataValidation type="list" allowBlank="1" showInputMessage="1" showErrorMessage="1" sqref="Y63" xr:uid="{F9D94AD6-1E48-435A-9232-4338C16377BF}">
      <formula1>$D$63:$X$63</formula1>
    </dataValidation>
    <dataValidation type="list" allowBlank="1" showInputMessage="1" showErrorMessage="1" sqref="Y62" xr:uid="{216E5568-EA8A-4681-A4F6-4C55ED643C37}">
      <formula1>$D$62:$X$62</formula1>
    </dataValidation>
    <dataValidation type="list" allowBlank="1" showInputMessage="1" showErrorMessage="1" sqref="Y61" xr:uid="{ED895A3E-8D7F-48A8-9E8A-276063F53020}">
      <formula1>$D$61:$X$61</formula1>
    </dataValidation>
    <dataValidation type="list" allowBlank="1" showInputMessage="1" showErrorMessage="1" sqref="Y60" xr:uid="{5D0D3F3F-67F1-4CD0-B955-68EA07FA6DD8}">
      <formula1>$D$60:$X$60</formula1>
    </dataValidation>
    <dataValidation type="list" allowBlank="1" showInputMessage="1" showErrorMessage="1" sqref="Y59" xr:uid="{4F0E45D8-9E6A-4FCC-B0AB-B8359D20EEEA}">
      <formula1>$D$59:$X$59</formula1>
    </dataValidation>
    <dataValidation type="list" allowBlank="1" showInputMessage="1" showErrorMessage="1" sqref="Y58" xr:uid="{FFEB37FD-DD76-4574-8BA0-CF0BEDB90E46}">
      <formula1>$D$58:$X$58</formula1>
    </dataValidation>
    <dataValidation type="list" allowBlank="1" showInputMessage="1" showErrorMessage="1" sqref="Y57" xr:uid="{DFDE5698-E391-40D8-AD65-2B3AA37BE8BA}">
      <formula1>$D$57:$X$57</formula1>
    </dataValidation>
    <dataValidation type="list" allowBlank="1" showInputMessage="1" showErrorMessage="1" sqref="Y51" xr:uid="{4EFC7D2A-85A4-4816-A994-DA48AE525342}">
      <formula1>$D$51:$X$51</formula1>
    </dataValidation>
    <dataValidation type="list" allowBlank="1" showInputMessage="1" showErrorMessage="1" sqref="Y50" xr:uid="{D33C2889-BD79-45A6-8B82-604CCF46909D}">
      <formula1>$D$50:$X$50</formula1>
    </dataValidation>
    <dataValidation type="list" allowBlank="1" showInputMessage="1" showErrorMessage="1" sqref="Y49" xr:uid="{4A394438-B81E-43F2-9E3F-71304F7F5DE9}">
      <formula1>$D$49:$X$49</formula1>
    </dataValidation>
    <dataValidation type="list" allowBlank="1" showInputMessage="1" showErrorMessage="1" sqref="Y48" xr:uid="{87959D0B-D8EB-413A-B4BC-BD3CE273270D}">
      <formula1>$D$48:$X$48</formula1>
    </dataValidation>
    <dataValidation type="list" allowBlank="1" showInputMessage="1" showErrorMessage="1" sqref="Y47" xr:uid="{BE85FF08-1032-4CD6-86CD-6EDC832A5214}">
      <formula1>$D$47:$X$47</formula1>
    </dataValidation>
    <dataValidation type="list" allowBlank="1" showInputMessage="1" showErrorMessage="1" sqref="Y46" xr:uid="{EFB6BA4D-368F-49C2-925E-1605BDB65179}">
      <formula1>$D$46:$X$46</formula1>
    </dataValidation>
    <dataValidation type="list" allowBlank="1" showInputMessage="1" showErrorMessage="1" sqref="Y45" xr:uid="{CAAE61AE-DD79-4CBA-AE95-EF6F96793968}">
      <formula1>$D$45:$X$45</formula1>
    </dataValidation>
    <dataValidation type="list" allowBlank="1" showInputMessage="1" showErrorMessage="1" sqref="Y44" xr:uid="{D0895659-B5B9-4620-BC33-DCB12C7BDEA0}">
      <formula1>$D$44:$X$44</formula1>
    </dataValidation>
    <dataValidation type="list" allowBlank="1" showInputMessage="1" showErrorMessage="1" sqref="Y43" xr:uid="{DFCE972E-821E-45E0-8B8A-EEF5ABBA6CB8}">
      <formula1>$D$43:$X$43</formula1>
    </dataValidation>
    <dataValidation type="list" allowBlank="1" showInputMessage="1" showErrorMessage="1" sqref="Y42" xr:uid="{7017F5AC-0AB1-4BD4-BE5C-CA79713DC36A}">
      <formula1>$D$42:$X$42</formula1>
    </dataValidation>
    <dataValidation type="list" allowBlank="1" showInputMessage="1" showErrorMessage="1" sqref="Y41" xr:uid="{F5B221D7-0451-467A-92A5-EBDF738A30DD}">
      <formula1>$D$41:$X$41</formula1>
    </dataValidation>
    <dataValidation type="list" allowBlank="1" showInputMessage="1" showErrorMessage="1" sqref="Y40" xr:uid="{81FE5970-9161-431E-BBD3-CC1A5B18AA99}">
      <formula1>$D$40:$X$40</formula1>
    </dataValidation>
    <dataValidation type="list" allowBlank="1" showInputMessage="1" showErrorMessage="1" sqref="Y39" xr:uid="{D8E1848A-E232-491A-93D0-1751C55E56B0}">
      <formula1>$D$39:$X$39</formula1>
    </dataValidation>
    <dataValidation type="list" allowBlank="1" showInputMessage="1" showErrorMessage="1" sqref="Y38" xr:uid="{FD155C55-2F9F-42D3-B732-99916217037E}">
      <formula1>$D$38:$X$38</formula1>
    </dataValidation>
    <dataValidation type="list" allowBlank="1" showInputMessage="1" showErrorMessage="1" sqref="Y37" xr:uid="{01F993CC-35D9-416F-8D5F-9F67BD28D920}">
      <formula1>$D$37:$X$37</formula1>
    </dataValidation>
    <dataValidation type="list" allowBlank="1" showInputMessage="1" showErrorMessage="1" sqref="Y36" xr:uid="{C82C3C50-D952-4889-BF6D-9268C0AD777C}">
      <formula1>$D$36:$X$36</formula1>
    </dataValidation>
    <dataValidation type="list" allowBlank="1" showInputMessage="1" showErrorMessage="1" sqref="Y35" xr:uid="{69B04A99-AC34-401E-8D29-2A9E86579C74}">
      <formula1>$D$35:$X$35</formula1>
    </dataValidation>
    <dataValidation type="list" allowBlank="1" showInputMessage="1" showErrorMessage="1" sqref="Y34" xr:uid="{E2063D3F-D232-4CB2-951B-311596AB7953}">
      <formula1>$D$34:$X$34</formula1>
    </dataValidation>
    <dataValidation type="list" allowBlank="1" showInputMessage="1" showErrorMessage="1" sqref="Y33" xr:uid="{0F2F9C70-8C24-4DA7-8B98-B9EBA9C9D3DC}">
      <formula1>$D$33:$X$33</formula1>
    </dataValidation>
    <dataValidation type="list" allowBlank="1" showInputMessage="1" showErrorMessage="1" sqref="Y30" xr:uid="{6BF853F0-7D29-4598-9A9F-58A4E33F9CAD}">
      <formula1>$D$30:$X$30</formula1>
    </dataValidation>
    <dataValidation type="list" allowBlank="1" showInputMessage="1" showErrorMessage="1" sqref="Y29" xr:uid="{B83E5454-20D0-4537-9AF8-1B57BADDE7E9}">
      <formula1>$D$29:$X$29</formula1>
    </dataValidation>
    <dataValidation type="list" allowBlank="1" showInputMessage="1" showErrorMessage="1" sqref="Y28" xr:uid="{358F0374-614B-4789-B639-5BE27F73DA3F}">
      <formula1>$D$28:$X$28</formula1>
    </dataValidation>
    <dataValidation type="list" allowBlank="1" showInputMessage="1" showErrorMessage="1" sqref="Y27" xr:uid="{08843B17-7021-46B5-8321-CB2391DFE5EC}">
      <formula1>$D$27:$X$27</formula1>
    </dataValidation>
    <dataValidation type="list" allowBlank="1" showInputMessage="1" showErrorMessage="1" sqref="Y26" xr:uid="{F0F3B76B-FFD5-495C-8FF6-E23A4B609464}">
      <formula1>$D$26:$X$26</formula1>
    </dataValidation>
    <dataValidation type="list" allowBlank="1" showInputMessage="1" showErrorMessage="1" sqref="Y25" xr:uid="{EADEAA1C-2D4E-4422-99E7-85B621EA15C4}">
      <formula1>$D$25:$X$25</formula1>
    </dataValidation>
    <dataValidation type="list" allowBlank="1" showInputMessage="1" showErrorMessage="1" sqref="Y24" xr:uid="{FC46FF01-2B15-44D3-8ADD-E4E71754B0B8}">
      <formula1>$D$24:$X$24</formula1>
    </dataValidation>
    <dataValidation type="list" allowBlank="1" showInputMessage="1" showErrorMessage="1" sqref="Y23" xr:uid="{4171FD0F-C791-49B8-B94E-0DFB18CBDDA9}">
      <formula1>$D$23:$X$23</formula1>
    </dataValidation>
    <dataValidation type="list" allowBlank="1" showInputMessage="1" showErrorMessage="1" sqref="Y22" xr:uid="{8F46BFC7-FD4F-48F2-96C7-AEEB44D0AA23}">
      <formula1>$D$22:$X$22</formula1>
    </dataValidation>
    <dataValidation type="list" allowBlank="1" showInputMessage="1" showErrorMessage="1" sqref="Y21" xr:uid="{6508E2D9-ECC7-4133-9742-D1C169124936}">
      <formula1>$D$21:$X$21</formula1>
    </dataValidation>
    <dataValidation type="list" allowBlank="1" showInputMessage="1" showErrorMessage="1" sqref="Y20" xr:uid="{BC8CD17B-113E-40D5-8020-120B85179C65}">
      <formula1>$D$20:$X$20</formula1>
    </dataValidation>
    <dataValidation type="list" allowBlank="1" showInputMessage="1" showErrorMessage="1" sqref="Y19" xr:uid="{2B2D9616-52AB-4136-8C2F-8D30EFC0A89F}">
      <formula1>$D$19:$X$19</formula1>
    </dataValidation>
    <dataValidation type="list" allowBlank="1" showInputMessage="1" showErrorMessage="1" sqref="Y18" xr:uid="{6EE3CD95-CB19-4237-9417-C37A788267A2}">
      <formula1>$D$18:$X$18</formula1>
    </dataValidation>
    <dataValidation type="list" allowBlank="1" showInputMessage="1" showErrorMessage="1" sqref="Y17" xr:uid="{7CAFB39F-5B03-4BCD-AC65-BDCFEF64A0A8}">
      <formula1>$D$17:$X$17</formula1>
    </dataValidation>
    <dataValidation type="list" allowBlank="1" showInputMessage="1" showErrorMessage="1" sqref="Y16" xr:uid="{A9336C5C-55C9-4CE6-B547-54EFD4FA5950}">
      <formula1>$D$16:$X$16</formula1>
    </dataValidation>
    <dataValidation type="list" allowBlank="1" showInputMessage="1" showErrorMessage="1" sqref="Y15" xr:uid="{F67FAA44-F8EC-43C6-B447-27122B24FAF7}">
      <formula1>$D$15:$X$15</formula1>
    </dataValidation>
    <dataValidation type="list" allowBlank="1" showInputMessage="1" showErrorMessage="1" sqref="Y14" xr:uid="{4D3AECEE-55A8-4DE2-9650-B7B651616C6C}">
      <formula1>$D$14:$X$14</formula1>
    </dataValidation>
    <dataValidation type="list" allowBlank="1" showInputMessage="1" showErrorMessage="1" sqref="Y13" xr:uid="{B5AD77EE-F63E-40E9-B0CE-497318C3B9E1}">
      <formula1>$D$13:$X$13</formula1>
    </dataValidation>
    <dataValidation type="list" allowBlank="1" showInputMessage="1" showErrorMessage="1" sqref="Y12" xr:uid="{679ACB6B-183E-4958-93BB-65BE1948D295}">
      <formula1>$D$12:$X$12</formula1>
    </dataValidation>
    <dataValidation type="list" allowBlank="1" showInputMessage="1" showErrorMessage="1" sqref="Y11" xr:uid="{85A261EC-EFE7-417F-9B79-383836C80BDE}">
      <formula1>$D$11:$X$11</formula1>
    </dataValidation>
    <dataValidation type="list" allowBlank="1" showInputMessage="1" showErrorMessage="1" sqref="Z89" xr:uid="{BCDA6FAA-A7E5-46F5-891D-836C9DF1F31C}">
      <formula1>"NA, SMARTIO12_0"</formula1>
    </dataValidation>
    <dataValidation type="list" allowBlank="1" showInputMessage="1" showErrorMessage="1" sqref="Z90" xr:uid="{F1079838-BF87-4105-95D4-C7B9B9BD359D}">
      <formula1>"NA, SMARTIO12_1"</formula1>
    </dataValidation>
    <dataValidation type="list" allowBlank="1" showInputMessage="1" showErrorMessage="1" sqref="Z91" xr:uid="{C8AE499E-CFF3-430B-9FF0-D91D08001EB1}">
      <formula1>"NA, SMARTIO12_2"</formula1>
    </dataValidation>
    <dataValidation type="list" allowBlank="1" showInputMessage="1" showErrorMessage="1" sqref="Z92" xr:uid="{9A94F3B6-AFE2-4B7C-81D3-772AB4910C3A}">
      <formula1>"NA, SMARTIO12_3"</formula1>
    </dataValidation>
    <dataValidation type="list" allowBlank="1" showInputMessage="1" showErrorMessage="1" sqref="Z93" xr:uid="{F7D04F96-286A-4155-A522-41B203A774C5}">
      <formula1>"NA, SMARTIO12_4"</formula1>
    </dataValidation>
    <dataValidation type="list" allowBlank="1" showInputMessage="1" showErrorMessage="1" sqref="Z94" xr:uid="{4B4D25FA-D0FE-41EB-B0B0-656EDA2A44DE}">
      <formula1>"NA, SMARTIO12_5"</formula1>
    </dataValidation>
    <dataValidation type="list" allowBlank="1" showInputMessage="1" showErrorMessage="1" sqref="Z95" xr:uid="{3C4DA974-606C-4763-9A48-6C7F1B06D5D7}">
      <formula1>"NA, SMARTIO12_6"</formula1>
    </dataValidation>
    <dataValidation type="list" allowBlank="1" showInputMessage="1" showErrorMessage="1" sqref="Z96" xr:uid="{F46D6A6E-1ACC-48FB-B2D4-6990B20E5B1B}">
      <formula1>"NA, SMARTIO12_7"</formula1>
    </dataValidation>
    <dataValidation type="list" allowBlank="1" showInputMessage="1" showErrorMessage="1" sqref="Z99" xr:uid="{C376A3E9-4A66-4141-A8A9-348A741183C9}">
      <formula1>"NA, SMARTIO13_0"</formula1>
    </dataValidation>
    <dataValidation type="list" allowBlank="1" showInputMessage="1" showErrorMessage="1" sqref="Z100" xr:uid="{27A06FAF-49BF-4457-B003-D331FD41A193}">
      <formula1>"NA, SMARTIO13_1"</formula1>
    </dataValidation>
    <dataValidation type="list" allowBlank="1" showInputMessage="1" showErrorMessage="1" sqref="Z101" xr:uid="{F034E3FF-1BB5-4E52-887B-3388D9565065}">
      <formula1>"NA, SMARTIO13_2"</formula1>
    </dataValidation>
    <dataValidation type="list" allowBlank="1" showInputMessage="1" showErrorMessage="1" sqref="Z102" xr:uid="{68088703-D7D5-4393-9E83-B2E9E80AD45A}">
      <formula1>"NA, SMARTIO13_3"</formula1>
    </dataValidation>
    <dataValidation type="list" allowBlank="1" showInputMessage="1" showErrorMessage="1" sqref="Z103" xr:uid="{3F04F9A0-E489-4F50-8D87-11DBD08C82DA}">
      <formula1>"NA, SMARTIO13_4"</formula1>
    </dataValidation>
    <dataValidation type="list" allowBlank="1" showInputMessage="1" showErrorMessage="1" sqref="Z104" xr:uid="{3BF60D93-BBC7-4DC5-94F6-8508330CDFA3}">
      <formula1>"NA, SMARTIO13_5"</formula1>
    </dataValidation>
    <dataValidation type="list" allowBlank="1" showInputMessage="1" showErrorMessage="1" sqref="Z105" xr:uid="{DEBABA37-F5BA-44C4-A350-DECB56D6997A}">
      <formula1>"NA, SMARTIO13_6"</formula1>
    </dataValidation>
    <dataValidation type="list" allowBlank="1" showInputMessage="1" showErrorMessage="1" sqref="Z106" xr:uid="{C4B1EE45-8926-41F3-9FC2-BBAB3D53C91B}">
      <formula1>"NA, SMARTIO13_7"</formula1>
    </dataValidation>
    <dataValidation type="list" allowBlank="1" showInputMessage="1" showErrorMessage="1" sqref="Z107" xr:uid="{1EE8BD26-91FA-4ED7-982A-304F93CB259B}">
      <formula1>"NA, SMARTIO14_0"</formula1>
    </dataValidation>
    <dataValidation type="list" allowBlank="1" showInputMessage="1" showErrorMessage="1" sqref="Z108" xr:uid="{0574D724-F9CE-4DE2-B93D-87CBD276C091}">
      <formula1>"NA, SMARTIO14_1"</formula1>
    </dataValidation>
    <dataValidation type="list" allowBlank="1" showInputMessage="1" showErrorMessage="1" sqref="Z109" xr:uid="{C267F0DB-0616-474D-B558-C9385AAD69CE}">
      <formula1>"NA, SMARTIO14_2"</formula1>
    </dataValidation>
    <dataValidation type="list" allowBlank="1" showInputMessage="1" showErrorMessage="1" sqref="Z110" xr:uid="{6BF7D159-3D82-4519-953D-EAA6FB4C01B2}">
      <formula1>"NA, SMARTIO14_3"</formula1>
    </dataValidation>
    <dataValidation type="list" allowBlank="1" showInputMessage="1" showErrorMessage="1" sqref="Z111" xr:uid="{3D59E75E-7E4D-40D2-B0F1-ACCD7AED81A5}">
      <formula1>"NA, SMARTIO14_4"</formula1>
    </dataValidation>
    <dataValidation type="list" allowBlank="1" showInputMessage="1" showErrorMessage="1" sqref="Z112" xr:uid="{912776F3-6963-4F7B-899F-F1C5F6BCD2E2}">
      <formula1>"NA, SMARTIO14_5"</formula1>
    </dataValidation>
    <dataValidation type="list" allowBlank="1" showInputMessage="1" showErrorMessage="1" sqref="Z113" xr:uid="{8200039F-CF50-41CD-A38F-C36CF1F27A09}">
      <formula1>"NA, SMARTIO14_6"</formula1>
    </dataValidation>
    <dataValidation type="list" allowBlank="1" showInputMessage="1" showErrorMessage="1" sqref="Z114" xr:uid="{1F5CA06F-6CC3-4B56-8257-1825886B0CD7}">
      <formula1>"NA, SMARTIO14_7"</formula1>
    </dataValidation>
    <dataValidation type="list" allowBlank="1" showInputMessage="1" showErrorMessage="1" sqref="Z115" xr:uid="{2BEAF03F-BC4A-4FC8-BE72-8D92B9E340FE}">
      <formula1>"NA, SMARTIO15_0"</formula1>
    </dataValidation>
    <dataValidation type="list" allowBlank="1" showInputMessage="1" showErrorMessage="1" sqref="Z116" xr:uid="{F151E3A7-7695-4516-9854-3802A4B5B327}">
      <formula1>"NA, SMARTIO15_1"</formula1>
    </dataValidation>
    <dataValidation type="list" allowBlank="1" showInputMessage="1" showErrorMessage="1" sqref="Z117" xr:uid="{325E7F64-A874-47D8-841F-035BAED15E66}">
      <formula1>"NA, SMARTIO15_2"</formula1>
    </dataValidation>
    <dataValidation type="list" allowBlank="1" showInputMessage="1" showErrorMessage="1" sqref="Z118" xr:uid="{DA313E3D-1B63-448A-8082-53FA644EFDFB}">
      <formula1>"NA, SMARTIO15_3"</formula1>
    </dataValidation>
    <dataValidation type="list" allowBlank="1" showInputMessage="1" showErrorMessage="1" sqref="Z125" xr:uid="{FD727FB7-1291-49F9-AE10-AD35D1DAD6FF}">
      <formula1>"NA, SMARTIO17_0"</formula1>
    </dataValidation>
    <dataValidation type="list" allowBlank="1" showInputMessage="1" showErrorMessage="1" sqref="Z126" xr:uid="{1236B4F6-4C82-459D-B25A-8DAD0F644D23}">
      <formula1>"NA, SMARTIO17_1"</formula1>
    </dataValidation>
    <dataValidation type="list" allowBlank="1" showInputMessage="1" showErrorMessage="1" sqref="Z127" xr:uid="{83B95246-4872-4099-A80A-25D1D0B72736}">
      <formula1>"NA, SMARTIO17_2"</formula1>
    </dataValidation>
    <dataValidation type="list" allowBlank="1" showInputMessage="1" showErrorMessage="1" sqref="Z128" xr:uid="{19150CEC-E418-4DA9-9DDA-3E706CFDD65F}">
      <formula1>"NA, SMARTIO17_3"</formula1>
    </dataValidation>
    <dataValidation type="list" allowBlank="1" showInputMessage="1" showErrorMessage="1" sqref="Z129" xr:uid="{9D56762C-9EDB-444D-B768-5388BB39C528}">
      <formula1>"NA, SMARTIO17_4"</formula1>
    </dataValidation>
    <dataValidation type="list" allowBlank="1" showInputMessage="1" showErrorMessage="1" sqref="Z130" xr:uid="{D42DEEF7-D731-4705-A23C-255300E2096A}">
      <formula1>"NA, SMARTIO17_5"</formula1>
    </dataValidation>
    <dataValidation type="list" allowBlank="1" showInputMessage="1" showErrorMessage="1" sqref="Z131" xr:uid="{0BC4308B-97E4-4B15-AC1E-877C1A9983B5}">
      <formula1>"NA, SMARTIO17_6"</formula1>
    </dataValidation>
    <dataValidation type="list" allowBlank="1" showInputMessage="1" showErrorMessage="1" sqref="Z132" xr:uid="{406453E5-A1B0-4723-97C5-376F83E6323B}">
      <formula1>"NA, SMARTIO17_7"</formula1>
    </dataValidation>
  </dataValidations>
  <pageMargins left="0.7" right="0.7" top="0.75" bottom="0.75" header="0.3" footer="0.3"/>
  <pageSetup paperSize="9" orientation="portrait" r:id="rId1"/>
  <ignoredErrors>
    <ignoredError sqref="AA11:AA185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0F085-AD21-403D-A922-4B6D8EAB5477}">
  <dimension ref="A1:CL277"/>
  <sheetViews>
    <sheetView topLeftCell="A142" zoomScale="55" zoomScaleNormal="55" workbookViewId="0">
      <selection activeCell="Q3" sqref="Q3"/>
    </sheetView>
  </sheetViews>
  <sheetFormatPr defaultRowHeight="10" x14ac:dyDescent="0.55000000000000004"/>
  <cols>
    <col min="1" max="1" width="8.6640625" style="46"/>
    <col min="2" max="2" width="14.1640625" style="46" bestFit="1" customWidth="1"/>
    <col min="3" max="3" width="22.25" style="46" bestFit="1" customWidth="1"/>
    <col min="4" max="87" width="6.25" style="46" customWidth="1"/>
    <col min="88" max="90" width="8.58203125" style="46" customWidth="1"/>
    <col min="91" max="291" width="8.6640625" style="46"/>
    <col min="292" max="292" width="14.33203125" style="46" customWidth="1"/>
    <col min="293" max="294" width="3.33203125" style="46" customWidth="1"/>
    <col min="295" max="319" width="2.4140625" style="46" customWidth="1"/>
    <col min="320" max="321" width="3.33203125" style="46" customWidth="1"/>
    <col min="322" max="322" width="14.33203125" style="46" customWidth="1"/>
    <col min="323" max="547" width="8.6640625" style="46"/>
    <col min="548" max="548" width="14.33203125" style="46" customWidth="1"/>
    <col min="549" max="550" width="3.33203125" style="46" customWidth="1"/>
    <col min="551" max="575" width="2.4140625" style="46" customWidth="1"/>
    <col min="576" max="577" width="3.33203125" style="46" customWidth="1"/>
    <col min="578" max="578" width="14.33203125" style="46" customWidth="1"/>
    <col min="579" max="803" width="8.6640625" style="46"/>
    <col min="804" max="804" width="14.33203125" style="46" customWidth="1"/>
    <col min="805" max="806" width="3.33203125" style="46" customWidth="1"/>
    <col min="807" max="831" width="2.4140625" style="46" customWidth="1"/>
    <col min="832" max="833" width="3.33203125" style="46" customWidth="1"/>
    <col min="834" max="834" width="14.33203125" style="46" customWidth="1"/>
    <col min="835" max="1059" width="8.6640625" style="46"/>
    <col min="1060" max="1060" width="14.33203125" style="46" customWidth="1"/>
    <col min="1061" max="1062" width="3.33203125" style="46" customWidth="1"/>
    <col min="1063" max="1087" width="2.4140625" style="46" customWidth="1"/>
    <col min="1088" max="1089" width="3.33203125" style="46" customWidth="1"/>
    <col min="1090" max="1090" width="14.33203125" style="46" customWidth="1"/>
    <col min="1091" max="1315" width="8.6640625" style="46"/>
    <col min="1316" max="1316" width="14.33203125" style="46" customWidth="1"/>
    <col min="1317" max="1318" width="3.33203125" style="46" customWidth="1"/>
    <col min="1319" max="1343" width="2.4140625" style="46" customWidth="1"/>
    <col min="1344" max="1345" width="3.33203125" style="46" customWidth="1"/>
    <col min="1346" max="1346" width="14.33203125" style="46" customWidth="1"/>
    <col min="1347" max="1571" width="8.6640625" style="46"/>
    <col min="1572" max="1572" width="14.33203125" style="46" customWidth="1"/>
    <col min="1573" max="1574" width="3.33203125" style="46" customWidth="1"/>
    <col min="1575" max="1599" width="2.4140625" style="46" customWidth="1"/>
    <col min="1600" max="1601" width="3.33203125" style="46" customWidth="1"/>
    <col min="1602" max="1602" width="14.33203125" style="46" customWidth="1"/>
    <col min="1603" max="1827" width="8.6640625" style="46"/>
    <col min="1828" max="1828" width="14.33203125" style="46" customWidth="1"/>
    <col min="1829" max="1830" width="3.33203125" style="46" customWidth="1"/>
    <col min="1831" max="1855" width="2.4140625" style="46" customWidth="1"/>
    <col min="1856" max="1857" width="3.33203125" style="46" customWidth="1"/>
    <col min="1858" max="1858" width="14.33203125" style="46" customWidth="1"/>
    <col min="1859" max="2083" width="8.6640625" style="46"/>
    <col min="2084" max="2084" width="14.33203125" style="46" customWidth="1"/>
    <col min="2085" max="2086" width="3.33203125" style="46" customWidth="1"/>
    <col min="2087" max="2111" width="2.4140625" style="46" customWidth="1"/>
    <col min="2112" max="2113" width="3.33203125" style="46" customWidth="1"/>
    <col min="2114" max="2114" width="14.33203125" style="46" customWidth="1"/>
    <col min="2115" max="2339" width="8.6640625" style="46"/>
    <col min="2340" max="2340" width="14.33203125" style="46" customWidth="1"/>
    <col min="2341" max="2342" width="3.33203125" style="46" customWidth="1"/>
    <col min="2343" max="2367" width="2.4140625" style="46" customWidth="1"/>
    <col min="2368" max="2369" width="3.33203125" style="46" customWidth="1"/>
    <col min="2370" max="2370" width="14.33203125" style="46" customWidth="1"/>
    <col min="2371" max="2595" width="8.6640625" style="46"/>
    <col min="2596" max="2596" width="14.33203125" style="46" customWidth="1"/>
    <col min="2597" max="2598" width="3.33203125" style="46" customWidth="1"/>
    <col min="2599" max="2623" width="2.4140625" style="46" customWidth="1"/>
    <col min="2624" max="2625" width="3.33203125" style="46" customWidth="1"/>
    <col min="2626" max="2626" width="14.33203125" style="46" customWidth="1"/>
    <col min="2627" max="2851" width="8.6640625" style="46"/>
    <col min="2852" max="2852" width="14.33203125" style="46" customWidth="1"/>
    <col min="2853" max="2854" width="3.33203125" style="46" customWidth="1"/>
    <col min="2855" max="2879" width="2.4140625" style="46" customWidth="1"/>
    <col min="2880" max="2881" width="3.33203125" style="46" customWidth="1"/>
    <col min="2882" max="2882" width="14.33203125" style="46" customWidth="1"/>
    <col min="2883" max="3107" width="8.6640625" style="46"/>
    <col min="3108" max="3108" width="14.33203125" style="46" customWidth="1"/>
    <col min="3109" max="3110" width="3.33203125" style="46" customWidth="1"/>
    <col min="3111" max="3135" width="2.4140625" style="46" customWidth="1"/>
    <col min="3136" max="3137" width="3.33203125" style="46" customWidth="1"/>
    <col min="3138" max="3138" width="14.33203125" style="46" customWidth="1"/>
    <col min="3139" max="3363" width="8.6640625" style="46"/>
    <col min="3364" max="3364" width="14.33203125" style="46" customWidth="1"/>
    <col min="3365" max="3366" width="3.33203125" style="46" customWidth="1"/>
    <col min="3367" max="3391" width="2.4140625" style="46" customWidth="1"/>
    <col min="3392" max="3393" width="3.33203125" style="46" customWidth="1"/>
    <col min="3394" max="3394" width="14.33203125" style="46" customWidth="1"/>
    <col min="3395" max="3619" width="8.6640625" style="46"/>
    <col min="3620" max="3620" width="14.33203125" style="46" customWidth="1"/>
    <col min="3621" max="3622" width="3.33203125" style="46" customWidth="1"/>
    <col min="3623" max="3647" width="2.4140625" style="46" customWidth="1"/>
    <col min="3648" max="3649" width="3.33203125" style="46" customWidth="1"/>
    <col min="3650" max="3650" width="14.33203125" style="46" customWidth="1"/>
    <col min="3651" max="3875" width="8.6640625" style="46"/>
    <col min="3876" max="3876" width="14.33203125" style="46" customWidth="1"/>
    <col min="3877" max="3878" width="3.33203125" style="46" customWidth="1"/>
    <col min="3879" max="3903" width="2.4140625" style="46" customWidth="1"/>
    <col min="3904" max="3905" width="3.33203125" style="46" customWidth="1"/>
    <col min="3906" max="3906" width="14.33203125" style="46" customWidth="1"/>
    <col min="3907" max="4131" width="8.6640625" style="46"/>
    <col min="4132" max="4132" width="14.33203125" style="46" customWidth="1"/>
    <col min="4133" max="4134" width="3.33203125" style="46" customWidth="1"/>
    <col min="4135" max="4159" width="2.4140625" style="46" customWidth="1"/>
    <col min="4160" max="4161" width="3.33203125" style="46" customWidth="1"/>
    <col min="4162" max="4162" width="14.33203125" style="46" customWidth="1"/>
    <col min="4163" max="4387" width="8.6640625" style="46"/>
    <col min="4388" max="4388" width="14.33203125" style="46" customWidth="1"/>
    <col min="4389" max="4390" width="3.33203125" style="46" customWidth="1"/>
    <col min="4391" max="4415" width="2.4140625" style="46" customWidth="1"/>
    <col min="4416" max="4417" width="3.33203125" style="46" customWidth="1"/>
    <col min="4418" max="4418" width="14.33203125" style="46" customWidth="1"/>
    <col min="4419" max="4643" width="8.6640625" style="46"/>
    <col min="4644" max="4644" width="14.33203125" style="46" customWidth="1"/>
    <col min="4645" max="4646" width="3.33203125" style="46" customWidth="1"/>
    <col min="4647" max="4671" width="2.4140625" style="46" customWidth="1"/>
    <col min="4672" max="4673" width="3.33203125" style="46" customWidth="1"/>
    <col min="4674" max="4674" width="14.33203125" style="46" customWidth="1"/>
    <col min="4675" max="4899" width="8.6640625" style="46"/>
    <col min="4900" max="4900" width="14.33203125" style="46" customWidth="1"/>
    <col min="4901" max="4902" width="3.33203125" style="46" customWidth="1"/>
    <col min="4903" max="4927" width="2.4140625" style="46" customWidth="1"/>
    <col min="4928" max="4929" width="3.33203125" style="46" customWidth="1"/>
    <col min="4930" max="4930" width="14.33203125" style="46" customWidth="1"/>
    <col min="4931" max="5155" width="8.6640625" style="46"/>
    <col min="5156" max="5156" width="14.33203125" style="46" customWidth="1"/>
    <col min="5157" max="5158" width="3.33203125" style="46" customWidth="1"/>
    <col min="5159" max="5183" width="2.4140625" style="46" customWidth="1"/>
    <col min="5184" max="5185" width="3.33203125" style="46" customWidth="1"/>
    <col min="5186" max="5186" width="14.33203125" style="46" customWidth="1"/>
    <col min="5187" max="5411" width="8.6640625" style="46"/>
    <col min="5412" max="5412" width="14.33203125" style="46" customWidth="1"/>
    <col min="5413" max="5414" width="3.33203125" style="46" customWidth="1"/>
    <col min="5415" max="5439" width="2.4140625" style="46" customWidth="1"/>
    <col min="5440" max="5441" width="3.33203125" style="46" customWidth="1"/>
    <col min="5442" max="5442" width="14.33203125" style="46" customWidth="1"/>
    <col min="5443" max="5667" width="8.6640625" style="46"/>
    <col min="5668" max="5668" width="14.33203125" style="46" customWidth="1"/>
    <col min="5669" max="5670" width="3.33203125" style="46" customWidth="1"/>
    <col min="5671" max="5695" width="2.4140625" style="46" customWidth="1"/>
    <col min="5696" max="5697" width="3.33203125" style="46" customWidth="1"/>
    <col min="5698" max="5698" width="14.33203125" style="46" customWidth="1"/>
    <col min="5699" max="5923" width="8.6640625" style="46"/>
    <col min="5924" max="5924" width="14.33203125" style="46" customWidth="1"/>
    <col min="5925" max="5926" width="3.33203125" style="46" customWidth="1"/>
    <col min="5927" max="5951" width="2.4140625" style="46" customWidth="1"/>
    <col min="5952" max="5953" width="3.33203125" style="46" customWidth="1"/>
    <col min="5954" max="5954" width="14.33203125" style="46" customWidth="1"/>
    <col min="5955" max="6179" width="8.6640625" style="46"/>
    <col min="6180" max="6180" width="14.33203125" style="46" customWidth="1"/>
    <col min="6181" max="6182" width="3.33203125" style="46" customWidth="1"/>
    <col min="6183" max="6207" width="2.4140625" style="46" customWidth="1"/>
    <col min="6208" max="6209" width="3.33203125" style="46" customWidth="1"/>
    <col min="6210" max="6210" width="14.33203125" style="46" customWidth="1"/>
    <col min="6211" max="6435" width="8.6640625" style="46"/>
    <col min="6436" max="6436" width="14.33203125" style="46" customWidth="1"/>
    <col min="6437" max="6438" width="3.33203125" style="46" customWidth="1"/>
    <col min="6439" max="6463" width="2.4140625" style="46" customWidth="1"/>
    <col min="6464" max="6465" width="3.33203125" style="46" customWidth="1"/>
    <col min="6466" max="6466" width="14.33203125" style="46" customWidth="1"/>
    <col min="6467" max="6691" width="8.6640625" style="46"/>
    <col min="6692" max="6692" width="14.33203125" style="46" customWidth="1"/>
    <col min="6693" max="6694" width="3.33203125" style="46" customWidth="1"/>
    <col min="6695" max="6719" width="2.4140625" style="46" customWidth="1"/>
    <col min="6720" max="6721" width="3.33203125" style="46" customWidth="1"/>
    <col min="6722" max="6722" width="14.33203125" style="46" customWidth="1"/>
    <col min="6723" max="6947" width="8.6640625" style="46"/>
    <col min="6948" max="6948" width="14.33203125" style="46" customWidth="1"/>
    <col min="6949" max="6950" width="3.33203125" style="46" customWidth="1"/>
    <col min="6951" max="6975" width="2.4140625" style="46" customWidth="1"/>
    <col min="6976" max="6977" width="3.33203125" style="46" customWidth="1"/>
    <col min="6978" max="6978" width="14.33203125" style="46" customWidth="1"/>
    <col min="6979" max="7203" width="8.6640625" style="46"/>
    <col min="7204" max="7204" width="14.33203125" style="46" customWidth="1"/>
    <col min="7205" max="7206" width="3.33203125" style="46" customWidth="1"/>
    <col min="7207" max="7231" width="2.4140625" style="46" customWidth="1"/>
    <col min="7232" max="7233" width="3.33203125" style="46" customWidth="1"/>
    <col min="7234" max="7234" width="14.33203125" style="46" customWidth="1"/>
    <col min="7235" max="7459" width="8.6640625" style="46"/>
    <col min="7460" max="7460" width="14.33203125" style="46" customWidth="1"/>
    <col min="7461" max="7462" width="3.33203125" style="46" customWidth="1"/>
    <col min="7463" max="7487" width="2.4140625" style="46" customWidth="1"/>
    <col min="7488" max="7489" width="3.33203125" style="46" customWidth="1"/>
    <col min="7490" max="7490" width="14.33203125" style="46" customWidth="1"/>
    <col min="7491" max="7715" width="8.6640625" style="46"/>
    <col min="7716" max="7716" width="14.33203125" style="46" customWidth="1"/>
    <col min="7717" max="7718" width="3.33203125" style="46" customWidth="1"/>
    <col min="7719" max="7743" width="2.4140625" style="46" customWidth="1"/>
    <col min="7744" max="7745" width="3.33203125" style="46" customWidth="1"/>
    <col min="7746" max="7746" width="14.33203125" style="46" customWidth="1"/>
    <col min="7747" max="7971" width="8.6640625" style="46"/>
    <col min="7972" max="7972" width="14.33203125" style="46" customWidth="1"/>
    <col min="7973" max="7974" width="3.33203125" style="46" customWidth="1"/>
    <col min="7975" max="7999" width="2.4140625" style="46" customWidth="1"/>
    <col min="8000" max="8001" width="3.33203125" style="46" customWidth="1"/>
    <col min="8002" max="8002" width="14.33203125" style="46" customWidth="1"/>
    <col min="8003" max="8227" width="8.6640625" style="46"/>
    <col min="8228" max="8228" width="14.33203125" style="46" customWidth="1"/>
    <col min="8229" max="8230" width="3.33203125" style="46" customWidth="1"/>
    <col min="8231" max="8255" width="2.4140625" style="46" customWidth="1"/>
    <col min="8256" max="8257" width="3.33203125" style="46" customWidth="1"/>
    <col min="8258" max="8258" width="14.33203125" style="46" customWidth="1"/>
    <col min="8259" max="8483" width="8.6640625" style="46"/>
    <col min="8484" max="8484" width="14.33203125" style="46" customWidth="1"/>
    <col min="8485" max="8486" width="3.33203125" style="46" customWidth="1"/>
    <col min="8487" max="8511" width="2.4140625" style="46" customWidth="1"/>
    <col min="8512" max="8513" width="3.33203125" style="46" customWidth="1"/>
    <col min="8514" max="8514" width="14.33203125" style="46" customWidth="1"/>
    <col min="8515" max="8739" width="8.6640625" style="46"/>
    <col min="8740" max="8740" width="14.33203125" style="46" customWidth="1"/>
    <col min="8741" max="8742" width="3.33203125" style="46" customWidth="1"/>
    <col min="8743" max="8767" width="2.4140625" style="46" customWidth="1"/>
    <col min="8768" max="8769" width="3.33203125" style="46" customWidth="1"/>
    <col min="8770" max="8770" width="14.33203125" style="46" customWidth="1"/>
    <col min="8771" max="8995" width="8.6640625" style="46"/>
    <col min="8996" max="8996" width="14.33203125" style="46" customWidth="1"/>
    <col min="8997" max="8998" width="3.33203125" style="46" customWidth="1"/>
    <col min="8999" max="9023" width="2.4140625" style="46" customWidth="1"/>
    <col min="9024" max="9025" width="3.33203125" style="46" customWidth="1"/>
    <col min="9026" max="9026" width="14.33203125" style="46" customWidth="1"/>
    <col min="9027" max="9251" width="8.6640625" style="46"/>
    <col min="9252" max="9252" width="14.33203125" style="46" customWidth="1"/>
    <col min="9253" max="9254" width="3.33203125" style="46" customWidth="1"/>
    <col min="9255" max="9279" width="2.4140625" style="46" customWidth="1"/>
    <col min="9280" max="9281" width="3.33203125" style="46" customWidth="1"/>
    <col min="9282" max="9282" width="14.33203125" style="46" customWidth="1"/>
    <col min="9283" max="9507" width="8.6640625" style="46"/>
    <col min="9508" max="9508" width="14.33203125" style="46" customWidth="1"/>
    <col min="9509" max="9510" width="3.33203125" style="46" customWidth="1"/>
    <col min="9511" max="9535" width="2.4140625" style="46" customWidth="1"/>
    <col min="9536" max="9537" width="3.33203125" style="46" customWidth="1"/>
    <col min="9538" max="9538" width="14.33203125" style="46" customWidth="1"/>
    <col min="9539" max="9763" width="8.6640625" style="46"/>
    <col min="9764" max="9764" width="14.33203125" style="46" customWidth="1"/>
    <col min="9765" max="9766" width="3.33203125" style="46" customWidth="1"/>
    <col min="9767" max="9791" width="2.4140625" style="46" customWidth="1"/>
    <col min="9792" max="9793" width="3.33203125" style="46" customWidth="1"/>
    <col min="9794" max="9794" width="14.33203125" style="46" customWidth="1"/>
    <col min="9795" max="10019" width="8.6640625" style="46"/>
    <col min="10020" max="10020" width="14.33203125" style="46" customWidth="1"/>
    <col min="10021" max="10022" width="3.33203125" style="46" customWidth="1"/>
    <col min="10023" max="10047" width="2.4140625" style="46" customWidth="1"/>
    <col min="10048" max="10049" width="3.33203125" style="46" customWidth="1"/>
    <col min="10050" max="10050" width="14.33203125" style="46" customWidth="1"/>
    <col min="10051" max="10275" width="8.6640625" style="46"/>
    <col min="10276" max="10276" width="14.33203125" style="46" customWidth="1"/>
    <col min="10277" max="10278" width="3.33203125" style="46" customWidth="1"/>
    <col min="10279" max="10303" width="2.4140625" style="46" customWidth="1"/>
    <col min="10304" max="10305" width="3.33203125" style="46" customWidth="1"/>
    <col min="10306" max="10306" width="14.33203125" style="46" customWidth="1"/>
    <col min="10307" max="10531" width="8.6640625" style="46"/>
    <col min="10532" max="10532" width="14.33203125" style="46" customWidth="1"/>
    <col min="10533" max="10534" width="3.33203125" style="46" customWidth="1"/>
    <col min="10535" max="10559" width="2.4140625" style="46" customWidth="1"/>
    <col min="10560" max="10561" width="3.33203125" style="46" customWidth="1"/>
    <col min="10562" max="10562" width="14.33203125" style="46" customWidth="1"/>
    <col min="10563" max="10787" width="8.6640625" style="46"/>
    <col min="10788" max="10788" width="14.33203125" style="46" customWidth="1"/>
    <col min="10789" max="10790" width="3.33203125" style="46" customWidth="1"/>
    <col min="10791" max="10815" width="2.4140625" style="46" customWidth="1"/>
    <col min="10816" max="10817" width="3.33203125" style="46" customWidth="1"/>
    <col min="10818" max="10818" width="14.33203125" style="46" customWidth="1"/>
    <col min="10819" max="11043" width="8.6640625" style="46"/>
    <col min="11044" max="11044" width="14.33203125" style="46" customWidth="1"/>
    <col min="11045" max="11046" width="3.33203125" style="46" customWidth="1"/>
    <col min="11047" max="11071" width="2.4140625" style="46" customWidth="1"/>
    <col min="11072" max="11073" width="3.33203125" style="46" customWidth="1"/>
    <col min="11074" max="11074" width="14.33203125" style="46" customWidth="1"/>
    <col min="11075" max="11299" width="8.6640625" style="46"/>
    <col min="11300" max="11300" width="14.33203125" style="46" customWidth="1"/>
    <col min="11301" max="11302" width="3.33203125" style="46" customWidth="1"/>
    <col min="11303" max="11327" width="2.4140625" style="46" customWidth="1"/>
    <col min="11328" max="11329" width="3.33203125" style="46" customWidth="1"/>
    <col min="11330" max="11330" width="14.33203125" style="46" customWidth="1"/>
    <col min="11331" max="11555" width="8.6640625" style="46"/>
    <col min="11556" max="11556" width="14.33203125" style="46" customWidth="1"/>
    <col min="11557" max="11558" width="3.33203125" style="46" customWidth="1"/>
    <col min="11559" max="11583" width="2.4140625" style="46" customWidth="1"/>
    <col min="11584" max="11585" width="3.33203125" style="46" customWidth="1"/>
    <col min="11586" max="11586" width="14.33203125" style="46" customWidth="1"/>
    <col min="11587" max="11811" width="8.6640625" style="46"/>
    <col min="11812" max="11812" width="14.33203125" style="46" customWidth="1"/>
    <col min="11813" max="11814" width="3.33203125" style="46" customWidth="1"/>
    <col min="11815" max="11839" width="2.4140625" style="46" customWidth="1"/>
    <col min="11840" max="11841" width="3.33203125" style="46" customWidth="1"/>
    <col min="11842" max="11842" width="14.33203125" style="46" customWidth="1"/>
    <col min="11843" max="12067" width="8.6640625" style="46"/>
    <col min="12068" max="12068" width="14.33203125" style="46" customWidth="1"/>
    <col min="12069" max="12070" width="3.33203125" style="46" customWidth="1"/>
    <col min="12071" max="12095" width="2.4140625" style="46" customWidth="1"/>
    <col min="12096" max="12097" width="3.33203125" style="46" customWidth="1"/>
    <col min="12098" max="12098" width="14.33203125" style="46" customWidth="1"/>
    <col min="12099" max="12323" width="8.6640625" style="46"/>
    <col min="12324" max="12324" width="14.33203125" style="46" customWidth="1"/>
    <col min="12325" max="12326" width="3.33203125" style="46" customWidth="1"/>
    <col min="12327" max="12351" width="2.4140625" style="46" customWidth="1"/>
    <col min="12352" max="12353" width="3.33203125" style="46" customWidth="1"/>
    <col min="12354" max="12354" width="14.33203125" style="46" customWidth="1"/>
    <col min="12355" max="12579" width="8.6640625" style="46"/>
    <col min="12580" max="12580" width="14.33203125" style="46" customWidth="1"/>
    <col min="12581" max="12582" width="3.33203125" style="46" customWidth="1"/>
    <col min="12583" max="12607" width="2.4140625" style="46" customWidth="1"/>
    <col min="12608" max="12609" width="3.33203125" style="46" customWidth="1"/>
    <col min="12610" max="12610" width="14.33203125" style="46" customWidth="1"/>
    <col min="12611" max="12835" width="8.6640625" style="46"/>
    <col min="12836" max="12836" width="14.33203125" style="46" customWidth="1"/>
    <col min="12837" max="12838" width="3.33203125" style="46" customWidth="1"/>
    <col min="12839" max="12863" width="2.4140625" style="46" customWidth="1"/>
    <col min="12864" max="12865" width="3.33203125" style="46" customWidth="1"/>
    <col min="12866" max="12866" width="14.33203125" style="46" customWidth="1"/>
    <col min="12867" max="13091" width="8.6640625" style="46"/>
    <col min="13092" max="13092" width="14.33203125" style="46" customWidth="1"/>
    <col min="13093" max="13094" width="3.33203125" style="46" customWidth="1"/>
    <col min="13095" max="13119" width="2.4140625" style="46" customWidth="1"/>
    <col min="13120" max="13121" width="3.33203125" style="46" customWidth="1"/>
    <col min="13122" max="13122" width="14.33203125" style="46" customWidth="1"/>
    <col min="13123" max="13347" width="8.6640625" style="46"/>
    <col min="13348" max="13348" width="14.33203125" style="46" customWidth="1"/>
    <col min="13349" max="13350" width="3.33203125" style="46" customWidth="1"/>
    <col min="13351" max="13375" width="2.4140625" style="46" customWidth="1"/>
    <col min="13376" max="13377" width="3.33203125" style="46" customWidth="1"/>
    <col min="13378" max="13378" width="14.33203125" style="46" customWidth="1"/>
    <col min="13379" max="13603" width="8.6640625" style="46"/>
    <col min="13604" max="13604" width="14.33203125" style="46" customWidth="1"/>
    <col min="13605" max="13606" width="3.33203125" style="46" customWidth="1"/>
    <col min="13607" max="13631" width="2.4140625" style="46" customWidth="1"/>
    <col min="13632" max="13633" width="3.33203125" style="46" customWidth="1"/>
    <col min="13634" max="13634" width="14.33203125" style="46" customWidth="1"/>
    <col min="13635" max="13859" width="8.6640625" style="46"/>
    <col min="13860" max="13860" width="14.33203125" style="46" customWidth="1"/>
    <col min="13861" max="13862" width="3.33203125" style="46" customWidth="1"/>
    <col min="13863" max="13887" width="2.4140625" style="46" customWidth="1"/>
    <col min="13888" max="13889" width="3.33203125" style="46" customWidth="1"/>
    <col min="13890" max="13890" width="14.33203125" style="46" customWidth="1"/>
    <col min="13891" max="14115" width="8.6640625" style="46"/>
    <col min="14116" max="14116" width="14.33203125" style="46" customWidth="1"/>
    <col min="14117" max="14118" width="3.33203125" style="46" customWidth="1"/>
    <col min="14119" max="14143" width="2.4140625" style="46" customWidth="1"/>
    <col min="14144" max="14145" width="3.33203125" style="46" customWidth="1"/>
    <col min="14146" max="14146" width="14.33203125" style="46" customWidth="1"/>
    <col min="14147" max="14371" width="8.6640625" style="46"/>
    <col min="14372" max="14372" width="14.33203125" style="46" customWidth="1"/>
    <col min="14373" max="14374" width="3.33203125" style="46" customWidth="1"/>
    <col min="14375" max="14399" width="2.4140625" style="46" customWidth="1"/>
    <col min="14400" max="14401" width="3.33203125" style="46" customWidth="1"/>
    <col min="14402" max="14402" width="14.33203125" style="46" customWidth="1"/>
    <col min="14403" max="14627" width="8.6640625" style="46"/>
    <col min="14628" max="14628" width="14.33203125" style="46" customWidth="1"/>
    <col min="14629" max="14630" width="3.33203125" style="46" customWidth="1"/>
    <col min="14631" max="14655" width="2.4140625" style="46" customWidth="1"/>
    <col min="14656" max="14657" width="3.33203125" style="46" customWidth="1"/>
    <col min="14658" max="14658" width="14.33203125" style="46" customWidth="1"/>
    <col min="14659" max="14883" width="8.6640625" style="46"/>
    <col min="14884" max="14884" width="14.33203125" style="46" customWidth="1"/>
    <col min="14885" max="14886" width="3.33203125" style="46" customWidth="1"/>
    <col min="14887" max="14911" width="2.4140625" style="46" customWidth="1"/>
    <col min="14912" max="14913" width="3.33203125" style="46" customWidth="1"/>
    <col min="14914" max="14914" width="14.33203125" style="46" customWidth="1"/>
    <col min="14915" max="15139" width="8.6640625" style="46"/>
    <col min="15140" max="15140" width="14.33203125" style="46" customWidth="1"/>
    <col min="15141" max="15142" width="3.33203125" style="46" customWidth="1"/>
    <col min="15143" max="15167" width="2.4140625" style="46" customWidth="1"/>
    <col min="15168" max="15169" width="3.33203125" style="46" customWidth="1"/>
    <col min="15170" max="15170" width="14.33203125" style="46" customWidth="1"/>
    <col min="15171" max="15395" width="8.6640625" style="46"/>
    <col min="15396" max="15396" width="14.33203125" style="46" customWidth="1"/>
    <col min="15397" max="15398" width="3.33203125" style="46" customWidth="1"/>
    <col min="15399" max="15423" width="2.4140625" style="46" customWidth="1"/>
    <col min="15424" max="15425" width="3.33203125" style="46" customWidth="1"/>
    <col min="15426" max="15426" width="14.33203125" style="46" customWidth="1"/>
    <col min="15427" max="15651" width="8.6640625" style="46"/>
    <col min="15652" max="15652" width="14.33203125" style="46" customWidth="1"/>
    <col min="15653" max="15654" width="3.33203125" style="46" customWidth="1"/>
    <col min="15655" max="15679" width="2.4140625" style="46" customWidth="1"/>
    <col min="15680" max="15681" width="3.33203125" style="46" customWidth="1"/>
    <col min="15682" max="15682" width="14.33203125" style="46" customWidth="1"/>
    <col min="15683" max="15907" width="8.6640625" style="46"/>
    <col min="15908" max="15908" width="14.33203125" style="46" customWidth="1"/>
    <col min="15909" max="15910" width="3.33203125" style="46" customWidth="1"/>
    <col min="15911" max="15935" width="2.4140625" style="46" customWidth="1"/>
    <col min="15936" max="15937" width="3.33203125" style="46" customWidth="1"/>
    <col min="15938" max="15938" width="14.33203125" style="46" customWidth="1"/>
    <col min="15939" max="16163" width="8.6640625" style="46"/>
    <col min="16164" max="16164" width="14.33203125" style="46" customWidth="1"/>
    <col min="16165" max="16166" width="3.33203125" style="46" customWidth="1"/>
    <col min="16167" max="16191" width="2.4140625" style="46" customWidth="1"/>
    <col min="16192" max="16193" width="3.33203125" style="46" customWidth="1"/>
    <col min="16194" max="16194" width="14.33203125" style="46" customWidth="1"/>
    <col min="16195" max="16384" width="8.6640625" style="46"/>
  </cols>
  <sheetData>
    <row r="1" spans="1:90" ht="25" customHeight="1" x14ac:dyDescent="0.55000000000000004">
      <c r="A1" s="45" t="s">
        <v>2544</v>
      </c>
      <c r="CJ1" s="109"/>
      <c r="CK1" s="109"/>
      <c r="CL1" s="109"/>
    </row>
    <row r="2" spans="1:90" ht="25" customHeight="1" x14ac:dyDescent="0.55000000000000004">
      <c r="A2" s="45"/>
      <c r="CJ2" s="3"/>
      <c r="CK2" s="3"/>
      <c r="CL2" s="3"/>
    </row>
    <row r="3" spans="1:90" ht="25" customHeight="1" x14ac:dyDescent="0.55000000000000004">
      <c r="A3" s="45"/>
      <c r="CJ3" s="3"/>
      <c r="CK3" s="3"/>
      <c r="CL3" s="3"/>
    </row>
    <row r="4" spans="1:90" ht="25" customHeight="1" x14ac:dyDescent="0.55000000000000004">
      <c r="A4" s="45"/>
      <c r="CJ4" s="3"/>
      <c r="CK4" s="3"/>
      <c r="CL4" s="3"/>
    </row>
    <row r="5" spans="1:90" ht="25" customHeight="1" x14ac:dyDescent="0.55000000000000004">
      <c r="A5" s="45"/>
      <c r="BN5" s="47"/>
      <c r="CJ5" s="3"/>
      <c r="CK5" s="3"/>
      <c r="CL5" s="3"/>
    </row>
    <row r="6" spans="1:90" ht="10.5" x14ac:dyDescent="0.55000000000000004">
      <c r="CJ6" s="3"/>
      <c r="CK6" s="3"/>
      <c r="CL6" s="4" t="s">
        <v>2549</v>
      </c>
    </row>
    <row r="7" spans="1:90" x14ac:dyDescent="0.55000000000000004">
      <c r="B7" s="184" t="s">
        <v>359</v>
      </c>
      <c r="C7" s="185"/>
      <c r="D7" s="48" t="s">
        <v>382</v>
      </c>
      <c r="E7" s="48" t="s">
        <v>381</v>
      </c>
      <c r="F7" s="48" t="s">
        <v>383</v>
      </c>
      <c r="G7" s="48" t="s">
        <v>2291</v>
      </c>
      <c r="H7" s="48" t="s">
        <v>2292</v>
      </c>
    </row>
    <row r="8" spans="1:90" x14ac:dyDescent="0.55000000000000004">
      <c r="B8" s="191" t="s">
        <v>380</v>
      </c>
      <c r="C8" s="49" t="s">
        <v>370</v>
      </c>
      <c r="D8" s="50">
        <f>COUNTIF('PF176'!Y10:Y185,"CAN0_0_RX")</f>
        <v>0</v>
      </c>
      <c r="E8" s="50">
        <f>COUNTIF('PF176'!Y10:Y185,"CAN0_1_RX")</f>
        <v>0</v>
      </c>
      <c r="F8" s="50">
        <f>COUNTIF('PF176'!Y10:Y185,"CAN0_2_RX")</f>
        <v>0</v>
      </c>
      <c r="G8" s="50">
        <f>COUNTIF('PF176'!Y10:Y185,"CAN0_3_RX")</f>
        <v>0</v>
      </c>
      <c r="H8" s="50">
        <f>COUNTIF('PF176'!Y10:Y185,"CAN0_4_RX")</f>
        <v>0</v>
      </c>
    </row>
    <row r="9" spans="1:90" x14ac:dyDescent="0.55000000000000004">
      <c r="B9" s="193"/>
      <c r="C9" s="49" t="s">
        <v>369</v>
      </c>
      <c r="D9" s="50">
        <f>COUNTIF('PF176'!Y10:Y185,"CAN0_0_TX")</f>
        <v>0</v>
      </c>
      <c r="E9" s="50">
        <f>COUNTIF('PF176'!Y10:Y185,"CAN0_1_TX")</f>
        <v>0</v>
      </c>
      <c r="F9" s="50">
        <f>COUNTIF('PF176'!Y10:Y185,"CAN0_2_TX")</f>
        <v>0</v>
      </c>
      <c r="G9" s="50">
        <f>COUNTIF('PF176'!Y10:Y185,"CAN0_3_RX")</f>
        <v>0</v>
      </c>
      <c r="H9" s="50">
        <f>COUNTIF('PF176'!Y10:Y185,"CAN0_4_RX")</f>
        <v>0</v>
      </c>
    </row>
    <row r="11" spans="1:90" x14ac:dyDescent="0.55000000000000004">
      <c r="B11" s="184" t="s">
        <v>355</v>
      </c>
      <c r="C11" s="185"/>
      <c r="D11" s="48" t="s">
        <v>384</v>
      </c>
      <c r="E11" s="48" t="s">
        <v>386</v>
      </c>
      <c r="F11" s="48" t="s">
        <v>385</v>
      </c>
      <c r="G11" s="48" t="s">
        <v>2293</v>
      </c>
      <c r="H11" s="48" t="s">
        <v>2294</v>
      </c>
    </row>
    <row r="12" spans="1:90" x14ac:dyDescent="0.55000000000000004">
      <c r="B12" s="195" t="s">
        <v>380</v>
      </c>
      <c r="C12" s="49" t="s">
        <v>370</v>
      </c>
      <c r="D12" s="50">
        <f>COUNTIF('PF176'!Y10:Y185,"CAN1_0_RX")</f>
        <v>0</v>
      </c>
      <c r="E12" s="50">
        <f>COUNTIF('PF176'!Y10:Y185,"CAN1_1_RX")</f>
        <v>0</v>
      </c>
      <c r="F12" s="50">
        <f>COUNTIF('PF176'!Y10:Y185,"CAN1_2_RX")</f>
        <v>0</v>
      </c>
      <c r="G12" s="50">
        <f>COUNTIF('PF176'!Y10:Y185,"CAN1_3_RX")</f>
        <v>0</v>
      </c>
      <c r="H12" s="50">
        <f>COUNTIF('PF176'!Y10:Y185,"CAN1_4_RX")</f>
        <v>0</v>
      </c>
    </row>
    <row r="13" spans="1:90" x14ac:dyDescent="0.55000000000000004">
      <c r="B13" s="195"/>
      <c r="C13" s="49" t="s">
        <v>369</v>
      </c>
      <c r="D13" s="50">
        <f>COUNTIF('PF176'!Y10:Y185,"CAN1_0_TX")</f>
        <v>0</v>
      </c>
      <c r="E13" s="50">
        <f>COUNTIF('PF176'!Y10:Y185,"CAN1_1_TX")</f>
        <v>0</v>
      </c>
      <c r="F13" s="50">
        <f>COUNTIF('PF176'!Y10:Y185,"CAN1_2_TX")</f>
        <v>0</v>
      </c>
      <c r="G13" s="50">
        <f>COUNTIF('PF176'!Y10:Y185,"CAN1_3_TX")</f>
        <v>0</v>
      </c>
      <c r="H13" s="50">
        <f>COUNTIF('PF176'!Y10:Y185,"CAN1_4_TX")</f>
        <v>0</v>
      </c>
    </row>
    <row r="14" spans="1:90" x14ac:dyDescent="0.55000000000000004">
      <c r="B14" s="51"/>
      <c r="C14" s="52"/>
    </row>
    <row r="15" spans="1:90" x14ac:dyDescent="0.55000000000000004">
      <c r="B15" s="51"/>
    </row>
    <row r="16" spans="1:90" x14ac:dyDescent="0.55000000000000004">
      <c r="B16" s="184" t="s">
        <v>358</v>
      </c>
      <c r="C16" s="185"/>
      <c r="D16" s="48" t="s">
        <v>371</v>
      </c>
      <c r="E16" s="48" t="s">
        <v>372</v>
      </c>
      <c r="F16" s="48" t="s">
        <v>373</v>
      </c>
      <c r="G16" s="48" t="s">
        <v>374</v>
      </c>
      <c r="H16" s="48" t="s">
        <v>375</v>
      </c>
      <c r="I16" s="48" t="s">
        <v>376</v>
      </c>
      <c r="J16" s="48" t="s">
        <v>377</v>
      </c>
      <c r="K16" s="48" t="s">
        <v>378</v>
      </c>
      <c r="L16" s="48" t="s">
        <v>2297</v>
      </c>
      <c r="M16" s="48" t="s">
        <v>2298</v>
      </c>
      <c r="N16" s="48" t="s">
        <v>2299</v>
      </c>
      <c r="O16" s="48" t="s">
        <v>2300</v>
      </c>
      <c r="P16" s="48" t="s">
        <v>2301</v>
      </c>
      <c r="Q16" s="48" t="s">
        <v>2302</v>
      </c>
      <c r="R16" s="48" t="s">
        <v>2303</v>
      </c>
      <c r="S16" s="48" t="s">
        <v>2304</v>
      </c>
      <c r="T16" s="48" t="s">
        <v>2305</v>
      </c>
      <c r="U16" s="48" t="s">
        <v>2306</v>
      </c>
      <c r="V16" s="48" t="s">
        <v>2307</v>
      </c>
      <c r="W16" s="48" t="s">
        <v>2308</v>
      </c>
    </row>
    <row r="17" spans="2:59" x14ac:dyDescent="0.55000000000000004">
      <c r="B17" s="191" t="s">
        <v>380</v>
      </c>
      <c r="C17" s="49" t="s">
        <v>370</v>
      </c>
      <c r="D17" s="50">
        <f>COUNTIF('PF176'!Y10:Y185,"LIN0_RX")</f>
        <v>0</v>
      </c>
      <c r="E17" s="50">
        <f>COUNTIF('PF176'!Y10:Y185,"LIN1_RX")</f>
        <v>0</v>
      </c>
      <c r="F17" s="50">
        <f>COUNTIF('PF176'!Y10:Y185,"LIN2_RX")</f>
        <v>0</v>
      </c>
      <c r="G17" s="50">
        <f>COUNTIF('PF176'!Y10:Y185,"LIN3_RX")</f>
        <v>0</v>
      </c>
      <c r="H17" s="50">
        <f>COUNTIF('PF176'!Y10:Y185,"LIN4_RX")</f>
        <v>0</v>
      </c>
      <c r="I17" s="50">
        <f>COUNTIF('PF176'!Y10:Y185,"LIN5_RX")</f>
        <v>0</v>
      </c>
      <c r="J17" s="50">
        <f>COUNTIF('PF176'!Y10:Y185,"LIN6_RX")</f>
        <v>0</v>
      </c>
      <c r="K17" s="50">
        <f>COUNTIF('PF176'!Y10:Y185,"LIN7_RX")</f>
        <v>0</v>
      </c>
      <c r="L17" s="50">
        <f>COUNTIF('PF176'!Y10:Y185,"LIN8_RX")</f>
        <v>0</v>
      </c>
      <c r="M17" s="50">
        <f>COUNTIF('PF176'!Y10:Y185,"LIN9_RX")</f>
        <v>0</v>
      </c>
      <c r="N17" s="50">
        <f>COUNTIF('PF176'!Y10:Y185,"LIN10_RX")</f>
        <v>0</v>
      </c>
      <c r="O17" s="50">
        <f>COUNTIF('PF176'!Y10:Y185,"LIN11_RX")</f>
        <v>0</v>
      </c>
      <c r="P17" s="50">
        <f>COUNTIF('PF176'!Y10:Y185,"LIN12_RX")</f>
        <v>0</v>
      </c>
      <c r="Q17" s="50">
        <f>COUNTIF('PF176'!Y10:Y185,"LIN13_RX")</f>
        <v>0</v>
      </c>
      <c r="R17" s="50">
        <f>COUNTIF('PF176'!Y10:Y185,"LIN14_RX")</f>
        <v>0</v>
      </c>
      <c r="S17" s="50">
        <f>COUNTIF('PF176'!Y10:Y185,"LIN15_RX")</f>
        <v>0</v>
      </c>
      <c r="T17" s="50">
        <f>COUNTIF('PF176'!Y10:Y185,"LIN16_RX")</f>
        <v>0</v>
      </c>
      <c r="U17" s="50">
        <f>COUNTIF('PF176'!Y10:Y185,"LIN17_RX")</f>
        <v>0</v>
      </c>
      <c r="V17" s="50">
        <f>COUNTIF('PF176'!Y10:Y185,"LIN18_RX")</f>
        <v>0</v>
      </c>
      <c r="W17" s="50">
        <f>COUNTIF('PF176'!Y10:Y185,"LIN19_RX")</f>
        <v>0</v>
      </c>
    </row>
    <row r="18" spans="2:59" x14ac:dyDescent="0.55000000000000004">
      <c r="B18" s="192"/>
      <c r="C18" s="49" t="s">
        <v>369</v>
      </c>
      <c r="D18" s="50">
        <f>COUNTIF('PF176'!Y10:Y185,"LIN0_TX")</f>
        <v>0</v>
      </c>
      <c r="E18" s="50">
        <f>COUNTIF('PF176'!Y10:Y185,"LIN1_TX")</f>
        <v>0</v>
      </c>
      <c r="F18" s="50">
        <f>COUNTIF('PF176'!Y10:Y185,"LIN2_TX")</f>
        <v>0</v>
      </c>
      <c r="G18" s="50">
        <f>COUNTIF('PF176'!Y10:Y185,"LIN3_TX")</f>
        <v>0</v>
      </c>
      <c r="H18" s="50">
        <f>COUNTIF('PF176'!Y10:Y185,"LIN4_TX")</f>
        <v>0</v>
      </c>
      <c r="I18" s="50">
        <f>COUNTIF('PF176'!Y10:Y185,"LIN5_TX")</f>
        <v>0</v>
      </c>
      <c r="J18" s="50">
        <f>COUNTIF('PF176'!Y10:Y185,"LIN6_TX")</f>
        <v>0</v>
      </c>
      <c r="K18" s="50">
        <f>COUNTIF('PF176'!Y10:Y185,"LIN7_TX")</f>
        <v>0</v>
      </c>
      <c r="L18" s="50">
        <f>COUNTIF('PF176'!Y10:Y185,"LIN8_TX")</f>
        <v>0</v>
      </c>
      <c r="M18" s="50">
        <f>COUNTIF('PF176'!Y10:Y185,"LIN9_TX")</f>
        <v>0</v>
      </c>
      <c r="N18" s="50">
        <f>COUNTIF('PF176'!Y10:Y185,"LIN10_TX")</f>
        <v>0</v>
      </c>
      <c r="O18" s="50">
        <f>COUNTIF('PF176'!Y10:Y185,"LIN11_TX")</f>
        <v>0</v>
      </c>
      <c r="P18" s="50">
        <f>COUNTIF('PF176'!Y10:Y185,"LIN12_TX")</f>
        <v>0</v>
      </c>
      <c r="Q18" s="50">
        <f>COUNTIF('PF176'!Y10:Y185,"LIN13_TX")</f>
        <v>0</v>
      </c>
      <c r="R18" s="50">
        <f>COUNTIF('PF176'!Y10:Y185,"LIN14_TX")</f>
        <v>0</v>
      </c>
      <c r="S18" s="50">
        <f>COUNTIF('PF176'!Y10:Y185,"LIN15_TX")</f>
        <v>0</v>
      </c>
      <c r="T18" s="50">
        <f>COUNTIF('PF176'!Y10:Y185,"LIN16_TX")</f>
        <v>0</v>
      </c>
      <c r="U18" s="50">
        <f>COUNTIF('PF176'!Y10:Y185,"LIN17_TX")</f>
        <v>0</v>
      </c>
      <c r="V18" s="50">
        <f>COUNTIF('PF176'!Y10:Y185,"LIN18_TX")</f>
        <v>0</v>
      </c>
      <c r="W18" s="50">
        <f>COUNTIF('PF176'!Y10:Y185,"LIN19_TX")</f>
        <v>0</v>
      </c>
    </row>
    <row r="19" spans="2:59" x14ac:dyDescent="0.55000000000000004">
      <c r="B19" s="193"/>
      <c r="C19" s="49" t="s">
        <v>379</v>
      </c>
      <c r="D19" s="50">
        <f>COUNTIF('PF176'!Y10:Y185,"LIN0_EN")</f>
        <v>0</v>
      </c>
      <c r="E19" s="50">
        <f>COUNTIF('PF176'!Y10:Y185,"LIN1_EN")</f>
        <v>0</v>
      </c>
      <c r="F19" s="50">
        <f>COUNTIF('PF176'!Y10:Y185,"LIN2_EN")</f>
        <v>0</v>
      </c>
      <c r="G19" s="50">
        <f>COUNTIF('PF176'!Y10:Y185,"LIN3_EN")</f>
        <v>0</v>
      </c>
      <c r="H19" s="50">
        <f>COUNTIF('PF176'!Y10:Y185,"LIN4_EN")</f>
        <v>0</v>
      </c>
      <c r="I19" s="50">
        <f>COUNTIF('PF176'!Y10:Y185,"LIN5_EN")</f>
        <v>0</v>
      </c>
      <c r="J19" s="50">
        <f>COUNTIF('PF176'!Y10:Y185,"LIN6_EN")</f>
        <v>0</v>
      </c>
      <c r="K19" s="50">
        <f>COUNTIF('PF176'!Y10:Y185,"LIN7_EN")</f>
        <v>0</v>
      </c>
      <c r="L19" s="50">
        <f>COUNTIF('PF176'!Y10:Y185,"LIN8_EN")</f>
        <v>0</v>
      </c>
      <c r="M19" s="50">
        <f>COUNTIF('PF176'!Y10:Y185,"LIN9_EN")</f>
        <v>0</v>
      </c>
      <c r="N19" s="50">
        <f>COUNTIF('PF176'!Y10:Y185,"LIN10_EN")</f>
        <v>0</v>
      </c>
      <c r="O19" s="50">
        <f>COUNTIF('PF176'!Y10:Y185,"LIN11_EN")</f>
        <v>0</v>
      </c>
      <c r="P19" s="50">
        <f>COUNTIF('PF176'!Y10:Y185,"LIN12_EN")</f>
        <v>0</v>
      </c>
      <c r="Q19" s="50">
        <f>COUNTIF('PF176'!Y10:Y185,"LIN13_EN")</f>
        <v>0</v>
      </c>
      <c r="R19" s="50">
        <f>COUNTIF('PF176'!Y10:Y185,"LIN14_EN")</f>
        <v>0</v>
      </c>
      <c r="S19" s="50">
        <f>COUNTIF('PF176'!Y10:Y185,"LIN15_EN")</f>
        <v>0</v>
      </c>
      <c r="T19" s="50">
        <f>COUNTIF('PF176'!Y10:Y185,"LIN16_EN")</f>
        <v>0</v>
      </c>
      <c r="U19" s="50">
        <f>COUNTIF('PF176'!Y10:Y185,"LIN17_EN")</f>
        <v>0</v>
      </c>
      <c r="V19" s="50">
        <f>COUNTIF('PF176'!Y10:Y185,"LIN18_EN")</f>
        <v>0</v>
      </c>
      <c r="W19" s="50">
        <f>COUNTIF('PF176'!Y10:Y185,"LIN19_EN")</f>
        <v>0</v>
      </c>
    </row>
    <row r="20" spans="2:59" x14ac:dyDescent="0.55000000000000004">
      <c r="B20" s="51"/>
      <c r="C20" s="52"/>
    </row>
    <row r="21" spans="2:59" x14ac:dyDescent="0.55000000000000004">
      <c r="B21" s="51"/>
    </row>
    <row r="22" spans="2:59" x14ac:dyDescent="0.55000000000000004">
      <c r="B22" s="184" t="s">
        <v>360</v>
      </c>
      <c r="C22" s="185"/>
      <c r="D22" s="48" t="s">
        <v>361</v>
      </c>
      <c r="E22" s="48" t="s">
        <v>362</v>
      </c>
      <c r="F22" s="48" t="s">
        <v>363</v>
      </c>
      <c r="G22" s="48" t="s">
        <v>364</v>
      </c>
      <c r="H22" s="48" t="s">
        <v>368</v>
      </c>
      <c r="I22" s="48" t="s">
        <v>367</v>
      </c>
      <c r="J22" s="48" t="s">
        <v>366</v>
      </c>
      <c r="K22" s="48" t="s">
        <v>365</v>
      </c>
      <c r="L22" s="48" t="s">
        <v>2309</v>
      </c>
      <c r="M22" s="48" t="s">
        <v>2310</v>
      </c>
      <c r="N22" s="48" t="s">
        <v>2311</v>
      </c>
    </row>
    <row r="23" spans="2:59" ht="10" customHeight="1" x14ac:dyDescent="0.55000000000000004">
      <c r="B23" s="196" t="s">
        <v>396</v>
      </c>
      <c r="C23" s="53" t="s">
        <v>2337</v>
      </c>
      <c r="D23" s="54">
        <f>COUNTIF('PF176'!Y10:Y185,"SCB0_CLK (0)")</f>
        <v>0</v>
      </c>
      <c r="E23" s="49">
        <f>COUNTIF('PF176'!Y10:Y185,"SCB1_CLK (0)")</f>
        <v>0</v>
      </c>
      <c r="F23" s="49">
        <f>COUNTIF('PF176'!Y10:Y185,"SCB2_CLK (0)")</f>
        <v>0</v>
      </c>
      <c r="G23" s="49">
        <f>COUNTIF('PF176'!Y10:Y185,"SCB3_CLK (0)")</f>
        <v>0</v>
      </c>
      <c r="H23" s="49">
        <f>COUNTIF('PF176'!Y10:Y185,"SCB4_CLK (0)")</f>
        <v>0</v>
      </c>
      <c r="I23" s="49">
        <f>COUNTIF('PF176'!Y10:Y185,"SCB5_CLK (0)")</f>
        <v>0</v>
      </c>
      <c r="J23" s="49">
        <f>COUNTIF('PF176'!Y10:Y185,"SCB6_CLK (0)")</f>
        <v>0</v>
      </c>
      <c r="K23" s="49">
        <f>COUNTIF('PF176'!Y10:Y185,"SCB7_CLK (0)")</f>
        <v>0</v>
      </c>
      <c r="L23" s="49">
        <f>COUNTIF('PF176'!Y10:Y185,"SCB8_CLK (0)")</f>
        <v>0</v>
      </c>
      <c r="M23" s="49">
        <f>COUNTIF('PF176'!Y10:Y185,"SCB9_CLK (0)")</f>
        <v>0</v>
      </c>
      <c r="N23" s="49">
        <f>COUNTIF('PF176'!Y10:Y185,"SCB10_CLK (0)")</f>
        <v>0</v>
      </c>
      <c r="BG23" s="55"/>
    </row>
    <row r="24" spans="2:59" ht="10" customHeight="1" x14ac:dyDescent="0.55000000000000004">
      <c r="B24" s="197"/>
      <c r="C24" s="53" t="s">
        <v>2338</v>
      </c>
      <c r="D24" s="54">
        <f>COUNTIF('PF176'!Y10:Y185,"SCB0_CLK (1)")</f>
        <v>0</v>
      </c>
      <c r="E24" s="49">
        <f>COUNTIF('PF176'!Y10:Y185,"SCB1_CLK (1)")</f>
        <v>0</v>
      </c>
      <c r="F24" s="49">
        <f>COUNTIF('PF176'!Y10:Y185,"SCB2_CLK (1)")</f>
        <v>0</v>
      </c>
      <c r="G24" s="49">
        <f>COUNTIF('PF176'!Y10:Y185,"SCB3_CLK (1)")</f>
        <v>0</v>
      </c>
      <c r="H24" s="49">
        <f>COUNTIF('PF176'!Y10:Y185,"SCB4_CLK (1)")</f>
        <v>0</v>
      </c>
      <c r="I24" s="49">
        <f>COUNTIF('PF176'!Y10:Y185,"SCB5_CLK (1)")</f>
        <v>0</v>
      </c>
      <c r="J24" s="49">
        <f>COUNTIF('PF176'!Y10:Y185,"SCB6_CLK (1)")</f>
        <v>0</v>
      </c>
      <c r="K24" s="49">
        <f>COUNTIF('PF176'!Y10:Y185,"SCB7_CLK (1)")</f>
        <v>0</v>
      </c>
      <c r="L24" s="49">
        <f>COUNTIF('PF176'!Y10:Y185,"SCB8_CLK (1)")</f>
        <v>0</v>
      </c>
      <c r="M24" s="49">
        <f>COUNTIF('PF176'!Y10:Y185,"SCB9_CLK (1)")</f>
        <v>0</v>
      </c>
      <c r="N24" s="49">
        <f>COUNTIF('PF176'!Y10:Y185,"SCB10_CLK (1)")</f>
        <v>0</v>
      </c>
      <c r="BG24" s="55"/>
    </row>
    <row r="25" spans="2:59" ht="10" customHeight="1" x14ac:dyDescent="0.55000000000000004">
      <c r="B25" s="197"/>
      <c r="C25" s="53" t="s">
        <v>2339</v>
      </c>
      <c r="D25" s="54">
        <f>COUNTIF('PF176'!Y10:Y185,"SCB0_CLK (2)")</f>
        <v>0</v>
      </c>
      <c r="E25" s="49">
        <f>COUNTIF('PF176'!Y10:Y185,"SCB1_CLK (2)")</f>
        <v>0</v>
      </c>
      <c r="F25" s="49">
        <f>COUNTIF('PF176'!Y10:Y185,"SCB2_CLK (2)")</f>
        <v>0</v>
      </c>
      <c r="G25" s="49">
        <f>COUNTIF('PF176'!Y10:Y185,"SCB3_CLK (2)")</f>
        <v>0</v>
      </c>
      <c r="H25" s="49">
        <f>COUNTIF('PF176'!Y10:Y185,"SCB4_CLK (2)")</f>
        <v>0</v>
      </c>
      <c r="I25" s="49">
        <f>COUNTIF('PF176'!Y10:Y185,"SCB5_CLK (2)")</f>
        <v>0</v>
      </c>
      <c r="J25" s="49">
        <f>COUNTIF('PF176'!Y10:Y185,"SCB6_CLK (2)")</f>
        <v>0</v>
      </c>
      <c r="K25" s="49">
        <f>COUNTIF('PF176'!Y10:Y185,"SCB7_CLK (2)")</f>
        <v>0</v>
      </c>
      <c r="L25" s="49">
        <f>COUNTIF('PF176'!Y10:Y185,"SCB8_CLK (2)")</f>
        <v>0</v>
      </c>
      <c r="M25" s="49">
        <f>COUNTIF('PF176'!Y10:Y185,"SCB9_CLK (2)")</f>
        <v>0</v>
      </c>
      <c r="N25" s="49">
        <f>COUNTIF('PF176'!Y10:Y185,"SCB10_CLK (2)")</f>
        <v>0</v>
      </c>
      <c r="BG25" s="55"/>
    </row>
    <row r="26" spans="2:59" x14ac:dyDescent="0.55000000000000004">
      <c r="B26" s="197"/>
      <c r="C26" s="53" t="s">
        <v>2340</v>
      </c>
      <c r="D26" s="54">
        <f>COUNTIF('PF176'!Y10:Y185,"SCB0_MOSI (0)")</f>
        <v>0</v>
      </c>
      <c r="E26" s="49">
        <f>COUNTIF('PF176'!Y10:Y185,"SCB1_MOSI (0)")</f>
        <v>0</v>
      </c>
      <c r="F26" s="49">
        <f>COUNTIF('PF176'!Y10:Y185,"SCB2_MOSI (0)")</f>
        <v>0</v>
      </c>
      <c r="G26" s="49">
        <f>COUNTIF('PF176'!Y10:Y185,"SCB3_MOSI (0)")</f>
        <v>0</v>
      </c>
      <c r="H26" s="49">
        <f>COUNTIF('PF176'!Y10:Y185,"SCB4_MOSI (0)")</f>
        <v>0</v>
      </c>
      <c r="I26" s="49">
        <f>COUNTIF('PF176'!Y10:Y185,"SCB5_MOSI (0)")</f>
        <v>0</v>
      </c>
      <c r="J26" s="49">
        <f>COUNTIF('PF176'!Y10:Y185,"SCB6_MOSI (0)")</f>
        <v>0</v>
      </c>
      <c r="K26" s="49">
        <f>COUNTIF('PF176'!Y10:Y185,"SCB7_MOSI (0)")</f>
        <v>0</v>
      </c>
      <c r="L26" s="49">
        <f>COUNTIF('PF176'!Y10:Y185,"SCB8_MOSI (0)")</f>
        <v>0</v>
      </c>
      <c r="M26" s="49">
        <f>COUNTIF('PF176'!Y10:Y185,"SCB9_MOSI (0)")</f>
        <v>0</v>
      </c>
      <c r="N26" s="49">
        <f>COUNTIF('PF176'!Y10:Y185,"SCB10_MOSI (0)")</f>
        <v>0</v>
      </c>
    </row>
    <row r="27" spans="2:59" x14ac:dyDescent="0.55000000000000004">
      <c r="B27" s="197"/>
      <c r="C27" s="53" t="s">
        <v>2341</v>
      </c>
      <c r="D27" s="54">
        <f>COUNTIF('PF176'!Y10:Y185,"SCB0_MOSI (1)")</f>
        <v>0</v>
      </c>
      <c r="E27" s="49">
        <f>COUNTIF('PF176'!Y10:Y185,"SCB1_MOSI (1)")</f>
        <v>0</v>
      </c>
      <c r="F27" s="49">
        <f>COUNTIF('PF176'!Y10:Y185,"SCB2_MOSI (1)")</f>
        <v>0</v>
      </c>
      <c r="G27" s="49">
        <f>COUNTIF('PF176'!Y10:Y185,"SCB3_MOSI (1)")</f>
        <v>0</v>
      </c>
      <c r="H27" s="49">
        <f>COUNTIF('PF176'!Y10:Y185,"SCB4_MOSI (1)")</f>
        <v>0</v>
      </c>
      <c r="I27" s="49">
        <f>COUNTIF('PF176'!Y10:Y185,"SCB5_MOSI (1)")</f>
        <v>0</v>
      </c>
      <c r="J27" s="49">
        <f>COUNTIF('PF176'!Y10:Y185,"SCB6_MOSI (1)")</f>
        <v>0</v>
      </c>
      <c r="K27" s="49">
        <f>COUNTIF('PF176'!Y10:Y185,"SCB7_MOSI (1)")</f>
        <v>0</v>
      </c>
      <c r="L27" s="49">
        <f>COUNTIF('PF176'!Y10:Y185,"SCB8_MOSI (1)")</f>
        <v>0</v>
      </c>
      <c r="M27" s="49">
        <f>COUNTIF('PF176'!Y10:Y185,"SCB9_MOSI (1)")</f>
        <v>0</v>
      </c>
      <c r="N27" s="49">
        <f>COUNTIF('PF176'!Y10:Y185,"SCB10_MOSI (1)")</f>
        <v>0</v>
      </c>
    </row>
    <row r="28" spans="2:59" x14ac:dyDescent="0.55000000000000004">
      <c r="B28" s="197"/>
      <c r="C28" s="53" t="s">
        <v>2342</v>
      </c>
      <c r="D28" s="54">
        <f>COUNTIF('PF176'!Y10:Y185,"SCB0_MOSI (2)")</f>
        <v>0</v>
      </c>
      <c r="E28" s="49">
        <f>COUNTIF('PF176'!Y10:Y185,"SCB1_MOSI (2)")</f>
        <v>0</v>
      </c>
      <c r="F28" s="49">
        <f>COUNTIF('PF176'!Y10:Y185,"SCB2_MOSI (2)")</f>
        <v>0</v>
      </c>
      <c r="G28" s="49">
        <f>COUNTIF('PF176'!Y10:Y185,"SCB3_MOSI (2)")</f>
        <v>0</v>
      </c>
      <c r="H28" s="49">
        <f>COUNTIF('PF176'!Y10:Y185,"SCB4_MOSI (2)")</f>
        <v>0</v>
      </c>
      <c r="I28" s="49">
        <f>COUNTIF('PF176'!Y10:Y185,"SCB5_MOSI (2)")</f>
        <v>0</v>
      </c>
      <c r="J28" s="49">
        <f>COUNTIF('PF176'!Y10:Y185,"SCB6_MOSI (2)")</f>
        <v>0</v>
      </c>
      <c r="K28" s="49">
        <f>COUNTIF('PF176'!Y10:Y185,"SCB7_MOSI (2)")</f>
        <v>0</v>
      </c>
      <c r="L28" s="49">
        <f>COUNTIF('PF176'!Y10:Y185,"SCB8_MOSI (2)")</f>
        <v>0</v>
      </c>
      <c r="M28" s="49">
        <f>COUNTIF('PF176'!Y10:Y185,"SCB9_MOSI (2)")</f>
        <v>0</v>
      </c>
      <c r="N28" s="49">
        <f>COUNTIF('PF176'!Y10:Y185,"SCB10_MOSI (2)")</f>
        <v>0</v>
      </c>
    </row>
    <row r="29" spans="2:59" x14ac:dyDescent="0.55000000000000004">
      <c r="B29" s="197"/>
      <c r="C29" s="53" t="s">
        <v>2343</v>
      </c>
      <c r="D29" s="54">
        <f>COUNTIF('PF176'!Y10:Y185,"SCB0_MISO (0)")</f>
        <v>0</v>
      </c>
      <c r="E29" s="49">
        <f>COUNTIF('PF176'!Y10:Y185,"SCB1_MISO (0)")</f>
        <v>0</v>
      </c>
      <c r="F29" s="49">
        <f>COUNTIF('PF176'!Y10:Y185,"SCB2_MISO (0)")</f>
        <v>0</v>
      </c>
      <c r="G29" s="49">
        <f>COUNTIF('PF176'!Y10:Y185,"SCB3_MISO (0)")</f>
        <v>0</v>
      </c>
      <c r="H29" s="49">
        <f>COUNTIF('PF176'!Y10:Y185,"SCB4_MISO (0)")</f>
        <v>0</v>
      </c>
      <c r="I29" s="49">
        <f>COUNTIF('PF176'!Y10:Y185,"SCB5_MISO (0)")</f>
        <v>0</v>
      </c>
      <c r="J29" s="49">
        <f>COUNTIF('PF176'!Y10:Y185,"SCB6_MISO (0)")</f>
        <v>0</v>
      </c>
      <c r="K29" s="49">
        <f>COUNTIF('PF176'!Y10:Y185,"SCB7_MISO (0)")</f>
        <v>0</v>
      </c>
      <c r="L29" s="49">
        <f>COUNTIF('PF176'!Y10:Y185,"SCB8_MISO (0)")</f>
        <v>0</v>
      </c>
      <c r="M29" s="49">
        <f>COUNTIF('PF176'!Y10:Y185,"SCB9_MISO (0)")</f>
        <v>0</v>
      </c>
      <c r="N29" s="49">
        <f>COUNTIF('PF176'!Y10:Y185,"SCB10_MISO (0)")</f>
        <v>0</v>
      </c>
    </row>
    <row r="30" spans="2:59" x14ac:dyDescent="0.55000000000000004">
      <c r="B30" s="197"/>
      <c r="C30" s="53" t="s">
        <v>2344</v>
      </c>
      <c r="D30" s="54">
        <f>COUNTIF('PF176'!Y10:Y185,"SCB0_MISO (1)")</f>
        <v>0</v>
      </c>
      <c r="E30" s="49">
        <f>COUNTIF('PF176'!Y10:Y185,"SCB1_MISO (1)")</f>
        <v>0</v>
      </c>
      <c r="F30" s="49">
        <f>COUNTIF('PF176'!Y10:Y185,"SCB2_MISO (1)")</f>
        <v>0</v>
      </c>
      <c r="G30" s="49">
        <f>COUNTIF('PF176'!Y10:Y185,"SCB3_MISO (1)")</f>
        <v>0</v>
      </c>
      <c r="H30" s="49">
        <f>COUNTIF('PF176'!Y10:Y185,"SCB4_MISO (1)")</f>
        <v>0</v>
      </c>
      <c r="I30" s="49">
        <f>COUNTIF('PF176'!Y10:Y185,"SCB5_MISO (1)")</f>
        <v>0</v>
      </c>
      <c r="J30" s="49">
        <f>COUNTIF('PF176'!Y10:Y185,"SCB6_MISO (1)")</f>
        <v>0</v>
      </c>
      <c r="K30" s="49">
        <f>COUNTIF('PF176'!Y10:Y185,"SCB7_MISO (1)")</f>
        <v>0</v>
      </c>
      <c r="L30" s="49">
        <f>COUNTIF('PF176'!Y10:Y185,"SCB8_MISO (1)")</f>
        <v>0</v>
      </c>
      <c r="M30" s="49">
        <f>COUNTIF('PF176'!Y10:Y185,"SCB9_MISO (1)")</f>
        <v>0</v>
      </c>
      <c r="N30" s="49">
        <f>COUNTIF('PF176'!Y10:Y185,"SCB10_MISO (1)")</f>
        <v>0</v>
      </c>
    </row>
    <row r="31" spans="2:59" x14ac:dyDescent="0.55000000000000004">
      <c r="B31" s="197"/>
      <c r="C31" s="53" t="s">
        <v>2345</v>
      </c>
      <c r="D31" s="54">
        <f>COUNTIF('PF176'!Y10:Y185,"SCB0_MISO (2)")</f>
        <v>0</v>
      </c>
      <c r="E31" s="49">
        <f>COUNTIF('PF176'!Y10:Y185,"SCB1_MISO (2)")</f>
        <v>0</v>
      </c>
      <c r="F31" s="49">
        <f>COUNTIF('PF176'!Y10:Y185,"SCB2_MISO (2)")</f>
        <v>0</v>
      </c>
      <c r="G31" s="49">
        <f>COUNTIF('PF176'!Y10:Y185,"SCB3_MISO (2)")</f>
        <v>0</v>
      </c>
      <c r="H31" s="49">
        <f>COUNTIF('PF176'!Y10:Y185,"SCB4_MISO (2)")</f>
        <v>0</v>
      </c>
      <c r="I31" s="49">
        <f>COUNTIF('PF176'!Y10:Y185,"SCB5_MISO (2)")</f>
        <v>0</v>
      </c>
      <c r="J31" s="49">
        <f>COUNTIF('PF176'!Y10:Y185,"SCB6_MISO (2)")</f>
        <v>0</v>
      </c>
      <c r="K31" s="49">
        <f>COUNTIF('PF176'!Y10:Y185,"SCB7_MISO (2)")</f>
        <v>0</v>
      </c>
      <c r="L31" s="49">
        <f>COUNTIF('PF176'!Y10:Y185,"SCB8_MISO (2)")</f>
        <v>0</v>
      </c>
      <c r="M31" s="49">
        <f>COUNTIF('PF176'!Y10:Y185,"SCB9_MISO (2)")</f>
        <v>0</v>
      </c>
      <c r="N31" s="49">
        <f>COUNTIF('PF176'!Y10:Y185,"SCB10_MISO (2)")</f>
        <v>0</v>
      </c>
    </row>
    <row r="32" spans="2:59" x14ac:dyDescent="0.55000000000000004">
      <c r="B32" s="197"/>
      <c r="C32" s="53" t="s">
        <v>2346</v>
      </c>
      <c r="D32" s="54">
        <f>COUNTIF('PF176'!Y10:Y185,"SCB0_SEL0 (0)")</f>
        <v>0</v>
      </c>
      <c r="E32" s="49">
        <f>COUNTIF('PF176'!Y10:Y185,"SCB1_SEL0 (0)")</f>
        <v>0</v>
      </c>
      <c r="F32" s="49">
        <f>COUNTIF('PF176'!Y10:Y185,"SCB2_SEL0 (0)")</f>
        <v>0</v>
      </c>
      <c r="G32" s="49">
        <f>COUNTIF('PF176'!Y10:Y185,"SCB3_SEL0 (0)")</f>
        <v>0</v>
      </c>
      <c r="H32" s="49">
        <f>COUNTIF('PF176'!Y10:Y185,"SCB4_SEL0 (0)")</f>
        <v>0</v>
      </c>
      <c r="I32" s="54">
        <f>COUNTIF('PF176'!Y10:Y185,"SCB5_SEL0 (0)")</f>
        <v>0</v>
      </c>
      <c r="J32" s="54">
        <f>COUNTIF('PF176'!Y10:Y185,"SCB6_SEL0 (0)")</f>
        <v>0</v>
      </c>
      <c r="K32" s="49">
        <f>COUNTIF('PF176'!Y10:Y185,"SCB7_SEL0 (0)")</f>
        <v>0</v>
      </c>
      <c r="L32" s="49">
        <f>COUNTIF('PF176'!Y10:Y185,"SCB8_SEL0 (0)")</f>
        <v>0</v>
      </c>
      <c r="M32" s="49">
        <f>COUNTIF('PF176'!Y10:Y185,"SCB9_SEL0 (0)")</f>
        <v>0</v>
      </c>
      <c r="N32" s="49">
        <f>COUNTIF('PF176'!Y10:Y185,"SCB10_SEL0 (0)")</f>
        <v>0</v>
      </c>
    </row>
    <row r="33" spans="2:14" x14ac:dyDescent="0.55000000000000004">
      <c r="B33" s="197"/>
      <c r="C33" s="53" t="s">
        <v>2347</v>
      </c>
      <c r="D33" s="54">
        <f>COUNTIF('PF176'!Y10:Y185,"SCB0_SEL0 (1)")</f>
        <v>0</v>
      </c>
      <c r="E33" s="49">
        <f>COUNTIF('PF176'!Y10:Y185,"SCB1_SEL0 (1)")</f>
        <v>0</v>
      </c>
      <c r="F33" s="49">
        <f>COUNTIF('PF176'!Y10:Y185,"SCB2_SEL0 (1)")</f>
        <v>0</v>
      </c>
      <c r="G33" s="49">
        <f>COUNTIF('PF176'!Y10:Y185,"SCB3_SEL0 (1)")</f>
        <v>0</v>
      </c>
      <c r="H33" s="49">
        <f>COUNTIF('PF176'!Y10:Y185,"SCB4_SEL0 (1)")</f>
        <v>0</v>
      </c>
      <c r="I33" s="54">
        <f>COUNTIF('PF176'!Y10:Y185,"SCB5_SEL0 (1)")</f>
        <v>0</v>
      </c>
      <c r="J33" s="54">
        <f>COUNTIF('PF176'!Y10:Y185,"SCB6_SEL0 (1)")</f>
        <v>0</v>
      </c>
      <c r="K33" s="49">
        <f>COUNTIF('PF176'!Y10:Y185,"SCB7_SEL0 (1)")</f>
        <v>0</v>
      </c>
      <c r="L33" s="49">
        <f>COUNTIF('PF176'!Y10:Y185,"SCB8_SEL0 (1)")</f>
        <v>0</v>
      </c>
      <c r="M33" s="49">
        <f>COUNTIF('PF176'!Y10:Y185,"SCB9_SEL0 (1)")</f>
        <v>0</v>
      </c>
      <c r="N33" s="49">
        <f>COUNTIF('PF176'!Y10:Y185,"SCB10_SEL0 (1)")</f>
        <v>0</v>
      </c>
    </row>
    <row r="34" spans="2:14" x14ac:dyDescent="0.55000000000000004">
      <c r="B34" s="197"/>
      <c r="C34" s="53" t="s">
        <v>2348</v>
      </c>
      <c r="D34" s="54">
        <f>COUNTIF('PF176'!Y10:Y185,"SCB0_SEL0 (2)")</f>
        <v>0</v>
      </c>
      <c r="E34" s="49">
        <f>COUNTIF('PF176'!Y10:Y185,"SCB1_SEL0 (2)")</f>
        <v>0</v>
      </c>
      <c r="F34" s="49">
        <f>COUNTIF('PF176'!Y10:Y185,"SCB2_SEL0 (2)")</f>
        <v>0</v>
      </c>
      <c r="G34" s="49">
        <f>COUNTIF('PF176'!Y10:Y185,"SCB3_SEL0 (2)")</f>
        <v>0</v>
      </c>
      <c r="H34" s="49">
        <f>COUNTIF('PF176'!Y10:Y185,"SCB4_SEL0 (2)")</f>
        <v>0</v>
      </c>
      <c r="I34" s="54">
        <f>COUNTIF('PF176'!Y10:Y185,"SCB5_SEL0 (2)")</f>
        <v>0</v>
      </c>
      <c r="J34" s="54">
        <f>COUNTIF('PF176'!Y10:Y185,"SCB6_SEL0 (2)")</f>
        <v>0</v>
      </c>
      <c r="K34" s="49">
        <f>COUNTIF('PF176'!Y10:Y185,"SCB7_SEL0 (2)")</f>
        <v>0</v>
      </c>
      <c r="L34" s="49">
        <f>COUNTIF('PF176'!Y10:Y185,"SCB8_SEL0 (2)")</f>
        <v>0</v>
      </c>
      <c r="M34" s="49">
        <f>COUNTIF('PF176'!Y10:Y185,"SCB9_SEL0 (2)")</f>
        <v>0</v>
      </c>
      <c r="N34" s="49">
        <f>COUNTIF('PF176'!Y10:Y185,"SCB10_SEL0 (2)")</f>
        <v>0</v>
      </c>
    </row>
    <row r="35" spans="2:14" x14ac:dyDescent="0.55000000000000004">
      <c r="B35" s="197"/>
      <c r="C35" s="53" t="s">
        <v>2349</v>
      </c>
      <c r="D35" s="54">
        <f>COUNTIF('PF176'!Y10:Y185,"SCB0_SEL1 (0)")</f>
        <v>0</v>
      </c>
      <c r="E35" s="49">
        <f>COUNTIF('PF176'!Y10:Y185,"SCB1_SEL1 (0)")</f>
        <v>0</v>
      </c>
      <c r="F35" s="49">
        <f>COUNTIF('PF176'!Y10:Y185,"SCB2_SEL1 (0)")</f>
        <v>0</v>
      </c>
      <c r="G35" s="49">
        <f>COUNTIF('PF176'!Y10:Y185,"SCB3_SEL1 (0)")</f>
        <v>0</v>
      </c>
      <c r="H35" s="49">
        <f>COUNTIF('PF176'!Y10:Y185,"SCB4_SEL1 (0)")</f>
        <v>0</v>
      </c>
      <c r="I35" s="54">
        <f>COUNTIF('PF176'!Y10:Y185,"SCB5_SEL1 (0)")</f>
        <v>0</v>
      </c>
      <c r="J35" s="54">
        <f>COUNTIF('PF176'!Y10:Y185,"SCB6_SEL1 (0)")</f>
        <v>0</v>
      </c>
      <c r="K35" s="49">
        <f>COUNTIF('PF176'!Y10:Y185,"SCB7_SEL1 (0)")</f>
        <v>0</v>
      </c>
      <c r="L35" s="49">
        <f>COUNTIF('PF176'!Y10:Y185,"SCB8_SEL1 (0)")</f>
        <v>0</v>
      </c>
      <c r="M35" s="49">
        <f>COUNTIF('PF176'!Y10:Y185,"SCB9_SEL1 (0)")</f>
        <v>0</v>
      </c>
      <c r="N35" s="49">
        <f>COUNTIF('PF176'!Y10:Y185,"SCB10_SEL1 (0)")</f>
        <v>0</v>
      </c>
    </row>
    <row r="36" spans="2:14" x14ac:dyDescent="0.55000000000000004">
      <c r="B36" s="197"/>
      <c r="C36" s="53" t="s">
        <v>2350</v>
      </c>
      <c r="D36" s="54">
        <f>COUNTIF('PF176'!Y10:Y185,"SCB0_SEL1 (1)")</f>
        <v>0</v>
      </c>
      <c r="E36" s="49">
        <f>COUNTIF('PF176'!Y10:Y185,"SCB1_SEL1 (1)")</f>
        <v>0</v>
      </c>
      <c r="F36" s="49">
        <f>COUNTIF('PF176'!Y10:Y185,"SCB2_SEL1 (1)")</f>
        <v>0</v>
      </c>
      <c r="G36" s="49">
        <f>COUNTIF('PF176'!Y10:Y185,"SCB3_SEL1 (1)")</f>
        <v>0</v>
      </c>
      <c r="H36" s="49">
        <f>COUNTIF('PF176'!Y10:Y185,"SCB4_SEL1 (1)")</f>
        <v>0</v>
      </c>
      <c r="I36" s="54">
        <f>COUNTIF('PF176'!Y10:Y185,"SCB5_SEL1 (1)")</f>
        <v>0</v>
      </c>
      <c r="J36" s="54">
        <f>COUNTIF('PF176'!Y10:Y185,"SCB6_SEL1 (1)")</f>
        <v>0</v>
      </c>
      <c r="K36" s="49">
        <f>COUNTIF('PF176'!Y10:Y185,"SCB7_SEL1 (1)")</f>
        <v>0</v>
      </c>
      <c r="L36" s="49">
        <f>COUNTIF('PF176'!Y10:Y185,"SCB8_SEL1 (1)")</f>
        <v>0</v>
      </c>
      <c r="M36" s="49">
        <f>COUNTIF('PF176'!Y10:Y185,"SCB9_SEL1 (1)")</f>
        <v>0</v>
      </c>
      <c r="N36" s="49">
        <f>COUNTIF('PF176'!Y10:Y185,"SCB10_SEL1 (1)")</f>
        <v>0</v>
      </c>
    </row>
    <row r="37" spans="2:14" x14ac:dyDescent="0.55000000000000004">
      <c r="B37" s="197"/>
      <c r="C37" s="53" t="s">
        <v>2351</v>
      </c>
      <c r="D37" s="54">
        <f>COUNTIF('PF176'!Y10:Y185,"SCB0_SEL1 (2)")</f>
        <v>0</v>
      </c>
      <c r="E37" s="49">
        <f>COUNTIF('PF176'!Y10:Y185,"SCB1_SEL1 (2)")</f>
        <v>0</v>
      </c>
      <c r="F37" s="49">
        <f>COUNTIF('PF176'!Y10:Y185,"SCB2_SEL1 (2)")</f>
        <v>0</v>
      </c>
      <c r="G37" s="49">
        <f>COUNTIF('PF176'!Y10:Y185,"SCB3_SEL1 (2)")</f>
        <v>0</v>
      </c>
      <c r="H37" s="49">
        <f>COUNTIF('PF176'!Y10:Y185,"SCB4_SEL1 (2)")</f>
        <v>0</v>
      </c>
      <c r="I37" s="54">
        <f>COUNTIF('PF176'!Y10:Y185,"SCB5_SEL1 (2)")</f>
        <v>0</v>
      </c>
      <c r="J37" s="54">
        <f>COUNTIF('PF176'!Y10:Y185,"SCB6_SEL1 (2)")</f>
        <v>0</v>
      </c>
      <c r="K37" s="49">
        <f>COUNTIF('PF176'!Y10:Y185,"SCB7_SEL1 (2)")</f>
        <v>0</v>
      </c>
      <c r="L37" s="49">
        <f>COUNTIF('PF176'!Y10:Y185,"SCB8_SEL1 (2)")</f>
        <v>0</v>
      </c>
      <c r="M37" s="49">
        <f>COUNTIF('PF176'!Y10:Y185,"SCB9_SEL1 (2)")</f>
        <v>0</v>
      </c>
      <c r="N37" s="49">
        <f>COUNTIF('PF176'!Y10:Y185,"SCB10_SEL1 (2)")</f>
        <v>0</v>
      </c>
    </row>
    <row r="38" spans="2:14" x14ac:dyDescent="0.55000000000000004">
      <c r="B38" s="197"/>
      <c r="C38" s="53" t="s">
        <v>2352</v>
      </c>
      <c r="D38" s="54">
        <f>COUNTIF('PF176'!Y10:Y185,"SCB0_SEL2 (0)")</f>
        <v>0</v>
      </c>
      <c r="E38" s="49">
        <f>COUNTIF('PF176'!Y10:Y185,"SCB1_SEL2 (0)")</f>
        <v>0</v>
      </c>
      <c r="F38" s="49">
        <f>COUNTIF('PF176'!Y10:Y185,"SCB2_SEL2 (0)")</f>
        <v>0</v>
      </c>
      <c r="G38" s="49">
        <f>COUNTIF('PF176'!Y10:Y185,"SCB3_SEL2 (0)")</f>
        <v>0</v>
      </c>
      <c r="H38" s="49">
        <f>COUNTIF('PF176'!Y10:Y185,"SCB4_SEL2 (0)")</f>
        <v>0</v>
      </c>
      <c r="I38" s="54">
        <f>COUNTIF('PF176'!Y10:Y185,"SCB5_SEL2 (0)")</f>
        <v>0</v>
      </c>
      <c r="J38" s="54">
        <f>COUNTIF('PF176'!Y10:Y185,"SCB6_SEL2 (0)")</f>
        <v>0</v>
      </c>
      <c r="K38" s="49">
        <f>COUNTIF('PF176'!Y10:Y185,"SCB7_SEL2 (0)")</f>
        <v>0</v>
      </c>
      <c r="L38" s="49">
        <f>COUNTIF('PF176'!Y10:Y185,"SCB8_SEL2 (0)")</f>
        <v>0</v>
      </c>
      <c r="M38" s="49">
        <f>COUNTIF('PF176'!Y10:Y185,"SCB9_SEL2 (0)")</f>
        <v>0</v>
      </c>
      <c r="N38" s="49">
        <f>COUNTIF('PF176'!Y10:Y185,"SCB10_SEL2 (0)")</f>
        <v>0</v>
      </c>
    </row>
    <row r="39" spans="2:14" x14ac:dyDescent="0.55000000000000004">
      <c r="B39" s="197"/>
      <c r="C39" s="53" t="s">
        <v>2353</v>
      </c>
      <c r="D39" s="54">
        <f>COUNTIF('PF176'!Y10:Y185,"SCB0_SEL2 (1)")</f>
        <v>0</v>
      </c>
      <c r="E39" s="49">
        <f>COUNTIF('PF176'!Y10:Y185,"SCB1_SEL2 (1)")</f>
        <v>0</v>
      </c>
      <c r="F39" s="49">
        <f>COUNTIF('PF176'!Y10:Y185,"SCB2_SEL2 (1)")</f>
        <v>0</v>
      </c>
      <c r="G39" s="49">
        <f>COUNTIF('PF176'!Y10:Y185,"SCB3_SEL2 (1)")</f>
        <v>0</v>
      </c>
      <c r="H39" s="49">
        <f>COUNTIF('PF176'!Y10:Y185,"SCB4_SEL2 (1)")</f>
        <v>0</v>
      </c>
      <c r="I39" s="54">
        <f>COUNTIF('PF176'!Y10:Y185,"SCB5_SEL2 (1)")</f>
        <v>0</v>
      </c>
      <c r="J39" s="54">
        <f>COUNTIF('PF176'!Y10:Y185,"SCB6_SEL2 (1)")</f>
        <v>0</v>
      </c>
      <c r="K39" s="49">
        <f>COUNTIF('PF176'!Y10:Y185,"SCB7_SEL2 (1)")</f>
        <v>0</v>
      </c>
      <c r="L39" s="49">
        <f>COUNTIF('PF176'!Y10:Y185,"SCB8_SEL2 (1)")</f>
        <v>0</v>
      </c>
      <c r="M39" s="49">
        <f>COUNTIF('PF176'!Y10:Y185,"SCB9_SEL2 (1)")</f>
        <v>0</v>
      </c>
      <c r="N39" s="49">
        <f>COUNTIF('PF176'!Y10:Y185,"SCB10_SEL2 (1)")</f>
        <v>0</v>
      </c>
    </row>
    <row r="40" spans="2:14" x14ac:dyDescent="0.55000000000000004">
      <c r="B40" s="197"/>
      <c r="C40" s="53" t="s">
        <v>2354</v>
      </c>
      <c r="D40" s="54">
        <f>COUNTIF('PF176'!Y10:Y185,"SCB0_SEL2 (2)")</f>
        <v>0</v>
      </c>
      <c r="E40" s="49">
        <f>COUNTIF('PF176'!Y10:Y185,"SCB1_SEL2 (2)")</f>
        <v>0</v>
      </c>
      <c r="F40" s="49">
        <f>COUNTIF('PF176'!Y10:Y185,"SCB2_SEL2 (2)")</f>
        <v>0</v>
      </c>
      <c r="G40" s="49">
        <f>COUNTIF('PF176'!Y10:Y185,"SCB3_SEL2 (2)")</f>
        <v>0</v>
      </c>
      <c r="H40" s="49">
        <f>COUNTIF('PF176'!Y10:Y185,"SCB4_SEL2 (2)")</f>
        <v>0</v>
      </c>
      <c r="I40" s="54">
        <f>COUNTIF('PF176'!Y10:Y185,"SCB5_SEL2 (2)")</f>
        <v>0</v>
      </c>
      <c r="J40" s="54">
        <f>COUNTIF('PF176'!Y10:Y185,"SCB6_SEL2 (2)")</f>
        <v>0</v>
      </c>
      <c r="K40" s="49">
        <f>COUNTIF('PF176'!Y10:Y185,"SCB7_SEL2 (2)")</f>
        <v>0</v>
      </c>
      <c r="L40" s="49">
        <f>COUNTIF('PF176'!Y10:Y185,"SCB8_SEL2 (2)")</f>
        <v>0</v>
      </c>
      <c r="M40" s="49">
        <f>COUNTIF('PF176'!Y10:Y185,"SCB9_SEL2 (2)")</f>
        <v>0</v>
      </c>
      <c r="N40" s="49">
        <f>COUNTIF('PF176'!Y10:Y185,"SCB10_SEL2 (2)")</f>
        <v>0</v>
      </c>
    </row>
    <row r="41" spans="2:14" x14ac:dyDescent="0.55000000000000004">
      <c r="B41" s="197"/>
      <c r="C41" s="53" t="s">
        <v>2355</v>
      </c>
      <c r="D41" s="54">
        <f>COUNTIF('PF176'!Y10:Y185,"SCB0_SEL3 (0)")</f>
        <v>0</v>
      </c>
      <c r="E41" s="49">
        <f>COUNTIF('PF176'!Y10:Y185,"SCB1_SEL3 (0)")</f>
        <v>0</v>
      </c>
      <c r="F41" s="49">
        <f>COUNTIF('PF176'!Y10:Y185,"SCB2_SEL3 (0)")</f>
        <v>0</v>
      </c>
      <c r="G41" s="49">
        <f>COUNTIF('PF176'!Y10:Y185,"SCB3_SEL3 (0)")</f>
        <v>0</v>
      </c>
      <c r="H41" s="49">
        <f>COUNTIF('PF176'!Y10:Y185,"SCB4_SEL3 (0)")</f>
        <v>0</v>
      </c>
      <c r="I41" s="54">
        <f>COUNTIF('PF176'!Y10:Y185,"SCB5_SEL3 (0)")</f>
        <v>0</v>
      </c>
      <c r="J41" s="54">
        <f>COUNTIF('PF176'!Y10:Y185,"SCB6_SEL3 (0)")</f>
        <v>0</v>
      </c>
      <c r="K41" s="49">
        <f>COUNTIF('PF176'!Y10:Y185,"SCB7_SEL3 (0)")</f>
        <v>0</v>
      </c>
      <c r="L41" s="49">
        <f>COUNTIF('PF176'!Y10:Y185,"SCB8_SEL3 (0)")</f>
        <v>0</v>
      </c>
      <c r="M41" s="49">
        <f>COUNTIF('PF176'!Y10:Y185,"SCB9_SEL3 (0)")</f>
        <v>0</v>
      </c>
      <c r="N41" s="49">
        <f>COUNTIF('PF176'!Y10:Y185,"SCB10_SEL3 (0)")</f>
        <v>0</v>
      </c>
    </row>
    <row r="42" spans="2:14" x14ac:dyDescent="0.55000000000000004">
      <c r="B42" s="197"/>
      <c r="C42" s="53" t="s">
        <v>2356</v>
      </c>
      <c r="D42" s="54">
        <f>COUNTIF('PF176'!Y10:Y185,"SCB0_SEL3 (1)")</f>
        <v>0</v>
      </c>
      <c r="E42" s="49">
        <f>COUNTIF('PF176'!Y10:Y185,"SCB1_SEL3 (1)")</f>
        <v>0</v>
      </c>
      <c r="F42" s="49">
        <f>COUNTIF('PF176'!Y10:Y185,"SCB2_SEL3 (1)")</f>
        <v>0</v>
      </c>
      <c r="G42" s="49">
        <f>COUNTIF('PF176'!Y10:Y185,"SCB3_SEL3 (1)")</f>
        <v>0</v>
      </c>
      <c r="H42" s="49">
        <f>COUNTIF('PF176'!Y10:Y185,"SCB4_SEL3 (1)")</f>
        <v>0</v>
      </c>
      <c r="I42" s="54">
        <f>COUNTIF('PF176'!Y10:Y185,"SCB5_SEL3 (1)")</f>
        <v>0</v>
      </c>
      <c r="J42" s="54">
        <f>COUNTIF('PF176'!Y10:Y185,"SCB6_SEL3 (1)")</f>
        <v>0</v>
      </c>
      <c r="K42" s="49">
        <f>COUNTIF('PF176'!Y10:Y185,"SCB7_SEL3 (1)")</f>
        <v>0</v>
      </c>
      <c r="L42" s="49">
        <f>COUNTIF('PF176'!Y10:Y185,"SCB8_SEL3 (1)")</f>
        <v>0</v>
      </c>
      <c r="M42" s="49">
        <f>COUNTIF('PF176'!Y10:Y185,"SCB9_SEL3 (1)")</f>
        <v>0</v>
      </c>
      <c r="N42" s="49">
        <f>COUNTIF('PF176'!Y10:Y185,"SCB10_SEL3 (1)")</f>
        <v>0</v>
      </c>
    </row>
    <row r="43" spans="2:14" x14ac:dyDescent="0.55000000000000004">
      <c r="B43" s="198"/>
      <c r="C43" s="53" t="s">
        <v>2357</v>
      </c>
      <c r="D43" s="54">
        <f>COUNTIF('PF176'!Y10:Y185,"SCB0_SEL3 (2)")</f>
        <v>0</v>
      </c>
      <c r="E43" s="49">
        <f>COUNTIF('PF176'!Y10:Y185,"SCB1_SEL3 (2)")</f>
        <v>0</v>
      </c>
      <c r="F43" s="49">
        <f>COUNTIF('PF176'!Y10:Y185,"SCB2_SEL3 (2)")</f>
        <v>0</v>
      </c>
      <c r="G43" s="49">
        <f>COUNTIF('PF176'!Y10:Y185,"SCB3_SEL3 (2)")</f>
        <v>0</v>
      </c>
      <c r="H43" s="49">
        <f>COUNTIF('PF176'!Y10:Y185,"SCB4_SEL3 (2)")</f>
        <v>0</v>
      </c>
      <c r="I43" s="54">
        <f>COUNTIF('PF176'!Y10:Y185,"SCB5_SEL3 (2)")</f>
        <v>0</v>
      </c>
      <c r="J43" s="54">
        <f>COUNTIF('PF176'!Y10:Y185,"SCB6_SEL3 (2)")</f>
        <v>0</v>
      </c>
      <c r="K43" s="49">
        <f>COUNTIF('PF176'!Y10:Y185,"SCB7_SEL3 (2)")</f>
        <v>0</v>
      </c>
      <c r="L43" s="49">
        <f>COUNTIF('PF176'!Y10:Y185,"SCB8_SEL3 (2)")</f>
        <v>0</v>
      </c>
      <c r="M43" s="49">
        <f>COUNTIF('PF176'!Y10:Y185,"SCB9_SEL3 (2)")</f>
        <v>0</v>
      </c>
      <c r="N43" s="49">
        <f>COUNTIF('PF176'!Y10:Y185,"SCB10_SEL3 (2)")</f>
        <v>0</v>
      </c>
    </row>
    <row r="44" spans="2:14" ht="10" customHeight="1" x14ac:dyDescent="0.55000000000000004">
      <c r="B44" s="196" t="s">
        <v>395</v>
      </c>
      <c r="C44" s="53" t="s">
        <v>2358</v>
      </c>
      <c r="D44" s="54">
        <f>COUNTIF('PF176'!Y10:Y185,"SCB0_TX (0)")</f>
        <v>0</v>
      </c>
      <c r="E44" s="49">
        <f>COUNTIF('PF176'!Y10:Y185,"SCB1_TX (0)")</f>
        <v>0</v>
      </c>
      <c r="F44" s="49">
        <f>COUNTIF('PF176'!Y10:Y185,"SCB2_TX (0)")</f>
        <v>0</v>
      </c>
      <c r="G44" s="49">
        <f>COUNTIF('PF176'!Y10:Y185,"SCB3_TX (0)")</f>
        <v>0</v>
      </c>
      <c r="H44" s="49">
        <f>COUNTIF('PF176'!Y10:Y185,"SCB4_TX (0)")</f>
        <v>0</v>
      </c>
      <c r="I44" s="49">
        <f>COUNTIF('PF176'!Y10:Y185,"SCB5_TX (0)")</f>
        <v>0</v>
      </c>
      <c r="J44" s="49">
        <f>COUNTIF('PF176'!Y10:Y185,"SCB6_TX (0)")</f>
        <v>0</v>
      </c>
      <c r="K44" s="49">
        <f>COUNTIF('PF176'!Y10:Y185,"SCB7_TX (0)")</f>
        <v>0</v>
      </c>
      <c r="L44" s="49">
        <f>COUNTIF('PF176'!Y10:Y185,"SCB8_TX (0)")</f>
        <v>0</v>
      </c>
      <c r="M44" s="49">
        <f>COUNTIF('PF176'!Y10:Y185,"SCB9_TX (0)")</f>
        <v>0</v>
      </c>
      <c r="N44" s="49">
        <f>COUNTIF('PF176'!Y10:Y185,"SCB10_TX (0)")</f>
        <v>0</v>
      </c>
    </row>
    <row r="45" spans="2:14" x14ac:dyDescent="0.55000000000000004">
      <c r="B45" s="197"/>
      <c r="C45" s="53" t="s">
        <v>2359</v>
      </c>
      <c r="D45" s="54">
        <f>COUNTIF('PF176'!Y10:Y185,"SCB0_TX (1)")</f>
        <v>0</v>
      </c>
      <c r="E45" s="49">
        <f>COUNTIF('PF176'!Y10:Y185,"SCB1_TX (1)")</f>
        <v>0</v>
      </c>
      <c r="F45" s="49">
        <f>COUNTIF('PF176'!Y10:Y185,"SCB2_TX (1)")</f>
        <v>0</v>
      </c>
      <c r="G45" s="49">
        <f>COUNTIF('PF176'!Y10:Y185,"SCB3_TX (1)")</f>
        <v>0</v>
      </c>
      <c r="H45" s="49">
        <f>COUNTIF('PF176'!Y10:Y185,"SCB4_TX (1)")</f>
        <v>0</v>
      </c>
      <c r="I45" s="49">
        <f>COUNTIF('PF176'!Y10:Y185,"SCB5_TX (1)")</f>
        <v>0</v>
      </c>
      <c r="J45" s="49">
        <f>COUNTIF('PF176'!Y10:Y185,"SCB6_TX (1)")</f>
        <v>0</v>
      </c>
      <c r="K45" s="49">
        <f>COUNTIF('PF176'!Y10:Y185,"SCB7_TX (1)")</f>
        <v>0</v>
      </c>
      <c r="L45" s="49">
        <f>COUNTIF('PF176'!Y10:Y185,"SCB8_TX (1)")</f>
        <v>0</v>
      </c>
      <c r="M45" s="49">
        <f>COUNTIF('PF176'!Y10:Y185,"SCB9_TX (1)")</f>
        <v>0</v>
      </c>
      <c r="N45" s="49">
        <f>COUNTIF('PF176'!Y10:Y185,"SCB10_TX (1)")</f>
        <v>0</v>
      </c>
    </row>
    <row r="46" spans="2:14" x14ac:dyDescent="0.55000000000000004">
      <c r="B46" s="197"/>
      <c r="C46" s="53" t="s">
        <v>2360</v>
      </c>
      <c r="D46" s="54">
        <f>COUNTIF('PF176'!Y10:Y185,"SCB0_RX (0)")</f>
        <v>0</v>
      </c>
      <c r="E46" s="49">
        <f>COUNTIF('PF176'!Y10:Y185,"SCB1_RX (0)")</f>
        <v>0</v>
      </c>
      <c r="F46" s="49">
        <f>COUNTIF('PF176'!Y10:Y185,"SCB2_RX (0)")</f>
        <v>0</v>
      </c>
      <c r="G46" s="49">
        <f>COUNTIF('PF176'!Y10:Y185,"SCB3_RX (0)")</f>
        <v>0</v>
      </c>
      <c r="H46" s="49">
        <f>COUNTIF('PF176'!Y10:Y185,"SCB4_RX (0)")</f>
        <v>0</v>
      </c>
      <c r="I46" s="49">
        <f>COUNTIF('PF176'!Y10:Y185,"SCB5_RX (0)")</f>
        <v>0</v>
      </c>
      <c r="J46" s="49">
        <f>COUNTIF('PF176'!Y10:Y185,"SCB6_RX (0)")</f>
        <v>0</v>
      </c>
      <c r="K46" s="49">
        <f>COUNTIF('PF176'!Y10:Y185,"SCB7_RX (0)")</f>
        <v>0</v>
      </c>
      <c r="L46" s="49">
        <f>COUNTIF('PF176'!Y10:Y185,"SCB8_RX (0)")</f>
        <v>0</v>
      </c>
      <c r="M46" s="49">
        <f>COUNTIF('PF176'!Y10:Y185,"SCB9_RX (0)")</f>
        <v>0</v>
      </c>
      <c r="N46" s="49">
        <f>COUNTIF('PF176'!Y10:Y185,"SCB10_RX (0)")</f>
        <v>0</v>
      </c>
    </row>
    <row r="47" spans="2:14" x14ac:dyDescent="0.55000000000000004">
      <c r="B47" s="197"/>
      <c r="C47" s="53" t="s">
        <v>2361</v>
      </c>
      <c r="D47" s="54">
        <f>COUNTIF('PF176'!Y10:Y185,"SCB0_RX (1)")</f>
        <v>0</v>
      </c>
      <c r="E47" s="49">
        <f>COUNTIF('PF176'!Y10:Y185,"SCB1_RX (1)")</f>
        <v>0</v>
      </c>
      <c r="F47" s="49">
        <f>COUNTIF('PF176'!Y10:Y185,"SCB2_RX (1)")</f>
        <v>0</v>
      </c>
      <c r="G47" s="49">
        <f>COUNTIF('PF176'!Y10:Y185,"SCB3_RX (1)")</f>
        <v>0</v>
      </c>
      <c r="H47" s="49">
        <f>COUNTIF('PF176'!Y10:Y185,"SCB4_RX (1)")</f>
        <v>0</v>
      </c>
      <c r="I47" s="49">
        <f>COUNTIF('PF176'!Y10:Y185,"SCB5_RX (1)")</f>
        <v>0</v>
      </c>
      <c r="J47" s="49">
        <f>COUNTIF('PF176'!Y10:Y185,"SCB6_RX (1)")</f>
        <v>0</v>
      </c>
      <c r="K47" s="49">
        <f>COUNTIF('PF176'!Y10:Y185,"SCB7_RX (1)")</f>
        <v>0</v>
      </c>
      <c r="L47" s="49">
        <f>COUNTIF('PF176'!Y10:Y185,"SCB8_RX (1)")</f>
        <v>0</v>
      </c>
      <c r="M47" s="49">
        <f>COUNTIF('PF176'!Y10:Y185,"SCB9_RX (1)")</f>
        <v>0</v>
      </c>
      <c r="N47" s="49">
        <f>COUNTIF('PF176'!Y10:Y185,"SCB10_RX (1)")</f>
        <v>0</v>
      </c>
    </row>
    <row r="48" spans="2:14" x14ac:dyDescent="0.55000000000000004">
      <c r="B48" s="197"/>
      <c r="C48" s="53" t="s">
        <v>2362</v>
      </c>
      <c r="D48" s="54">
        <f>COUNTIF('PF176'!Y10:Y185,"SCB0_CTS (0)")</f>
        <v>0</v>
      </c>
      <c r="E48" s="49">
        <f>COUNTIF('PF176'!Y10:Y185,"SCB1_CTS (0)")</f>
        <v>0</v>
      </c>
      <c r="F48" s="49">
        <f>COUNTIF('PF176'!Y10:Y185,"SCB2_CTS (0)")</f>
        <v>0</v>
      </c>
      <c r="G48" s="49">
        <f>COUNTIF('PF176'!Y10:Y185,"SCB3_CTS (0)")</f>
        <v>0</v>
      </c>
      <c r="H48" s="49">
        <f>COUNTIF('PF176'!Y10:Y185,"SCB4_CTS (0)")</f>
        <v>0</v>
      </c>
      <c r="I48" s="49">
        <f>COUNTIF('PF176'!Y10:Y185,"SCB5_CTS (0)")</f>
        <v>0</v>
      </c>
      <c r="J48" s="49">
        <f>COUNTIF('PF176'!Y10:Y185,"SCB6_CTS (0)")</f>
        <v>0</v>
      </c>
      <c r="K48" s="49">
        <f>COUNTIF('PF176'!Y10:Y185,"SCB7_CTS (0)")</f>
        <v>0</v>
      </c>
      <c r="L48" s="49">
        <f>COUNTIF('PF176'!Y10:Y185,"SCB8_CTS (0)")</f>
        <v>0</v>
      </c>
      <c r="M48" s="49">
        <f>COUNTIF('PF176'!Y10:Y185,"SCB9_CTS (0)")</f>
        <v>0</v>
      </c>
      <c r="N48" s="49">
        <f>COUNTIF('PF176'!Y10:Y185,"SCB10_CTS (0)")</f>
        <v>0</v>
      </c>
    </row>
    <row r="49" spans="2:14" x14ac:dyDescent="0.55000000000000004">
      <c r="B49" s="197"/>
      <c r="C49" s="53" t="s">
        <v>2363</v>
      </c>
      <c r="D49" s="54">
        <f>COUNTIF('PF176'!Y10:Y185,"SCB0_CTS (1)")</f>
        <v>0</v>
      </c>
      <c r="E49" s="49">
        <f>COUNTIF('PF176'!Y10:Y185,"SCB1_CTS (1)")</f>
        <v>0</v>
      </c>
      <c r="F49" s="49">
        <f>COUNTIF('PF176'!Y10:Y185,"SCB2_CTS (1)")</f>
        <v>0</v>
      </c>
      <c r="G49" s="49">
        <f>COUNTIF('PF176'!Y10:Y185,"SCB3_CTS (1)")</f>
        <v>0</v>
      </c>
      <c r="H49" s="49">
        <f>COUNTIF('PF176'!Y10:Y185,"SCB4_CTS (1)")</f>
        <v>0</v>
      </c>
      <c r="I49" s="49">
        <f>COUNTIF('PF176'!Y10:Y185,"SCB5_CTS (1)")</f>
        <v>0</v>
      </c>
      <c r="J49" s="49">
        <f>COUNTIF('PF176'!Y10:Y185,"SCB6_CTS (1)")</f>
        <v>0</v>
      </c>
      <c r="K49" s="49">
        <f>COUNTIF('PF176'!Y10:Y185,"SCB7_CTS (1)")</f>
        <v>0</v>
      </c>
      <c r="L49" s="49">
        <f>COUNTIF('PF176'!Y10:Y185,"SCB8_CTS (1)")</f>
        <v>0</v>
      </c>
      <c r="M49" s="49">
        <f>COUNTIF('PF176'!Y10:Y185,"SCB9_CTS (1)")</f>
        <v>0</v>
      </c>
      <c r="N49" s="49">
        <f>COUNTIF('PF176'!Y10:Y185,"SCB10_CTS (1)")</f>
        <v>0</v>
      </c>
    </row>
    <row r="50" spans="2:14" x14ac:dyDescent="0.55000000000000004">
      <c r="B50" s="197"/>
      <c r="C50" s="53" t="s">
        <v>2364</v>
      </c>
      <c r="D50" s="54">
        <f>COUNTIF('PF176'!Y10:Y185,"SCB0_RTS (0)")</f>
        <v>0</v>
      </c>
      <c r="E50" s="49">
        <f>COUNTIF('PF176'!Y10:Y185,"SCB1_RTS (0)")</f>
        <v>0</v>
      </c>
      <c r="F50" s="49">
        <f>COUNTIF('PF176'!Y10:Y185,"SCB2_RTS (0)")</f>
        <v>0</v>
      </c>
      <c r="G50" s="49">
        <f>COUNTIF('PF176'!Y10:Y185,"SCB3_RTS (0)")</f>
        <v>0</v>
      </c>
      <c r="H50" s="49">
        <f>COUNTIF('PF176'!Y10:Y185,"SCB4_RTS (0)")</f>
        <v>0</v>
      </c>
      <c r="I50" s="49">
        <f>COUNTIF('PF176'!Y10:Y185,"SCB5_RTS (0)")</f>
        <v>0</v>
      </c>
      <c r="J50" s="49">
        <f>COUNTIF('PF176'!Y10:Y185,"SCB6_RTS (0)")</f>
        <v>0</v>
      </c>
      <c r="K50" s="49">
        <f>COUNTIF('PF176'!Y10:Y185,"SCB7_RTS (0)")</f>
        <v>0</v>
      </c>
      <c r="L50" s="49">
        <f>COUNTIF('PF176'!Y10:Y185,"SCB8_RTS (0)")</f>
        <v>0</v>
      </c>
      <c r="M50" s="49">
        <f>COUNTIF('PF176'!Y10:Y185,"SCB9_RTS (0)")</f>
        <v>0</v>
      </c>
      <c r="N50" s="49">
        <f>COUNTIF('PF176'!Y10:Y185,"SCB10_RTS (0)")</f>
        <v>0</v>
      </c>
    </row>
    <row r="51" spans="2:14" x14ac:dyDescent="0.55000000000000004">
      <c r="B51" s="198"/>
      <c r="C51" s="53" t="s">
        <v>2365</v>
      </c>
      <c r="D51" s="54">
        <f>COUNTIF('PF176'!Y10:Y185,"SCB0_RTS (1)")</f>
        <v>0</v>
      </c>
      <c r="E51" s="49">
        <f>COUNTIF('PF176'!Y10:Y185,"SCB1_RTS (1)")</f>
        <v>0</v>
      </c>
      <c r="F51" s="49">
        <f>COUNTIF('PF176'!Y10:Y185,"SCB2_RTS (1)")</f>
        <v>0</v>
      </c>
      <c r="G51" s="49">
        <f>COUNTIF('PF176'!Y10:Y185,"SCB3_RTS (1)")</f>
        <v>0</v>
      </c>
      <c r="H51" s="49">
        <f>COUNTIF('PF176'!Y10:Y185,"SCB4_RTS (1)")</f>
        <v>0</v>
      </c>
      <c r="I51" s="49">
        <f>COUNTIF('PF176'!Y10:Y185,"SCB5_RTS (1)")</f>
        <v>0</v>
      </c>
      <c r="J51" s="49">
        <f>COUNTIF('PF176'!Y10:Y185,"SCB6_RTS (1)")</f>
        <v>0</v>
      </c>
      <c r="K51" s="49">
        <f>COUNTIF('PF176'!Y10:Y185,"SCB7_RTS (1)")</f>
        <v>0</v>
      </c>
      <c r="L51" s="49">
        <f>COUNTIF('PF176'!Y10:Y185,"SCB8_RTS (1)")</f>
        <v>0</v>
      </c>
      <c r="M51" s="49">
        <f>COUNTIF('PF176'!Y10:Y185,"SCB9_RTS (1)")</f>
        <v>0</v>
      </c>
      <c r="N51" s="49">
        <f>COUNTIF('PF176'!Y10:Y185,"SCB10_RTS (1)")</f>
        <v>0</v>
      </c>
    </row>
    <row r="52" spans="2:14" ht="10" customHeight="1" x14ac:dyDescent="0.55000000000000004">
      <c r="B52" s="196" t="s">
        <v>397</v>
      </c>
      <c r="C52" s="53" t="s">
        <v>2366</v>
      </c>
      <c r="D52" s="54">
        <f>COUNTIF('PF176'!Y10:Y185,"SCB0_SDA (0)")</f>
        <v>0</v>
      </c>
      <c r="E52" s="49">
        <f>COUNTIF('PF176'!Y10:Y185,"SCB1_SDA (0)")</f>
        <v>0</v>
      </c>
      <c r="F52" s="49">
        <f>COUNTIF('PF176'!Y10:Y185,"SCB2_SDA (0)")</f>
        <v>0</v>
      </c>
      <c r="G52" s="49">
        <f>COUNTIF('PF176'!Y10:Y185,"SCB3_SDA (0)")</f>
        <v>0</v>
      </c>
      <c r="H52" s="49">
        <f>COUNTIF('PF176'!Y10:Y185,"SCB4_SDA (0)")</f>
        <v>0</v>
      </c>
      <c r="I52" s="49">
        <f>COUNTIF('PF176'!Y10:Y185,"SCB5_SDA (0)")</f>
        <v>0</v>
      </c>
      <c r="J52" s="49">
        <f>COUNTIF('PF176'!Y10:Y185,"SCB6_SDA (0)")</f>
        <v>0</v>
      </c>
      <c r="K52" s="49">
        <f>COUNTIF('PF176'!Y10:Y185,"SCB7_SDA (0)")</f>
        <v>0</v>
      </c>
      <c r="L52" s="49">
        <f>COUNTIF('PF176'!Y10:Y185,"SCB8_SDA (0)")</f>
        <v>0</v>
      </c>
      <c r="M52" s="49">
        <f>COUNTIF('PF176'!Y10:Y185,"SCB9_SDA (0)")</f>
        <v>0</v>
      </c>
      <c r="N52" s="49">
        <f>COUNTIF('PF176'!Y10:Y185,"SCB10_SDA (0)")</f>
        <v>0</v>
      </c>
    </row>
    <row r="53" spans="2:14" ht="10" customHeight="1" x14ac:dyDescent="0.55000000000000004">
      <c r="B53" s="197"/>
      <c r="C53" s="53" t="s">
        <v>2367</v>
      </c>
      <c r="D53" s="54">
        <f>COUNTIF('PF176'!Y10:Y185,"SCB0_SDA (1)")</f>
        <v>0</v>
      </c>
      <c r="E53" s="49">
        <f>COUNTIF('PF176'!Y10:Y185,"SCB1_SDA (1)")</f>
        <v>0</v>
      </c>
      <c r="F53" s="49">
        <f>COUNTIF('PF176'!Y10:Y185,"SCB2_SDA (1)")</f>
        <v>0</v>
      </c>
      <c r="G53" s="49">
        <f>COUNTIF('PF176'!Y10:Y185,"SCB3_SDA (1)")</f>
        <v>0</v>
      </c>
      <c r="H53" s="49">
        <f>COUNTIF('PF176'!Y10:Y185,"SCB4_SDA (1)")</f>
        <v>0</v>
      </c>
      <c r="I53" s="49">
        <f>COUNTIF('PF176'!Y10:Y185,"SCB5_SDA (1)")</f>
        <v>0</v>
      </c>
      <c r="J53" s="49">
        <f>COUNTIF('PF176'!Y10:Y185,"SCB6_SDA (1)")</f>
        <v>0</v>
      </c>
      <c r="K53" s="49">
        <f>COUNTIF('PF176'!Y10:Y185,"SCB7_SDA (1)")</f>
        <v>0</v>
      </c>
      <c r="L53" s="49">
        <f>COUNTIF('PF176'!Y10:Y185,"SCB8_SDA (1)")</f>
        <v>0</v>
      </c>
      <c r="M53" s="49">
        <f>COUNTIF('PF176'!Y10:Y185,"SCB9_SDA (1)")</f>
        <v>0</v>
      </c>
      <c r="N53" s="49">
        <f>COUNTIF('PF176'!Y10:Y185,"SCB10_SDA (1)")</f>
        <v>0</v>
      </c>
    </row>
    <row r="54" spans="2:14" x14ac:dyDescent="0.55000000000000004">
      <c r="B54" s="197"/>
      <c r="C54" s="53" t="s">
        <v>2368</v>
      </c>
      <c r="D54" s="54">
        <f>COUNTIF('PF176'!Y10:Y185,"SCB0_SDA (2)")</f>
        <v>0</v>
      </c>
      <c r="E54" s="49">
        <f>COUNTIF('PF176'!Y10:Y185,"SCB1_SDA (2)")</f>
        <v>0</v>
      </c>
      <c r="F54" s="49">
        <f>COUNTIF('PF176'!Y10:Y185,"SCB2_SDA (2)")</f>
        <v>0</v>
      </c>
      <c r="G54" s="49">
        <f>COUNTIF('PF176'!Y10:Y185,"SCB3_SDA (2)")</f>
        <v>0</v>
      </c>
      <c r="H54" s="49">
        <f>COUNTIF('PF176'!Y10:Y185,"SCB4_SDA (2)")</f>
        <v>0</v>
      </c>
      <c r="I54" s="49">
        <f>COUNTIF('PF176'!Y10:Y185,"SCB5_SDA (2)")</f>
        <v>0</v>
      </c>
      <c r="J54" s="49">
        <f>COUNTIF('PF176'!Y10:Y185,"SCB6_SDA (2)")</f>
        <v>0</v>
      </c>
      <c r="K54" s="49">
        <f>COUNTIF('PF176'!Y10:Y185,"SCB7_SDA (2)")</f>
        <v>0</v>
      </c>
      <c r="L54" s="49">
        <f>COUNTIF('PF176'!Y10:Y185,"SCB8_SDA (2)")</f>
        <v>0</v>
      </c>
      <c r="M54" s="49">
        <f>COUNTIF('PF176'!Y10:Y185,"SCB9_SDA (2)")</f>
        <v>0</v>
      </c>
      <c r="N54" s="49">
        <f>COUNTIF('PF176'!Y10:Y185,"SCB10_SDA (2)")</f>
        <v>0</v>
      </c>
    </row>
    <row r="55" spans="2:14" x14ac:dyDescent="0.55000000000000004">
      <c r="B55" s="197"/>
      <c r="C55" s="53" t="s">
        <v>2369</v>
      </c>
      <c r="D55" s="54">
        <f>COUNTIF('PF176'!Y10:Y185,"SCB0_SCL (0)")</f>
        <v>0</v>
      </c>
      <c r="E55" s="49">
        <f>COUNTIF('PF176'!Y10:Y185,"SCB1_SCL (0)")</f>
        <v>0</v>
      </c>
      <c r="F55" s="49">
        <f>COUNTIF('PF176'!Y10:Y185,"SCB2_SCL (0)")</f>
        <v>0</v>
      </c>
      <c r="G55" s="49">
        <f>COUNTIF('PF176'!Y10:Y185,"SCB3_SCL (0)")</f>
        <v>0</v>
      </c>
      <c r="H55" s="49">
        <f>COUNTIF('PF176'!Y10:Y185,"SCB4_SCL (0)")</f>
        <v>0</v>
      </c>
      <c r="I55" s="49">
        <f>COUNTIF('PF176'!Y10:Y185,"SCB5_SCL (0)")</f>
        <v>0</v>
      </c>
      <c r="J55" s="49">
        <f>COUNTIF('PF176'!Y10:Y185,"SCB6_SCL (0)")</f>
        <v>0</v>
      </c>
      <c r="K55" s="49">
        <f>COUNTIF('PF176'!Y10:Y185,"SCB7_SCL (0)")</f>
        <v>0</v>
      </c>
      <c r="L55" s="49">
        <f>COUNTIF('PF176'!Y10:Y185,"SCB8_SCL (0)")</f>
        <v>0</v>
      </c>
      <c r="M55" s="49">
        <f>COUNTIF('PF176'!Y10:Y185,"SCB9_SCL (0)")</f>
        <v>0</v>
      </c>
      <c r="N55" s="49">
        <f>COUNTIF('PF176'!Y10:Y185,"SCB10_SCL (0)")</f>
        <v>0</v>
      </c>
    </row>
    <row r="56" spans="2:14" x14ac:dyDescent="0.55000000000000004">
      <c r="B56" s="197"/>
      <c r="C56" s="53" t="s">
        <v>2370</v>
      </c>
      <c r="D56" s="54">
        <f>COUNTIF('PF176'!Y10:Y185,"SCB0_SCL (1)")</f>
        <v>0</v>
      </c>
      <c r="E56" s="49">
        <f>COUNTIF('PF176'!Y10:Y185,"SCB1_SCL (1)")</f>
        <v>0</v>
      </c>
      <c r="F56" s="49">
        <f>COUNTIF('PF176'!Y10:Y185,"SCB2_SCL (1)")</f>
        <v>0</v>
      </c>
      <c r="G56" s="49">
        <f>COUNTIF('PF176'!Y10:Y185,"SCB3_SCL (1)")</f>
        <v>0</v>
      </c>
      <c r="H56" s="49">
        <f>COUNTIF('PF176'!Y10:Y185,"SCB4_SCL (1)")</f>
        <v>0</v>
      </c>
      <c r="I56" s="49">
        <f>COUNTIF('PF176'!Y10:Y185,"SCB5_SCL (1)")</f>
        <v>0</v>
      </c>
      <c r="J56" s="49">
        <f>COUNTIF('PF176'!Y10:Y185,"SCB6_SCL (1)")</f>
        <v>0</v>
      </c>
      <c r="K56" s="49">
        <f>COUNTIF('PF176'!Y10:Y185,"SCB7_SCL (1)")</f>
        <v>0</v>
      </c>
      <c r="L56" s="49">
        <f>COUNTIF('PF176'!Y10:Y185,"SCB8_SCL (1)")</f>
        <v>0</v>
      </c>
      <c r="M56" s="49">
        <f>COUNTIF('PF176'!Y10:Y185,"SCB9_SCL (1)")</f>
        <v>0</v>
      </c>
      <c r="N56" s="49">
        <f>COUNTIF('PF176'!Y10:Y185,"SCB10_SCL (1)")</f>
        <v>0</v>
      </c>
    </row>
    <row r="57" spans="2:14" x14ac:dyDescent="0.55000000000000004">
      <c r="B57" s="198"/>
      <c r="C57" s="53" t="s">
        <v>2371</v>
      </c>
      <c r="D57" s="54">
        <f>COUNTIF('PF176'!Y10:Y185,"SCB0_SCL (2)")</f>
        <v>0</v>
      </c>
      <c r="E57" s="49">
        <f>COUNTIF('PF176'!Y10:Y185,"SCB1_SCL (2)")</f>
        <v>0</v>
      </c>
      <c r="F57" s="49">
        <f>COUNTIF('PF176'!Y10:Y185,"SCB2_SCL (2)")</f>
        <v>0</v>
      </c>
      <c r="G57" s="49">
        <f>COUNTIF('PF176'!Y10:Y185,"SCB3_SCL (2)")</f>
        <v>0</v>
      </c>
      <c r="H57" s="49">
        <f>COUNTIF('PF176'!Y10:Y185,"SCB4_SCL (2)")</f>
        <v>0</v>
      </c>
      <c r="I57" s="49">
        <f>COUNTIF('PF176'!Y10:Y185,"SCB5_SCL (2)")</f>
        <v>0</v>
      </c>
      <c r="J57" s="49">
        <f>COUNTIF('PF176'!Y10:Y185,"SCB6_SCL (2)")</f>
        <v>0</v>
      </c>
      <c r="K57" s="49">
        <f>COUNTIF('PF176'!Y10:Y185,"SCB7_SCL (2)")</f>
        <v>0</v>
      </c>
      <c r="L57" s="49">
        <f>COUNTIF('PF176'!Y10:Y185,"SCB8_SCL (2)")</f>
        <v>0</v>
      </c>
      <c r="M57" s="49">
        <f>COUNTIF('PF176'!Y10:Y185,"SCB9_SCL (2)")</f>
        <v>0</v>
      </c>
      <c r="N57" s="49">
        <f>COUNTIF('PF176'!Y10:Y185,"SCB10_SCL (2)")</f>
        <v>0</v>
      </c>
    </row>
    <row r="58" spans="2:14" x14ac:dyDescent="0.55000000000000004">
      <c r="B58" s="56"/>
      <c r="C58" s="57"/>
      <c r="D58" s="58"/>
      <c r="E58" s="52"/>
      <c r="F58" s="52"/>
      <c r="G58" s="52"/>
      <c r="H58" s="52"/>
      <c r="I58" s="52"/>
      <c r="J58" s="52"/>
      <c r="K58" s="52"/>
      <c r="L58" s="52"/>
      <c r="M58" s="52"/>
      <c r="N58" s="52"/>
    </row>
    <row r="59" spans="2:14" hidden="1" x14ac:dyDescent="0.55000000000000004">
      <c r="B59" s="59" t="s">
        <v>360</v>
      </c>
      <c r="C59" s="59" t="s">
        <v>2560</v>
      </c>
      <c r="D59" s="60" t="s">
        <v>361</v>
      </c>
      <c r="E59" s="60" t="s">
        <v>362</v>
      </c>
      <c r="F59" s="60" t="s">
        <v>363</v>
      </c>
      <c r="G59" s="60" t="s">
        <v>364</v>
      </c>
      <c r="H59" s="60" t="s">
        <v>368</v>
      </c>
      <c r="I59" s="60" t="s">
        <v>367</v>
      </c>
      <c r="J59" s="60" t="s">
        <v>366</v>
      </c>
      <c r="K59" s="60" t="s">
        <v>365</v>
      </c>
      <c r="L59" s="60" t="s">
        <v>2309</v>
      </c>
      <c r="M59" s="60" t="s">
        <v>2310</v>
      </c>
      <c r="N59" s="60" t="s">
        <v>2311</v>
      </c>
    </row>
    <row r="60" spans="2:14" hidden="1" x14ac:dyDescent="0.55000000000000004">
      <c r="B60" s="61" t="s">
        <v>2561</v>
      </c>
      <c r="C60" s="62">
        <v>0</v>
      </c>
      <c r="D60" s="62">
        <f>D23+D26+D29+D32+D35+D38+D41</f>
        <v>0</v>
      </c>
      <c r="E60" s="62">
        <f t="shared" ref="E60:N60" si="0">E23+E26+E29+E32+E35+E38+E41</f>
        <v>0</v>
      </c>
      <c r="F60" s="62">
        <f t="shared" si="0"/>
        <v>0</v>
      </c>
      <c r="G60" s="62">
        <f t="shared" si="0"/>
        <v>0</v>
      </c>
      <c r="H60" s="62">
        <f t="shared" si="0"/>
        <v>0</v>
      </c>
      <c r="I60" s="62">
        <f t="shared" si="0"/>
        <v>0</v>
      </c>
      <c r="J60" s="62">
        <f t="shared" si="0"/>
        <v>0</v>
      </c>
      <c r="K60" s="62">
        <f t="shared" si="0"/>
        <v>0</v>
      </c>
      <c r="L60" s="62">
        <f t="shared" si="0"/>
        <v>0</v>
      </c>
      <c r="M60" s="62">
        <f t="shared" si="0"/>
        <v>0</v>
      </c>
      <c r="N60" s="62">
        <f t="shared" si="0"/>
        <v>0</v>
      </c>
    </row>
    <row r="61" spans="2:14" hidden="1" x14ac:dyDescent="0.55000000000000004">
      <c r="B61" s="63"/>
      <c r="C61" s="62">
        <v>1</v>
      </c>
      <c r="D61" s="62">
        <f>D24+D27+D30+D33+D36+D39+D42</f>
        <v>0</v>
      </c>
      <c r="E61" s="62">
        <f t="shared" ref="E61:N61" si="1">E24+E27+E30+E33+E36+E39+E42</f>
        <v>0</v>
      </c>
      <c r="F61" s="62">
        <f t="shared" si="1"/>
        <v>0</v>
      </c>
      <c r="G61" s="62">
        <f t="shared" si="1"/>
        <v>0</v>
      </c>
      <c r="H61" s="62">
        <f t="shared" si="1"/>
        <v>0</v>
      </c>
      <c r="I61" s="62">
        <f t="shared" si="1"/>
        <v>0</v>
      </c>
      <c r="J61" s="62">
        <f t="shared" si="1"/>
        <v>0</v>
      </c>
      <c r="K61" s="62">
        <f t="shared" si="1"/>
        <v>0</v>
      </c>
      <c r="L61" s="62">
        <f t="shared" si="1"/>
        <v>0</v>
      </c>
      <c r="M61" s="62">
        <f t="shared" si="1"/>
        <v>0</v>
      </c>
      <c r="N61" s="62">
        <f t="shared" si="1"/>
        <v>0</v>
      </c>
    </row>
    <row r="62" spans="2:14" hidden="1" x14ac:dyDescent="0.55000000000000004">
      <c r="B62" s="64"/>
      <c r="C62" s="62">
        <v>2</v>
      </c>
      <c r="D62" s="62">
        <f>D25+D28+D31+D34+D37+D40+D43</f>
        <v>0</v>
      </c>
      <c r="E62" s="62">
        <f t="shared" ref="E62:N62" si="2">E25+E28+E31+E34+E37+E40+E43</f>
        <v>0</v>
      </c>
      <c r="F62" s="62">
        <f t="shared" si="2"/>
        <v>0</v>
      </c>
      <c r="G62" s="62">
        <f t="shared" si="2"/>
        <v>0</v>
      </c>
      <c r="H62" s="62">
        <f t="shared" si="2"/>
        <v>0</v>
      </c>
      <c r="I62" s="62">
        <f t="shared" si="2"/>
        <v>0</v>
      </c>
      <c r="J62" s="62">
        <f t="shared" si="2"/>
        <v>0</v>
      </c>
      <c r="K62" s="62">
        <f t="shared" si="2"/>
        <v>0</v>
      </c>
      <c r="L62" s="62">
        <f t="shared" si="2"/>
        <v>0</v>
      </c>
      <c r="M62" s="62">
        <f t="shared" si="2"/>
        <v>0</v>
      </c>
      <c r="N62" s="62">
        <f t="shared" si="2"/>
        <v>0</v>
      </c>
    </row>
    <row r="63" spans="2:14" hidden="1" x14ac:dyDescent="0.55000000000000004">
      <c r="B63" s="61" t="s">
        <v>2562</v>
      </c>
      <c r="C63" s="62">
        <v>0</v>
      </c>
      <c r="D63" s="62">
        <f>D44+D46+D48+D50</f>
        <v>0</v>
      </c>
      <c r="E63" s="62">
        <f t="shared" ref="E63:N63" si="3">E44+E46+E48+E50</f>
        <v>0</v>
      </c>
      <c r="F63" s="62">
        <f t="shared" si="3"/>
        <v>0</v>
      </c>
      <c r="G63" s="62">
        <f t="shared" si="3"/>
        <v>0</v>
      </c>
      <c r="H63" s="62">
        <f t="shared" si="3"/>
        <v>0</v>
      </c>
      <c r="I63" s="62">
        <f t="shared" si="3"/>
        <v>0</v>
      </c>
      <c r="J63" s="62">
        <f t="shared" si="3"/>
        <v>0</v>
      </c>
      <c r="K63" s="62">
        <f t="shared" si="3"/>
        <v>0</v>
      </c>
      <c r="L63" s="62">
        <f t="shared" si="3"/>
        <v>0</v>
      </c>
      <c r="M63" s="62">
        <f t="shared" si="3"/>
        <v>0</v>
      </c>
      <c r="N63" s="62">
        <f t="shared" si="3"/>
        <v>0</v>
      </c>
    </row>
    <row r="64" spans="2:14" hidden="1" x14ac:dyDescent="0.55000000000000004">
      <c r="B64" s="64"/>
      <c r="C64" s="62">
        <v>1</v>
      </c>
      <c r="D64" s="62">
        <f>D45+D47+D49+D51</f>
        <v>0</v>
      </c>
      <c r="E64" s="62">
        <f t="shared" ref="E64:N64" si="4">E45+E47+E49+E51</f>
        <v>0</v>
      </c>
      <c r="F64" s="62">
        <f t="shared" si="4"/>
        <v>0</v>
      </c>
      <c r="G64" s="62">
        <f t="shared" si="4"/>
        <v>0</v>
      </c>
      <c r="H64" s="62">
        <f t="shared" si="4"/>
        <v>0</v>
      </c>
      <c r="I64" s="62">
        <f t="shared" si="4"/>
        <v>0</v>
      </c>
      <c r="J64" s="62">
        <f t="shared" si="4"/>
        <v>0</v>
      </c>
      <c r="K64" s="62">
        <f t="shared" si="4"/>
        <v>0</v>
      </c>
      <c r="L64" s="62">
        <f t="shared" si="4"/>
        <v>0</v>
      </c>
      <c r="M64" s="62">
        <f t="shared" si="4"/>
        <v>0</v>
      </c>
      <c r="N64" s="62">
        <f t="shared" si="4"/>
        <v>0</v>
      </c>
    </row>
    <row r="65" spans="2:87" hidden="1" x14ac:dyDescent="0.55000000000000004">
      <c r="B65" s="61" t="s">
        <v>2563</v>
      </c>
      <c r="C65" s="62">
        <v>0</v>
      </c>
      <c r="D65" s="62">
        <f>D52+D55</f>
        <v>0</v>
      </c>
      <c r="E65" s="62">
        <f t="shared" ref="E65:N65" si="5">E52+E55</f>
        <v>0</v>
      </c>
      <c r="F65" s="62">
        <f t="shared" si="5"/>
        <v>0</v>
      </c>
      <c r="G65" s="62">
        <f t="shared" si="5"/>
        <v>0</v>
      </c>
      <c r="H65" s="62">
        <f t="shared" si="5"/>
        <v>0</v>
      </c>
      <c r="I65" s="62">
        <f t="shared" si="5"/>
        <v>0</v>
      </c>
      <c r="J65" s="62">
        <f t="shared" si="5"/>
        <v>0</v>
      </c>
      <c r="K65" s="62">
        <f t="shared" si="5"/>
        <v>0</v>
      </c>
      <c r="L65" s="62">
        <f t="shared" si="5"/>
        <v>0</v>
      </c>
      <c r="M65" s="62">
        <f t="shared" si="5"/>
        <v>0</v>
      </c>
      <c r="N65" s="62">
        <f t="shared" si="5"/>
        <v>0</v>
      </c>
    </row>
    <row r="66" spans="2:87" hidden="1" x14ac:dyDescent="0.55000000000000004">
      <c r="B66" s="63"/>
      <c r="C66" s="62">
        <v>1</v>
      </c>
      <c r="D66" s="62">
        <f>D53+D56</f>
        <v>0</v>
      </c>
      <c r="E66" s="62">
        <f t="shared" ref="E66:N66" si="6">E53+E56</f>
        <v>0</v>
      </c>
      <c r="F66" s="62">
        <f t="shared" si="6"/>
        <v>0</v>
      </c>
      <c r="G66" s="62">
        <f t="shared" si="6"/>
        <v>0</v>
      </c>
      <c r="H66" s="62">
        <f t="shared" si="6"/>
        <v>0</v>
      </c>
      <c r="I66" s="62">
        <f t="shared" si="6"/>
        <v>0</v>
      </c>
      <c r="J66" s="62">
        <f t="shared" si="6"/>
        <v>0</v>
      </c>
      <c r="K66" s="62">
        <f t="shared" si="6"/>
        <v>0</v>
      </c>
      <c r="L66" s="62">
        <f t="shared" si="6"/>
        <v>0</v>
      </c>
      <c r="M66" s="62">
        <f t="shared" si="6"/>
        <v>0</v>
      </c>
      <c r="N66" s="62">
        <f t="shared" si="6"/>
        <v>0</v>
      </c>
    </row>
    <row r="67" spans="2:87" hidden="1" x14ac:dyDescent="0.55000000000000004">
      <c r="B67" s="64"/>
      <c r="C67" s="62">
        <v>2</v>
      </c>
      <c r="D67" s="62">
        <f>D54+D57</f>
        <v>0</v>
      </c>
      <c r="E67" s="62">
        <f t="shared" ref="E67:N67" si="7">E54+E57</f>
        <v>0</v>
      </c>
      <c r="F67" s="62">
        <f t="shared" si="7"/>
        <v>0</v>
      </c>
      <c r="G67" s="62">
        <f t="shared" si="7"/>
        <v>0</v>
      </c>
      <c r="H67" s="62">
        <f t="shared" si="7"/>
        <v>0</v>
      </c>
      <c r="I67" s="62">
        <f t="shared" si="7"/>
        <v>0</v>
      </c>
      <c r="J67" s="62">
        <f t="shared" si="7"/>
        <v>0</v>
      </c>
      <c r="K67" s="62">
        <f t="shared" si="7"/>
        <v>0</v>
      </c>
      <c r="L67" s="62">
        <f t="shared" si="7"/>
        <v>0</v>
      </c>
      <c r="M67" s="62">
        <f t="shared" si="7"/>
        <v>0</v>
      </c>
      <c r="N67" s="62">
        <f t="shared" si="7"/>
        <v>0</v>
      </c>
    </row>
    <row r="68" spans="2:87" hidden="1" x14ac:dyDescent="0.55000000000000004">
      <c r="B68" s="65" t="s">
        <v>2564</v>
      </c>
      <c r="C68" s="66"/>
      <c r="D68" s="59">
        <f t="shared" ref="D68:N68" si="8">COUNTIF(D60:D67, "&lt;&gt;0")</f>
        <v>0</v>
      </c>
      <c r="E68" s="59">
        <f t="shared" si="8"/>
        <v>0</v>
      </c>
      <c r="F68" s="59">
        <f t="shared" si="8"/>
        <v>0</v>
      </c>
      <c r="G68" s="59">
        <f t="shared" si="8"/>
        <v>0</v>
      </c>
      <c r="H68" s="59">
        <f t="shared" si="8"/>
        <v>0</v>
      </c>
      <c r="I68" s="59">
        <f t="shared" si="8"/>
        <v>0</v>
      </c>
      <c r="J68" s="59">
        <f t="shared" si="8"/>
        <v>0</v>
      </c>
      <c r="K68" s="59">
        <f t="shared" si="8"/>
        <v>0</v>
      </c>
      <c r="L68" s="59">
        <f t="shared" si="8"/>
        <v>0</v>
      </c>
      <c r="M68" s="59">
        <f t="shared" si="8"/>
        <v>0</v>
      </c>
      <c r="N68" s="59">
        <f t="shared" si="8"/>
        <v>0</v>
      </c>
    </row>
    <row r="69" spans="2:87" hidden="1" x14ac:dyDescent="0.55000000000000004">
      <c r="B69" s="56"/>
      <c r="C69" s="57"/>
      <c r="D69" s="58"/>
      <c r="E69" s="52"/>
      <c r="F69" s="52"/>
      <c r="G69" s="52"/>
      <c r="H69" s="52"/>
      <c r="I69" s="52"/>
      <c r="J69" s="52"/>
      <c r="K69" s="52"/>
      <c r="L69" s="52"/>
      <c r="M69" s="52"/>
      <c r="N69" s="52"/>
    </row>
    <row r="71" spans="2:87" x14ac:dyDescent="0.55000000000000004">
      <c r="B71" s="184" t="s">
        <v>2373</v>
      </c>
      <c r="C71" s="185"/>
      <c r="D71" s="48" t="s">
        <v>400</v>
      </c>
      <c r="E71" s="48" t="s">
        <v>401</v>
      </c>
      <c r="F71" s="48" t="s">
        <v>402</v>
      </c>
    </row>
    <row r="72" spans="2:87" x14ac:dyDescent="0.55000000000000004">
      <c r="B72" s="194" t="s">
        <v>398</v>
      </c>
      <c r="C72" s="49" t="s">
        <v>391</v>
      </c>
      <c r="D72" s="50">
        <f>COUNTIF('PF176'!Y10:Y185,"PWM0_0")</f>
        <v>0</v>
      </c>
      <c r="E72" s="50">
        <f>COUNTIF('PF176'!Y10:Y185,"PWM0_1")</f>
        <v>0</v>
      </c>
      <c r="F72" s="50">
        <f>COUNTIF('PF176'!Y10:Y185,"PWM0_2")</f>
        <v>0</v>
      </c>
    </row>
    <row r="73" spans="2:87" x14ac:dyDescent="0.55000000000000004">
      <c r="B73" s="183"/>
      <c r="C73" s="49" t="s">
        <v>394</v>
      </c>
      <c r="D73" s="50">
        <f>COUNTIF('PF176'!Y10:Y185,"PWM0_0_N")</f>
        <v>0</v>
      </c>
      <c r="E73" s="50">
        <f>COUNTIF('PF176'!Y10:Y185,"PWM0_1_N")</f>
        <v>0</v>
      </c>
      <c r="F73" s="50">
        <f>COUNTIF('PF176'!Y10:Y185,"PWM0_2_N")</f>
        <v>0</v>
      </c>
    </row>
    <row r="74" spans="2:87" x14ac:dyDescent="0.55000000000000004">
      <c r="B74" s="194" t="s">
        <v>399</v>
      </c>
      <c r="C74" s="49" t="s">
        <v>392</v>
      </c>
      <c r="D74" s="50">
        <f>COUNTIF('PF176'!Y10:Y185,"TC0_0_TR0")</f>
        <v>0</v>
      </c>
      <c r="E74" s="50">
        <f>COUNTIF('PF176'!Y10:Y185,"TC0_1_TR0")</f>
        <v>0</v>
      </c>
      <c r="F74" s="50">
        <f>COUNTIF('PF176'!Y10:Y185,"TC0_2_TR0")</f>
        <v>0</v>
      </c>
    </row>
    <row r="75" spans="2:87" x14ac:dyDescent="0.55000000000000004">
      <c r="B75" s="183"/>
      <c r="C75" s="49" t="s">
        <v>393</v>
      </c>
      <c r="D75" s="50">
        <f>COUNTIF('PF176'!Y10:Y185,"TC0_0_TR1")</f>
        <v>0</v>
      </c>
      <c r="E75" s="50">
        <f>COUNTIF('PF176'!Y10:Y185,"TC0_1_TR1")</f>
        <v>0</v>
      </c>
      <c r="F75" s="50">
        <f>COUNTIF('PF176'!Y10:Y185,"TC0_2_TR1")</f>
        <v>0</v>
      </c>
    </row>
    <row r="77" spans="2:87" x14ac:dyDescent="0.55000000000000004">
      <c r="B77" s="184" t="s">
        <v>2372</v>
      </c>
      <c r="C77" s="185"/>
      <c r="D77" s="48" t="s">
        <v>400</v>
      </c>
      <c r="E77" s="48" t="s">
        <v>401</v>
      </c>
      <c r="F77" s="48" t="s">
        <v>402</v>
      </c>
      <c r="G77" s="48" t="s">
        <v>403</v>
      </c>
      <c r="H77" s="48" t="s">
        <v>404</v>
      </c>
      <c r="I77" s="48" t="s">
        <v>405</v>
      </c>
      <c r="J77" s="48" t="s">
        <v>406</v>
      </c>
      <c r="K77" s="48" t="s">
        <v>407</v>
      </c>
      <c r="L77" s="48" t="s">
        <v>408</v>
      </c>
      <c r="M77" s="48" t="s">
        <v>409</v>
      </c>
      <c r="N77" s="48" t="s">
        <v>410</v>
      </c>
      <c r="O77" s="48" t="s">
        <v>411</v>
      </c>
      <c r="P77" s="48" t="s">
        <v>412</v>
      </c>
      <c r="Q77" s="48" t="s">
        <v>413</v>
      </c>
      <c r="R77" s="48" t="s">
        <v>414</v>
      </c>
      <c r="S77" s="48" t="s">
        <v>415</v>
      </c>
      <c r="T77" s="48" t="s">
        <v>416</v>
      </c>
      <c r="U77" s="48" t="s">
        <v>417</v>
      </c>
      <c r="V77" s="48" t="s">
        <v>418</v>
      </c>
      <c r="W77" s="48" t="s">
        <v>419</v>
      </c>
      <c r="X77" s="48" t="s">
        <v>420</v>
      </c>
      <c r="Y77" s="48" t="s">
        <v>421</v>
      </c>
      <c r="Z77" s="48" t="s">
        <v>422</v>
      </c>
      <c r="AA77" s="48" t="s">
        <v>423</v>
      </c>
      <c r="AB77" s="48" t="s">
        <v>424</v>
      </c>
      <c r="AC77" s="48" t="s">
        <v>425</v>
      </c>
      <c r="AD77" s="48" t="s">
        <v>426</v>
      </c>
      <c r="AE77" s="48" t="s">
        <v>427</v>
      </c>
      <c r="AF77" s="48" t="s">
        <v>428</v>
      </c>
      <c r="AG77" s="48" t="s">
        <v>429</v>
      </c>
      <c r="AH77" s="48" t="s">
        <v>430</v>
      </c>
      <c r="AI77" s="48" t="s">
        <v>431</v>
      </c>
      <c r="AJ77" s="48" t="s">
        <v>432</v>
      </c>
      <c r="AK77" s="48" t="s">
        <v>433</v>
      </c>
      <c r="AL77" s="48" t="s">
        <v>434</v>
      </c>
      <c r="AM77" s="48" t="s">
        <v>435</v>
      </c>
      <c r="AN77" s="48" t="s">
        <v>436</v>
      </c>
      <c r="AO77" s="48" t="s">
        <v>437</v>
      </c>
      <c r="AP77" s="48" t="s">
        <v>438</v>
      </c>
      <c r="AQ77" s="48" t="s">
        <v>439</v>
      </c>
      <c r="AR77" s="48" t="s">
        <v>440</v>
      </c>
      <c r="AS77" s="48" t="s">
        <v>441</v>
      </c>
      <c r="AT77" s="48" t="s">
        <v>442</v>
      </c>
      <c r="AU77" s="48" t="s">
        <v>443</v>
      </c>
      <c r="AV77" s="48" t="s">
        <v>444</v>
      </c>
      <c r="AW77" s="48" t="s">
        <v>445</v>
      </c>
      <c r="AX77" s="48" t="s">
        <v>446</v>
      </c>
      <c r="AY77" s="48" t="s">
        <v>447</v>
      </c>
      <c r="AZ77" s="48" t="s">
        <v>448</v>
      </c>
      <c r="BA77" s="48" t="s">
        <v>449</v>
      </c>
      <c r="BB77" s="48" t="s">
        <v>450</v>
      </c>
      <c r="BC77" s="48" t="s">
        <v>451</v>
      </c>
      <c r="BD77" s="48" t="s">
        <v>452</v>
      </c>
      <c r="BE77" s="48" t="s">
        <v>453</v>
      </c>
      <c r="BF77" s="48" t="s">
        <v>454</v>
      </c>
      <c r="BG77" s="48" t="s">
        <v>455</v>
      </c>
      <c r="BH77" s="48" t="s">
        <v>456</v>
      </c>
      <c r="BI77" s="48" t="s">
        <v>457</v>
      </c>
      <c r="BJ77" s="48" t="s">
        <v>458</v>
      </c>
      <c r="BK77" s="48" t="s">
        <v>459</v>
      </c>
      <c r="BL77" s="48" t="s">
        <v>460</v>
      </c>
      <c r="BM77" s="48" t="s">
        <v>461</v>
      </c>
      <c r="BN77" s="48" t="s">
        <v>462</v>
      </c>
      <c r="BO77" s="48" t="s">
        <v>2312</v>
      </c>
      <c r="BP77" s="48" t="s">
        <v>2313</v>
      </c>
      <c r="BQ77" s="48" t="s">
        <v>2314</v>
      </c>
      <c r="BR77" s="48" t="s">
        <v>2315</v>
      </c>
      <c r="BS77" s="48" t="s">
        <v>2316</v>
      </c>
      <c r="BT77" s="48" t="s">
        <v>2317</v>
      </c>
      <c r="BU77" s="48" t="s">
        <v>2318</v>
      </c>
      <c r="BV77" s="48" t="s">
        <v>2319</v>
      </c>
      <c r="BW77" s="48" t="s">
        <v>2320</v>
      </c>
      <c r="BX77" s="48" t="s">
        <v>2321</v>
      </c>
      <c r="BY77" s="48" t="s">
        <v>2322</v>
      </c>
      <c r="BZ77" s="48" t="s">
        <v>2323</v>
      </c>
      <c r="CA77" s="48" t="s">
        <v>2324</v>
      </c>
      <c r="CB77" s="48" t="s">
        <v>2325</v>
      </c>
      <c r="CC77" s="48" t="s">
        <v>2326</v>
      </c>
      <c r="CD77" s="48" t="s">
        <v>2327</v>
      </c>
      <c r="CE77" s="48" t="s">
        <v>2328</v>
      </c>
      <c r="CF77" s="48" t="s">
        <v>2329</v>
      </c>
      <c r="CG77" s="48" t="s">
        <v>2330</v>
      </c>
      <c r="CH77" s="48" t="s">
        <v>2331</v>
      </c>
      <c r="CI77" s="48" t="s">
        <v>2332</v>
      </c>
    </row>
    <row r="78" spans="2:87" x14ac:dyDescent="0.55000000000000004">
      <c r="B78" s="194" t="s">
        <v>398</v>
      </c>
      <c r="C78" s="49" t="s">
        <v>391</v>
      </c>
      <c r="D78" s="50">
        <f>COUNTIF('PF176'!Y10:Y185,"PWM1_0")</f>
        <v>0</v>
      </c>
      <c r="E78" s="50">
        <f>COUNTIF('PF176'!Y10:Y185,"PWM1_1")</f>
        <v>0</v>
      </c>
      <c r="F78" s="50">
        <f>COUNTIF('PF176'!Y10:Y185,"PWM1_2")</f>
        <v>0</v>
      </c>
      <c r="G78" s="50">
        <f>COUNTIF('PF176'!Y10:Y185,"PWM1_3")</f>
        <v>0</v>
      </c>
      <c r="H78" s="50">
        <f>COUNTIF('PF176'!Y10:Y185,"PWM1_4")</f>
        <v>0</v>
      </c>
      <c r="I78" s="50">
        <f>COUNTIF('PF176'!Y10:Y185,"PWM1_5")</f>
        <v>0</v>
      </c>
      <c r="J78" s="50">
        <f>COUNTIF('PF176'!Y10:Y185,"PWM1_6")</f>
        <v>0</v>
      </c>
      <c r="K78" s="50">
        <f>COUNTIF('PF176'!Y10:Y185,"PWM1_7")</f>
        <v>0</v>
      </c>
      <c r="L78" s="50">
        <f>COUNTIF('PF176'!Y10:Y185,"PWM1_8")</f>
        <v>0</v>
      </c>
      <c r="M78" s="50">
        <f>COUNTIF('PF176'!Y10:Y185,"PWM1_9")</f>
        <v>0</v>
      </c>
      <c r="N78" s="50">
        <f>COUNTIF('PF176'!Y10:Y185,"PWM1_10")</f>
        <v>0</v>
      </c>
      <c r="O78" s="50">
        <f>COUNTIF('PF176'!Y10:Y185,"PWM1_11")</f>
        <v>0</v>
      </c>
      <c r="P78" s="50">
        <f>COUNTIF('PF176'!Y10:Y185,"PWM1_12")</f>
        <v>0</v>
      </c>
      <c r="Q78" s="50">
        <f>COUNTIF('PF176'!Y10:Y185,"PWM1_13")</f>
        <v>0</v>
      </c>
      <c r="R78" s="50">
        <f>COUNTIF('PF176'!Y10:Y185,"PWM1_14")</f>
        <v>0</v>
      </c>
      <c r="S78" s="50">
        <f>COUNTIF('PF176'!Y10:Y185,"PWM1_15")</f>
        <v>0</v>
      </c>
      <c r="T78" s="50">
        <f>COUNTIF('PF176'!Y10:Y185,"PWM1_16")</f>
        <v>0</v>
      </c>
      <c r="U78" s="50">
        <f>COUNTIF('PF176'!Y10:Y185,"PWM1_17")</f>
        <v>0</v>
      </c>
      <c r="V78" s="50">
        <f>COUNTIF('PF176'!Y10:Y185,"PWM1_18")</f>
        <v>0</v>
      </c>
      <c r="W78" s="50">
        <f>COUNTIF('PF176'!Y10:Y185,"PWM1_19")</f>
        <v>0</v>
      </c>
      <c r="X78" s="50">
        <f>COUNTIF('PF176'!Y10:Y185,"PWM1_20")</f>
        <v>0</v>
      </c>
      <c r="Y78" s="50">
        <f>COUNTIF('PF176'!Y10:Y185,"PWM1_21")</f>
        <v>0</v>
      </c>
      <c r="Z78" s="50">
        <f>COUNTIF('PF176'!Y10:Y185,"PWM1_22")</f>
        <v>0</v>
      </c>
      <c r="AA78" s="50">
        <f>COUNTIF('PF176'!Y10:Y185,"PWM1_23")</f>
        <v>0</v>
      </c>
      <c r="AB78" s="50">
        <f>COUNTIF('PF176'!Y10:Y185,"PWM1_24")</f>
        <v>0</v>
      </c>
      <c r="AC78" s="50">
        <f>COUNTIF('PF176'!Y10:Y185,"PWM1_25")</f>
        <v>0</v>
      </c>
      <c r="AD78" s="50">
        <f>COUNTIF('PF176'!Y10:Y185,"PWM1_26")</f>
        <v>0</v>
      </c>
      <c r="AE78" s="50">
        <f>COUNTIF('PF176'!Y10:Y185,"PWM1_27")</f>
        <v>0</v>
      </c>
      <c r="AF78" s="50">
        <f>COUNTIF('PF176'!Y10:Y185,"PWM1_28")</f>
        <v>0</v>
      </c>
      <c r="AG78" s="50">
        <f>COUNTIF('PF176'!Y10:Y185,"PWM1_29")</f>
        <v>0</v>
      </c>
      <c r="AH78" s="50">
        <f>COUNTIF('PF176'!Y10:Y185,"PWM1_30")</f>
        <v>0</v>
      </c>
      <c r="AI78" s="50">
        <f>COUNTIF('PF176'!Y10:Y185,"PWM1_31")</f>
        <v>0</v>
      </c>
      <c r="AJ78" s="50">
        <f>COUNTIF('PF176'!Y10:Y185,"PWM1_32")</f>
        <v>0</v>
      </c>
      <c r="AK78" s="50">
        <f>COUNTIF('PF176'!Y10:Y185,"PWM1_33")</f>
        <v>0</v>
      </c>
      <c r="AL78" s="50">
        <f>COUNTIF('PF176'!Y10:Y185,"PWM1_34")</f>
        <v>0</v>
      </c>
      <c r="AM78" s="50">
        <f>COUNTIF('PF176'!Y10:Y185,"PWM1_35")</f>
        <v>0</v>
      </c>
      <c r="AN78" s="50">
        <f>COUNTIF('PF176'!Y10:Y185,"PWM1_36")</f>
        <v>0</v>
      </c>
      <c r="AO78" s="50">
        <f>COUNTIF('PF176'!Y10:Y185,"PWM1_37")</f>
        <v>0</v>
      </c>
      <c r="AP78" s="50">
        <f>COUNTIF('PF176'!Y10:Y185,"PWM1_38")</f>
        <v>0</v>
      </c>
      <c r="AQ78" s="50">
        <f>COUNTIF('PF176'!Y10:Y185,"PWM1_39")</f>
        <v>0</v>
      </c>
      <c r="AR78" s="50">
        <f>COUNTIF('PF176'!Y10:Y185,"PWM1_40")</f>
        <v>0</v>
      </c>
      <c r="AS78" s="50">
        <f>COUNTIF('PF176'!Y10:Y185,"PWM1_41")</f>
        <v>0</v>
      </c>
      <c r="AT78" s="50">
        <f>COUNTIF('PF176'!Y10:Y185,"PWM1_42")</f>
        <v>0</v>
      </c>
      <c r="AU78" s="50">
        <f>COUNTIF('PF176'!Y10:Y185,"PWM1_43")</f>
        <v>0</v>
      </c>
      <c r="AV78" s="50">
        <f>COUNTIF('PF176'!Y10:Y185,"PWM1_44")</f>
        <v>0</v>
      </c>
      <c r="AW78" s="50">
        <f>COUNTIF('PF176'!Y10:Y185,"PWM1_45")</f>
        <v>0</v>
      </c>
      <c r="AX78" s="50">
        <f>COUNTIF('PF176'!Y10:Y185,"PWM1_46")</f>
        <v>0</v>
      </c>
      <c r="AY78" s="50">
        <f>COUNTIF('PF176'!Y10:Y185,"PWM1_47")</f>
        <v>0</v>
      </c>
      <c r="AZ78" s="50">
        <f>COUNTIF('PF176'!Y10:Y185,"PWM1_48")</f>
        <v>0</v>
      </c>
      <c r="BA78" s="50">
        <f>COUNTIF('PF176'!Y10:Y185,"PWM1_49")</f>
        <v>0</v>
      </c>
      <c r="BB78" s="50">
        <f>COUNTIF('PF176'!Y10:Y185,"PWM1_50")</f>
        <v>0</v>
      </c>
      <c r="BC78" s="50">
        <f>COUNTIF('PF176'!Y10:Y185,"PWM1_51")</f>
        <v>0</v>
      </c>
      <c r="BD78" s="50">
        <f>COUNTIF('PF176'!Y10:Y185,"PWM1_52")</f>
        <v>0</v>
      </c>
      <c r="BE78" s="50">
        <f>COUNTIF('PF176'!Y10:Y185,"PWM1_53")</f>
        <v>0</v>
      </c>
      <c r="BF78" s="50">
        <f>COUNTIF('PF176'!Y10:Y185,"PWM1_54")</f>
        <v>0</v>
      </c>
      <c r="BG78" s="50">
        <f>COUNTIF('PF176'!Y10:Y185,"PWM1_55")</f>
        <v>0</v>
      </c>
      <c r="BH78" s="50">
        <f>COUNTIF('PF176'!Y10:Y185,"PWM1_56")</f>
        <v>0</v>
      </c>
      <c r="BI78" s="50">
        <f>COUNTIF('PF176'!Y10:Y185,"PWM1_57")</f>
        <v>0</v>
      </c>
      <c r="BJ78" s="50">
        <f>COUNTIF('PF176'!Y10:Y185,"PWM1_58")</f>
        <v>0</v>
      </c>
      <c r="BK78" s="50">
        <f>COUNTIF('PF176'!Y10:Y185,"PWM1_59")</f>
        <v>0</v>
      </c>
      <c r="BL78" s="50">
        <f>COUNTIF('PF176'!Y10:Y185,"PWM1_60")</f>
        <v>0</v>
      </c>
      <c r="BM78" s="50">
        <f>COUNTIF('PF176'!Y10:Y185,"PWM1_61")</f>
        <v>0</v>
      </c>
      <c r="BN78" s="50">
        <f>COUNTIF('PF176'!Y10:Y185,"PWM1_62")</f>
        <v>0</v>
      </c>
      <c r="BO78" s="50">
        <f>COUNTIF('PF176'!Y10:Y185,"PWM1_63")</f>
        <v>0</v>
      </c>
      <c r="BP78" s="50">
        <f>COUNTIF('PF176'!Y10:Y185,"PWM1_64")</f>
        <v>0</v>
      </c>
      <c r="BQ78" s="50">
        <f>COUNTIF('PF176'!Y10:Y185,"PWM1_65")</f>
        <v>0</v>
      </c>
      <c r="BR78" s="50">
        <f>COUNTIF('PF176'!Y10:Y185,"PWM1_66")</f>
        <v>0</v>
      </c>
      <c r="BS78" s="50">
        <f>COUNTIF('PF176'!Y10:Y185,"PWM1_67")</f>
        <v>0</v>
      </c>
      <c r="BT78" s="50">
        <f>COUNTIF('PF176'!Y10:Y185,"PWM1_68")</f>
        <v>0</v>
      </c>
      <c r="BU78" s="50">
        <f>COUNTIF('PF176'!Y10:Y185,"PWM1_69")</f>
        <v>0</v>
      </c>
      <c r="BV78" s="50">
        <f>COUNTIF('PF176'!Y10:Y185,"PWM1_70")</f>
        <v>0</v>
      </c>
      <c r="BW78" s="50">
        <f>COUNTIF('PF176'!Y10:Y185,"PWM1_71")</f>
        <v>0</v>
      </c>
      <c r="BX78" s="50">
        <f>COUNTIF('PF176'!Y10:Y185,"PWM1_72")</f>
        <v>0</v>
      </c>
      <c r="BY78" s="50">
        <f>COUNTIF('PF176'!Y10:Y185,"PWM1_73")</f>
        <v>0</v>
      </c>
      <c r="BZ78" s="50">
        <f>COUNTIF('PF176'!Y10:Y185,"PWM1_74")</f>
        <v>0</v>
      </c>
      <c r="CA78" s="50">
        <f>COUNTIF('PF176'!Y10:Y185,"PWM1_75")</f>
        <v>0</v>
      </c>
      <c r="CB78" s="50">
        <f>COUNTIF('PF176'!Y10:Y185,"PWM1_76")</f>
        <v>0</v>
      </c>
      <c r="CC78" s="50">
        <f>COUNTIF('PF176'!Y10:Y185,"PWM1_77")</f>
        <v>0</v>
      </c>
      <c r="CD78" s="50">
        <f>COUNTIF('PF176'!Y10:Y185,"PWM1_78")</f>
        <v>0</v>
      </c>
      <c r="CE78" s="50">
        <f>COUNTIF('PF176'!Y10:Y185,"PWM1_79")</f>
        <v>0</v>
      </c>
      <c r="CF78" s="50">
        <f>COUNTIF('PF176'!Y10:Y185,"PWM1_80")</f>
        <v>0</v>
      </c>
      <c r="CG78" s="50">
        <f>COUNTIF('PF176'!Y10:Y185,"PWM1_81")</f>
        <v>0</v>
      </c>
      <c r="CH78" s="50">
        <f>COUNTIF('PF176'!Y10:Y185,"PWM1_82")</f>
        <v>0</v>
      </c>
      <c r="CI78" s="50">
        <f>COUNTIF('PF176'!Y10:Y185,"PWM1_83")</f>
        <v>0</v>
      </c>
    </row>
    <row r="79" spans="2:87" x14ac:dyDescent="0.55000000000000004">
      <c r="B79" s="183"/>
      <c r="C79" s="49" t="s">
        <v>394</v>
      </c>
      <c r="D79" s="50">
        <f>COUNTIF('PF176'!Y10:Y185,"PWM1_0_N")</f>
        <v>0</v>
      </c>
      <c r="E79" s="50">
        <f>COUNTIF('PF176'!Y10:Y185,"PWM1_1_N")</f>
        <v>0</v>
      </c>
      <c r="F79" s="50">
        <f>COUNTIF('PF176'!Y10:Y185,"PWM1_2_N")</f>
        <v>0</v>
      </c>
      <c r="G79" s="50">
        <f>COUNTIF('PF176'!Y10:Y185,"PWM1_3_N")</f>
        <v>0</v>
      </c>
      <c r="H79" s="50">
        <f>COUNTIF('PF176'!Y10:Y185,"PWM1_4_N")</f>
        <v>0</v>
      </c>
      <c r="I79" s="50">
        <f>COUNTIF('PF176'!Y10:Y185,"PWM1_5_N")</f>
        <v>0</v>
      </c>
      <c r="J79" s="50">
        <f>COUNTIF('PF176'!Y10:Y185,"PWM1_6_N")</f>
        <v>0</v>
      </c>
      <c r="K79" s="50">
        <f>COUNTIF('PF176'!Y10:Y185,"PWM1_7_N")</f>
        <v>0</v>
      </c>
      <c r="L79" s="50">
        <f>COUNTIF('PF176'!Y10:Y185,"PWM1_8_N")</f>
        <v>0</v>
      </c>
      <c r="M79" s="50">
        <f>COUNTIF('PF176'!Y10:Y185,"PWM1_9_N")</f>
        <v>0</v>
      </c>
      <c r="N79" s="50">
        <f>COUNTIF('PF176'!Y10:Y185,"PWM1_10_N")</f>
        <v>0</v>
      </c>
      <c r="O79" s="50">
        <f>COUNTIF('PF176'!Y10:Y185,"PWM1_11_N")</f>
        <v>0</v>
      </c>
      <c r="P79" s="50">
        <f>COUNTIF('PF176'!Y10:Y185,"PWM1_12_N")</f>
        <v>0</v>
      </c>
      <c r="Q79" s="50">
        <f>COUNTIF('PF176'!Y10:Y185,"PWM1_13_N")</f>
        <v>0</v>
      </c>
      <c r="R79" s="50">
        <f>COUNTIF('PF176'!Y10:Y185,"PWM1_14_N")</f>
        <v>0</v>
      </c>
      <c r="S79" s="50">
        <f>COUNTIF('PF176'!Y10:Y185,"PWM1_15_N")</f>
        <v>0</v>
      </c>
      <c r="T79" s="50">
        <f>COUNTIF('PF176'!Y10:Y185,"PWM1_16_N")</f>
        <v>0</v>
      </c>
      <c r="U79" s="50">
        <f>COUNTIF('PF176'!Y10:Y185,"PWM1_17_N")</f>
        <v>0</v>
      </c>
      <c r="V79" s="50">
        <f>COUNTIF('PF176'!Y10:Y185,"PWM1_18_N")</f>
        <v>0</v>
      </c>
      <c r="W79" s="50">
        <f>COUNTIF('PF176'!Y10:Y185,"PWM1_19_N")</f>
        <v>0</v>
      </c>
      <c r="X79" s="50">
        <f>COUNTIF('PF176'!Y10:Y185,"PWM1_20_N")</f>
        <v>0</v>
      </c>
      <c r="Y79" s="50">
        <f>COUNTIF('PF176'!Y10:Y185,"PWM1_21_N")</f>
        <v>0</v>
      </c>
      <c r="Z79" s="50">
        <f>COUNTIF('PF176'!Y10:Y185,"PWM1_22_N")</f>
        <v>0</v>
      </c>
      <c r="AA79" s="50">
        <f>COUNTIF('PF176'!Y10:Y185,"PWM1_23_N")</f>
        <v>0</v>
      </c>
      <c r="AB79" s="50">
        <f>COUNTIF('PF176'!Y10:Y185,"PWM1_24_N")</f>
        <v>0</v>
      </c>
      <c r="AC79" s="50">
        <f>COUNTIF('PF176'!Y10:Y185,"PWM1_25_N")</f>
        <v>0</v>
      </c>
      <c r="AD79" s="50">
        <f>COUNTIF('PF176'!Y10:Y185,"PWM_26_N")</f>
        <v>0</v>
      </c>
      <c r="AE79" s="50">
        <f>COUNTIF('PF176'!Y10:Y185,"PWM1_27_N")</f>
        <v>0</v>
      </c>
      <c r="AF79" s="50">
        <f>COUNTIF('PF176'!Y10:Y185,"PWM1_28_N")</f>
        <v>0</v>
      </c>
      <c r="AG79" s="50">
        <f>COUNTIF('PF176'!Y10:Y185,"PWM1_29_N")</f>
        <v>0</v>
      </c>
      <c r="AH79" s="50">
        <f>COUNTIF('PF176'!Y10:Y185,"PWM1_30_N")</f>
        <v>0</v>
      </c>
      <c r="AI79" s="50">
        <f>COUNTIF('PF176'!Y10:Y185,"PWM1_31_N")</f>
        <v>0</v>
      </c>
      <c r="AJ79" s="50">
        <f>COUNTIF('PF176'!Y10:Y185,"PWM1_32_N")</f>
        <v>0</v>
      </c>
      <c r="AK79" s="50">
        <f>COUNTIF('PF176'!Y10:Y185,"PWM1_33_N")</f>
        <v>0</v>
      </c>
      <c r="AL79" s="50">
        <f>COUNTIF('PF176'!Y10:Y185,"PWM1_34_N")</f>
        <v>0</v>
      </c>
      <c r="AM79" s="50">
        <f>COUNTIF('PF176'!Y10:Y185,"PWM1_35_N")</f>
        <v>0</v>
      </c>
      <c r="AN79" s="50">
        <f>COUNTIF('PF176'!Y10:Y185,"PWM1_36_N")</f>
        <v>0</v>
      </c>
      <c r="AO79" s="50">
        <f>COUNTIF('PF176'!Y10:Y185,"PWM1_37_N")</f>
        <v>0</v>
      </c>
      <c r="AP79" s="50">
        <f>COUNTIF('PF176'!Y10:Y185,"PWM1_38_N")</f>
        <v>0</v>
      </c>
      <c r="AQ79" s="50">
        <f>COUNTIF('PF176'!Y10:Y185,"PWM1_39_N")</f>
        <v>0</v>
      </c>
      <c r="AR79" s="50">
        <f>COUNTIF('PF176'!Y10:Y185,"PWM1_40_N")</f>
        <v>0</v>
      </c>
      <c r="AS79" s="50">
        <f>COUNTIF('PF176'!Y10:Y185,"PWM1_41_N")</f>
        <v>0</v>
      </c>
      <c r="AT79" s="50">
        <f>COUNTIF('PF176'!Y10:Y185,"PWM1_42_N")</f>
        <v>0</v>
      </c>
      <c r="AU79" s="50">
        <f>COUNTIF('PF176'!Y10:Y185,"PWM1_43_N")</f>
        <v>0</v>
      </c>
      <c r="AV79" s="50">
        <f>COUNTIF('PF176'!Y10:Y185,"PWM1_44_N")</f>
        <v>0</v>
      </c>
      <c r="AW79" s="50">
        <f>COUNTIF('PF176'!Y10:Y185,"PWM1_45_N")</f>
        <v>0</v>
      </c>
      <c r="AX79" s="50">
        <f>COUNTIF('PF176'!Y10:Y185,"PWM1_46_N")</f>
        <v>0</v>
      </c>
      <c r="AY79" s="50">
        <f>COUNTIF('PF176'!Y10:Y185,"PWM1_47_N")</f>
        <v>0</v>
      </c>
      <c r="AZ79" s="50">
        <f>COUNTIF('PF176'!Y10:Y185,"PWM1_48_N")</f>
        <v>0</v>
      </c>
      <c r="BA79" s="50">
        <f>COUNTIF('PF176'!Y10:Y185,"PWM1_49_N")</f>
        <v>0</v>
      </c>
      <c r="BB79" s="50">
        <f>COUNTIF('PF176'!Y10:Y185,"PWM1_50_N")</f>
        <v>0</v>
      </c>
      <c r="BC79" s="50">
        <f>COUNTIF('PF176'!Y10:Y185,"PWM1_51_N")</f>
        <v>0</v>
      </c>
      <c r="BD79" s="50">
        <f>COUNTIF('PF176'!Y10:Y185,"PWM1_52_N")</f>
        <v>0</v>
      </c>
      <c r="BE79" s="50">
        <f>COUNTIF('PF176'!Y10:Y185,"PWM1_53_N")</f>
        <v>0</v>
      </c>
      <c r="BF79" s="50">
        <f>COUNTIF('PF176'!Y10:Y185,"PWM1_54_N")</f>
        <v>0</v>
      </c>
      <c r="BG79" s="50">
        <f>COUNTIF('PF176'!Y10:Y185,"PWM1_55_N")</f>
        <v>0</v>
      </c>
      <c r="BH79" s="50">
        <f>COUNTIF('PF176'!Y10:Y185,"PWM1_56_N")</f>
        <v>0</v>
      </c>
      <c r="BI79" s="50">
        <f>COUNTIF('PF176'!Y10:Y185,"PWM1_57_N")</f>
        <v>0</v>
      </c>
      <c r="BJ79" s="50">
        <f>COUNTIF('PF176'!Y10:Y185,"PWM1_58_N")</f>
        <v>0</v>
      </c>
      <c r="BK79" s="50">
        <f>COUNTIF('PF176'!Y10:Y185,"PWM1_59_N")</f>
        <v>0</v>
      </c>
      <c r="BL79" s="50">
        <f>COUNTIF('PF176'!Y10:Y185,"PWM1_60_N")</f>
        <v>0</v>
      </c>
      <c r="BM79" s="50">
        <f>COUNTIF('PF176'!Y10:Y185,"PWM1_61_N")</f>
        <v>0</v>
      </c>
      <c r="BN79" s="50">
        <f>COUNTIF('PF176'!Y10:Y185,"PWM1_62_N")</f>
        <v>0</v>
      </c>
      <c r="BO79" s="50">
        <f>COUNTIF('PF176'!Y10:Y185,"PWM1_63_N")</f>
        <v>0</v>
      </c>
      <c r="BP79" s="50">
        <f>COUNTIF('PF176'!Y10:Y185,"PWM1_64_N")</f>
        <v>0</v>
      </c>
      <c r="BQ79" s="50">
        <f>COUNTIF('PF176'!Y10:Y185,"PWM1_65_N")</f>
        <v>0</v>
      </c>
      <c r="BR79" s="50">
        <f>COUNTIF('PF176'!Y10:Y185,"PWM1_66_N")</f>
        <v>0</v>
      </c>
      <c r="BS79" s="50">
        <f>COUNTIF('PF176'!Y10:Y185,"PWM1_67_N")</f>
        <v>0</v>
      </c>
      <c r="BT79" s="50">
        <f>COUNTIF('PF176'!Y10:Y185,"PWM1_68_N")</f>
        <v>0</v>
      </c>
      <c r="BU79" s="50">
        <f>COUNTIF('PF176'!Y10:Y185,"PWM1_69_N")</f>
        <v>0</v>
      </c>
      <c r="BV79" s="50">
        <f>COUNTIF('PF176'!Y10:Y185,"PWM1_70_N")</f>
        <v>0</v>
      </c>
      <c r="BW79" s="50">
        <f>COUNTIF('PF176'!Y10:Y185,"PWM1_71_N")</f>
        <v>0</v>
      </c>
      <c r="BX79" s="50">
        <f>COUNTIF('PF176'!Y10:Y185,"PWM1_72_N")</f>
        <v>0</v>
      </c>
      <c r="BY79" s="50">
        <f>COUNTIF('PF176'!Y10:Y185,"PWM1_73_N")</f>
        <v>0</v>
      </c>
      <c r="BZ79" s="50">
        <f>COUNTIF('PF176'!Y10:Y185,"PWM1_74_N")</f>
        <v>0</v>
      </c>
      <c r="CA79" s="50">
        <f>COUNTIF('PF176'!Y10:Y185,"PWM1_75_N")</f>
        <v>0</v>
      </c>
      <c r="CB79" s="50">
        <f>COUNTIF('PF176'!Y10:Y185,"PWM1_76_N")</f>
        <v>0</v>
      </c>
      <c r="CC79" s="50">
        <f>COUNTIF('PF176'!Y10:Y185,"PWM1_77_N")</f>
        <v>0</v>
      </c>
      <c r="CD79" s="50">
        <f>COUNTIF('PF176'!Y10:Y185,"PWM1_78_N")</f>
        <v>0</v>
      </c>
      <c r="CE79" s="50">
        <f>COUNTIF('PF176'!Y10:Y185,"PWM1_79_N")</f>
        <v>0</v>
      </c>
      <c r="CF79" s="50">
        <f>COUNTIF('PF176'!Y10:Y185,"PWM1_80_N")</f>
        <v>0</v>
      </c>
      <c r="CG79" s="50">
        <f>COUNTIF('PF176'!Y10:Y185,"PWM1_81_N")</f>
        <v>0</v>
      </c>
      <c r="CH79" s="50">
        <f>COUNTIF('PF176'!Y10:Y185,"PWM1_82_N")</f>
        <v>0</v>
      </c>
      <c r="CI79" s="50">
        <f>COUNTIF('PF176'!Y10:Y185,"PWM1_83_N")</f>
        <v>0</v>
      </c>
    </row>
    <row r="80" spans="2:87" x14ac:dyDescent="0.55000000000000004">
      <c r="B80" s="194" t="s">
        <v>399</v>
      </c>
      <c r="C80" s="49" t="s">
        <v>392</v>
      </c>
      <c r="D80" s="50">
        <f>COUNTIF('PF176'!Y10:Y185,"TC1_0_TR0")</f>
        <v>0</v>
      </c>
      <c r="E80" s="50">
        <f>COUNTIF('PF176'!Y10:Y185,"TC1_1_TR0")</f>
        <v>0</v>
      </c>
      <c r="F80" s="50">
        <f>COUNTIF('PF176'!Y10:Y185,"TC1_2_TR0")</f>
        <v>0</v>
      </c>
      <c r="G80" s="50">
        <f>COUNTIF('PF176'!Y10:Y185,"TC1_3_TR0")</f>
        <v>0</v>
      </c>
      <c r="H80" s="50">
        <f>COUNTIF('PF176'!Y10:Y185,"TC1_4_TR0")</f>
        <v>0</v>
      </c>
      <c r="I80" s="50">
        <f>COUNTIF('PF176'!Y10:Y185,"TC1_5_TR0")</f>
        <v>0</v>
      </c>
      <c r="J80" s="50">
        <f>COUNTIF('PF176'!Y10:Y185,"TC1_6_TR0")</f>
        <v>0</v>
      </c>
      <c r="K80" s="50">
        <f>COUNTIF('PF176'!Y10:Y185,"TC1_7_TR0")</f>
        <v>0</v>
      </c>
      <c r="L80" s="50">
        <f>COUNTIF('PF176'!Y10:Y185,"TC1_8_TR0")</f>
        <v>0</v>
      </c>
      <c r="M80" s="50">
        <f>COUNTIF('PF176'!Y10:Y185,"TC1_9_TR0")</f>
        <v>0</v>
      </c>
      <c r="N80" s="50">
        <f>COUNTIF('PF176'!Y10:Y185,"TC1_10_TR0")</f>
        <v>0</v>
      </c>
      <c r="O80" s="50">
        <f>COUNTIF('PF176'!Y10:Y185,"TC1_11_TR0")</f>
        <v>0</v>
      </c>
      <c r="P80" s="50">
        <f>COUNTIF('PF176'!Y10:Y185,"TC1_12_TR0")</f>
        <v>0</v>
      </c>
      <c r="Q80" s="50">
        <f>COUNTIF('PF176'!Y10:Y185,"TC1_13_TR0")</f>
        <v>0</v>
      </c>
      <c r="R80" s="50">
        <f>COUNTIF('PF176'!Y10:Y185,"TC1_14_TR0")</f>
        <v>0</v>
      </c>
      <c r="S80" s="50">
        <f>COUNTIF('PF176'!Y10:Y185,"TC1_15_TR0")</f>
        <v>0</v>
      </c>
      <c r="T80" s="50">
        <f>COUNTIF('PF176'!Y10:Y185,"TC1_16_TR0")</f>
        <v>0</v>
      </c>
      <c r="U80" s="50">
        <f>COUNTIF('PF176'!Y10:Y185,"TC1_17_TR0")</f>
        <v>0</v>
      </c>
      <c r="V80" s="50">
        <f>COUNTIF('PF176'!Y10:Y185,"TC1_18_TR0")</f>
        <v>0</v>
      </c>
      <c r="W80" s="50">
        <f>COUNTIF('PF176'!Y10:Y185,"TC1_19_TR0")</f>
        <v>0</v>
      </c>
      <c r="X80" s="50">
        <f>COUNTIF('PF176'!Y10:Y185,"TC1_20_TR0")</f>
        <v>0</v>
      </c>
      <c r="Y80" s="50">
        <f>COUNTIF('PF176'!Y10:Y185,"TC1_21_TR0")</f>
        <v>0</v>
      </c>
      <c r="Z80" s="50">
        <f>COUNTIF('PF176'!Y10:Y185,"TC1_22_TR0")</f>
        <v>0</v>
      </c>
      <c r="AA80" s="50">
        <f>COUNTIF('PF176'!Y10:Y185,"TC1_23_TR0")</f>
        <v>0</v>
      </c>
      <c r="AB80" s="50">
        <f>COUNTIF('PF176'!Y10:Y185,"TC1_24_TR0")</f>
        <v>0</v>
      </c>
      <c r="AC80" s="50">
        <f>COUNTIF('PF176'!Y10:Y185,"TC1_25_TR0")</f>
        <v>0</v>
      </c>
      <c r="AD80" s="50">
        <f>COUNTIF('PF176'!Y10:Y185,"TC1_26_TR0")</f>
        <v>0</v>
      </c>
      <c r="AE80" s="50">
        <f>COUNTIF('PF176'!Y10:Y185,"TC1_27_TR0")</f>
        <v>0</v>
      </c>
      <c r="AF80" s="50">
        <f>COUNTIF('PF176'!Y10:Y185,"TC1_28_TR0")</f>
        <v>0</v>
      </c>
      <c r="AG80" s="50">
        <f>COUNTIF('PF176'!Y10:Y185,"TC1_29_TR0")</f>
        <v>0</v>
      </c>
      <c r="AH80" s="50">
        <f>COUNTIF('PF176'!Y10:Y185,"TC1_30_TR0")</f>
        <v>0</v>
      </c>
      <c r="AI80" s="50">
        <f>COUNTIF('PF176'!Y10:Y185,"TC1_31_TR0")</f>
        <v>0</v>
      </c>
      <c r="AJ80" s="50">
        <f>COUNTIF('PF176'!Y10:Y185,"TC1_32_TR0")</f>
        <v>0</v>
      </c>
      <c r="AK80" s="50">
        <f>COUNTIF('PF176'!Y10:Y185,"TC1_33_TR0")</f>
        <v>0</v>
      </c>
      <c r="AL80" s="50">
        <f>COUNTIF('PF176'!Y10:Y185,"TC1_34_TR0")</f>
        <v>0</v>
      </c>
      <c r="AM80" s="50">
        <f>COUNTIF('PF176'!Y10:Y185,"TC1_35_TR0")</f>
        <v>0</v>
      </c>
      <c r="AN80" s="50">
        <f>COUNTIF('PF176'!Y10:Y185,"TC1_36_TR0")</f>
        <v>0</v>
      </c>
      <c r="AO80" s="50">
        <f>COUNTIF('PF176'!Y10:Y185,"TC1_37_TR0")</f>
        <v>0</v>
      </c>
      <c r="AP80" s="50">
        <f>COUNTIF('PF176'!Y10:Y185,"TC1_38_TR0")</f>
        <v>0</v>
      </c>
      <c r="AQ80" s="50">
        <f>COUNTIF('PF176'!Y10:Y185,"TC1_39_TR0")</f>
        <v>0</v>
      </c>
      <c r="AR80" s="50">
        <f>COUNTIF('PF176'!Y10:Y185,"TC1_40_TR0")</f>
        <v>0</v>
      </c>
      <c r="AS80" s="50">
        <f>COUNTIF('PF176'!Y10:Y185,"TC1_41_TR0")</f>
        <v>0</v>
      </c>
      <c r="AT80" s="50">
        <f>COUNTIF('PF176'!Y10:Y185,"TC1_42_TR0")</f>
        <v>0</v>
      </c>
      <c r="AU80" s="50">
        <f>COUNTIF('PF176'!Y10:Y185,"TC1_43_TR0")</f>
        <v>0</v>
      </c>
      <c r="AV80" s="50">
        <f>COUNTIF('PF176'!Y10:Y185,"TC1_44_TR0")</f>
        <v>0</v>
      </c>
      <c r="AW80" s="50">
        <f>COUNTIF('PF176'!Y10:Y185,"TC1_45_TR0")</f>
        <v>0</v>
      </c>
      <c r="AX80" s="50">
        <f>COUNTIF('PF176'!Y10:Y185,"TC1_46_TR0")</f>
        <v>0</v>
      </c>
      <c r="AY80" s="50">
        <f>COUNTIF('PF176'!Y10:Y185,"TC1_47_TR0")</f>
        <v>0</v>
      </c>
      <c r="AZ80" s="50">
        <f>COUNTIF('PF176'!Y10:Y185,"TC1_48_TR0")</f>
        <v>0</v>
      </c>
      <c r="BA80" s="50">
        <f>COUNTIF('PF176'!Y10:Y185,"TC1_49_TR0")</f>
        <v>0</v>
      </c>
      <c r="BB80" s="50">
        <f>COUNTIF('PF176'!Y10:Y185,"TC1_50_TR0")</f>
        <v>0</v>
      </c>
      <c r="BC80" s="50">
        <f>COUNTIF('PF176'!Y10:Y185,"TC1_51_TR0")</f>
        <v>0</v>
      </c>
      <c r="BD80" s="50">
        <f>COUNTIF('PF176'!Y10:Y185,"TC1_52_TR0")</f>
        <v>0</v>
      </c>
      <c r="BE80" s="50">
        <f>COUNTIF('PF176'!Y10:Y185,"TC1_53_TR0")</f>
        <v>0</v>
      </c>
      <c r="BF80" s="50">
        <f>COUNTIF('PF176'!Y10:Y185,"TC1_54_TR0")</f>
        <v>0</v>
      </c>
      <c r="BG80" s="50">
        <f>COUNTIF('PF176'!Y10:Y185,"TC1_55_TR0")</f>
        <v>0</v>
      </c>
      <c r="BH80" s="50">
        <f>COUNTIF('PF176'!Y10:Y185,"TC1_56_TR0")</f>
        <v>0</v>
      </c>
      <c r="BI80" s="50">
        <f>COUNTIF('PF176'!Y10:Y185,"TC1_57_TR0")</f>
        <v>0</v>
      </c>
      <c r="BJ80" s="50">
        <f>COUNTIF('PF176'!Y10:Y185,"TC1_58_TR0")</f>
        <v>0</v>
      </c>
      <c r="BK80" s="50">
        <f>COUNTIF('PF176'!Y10:Y185,"TC1_59_TR0")</f>
        <v>0</v>
      </c>
      <c r="BL80" s="50">
        <f>COUNTIF('PF176'!Y10:Y185,"TC1_60_TR0")</f>
        <v>0</v>
      </c>
      <c r="BM80" s="50">
        <f>COUNTIF('PF176'!Y10:Y185,"TC1_61_TR0")</f>
        <v>0</v>
      </c>
      <c r="BN80" s="50">
        <f>COUNTIF('PF176'!Y10:Y185,"TC1_62_TR0")</f>
        <v>0</v>
      </c>
      <c r="BO80" s="50">
        <f>COUNTIF('PF176'!Y10:Y185,"TC1_63_TR0")</f>
        <v>0</v>
      </c>
      <c r="BP80" s="50">
        <f>COUNTIF('PF176'!Y10:Y185,"TC1_64_TR0")</f>
        <v>0</v>
      </c>
      <c r="BQ80" s="50">
        <f>COUNTIF('PF176'!Y10:Y185,"TC1_65_TR0")</f>
        <v>0</v>
      </c>
      <c r="BR80" s="50">
        <f>COUNTIF('PF176'!Y10:Y185,"TC1_66_TR0")</f>
        <v>0</v>
      </c>
      <c r="BS80" s="50">
        <f>COUNTIF('PF176'!Y10:Y185,"TC1_67_TR0")</f>
        <v>0</v>
      </c>
      <c r="BT80" s="50">
        <f>COUNTIF('PF176'!Y10:Y185,"TC1_68_TR0")</f>
        <v>0</v>
      </c>
      <c r="BU80" s="50">
        <f>COUNTIF('PF176'!Y10:Y185,"TC1_69_TR0")</f>
        <v>0</v>
      </c>
      <c r="BV80" s="50">
        <f>COUNTIF('PF176'!Y10:Y185,"TC1_70_TR0")</f>
        <v>0</v>
      </c>
      <c r="BW80" s="50">
        <f>COUNTIF('PF176'!Y10:Y185,"TC1_71_TR0")</f>
        <v>0</v>
      </c>
      <c r="BX80" s="50">
        <f>COUNTIF('PF176'!Y10:Y185,"TC1_72_TR0")</f>
        <v>0</v>
      </c>
      <c r="BY80" s="50">
        <f>COUNTIF('PF176'!Y10:Y185,"TC1_73_TR0")</f>
        <v>0</v>
      </c>
      <c r="BZ80" s="50">
        <f>COUNTIF('PF176'!Y10:Y185,"TC1_74_TR0")</f>
        <v>0</v>
      </c>
      <c r="CA80" s="50">
        <f>COUNTIF('PF176'!Y10:Y185,"TC1_75_TR0")</f>
        <v>0</v>
      </c>
      <c r="CB80" s="50">
        <f>COUNTIF('PF176'!Y10:Y185,"TC1_76_TR0")</f>
        <v>0</v>
      </c>
      <c r="CC80" s="50">
        <f>COUNTIF('PF176'!Y10:Y185,"TC1_77_TR0")</f>
        <v>0</v>
      </c>
      <c r="CD80" s="50">
        <f>COUNTIF('PF176'!Y10:Y185,"TC1_78_TR0")</f>
        <v>0</v>
      </c>
      <c r="CE80" s="50">
        <f>COUNTIF('PF176'!Y10:Y185,"TC1_79_TR0")</f>
        <v>0</v>
      </c>
      <c r="CF80" s="50">
        <f>COUNTIF('PF176'!Y10:Y185,"TC1_80_TR0")</f>
        <v>0</v>
      </c>
      <c r="CG80" s="50">
        <f>COUNTIF('PF176'!Y10:Y185,"TC1_81_TR0")</f>
        <v>0</v>
      </c>
      <c r="CH80" s="50">
        <f>COUNTIF('PF176'!Y10:Y185,"TC1_82_TR0")</f>
        <v>0</v>
      </c>
      <c r="CI80" s="50">
        <f>COUNTIF('PF176'!Y10:Y185,"TC1_83_TR0")</f>
        <v>0</v>
      </c>
    </row>
    <row r="81" spans="2:87" x14ac:dyDescent="0.55000000000000004">
      <c r="B81" s="183"/>
      <c r="C81" s="49" t="s">
        <v>393</v>
      </c>
      <c r="D81" s="50">
        <f>COUNTIF('PF176'!Y10:Y185,"TC1_0_TR1")</f>
        <v>0</v>
      </c>
      <c r="E81" s="50">
        <f>COUNTIF('PF176'!Y10:Y185,"TC1_1_TR1")</f>
        <v>0</v>
      </c>
      <c r="F81" s="50">
        <f>COUNTIF('PF176'!Y10:Y185,"TC1_2_TR1")</f>
        <v>0</v>
      </c>
      <c r="G81" s="50">
        <f>COUNTIF('PF176'!Y10:Y185,"TC1_3_TR1")</f>
        <v>0</v>
      </c>
      <c r="H81" s="50">
        <f>COUNTIF('PF176'!Y10:Y185,"TC1_4_TR1")</f>
        <v>0</v>
      </c>
      <c r="I81" s="50">
        <f>COUNTIF('PF176'!Y10:Y185,"TC1_5_TR1")</f>
        <v>0</v>
      </c>
      <c r="J81" s="50">
        <f>COUNTIF('PF176'!Y10:Y185,"TC1_6_TR1")</f>
        <v>0</v>
      </c>
      <c r="K81" s="50">
        <f>COUNTIF('PF176'!Y10:Y185,"TC1_7_TR1")</f>
        <v>0</v>
      </c>
      <c r="L81" s="50">
        <f>COUNTIF('PF176'!Y10:Y185,"TC1_8_TR1")</f>
        <v>0</v>
      </c>
      <c r="M81" s="50">
        <f>COUNTIF('PF176'!Y10:Y185,"TC1_9_TR1")</f>
        <v>0</v>
      </c>
      <c r="N81" s="50">
        <f>COUNTIF('PF176'!Y10:Y185,"TC1_10_TR1")</f>
        <v>0</v>
      </c>
      <c r="O81" s="50">
        <f>COUNTIF('PF176'!Y10:Y185,"TC1_11_TR1")</f>
        <v>0</v>
      </c>
      <c r="P81" s="50">
        <f>COUNTIF('PF176'!Y10:Y185,"TC1_12_TR1")</f>
        <v>0</v>
      </c>
      <c r="Q81" s="50">
        <f>COUNTIF('PF176'!Y10:Y185,"TC1_13_TR1")</f>
        <v>0</v>
      </c>
      <c r="R81" s="50">
        <f>COUNTIF('PF176'!Y10:Y185,"TC1_14_TR1")</f>
        <v>0</v>
      </c>
      <c r="S81" s="50">
        <f>COUNTIF('PF176'!Y10:Y185,"TC1_15_TR1")</f>
        <v>0</v>
      </c>
      <c r="T81" s="50">
        <f>COUNTIF('PF176'!Y10:Y185,"TC1_16_TR1")</f>
        <v>0</v>
      </c>
      <c r="U81" s="50">
        <f>COUNTIF('PF176'!Y10:Y185,"TC1_17_TR1")</f>
        <v>0</v>
      </c>
      <c r="V81" s="50">
        <f>COUNTIF('PF176'!Y10:Y185,"TC1_18_TR1")</f>
        <v>0</v>
      </c>
      <c r="W81" s="50">
        <f>COUNTIF('PF176'!Y10:Y185,"TC1_19_TR1")</f>
        <v>0</v>
      </c>
      <c r="X81" s="50">
        <f>COUNTIF('PF176'!Y10:Y185,"TC1_20_TR1")</f>
        <v>0</v>
      </c>
      <c r="Y81" s="50">
        <f>COUNTIF('PF176'!Y10:Y185,"TC1_21_TR1")</f>
        <v>0</v>
      </c>
      <c r="Z81" s="50">
        <f>COUNTIF('PF176'!Y10:Y185,"TC1_22_TR1")</f>
        <v>0</v>
      </c>
      <c r="AA81" s="50">
        <f>COUNTIF('PF176'!Y10:Y185,"TC1_23_TR1")</f>
        <v>0</v>
      </c>
      <c r="AB81" s="50">
        <f>COUNTIF('PF176'!Y10:Y185,"TC1_24_TR1")</f>
        <v>0</v>
      </c>
      <c r="AC81" s="50">
        <f>COUNTIF('PF176'!Y10:Y185,"TC1_25_TR1")</f>
        <v>0</v>
      </c>
      <c r="AD81" s="50">
        <f>COUNTIF('PF176'!Y10:Y185,"TC1_26_TR1")</f>
        <v>0</v>
      </c>
      <c r="AE81" s="50">
        <f>COUNTIF('PF176'!Y10:Y185,"TC1_27_TR1")</f>
        <v>0</v>
      </c>
      <c r="AF81" s="50">
        <f>COUNTIF('PF176'!Y10:Y185,"TC1_28_TR1")</f>
        <v>0</v>
      </c>
      <c r="AG81" s="50">
        <f>COUNTIF('PF176'!Y10:Y185,"TC1_29_TR1")</f>
        <v>0</v>
      </c>
      <c r="AH81" s="50">
        <f>COUNTIF('PF176'!Y10:Y185,"TC1_30_TR1")</f>
        <v>0</v>
      </c>
      <c r="AI81" s="50">
        <f>COUNTIF('PF176'!Y10:Y185,"TC1_31_TR1")</f>
        <v>0</v>
      </c>
      <c r="AJ81" s="50">
        <f>COUNTIF('PF176'!Y10:Y185,"TC1_32_TR1")</f>
        <v>0</v>
      </c>
      <c r="AK81" s="50">
        <f>COUNTIF('PF176'!Y10:Y185,"TC1_33_TR1")</f>
        <v>0</v>
      </c>
      <c r="AL81" s="50">
        <f>COUNTIF('PF176'!Y10:Y185,"TC1_34_TR1")</f>
        <v>0</v>
      </c>
      <c r="AM81" s="50">
        <f>COUNTIF('PF176'!Y10:Y185,"TC1_35_TR1")</f>
        <v>0</v>
      </c>
      <c r="AN81" s="50">
        <f>COUNTIF('PF176'!Y10:Y185,"TC1_36_TR1")</f>
        <v>0</v>
      </c>
      <c r="AO81" s="50">
        <f>COUNTIF('PF176'!Y10:Y185,"TC1_37_TR1")</f>
        <v>0</v>
      </c>
      <c r="AP81" s="50">
        <f>COUNTIF('PF176'!Y10:Y185,"TC1_38_TR1")</f>
        <v>0</v>
      </c>
      <c r="AQ81" s="50">
        <f>COUNTIF('PF176'!Y10:Y185,"TC1_39_TR1")</f>
        <v>0</v>
      </c>
      <c r="AR81" s="50">
        <f>COUNTIF('PF176'!Y10:Y185,"TC1_40_TR1")</f>
        <v>0</v>
      </c>
      <c r="AS81" s="50">
        <f>COUNTIF('PF176'!Y10:Y185,"TC1_41_TR1")</f>
        <v>0</v>
      </c>
      <c r="AT81" s="50">
        <f>COUNTIF('PF176'!Y10:Y185,"TC1_42_TR1")</f>
        <v>0</v>
      </c>
      <c r="AU81" s="50">
        <f>COUNTIF('PF176'!Y10:Y185,"TC1_43_TR1")</f>
        <v>0</v>
      </c>
      <c r="AV81" s="50">
        <f>COUNTIF('PF176'!Y10:Y185,"TC1_44_TR1")</f>
        <v>0</v>
      </c>
      <c r="AW81" s="50">
        <f>COUNTIF('PF176'!Y10:Y185,"TC1_45_TR1")</f>
        <v>0</v>
      </c>
      <c r="AX81" s="50">
        <f>COUNTIF('PF176'!Y10:Y185,"TC1_46_TR1")</f>
        <v>0</v>
      </c>
      <c r="AY81" s="50">
        <f>COUNTIF('PF176'!Y10:Y185,"TC1_47_TR1")</f>
        <v>0</v>
      </c>
      <c r="AZ81" s="50">
        <f>COUNTIF('PF176'!Y10:Y185,"TC1_48_TR1")</f>
        <v>0</v>
      </c>
      <c r="BA81" s="50">
        <f>COUNTIF('PF176'!Y10:Y185,"TC1_49_TR1")</f>
        <v>0</v>
      </c>
      <c r="BB81" s="50">
        <f>COUNTIF('PF176'!Y10:Y185,"TC1_50_TR1")</f>
        <v>0</v>
      </c>
      <c r="BC81" s="50">
        <f>COUNTIF('PF176'!Y10:Y185,"TC1_51_TR1")</f>
        <v>0</v>
      </c>
      <c r="BD81" s="50">
        <f>COUNTIF('PF176'!Y10:Y185,"TC1_52_TR1")</f>
        <v>0</v>
      </c>
      <c r="BE81" s="50">
        <f>COUNTIF('PF176'!Y10:Y185,"TC1_53_TR1")</f>
        <v>0</v>
      </c>
      <c r="BF81" s="50">
        <f>COUNTIF('PF176'!Y10:Y185,"TC1_54_TR1")</f>
        <v>0</v>
      </c>
      <c r="BG81" s="50">
        <f>COUNTIF('PF176'!Y10:Y185,"TC1_55_TR1")</f>
        <v>0</v>
      </c>
      <c r="BH81" s="50">
        <f>COUNTIF('PF176'!Y10:Y185,"TC1_56_TR1")</f>
        <v>0</v>
      </c>
      <c r="BI81" s="50">
        <f>COUNTIF('PF176'!Y10:Y185,"TC1_57_TR1")</f>
        <v>0</v>
      </c>
      <c r="BJ81" s="50">
        <f>COUNTIF('PF176'!Y10:Y185,"TC1_58_TR1")</f>
        <v>0</v>
      </c>
      <c r="BK81" s="50">
        <f>COUNTIF('PF176'!Y10:Y185,"TC1_59_TR1")</f>
        <v>0</v>
      </c>
      <c r="BL81" s="50">
        <f>COUNTIF('PF176'!Y10:Y185,"TC1_60_TR1")</f>
        <v>0</v>
      </c>
      <c r="BM81" s="50">
        <f>COUNTIF('PF176'!Y10:Y185,"TC1_61_TR1")</f>
        <v>0</v>
      </c>
      <c r="BN81" s="50">
        <f>COUNTIF('PF176'!Y10:Y185,"TC1_62_TR1")</f>
        <v>0</v>
      </c>
      <c r="BO81" s="50">
        <f>COUNTIF('PF176'!Y10:Y185,"TC1_63_TR1")</f>
        <v>0</v>
      </c>
      <c r="BP81" s="50">
        <f>COUNTIF('PF176'!Y10:Y185,"TC1_64_TR1")</f>
        <v>0</v>
      </c>
      <c r="BQ81" s="50">
        <f>COUNTIF('PF176'!Y10:Y185,"TC1_65_TR1")</f>
        <v>0</v>
      </c>
      <c r="BR81" s="50">
        <f>COUNTIF('PF176'!Y10:Y185,"TC1_66_TR1")</f>
        <v>0</v>
      </c>
      <c r="BS81" s="50">
        <f>COUNTIF('PF176'!Y10:Y185,"TC1_67_TR1")</f>
        <v>0</v>
      </c>
      <c r="BT81" s="50">
        <f>COUNTIF('PF176'!Y10:Y185,"TC1_68_TR1")</f>
        <v>0</v>
      </c>
      <c r="BU81" s="50">
        <f>COUNTIF('PF176'!Y10:Y185,"TC1_69_TR1")</f>
        <v>0</v>
      </c>
      <c r="BV81" s="50">
        <f>COUNTIF('PF176'!Y10:Y185,"TC1_70_TR1")</f>
        <v>0</v>
      </c>
      <c r="BW81" s="50">
        <f>COUNTIF('PF176'!Y10:Y185,"TC1_71_TR1")</f>
        <v>0</v>
      </c>
      <c r="BX81" s="50">
        <f>COUNTIF('PF176'!Y10:Y185,"TC1_72_TR1")</f>
        <v>0</v>
      </c>
      <c r="BY81" s="50">
        <f>COUNTIF('PF176'!Y10:Y185,"TC1_73_TR1")</f>
        <v>0</v>
      </c>
      <c r="BZ81" s="50">
        <f>COUNTIF('PF176'!Y10:Y185,"TC1_74_TR1")</f>
        <v>0</v>
      </c>
      <c r="CA81" s="50">
        <f>COUNTIF('PF176'!Y10:Y185,"TC1_75_TR1")</f>
        <v>0</v>
      </c>
      <c r="CB81" s="50">
        <f>COUNTIF('PF176'!Y10:Y185,"TC1_76_TR1")</f>
        <v>0</v>
      </c>
      <c r="CC81" s="50">
        <f>COUNTIF('PF176'!Y10:Y185,"TC1_77_TR1")</f>
        <v>0</v>
      </c>
      <c r="CD81" s="50">
        <f>COUNTIF('PF176'!Y10:Y185,"TC1_78_TR1")</f>
        <v>0</v>
      </c>
      <c r="CE81" s="50">
        <f>COUNTIF('PF176'!Y10:Y185,"TC1_79_TR1")</f>
        <v>0</v>
      </c>
      <c r="CF81" s="50">
        <f>COUNTIF('PF176'!Y10:Y185,"TC1_80_TR1")</f>
        <v>0</v>
      </c>
      <c r="CG81" s="50">
        <f>COUNTIF('PF176'!Y10:Y185,"TC1_81_TR1")</f>
        <v>0</v>
      </c>
      <c r="CH81" s="50">
        <f>COUNTIF('PF176'!Y10:Y185,"TC1_82_TR1")</f>
        <v>0</v>
      </c>
      <c r="CI81" s="50">
        <f>COUNTIF('PF176'!Y10:Y185,"TC1_83_TR1")</f>
        <v>0</v>
      </c>
    </row>
    <row r="82" spans="2:87" x14ac:dyDescent="0.55000000000000004">
      <c r="B82" s="67"/>
    </row>
    <row r="83" spans="2:87" x14ac:dyDescent="0.55000000000000004">
      <c r="B83" s="184" t="s">
        <v>2386</v>
      </c>
      <c r="C83" s="185"/>
      <c r="D83" s="48" t="s">
        <v>400</v>
      </c>
      <c r="E83" s="48" t="s">
        <v>401</v>
      </c>
      <c r="F83" s="48" t="s">
        <v>402</v>
      </c>
    </row>
    <row r="84" spans="2:87" x14ac:dyDescent="0.55000000000000004">
      <c r="B84" s="194" t="s">
        <v>398</v>
      </c>
      <c r="C84" s="49" t="s">
        <v>391</v>
      </c>
      <c r="D84" s="50">
        <f>COUNTIF('PF176'!Y10:Y185,"PWM0_M_0")</f>
        <v>0</v>
      </c>
      <c r="E84" s="50">
        <f>COUNTIF('PF176'!Y10:Y185,"PWM0_M_1")</f>
        <v>0</v>
      </c>
      <c r="F84" s="50">
        <f>COUNTIF('PF176'!Y10:Y185,"PWM0_M_2")</f>
        <v>0</v>
      </c>
    </row>
    <row r="85" spans="2:87" x14ac:dyDescent="0.55000000000000004">
      <c r="B85" s="183"/>
      <c r="C85" s="49" t="s">
        <v>394</v>
      </c>
      <c r="D85" s="50">
        <f>COUNTIF('PF176'!Y10:Y185,"PWM0_M_0_N")</f>
        <v>0</v>
      </c>
      <c r="E85" s="50">
        <f>COUNTIF('PF176'!Y10:Y185,"PWM0_M_1_N")</f>
        <v>0</v>
      </c>
      <c r="F85" s="50">
        <f>COUNTIF('PF176'!Y10:Y185,"PWM0_M_2_N")</f>
        <v>0</v>
      </c>
    </row>
    <row r="86" spans="2:87" x14ac:dyDescent="0.55000000000000004">
      <c r="B86" s="194" t="s">
        <v>399</v>
      </c>
      <c r="C86" s="49" t="s">
        <v>392</v>
      </c>
      <c r="D86" s="50">
        <f>COUNTIF('PF176'!Y10:Y185,"TC0_M_0_TR0")</f>
        <v>0</v>
      </c>
      <c r="E86" s="50">
        <f>COUNTIF('PF176'!Y10:Y185,"TC0_M_1_TR0")</f>
        <v>0</v>
      </c>
      <c r="F86" s="50">
        <f>COUNTIF('PF176'!Y10:Y185,"TC0_M_2_TR0")</f>
        <v>0</v>
      </c>
    </row>
    <row r="87" spans="2:87" x14ac:dyDescent="0.55000000000000004">
      <c r="B87" s="183"/>
      <c r="C87" s="49" t="s">
        <v>393</v>
      </c>
      <c r="D87" s="50">
        <f>COUNTIF('PF176'!Y10:Y185,"TC0_M_0_TR1")</f>
        <v>0</v>
      </c>
      <c r="E87" s="50">
        <f>COUNTIF('PF176'!Y10:Y185,"TC0_M_1_TR1")</f>
        <v>0</v>
      </c>
      <c r="F87" s="50">
        <f>COUNTIF('PF176'!Y10:Y185,"TC0_M_2_TR1")</f>
        <v>0</v>
      </c>
    </row>
    <row r="89" spans="2:87" x14ac:dyDescent="0.55000000000000004">
      <c r="B89" s="184" t="s">
        <v>2387</v>
      </c>
      <c r="C89" s="185"/>
      <c r="D89" s="48" t="s">
        <v>400</v>
      </c>
      <c r="E89" s="48" t="s">
        <v>401</v>
      </c>
      <c r="F89" s="48" t="s">
        <v>402</v>
      </c>
      <c r="G89" s="48" t="s">
        <v>403</v>
      </c>
      <c r="H89" s="48" t="s">
        <v>404</v>
      </c>
      <c r="I89" s="48" t="s">
        <v>405</v>
      </c>
      <c r="J89" s="48" t="s">
        <v>406</v>
      </c>
      <c r="K89" s="48" t="s">
        <v>407</v>
      </c>
      <c r="L89" s="48" t="s">
        <v>408</v>
      </c>
      <c r="M89" s="48" t="s">
        <v>409</v>
      </c>
      <c r="N89" s="48" t="s">
        <v>410</v>
      </c>
      <c r="O89" s="48" t="s">
        <v>411</v>
      </c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</row>
    <row r="90" spans="2:87" x14ac:dyDescent="0.55000000000000004">
      <c r="B90" s="194" t="s">
        <v>398</v>
      </c>
      <c r="C90" s="49" t="s">
        <v>391</v>
      </c>
      <c r="D90" s="50">
        <f>COUNTIF('PF176'!Y10:Y185,"PWM1_M_0")</f>
        <v>0</v>
      </c>
      <c r="E90" s="50">
        <f>COUNTIF('PF176'!Y10:Y185,"PWM1_M_1")</f>
        <v>0</v>
      </c>
      <c r="F90" s="50">
        <f>COUNTIF('PF176'!Y10:Y185,"PWM1_M_2")</f>
        <v>0</v>
      </c>
      <c r="G90" s="50">
        <f>COUNTIF('PF176'!Y10:Y185,"PWM1_M_3")</f>
        <v>0</v>
      </c>
      <c r="H90" s="50">
        <f>COUNTIF('PF176'!Y10:Y185,"PWM1_M_4")</f>
        <v>0</v>
      </c>
      <c r="I90" s="50">
        <f>COUNTIF('PF176'!Y10:Y185,"PWM1_M_5")</f>
        <v>0</v>
      </c>
      <c r="J90" s="50">
        <f>COUNTIF('PF176'!Y10:Y185,"PWM1_M_6")</f>
        <v>0</v>
      </c>
      <c r="K90" s="50">
        <f>COUNTIF('PF176'!Y10:Y185,"PWM1_M_7")</f>
        <v>0</v>
      </c>
      <c r="L90" s="50">
        <f>COUNTIF('PF176'!Y10:Y185,"PWM1_M_8")</f>
        <v>0</v>
      </c>
      <c r="M90" s="50">
        <f>COUNTIF('PF176'!Y10:Y185,"PWM1_M_9")</f>
        <v>0</v>
      </c>
      <c r="N90" s="50">
        <f>COUNTIF('PF176'!Y10:Y185,"PWM1_M_10")</f>
        <v>0</v>
      </c>
      <c r="O90" s="50">
        <f>COUNTIF('PF176'!Y10:Y185,"PWM1_M_11")</f>
        <v>0</v>
      </c>
      <c r="P90" s="68"/>
    </row>
    <row r="91" spans="2:87" x14ac:dyDescent="0.55000000000000004">
      <c r="B91" s="183"/>
      <c r="C91" s="49" t="s">
        <v>394</v>
      </c>
      <c r="D91" s="50">
        <f>COUNTIF('PF176'!Y10:Y185,"PWM1_M_0_N")</f>
        <v>0</v>
      </c>
      <c r="E91" s="50">
        <f>COUNTIF('PF176'!Y10:Y185,"PWM1_M_1_N")</f>
        <v>0</v>
      </c>
      <c r="F91" s="50">
        <f>COUNTIF('PF176'!Y10:Y185,"PWM1_M_2_N")</f>
        <v>0</v>
      </c>
      <c r="G91" s="50">
        <f>COUNTIF('PF176'!Y10:Y185,"PWM1_M_3_N")</f>
        <v>0</v>
      </c>
      <c r="H91" s="50">
        <f>COUNTIF('PF176'!Y10:Y185,"PWM1_M_4_N")</f>
        <v>0</v>
      </c>
      <c r="I91" s="50">
        <f>COUNTIF('PF176'!Y10:Y185,"PWM1_M_5_N")</f>
        <v>0</v>
      </c>
      <c r="J91" s="50">
        <f>COUNTIF('PF176'!Y10:Y185,"PWM1_M_6_N")</f>
        <v>0</v>
      </c>
      <c r="K91" s="50">
        <f>COUNTIF('PF176'!Y10:Y185,"PWM1_M_7_N")</f>
        <v>0</v>
      </c>
      <c r="L91" s="50">
        <f>COUNTIF('PF176'!Y10:Y185,"PWM1_M_8_N")</f>
        <v>0</v>
      </c>
      <c r="M91" s="50">
        <f>COUNTIF('PF176'!Y10:Y185,"PWM1_M_9_N")</f>
        <v>0</v>
      </c>
      <c r="N91" s="50">
        <f>COUNTIF('PF176'!Y10:Y185,"PWM1_M_10_N")</f>
        <v>0</v>
      </c>
      <c r="O91" s="50">
        <f>COUNTIF('PF176'!Y10:Y185,"PWM1_M_11_N")</f>
        <v>0</v>
      </c>
      <c r="P91" s="68"/>
    </row>
    <row r="92" spans="2:87" x14ac:dyDescent="0.55000000000000004">
      <c r="B92" s="194" t="s">
        <v>399</v>
      </c>
      <c r="C92" s="49" t="s">
        <v>392</v>
      </c>
      <c r="D92" s="50">
        <f>COUNTIF('PF176'!Y10:Y185,"TC1_M_0_TR0")</f>
        <v>0</v>
      </c>
      <c r="E92" s="50">
        <f>COUNTIF('PF176'!Y10:Y185,"TC1_M_1_TR0")</f>
        <v>0</v>
      </c>
      <c r="F92" s="50">
        <f>COUNTIF('PF176'!Y10:Y185,"TC1_M_2_TR0")</f>
        <v>0</v>
      </c>
      <c r="G92" s="50">
        <f>COUNTIF('PF176'!Y10:Y185,"TC1_M_3_TR0")</f>
        <v>0</v>
      </c>
      <c r="H92" s="50">
        <f>COUNTIF('PF176'!Y10:Y185,"TC1_M_4_TR0")</f>
        <v>0</v>
      </c>
      <c r="I92" s="50">
        <f>COUNTIF('PF176'!Y10:Y185,"TC1_M_5_TR0")</f>
        <v>0</v>
      </c>
      <c r="J92" s="50">
        <f>COUNTIF('PF176'!Y10:Y185,"TC1_M_6_TR0")</f>
        <v>0</v>
      </c>
      <c r="K92" s="50">
        <f>COUNTIF('PF176'!Y10:Y185,"TC1_M_7_TR0")</f>
        <v>0</v>
      </c>
      <c r="L92" s="50">
        <f>COUNTIF('PF176'!Y10:Y185,"TC1_M_8_TR0")</f>
        <v>0</v>
      </c>
      <c r="M92" s="50">
        <f>COUNTIF('PF176'!Y10:Y185,"TC1_M_9_TR0")</f>
        <v>0</v>
      </c>
      <c r="N92" s="50">
        <f>COUNTIF('PF176'!Y10:Y185,"TC1_M_10_TR0")</f>
        <v>0</v>
      </c>
      <c r="O92" s="50">
        <f>COUNTIF('PF176'!Y10:Y185,"TC1_M_11_TR0")</f>
        <v>0</v>
      </c>
      <c r="P92" s="68"/>
    </row>
    <row r="93" spans="2:87" x14ac:dyDescent="0.55000000000000004">
      <c r="B93" s="183"/>
      <c r="C93" s="49" t="s">
        <v>393</v>
      </c>
      <c r="D93" s="50">
        <f>COUNTIF('PF176'!Y10:Y185,"TC1_M_0_TR1")</f>
        <v>0</v>
      </c>
      <c r="E93" s="50">
        <f>COUNTIF('PF176'!Y10:Y185,"TC1_M_1_TR1")</f>
        <v>0</v>
      </c>
      <c r="F93" s="50">
        <f>COUNTIF('PF176'!Y10:Y185,"TC1_M_2_TR1")</f>
        <v>0</v>
      </c>
      <c r="G93" s="50">
        <f>COUNTIF('PF176'!Y10:Y185,"TC1_M_3_TR1")</f>
        <v>0</v>
      </c>
      <c r="H93" s="50">
        <f>COUNTIF('PF176'!Y10:Y185,"TC1_M_4_TR1")</f>
        <v>0</v>
      </c>
      <c r="I93" s="50">
        <f>COUNTIF('PF176'!Y10:Y185,"TC1_M_5_TR1")</f>
        <v>0</v>
      </c>
      <c r="J93" s="50">
        <f>COUNTIF('PF176'!Y10:Y185,"TC1_M_6_TR1")</f>
        <v>0</v>
      </c>
      <c r="K93" s="50">
        <f>COUNTIF('PF176'!Y10:Y185,"TC1_M_7_TR1")</f>
        <v>0</v>
      </c>
      <c r="L93" s="50">
        <f>COUNTIF('PF176'!Y10:Y185,"TC1_M_8_TR1")</f>
        <v>0</v>
      </c>
      <c r="M93" s="50">
        <f>COUNTIF('PF176'!Y10:Y185,"TC1_M_9_TR1")</f>
        <v>0</v>
      </c>
      <c r="N93" s="50">
        <f>COUNTIF('PF176'!Y10:Y185,"TC1_M_10_TR1")</f>
        <v>0</v>
      </c>
      <c r="O93" s="50">
        <f>COUNTIF('PF176'!Y10:Y185,"TC1_M_11_TR1")</f>
        <v>0</v>
      </c>
      <c r="P93" s="68"/>
    </row>
    <row r="94" spans="2:87" x14ac:dyDescent="0.55000000000000004">
      <c r="B94" s="67"/>
    </row>
    <row r="95" spans="2:87" x14ac:dyDescent="0.55000000000000004">
      <c r="B95" s="184" t="s">
        <v>2391</v>
      </c>
      <c r="C95" s="185"/>
      <c r="D95" s="48" t="s">
        <v>400</v>
      </c>
      <c r="E95" s="48" t="s">
        <v>401</v>
      </c>
      <c r="F95" s="48" t="s">
        <v>402</v>
      </c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</row>
    <row r="96" spans="2:87" x14ac:dyDescent="0.55000000000000004">
      <c r="B96" s="194" t="s">
        <v>398</v>
      </c>
      <c r="C96" s="49" t="s">
        <v>391</v>
      </c>
      <c r="D96" s="50">
        <f>COUNTIF('PF176'!Y10:Y185,"PWM0_H_0")</f>
        <v>0</v>
      </c>
      <c r="E96" s="50">
        <f>COUNTIF('PF176'!Y10:Y185,"PWM0_H_1")</f>
        <v>0</v>
      </c>
      <c r="F96" s="50">
        <f>COUNTIF('PF176'!Y10:Y185,"PWM0_H_2")</f>
        <v>0</v>
      </c>
    </row>
    <row r="97" spans="2:58" x14ac:dyDescent="0.55000000000000004">
      <c r="B97" s="183"/>
      <c r="C97" s="49" t="s">
        <v>394</v>
      </c>
      <c r="D97" s="50">
        <f>COUNTIF('PF176'!Y10:Y185,"PWM0_H_0_N")</f>
        <v>0</v>
      </c>
      <c r="E97" s="50">
        <f>COUNTIF('PF176'!Y10:Y185,"PWM0_H_1_N")</f>
        <v>0</v>
      </c>
      <c r="F97" s="50">
        <f>COUNTIF('PF176'!Y10:Y185,"PWM0_H_2_N")</f>
        <v>0</v>
      </c>
    </row>
    <row r="98" spans="2:58" x14ac:dyDescent="0.55000000000000004">
      <c r="B98" s="194" t="s">
        <v>399</v>
      </c>
      <c r="C98" s="49" t="s">
        <v>392</v>
      </c>
      <c r="D98" s="50">
        <f>COUNTIF('PF176'!Y10:Y185,"TC0_H_0_TR0")</f>
        <v>0</v>
      </c>
      <c r="E98" s="50">
        <f>COUNTIF('PF176'!Y10:Y185,"TC0_H_1_TR0")</f>
        <v>0</v>
      </c>
      <c r="F98" s="50">
        <f>COUNTIF('PF176'!Y10:Y185,"TC0_H_2_TR0")</f>
        <v>0</v>
      </c>
    </row>
    <row r="99" spans="2:58" x14ac:dyDescent="0.55000000000000004">
      <c r="B99" s="183"/>
      <c r="C99" s="49" t="s">
        <v>393</v>
      </c>
      <c r="D99" s="50">
        <f>COUNTIF('PF176'!Y10:Y185,"TC0_H_0_TR1")</f>
        <v>0</v>
      </c>
      <c r="E99" s="50">
        <f>COUNTIF('PF176'!Y10:Y185,"TC0_H_1_TR1")</f>
        <v>0</v>
      </c>
      <c r="F99" s="50">
        <f>COUNTIF('PF176'!Y10:Y185,"TC0_H_2_TR1")</f>
        <v>0</v>
      </c>
      <c r="G99" s="68"/>
    </row>
    <row r="100" spans="2:58" x14ac:dyDescent="0.55000000000000004">
      <c r="B100" s="67"/>
    </row>
    <row r="101" spans="2:58" x14ac:dyDescent="0.55000000000000004">
      <c r="B101" s="184" t="s">
        <v>2390</v>
      </c>
      <c r="C101" s="185"/>
      <c r="D101" s="48" t="s">
        <v>400</v>
      </c>
      <c r="E101" s="48" t="s">
        <v>401</v>
      </c>
      <c r="F101" s="48" t="s">
        <v>402</v>
      </c>
      <c r="G101" s="48" t="s">
        <v>403</v>
      </c>
      <c r="H101" s="48" t="s">
        <v>404</v>
      </c>
      <c r="I101" s="48" t="s">
        <v>405</v>
      </c>
      <c r="J101" s="48" t="s">
        <v>406</v>
      </c>
      <c r="K101" s="48" t="s">
        <v>407</v>
      </c>
      <c r="L101" s="48" t="s">
        <v>408</v>
      </c>
      <c r="M101" s="48" t="s">
        <v>409</v>
      </c>
      <c r="N101" s="48" t="s">
        <v>410</v>
      </c>
      <c r="O101" s="48" t="s">
        <v>411</v>
      </c>
      <c r="P101" s="48" t="s">
        <v>412</v>
      </c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</row>
    <row r="102" spans="2:58" x14ac:dyDescent="0.55000000000000004">
      <c r="B102" s="194" t="s">
        <v>398</v>
      </c>
      <c r="C102" s="49" t="s">
        <v>391</v>
      </c>
      <c r="D102" s="50">
        <f>COUNTIF('PF176'!Y10:Y185,"PWM1_H_0")</f>
        <v>0</v>
      </c>
      <c r="E102" s="50">
        <f>COUNTIF('PF176'!Y10:Y185,"PWM1_H_1")</f>
        <v>0</v>
      </c>
      <c r="F102" s="50">
        <f>COUNTIF('PF176'!Y10:Y185,"PWM1_H_2")</f>
        <v>0</v>
      </c>
      <c r="G102" s="50">
        <f>COUNTIF('PF176'!Y10:Y185,"PWM1_H_3")</f>
        <v>0</v>
      </c>
      <c r="H102" s="50">
        <f>COUNTIF('PF176'!Y10:Y185,"PWM1_H_4")</f>
        <v>0</v>
      </c>
      <c r="I102" s="50">
        <f>COUNTIF('PF176'!Y10:Y185,"PWM1_H_5")</f>
        <v>0</v>
      </c>
      <c r="J102" s="50">
        <f>COUNTIF('PF176'!Y10:Y185,"PWM1_H_6")</f>
        <v>0</v>
      </c>
      <c r="K102" s="50">
        <f>COUNTIF('PF176'!Y10:Y185,"PWM1_H_7")</f>
        <v>0</v>
      </c>
      <c r="L102" s="50">
        <f>COUNTIF('PF176'!Y10:Y185,"PWM1_H_8")</f>
        <v>0</v>
      </c>
      <c r="M102" s="50">
        <f>COUNTIF('PF176'!Y10:Y185,"PWM1_H_9")</f>
        <v>0</v>
      </c>
      <c r="N102" s="50">
        <f>COUNTIF('PF176'!Y10:Y185,"PWM1_H_10")</f>
        <v>0</v>
      </c>
      <c r="O102" s="50">
        <f>COUNTIF('PF176'!Y10:Y185,"PWM1_H_11")</f>
        <v>0</v>
      </c>
      <c r="P102" s="50">
        <f>COUNTIF('PF176'!Y10:Y185,"PWM1_H_12")</f>
        <v>0</v>
      </c>
    </row>
    <row r="103" spans="2:58" x14ac:dyDescent="0.55000000000000004">
      <c r="B103" s="183"/>
      <c r="C103" s="49" t="s">
        <v>394</v>
      </c>
      <c r="D103" s="50">
        <f>COUNTIF('PF176'!Y10:Y185,"PWM1_H_0_N")</f>
        <v>0</v>
      </c>
      <c r="E103" s="50">
        <f>COUNTIF('PF176'!Y10:Y185,"PWM1_H_1_N")</f>
        <v>0</v>
      </c>
      <c r="F103" s="50">
        <f>COUNTIF('PF176'!Y10:Y185,"PWM1_H_2_N")</f>
        <v>0</v>
      </c>
      <c r="G103" s="50">
        <f>COUNTIF('PF176'!Y10:Y185,"PWM1_H_3_N")</f>
        <v>0</v>
      </c>
      <c r="H103" s="50">
        <f>COUNTIF('PF176'!Y10:Y185,"PWM1_H_4_N")</f>
        <v>0</v>
      </c>
      <c r="I103" s="50">
        <f>COUNTIF('PF176'!Y10:Y185,"PWM1_H_5_N")</f>
        <v>0</v>
      </c>
      <c r="J103" s="50">
        <f>COUNTIF('PF176'!Y10:Y185,"PWM1_H_6_N")</f>
        <v>0</v>
      </c>
      <c r="K103" s="50">
        <f>COUNTIF('PF176'!Y10:Y185,"PWM1_H_7_N")</f>
        <v>0</v>
      </c>
      <c r="L103" s="50">
        <f>COUNTIF('PF176'!Y10:Y185,"PWM1_H_8_N")</f>
        <v>0</v>
      </c>
      <c r="M103" s="50">
        <f>COUNTIF('PF176'!Y10:Y185,"PWM1_H_9_N")</f>
        <v>0</v>
      </c>
      <c r="N103" s="50">
        <f>COUNTIF('PF176'!Y10:Y185,"PWM1_H_10_N")</f>
        <v>0</v>
      </c>
      <c r="O103" s="50">
        <f>COUNTIF('PF176'!Y10:Y185,"PWM1_H_11_N")</f>
        <v>0</v>
      </c>
      <c r="P103" s="50">
        <f>COUNTIF('PF176'!Y10:Y185,"PWM1_H_12_N")</f>
        <v>0</v>
      </c>
    </row>
    <row r="104" spans="2:58" x14ac:dyDescent="0.55000000000000004">
      <c r="B104" s="194" t="s">
        <v>399</v>
      </c>
      <c r="C104" s="49" t="s">
        <v>392</v>
      </c>
      <c r="D104" s="50">
        <f>COUNTIF('PF176'!Y10:Y185,"TC1_H_0_TR0")</f>
        <v>0</v>
      </c>
      <c r="E104" s="50">
        <f>COUNTIF('PF176'!Y10:Y185,"TC1_H_1_TR0")</f>
        <v>0</v>
      </c>
      <c r="F104" s="50">
        <f>COUNTIF('PF176'!Y10:Y185,"TC1_H_2_TR0")</f>
        <v>0</v>
      </c>
      <c r="G104" s="50">
        <f>COUNTIF('PF176'!Y10:Y185,"TC1_H_3_TR0")</f>
        <v>0</v>
      </c>
      <c r="H104" s="50">
        <f>COUNTIF('PF176'!Y10:Y185,"TC1_H_4_TR0")</f>
        <v>0</v>
      </c>
      <c r="I104" s="50">
        <f>COUNTIF('PF176'!Y10:Y185,"TC1_H_5_TR0")</f>
        <v>0</v>
      </c>
      <c r="J104" s="50">
        <f>COUNTIF('PF176'!Y10:Y185,"TC1_H_6_TR0")</f>
        <v>0</v>
      </c>
      <c r="K104" s="50">
        <f>COUNTIF('PF176'!Y10:Y185,"TC1_H_7_TR0")</f>
        <v>0</v>
      </c>
      <c r="L104" s="50">
        <f>COUNTIF('PF176'!Y10:Y185,"TC1_H_8_TR0")</f>
        <v>0</v>
      </c>
      <c r="M104" s="50">
        <f>COUNTIF('PF176'!Y10:Y185,"TC1_H_9_TR0")</f>
        <v>0</v>
      </c>
      <c r="N104" s="50">
        <f>COUNTIF('PF176'!Y10:Y185,"TC1_H_10_TR0")</f>
        <v>0</v>
      </c>
      <c r="O104" s="50">
        <f>COUNTIF('PF176'!Y10:Y185,"TC1_H_11_TR0")</f>
        <v>0</v>
      </c>
      <c r="P104" s="50">
        <f>COUNTIF('PF176'!Y10:Y185,"TC1_H_12_TR0")</f>
        <v>0</v>
      </c>
    </row>
    <row r="105" spans="2:58" x14ac:dyDescent="0.55000000000000004">
      <c r="B105" s="183"/>
      <c r="C105" s="49" t="s">
        <v>393</v>
      </c>
      <c r="D105" s="50">
        <f>COUNTIF('PF176'!Y10:Y185,"TC1_H_0_TR1")</f>
        <v>0</v>
      </c>
      <c r="E105" s="50">
        <f>COUNTIF('PF176'!Y10:Y185,"TC1_H_1_TR1")</f>
        <v>0</v>
      </c>
      <c r="F105" s="50">
        <f>COUNTIF('PF176'!Y10:Y185,"TC1_H_2_TR1")</f>
        <v>0</v>
      </c>
      <c r="G105" s="50">
        <f>COUNTIF('PF176'!Y10:Y185,"TC1_H_3_TR1")</f>
        <v>0</v>
      </c>
      <c r="H105" s="50">
        <f>COUNTIF('PF176'!Y10:Y185,"TC1_H_4_TR1")</f>
        <v>0</v>
      </c>
      <c r="I105" s="50">
        <f>COUNTIF('PF176'!Y10:Y185,"TC1_H_5_TR1")</f>
        <v>0</v>
      </c>
      <c r="J105" s="50">
        <f>COUNTIF('PF176'!Y10:Y185,"TC1_H_6_TR1")</f>
        <v>0</v>
      </c>
      <c r="K105" s="50">
        <f>COUNTIF('PF176'!Y10:Y185,"TC1_H_7_TR1")</f>
        <v>0</v>
      </c>
      <c r="L105" s="50">
        <f>COUNTIF('PF176'!Y10:Y185,"TC1_H_8_TR1")</f>
        <v>0</v>
      </c>
      <c r="M105" s="50">
        <f>COUNTIF('PF176'!Y10:Y185,"TC1_H_9_TR1")</f>
        <v>0</v>
      </c>
      <c r="N105" s="50">
        <f>COUNTIF('PF176'!Y10:Y185,"TC1_H_10_TR1")</f>
        <v>0</v>
      </c>
      <c r="O105" s="50">
        <f>COUNTIF('PF176'!Y10:Y185,"TC1_H_11_TR1")</f>
        <v>0</v>
      </c>
      <c r="P105" s="50">
        <f>COUNTIF('PF176'!Y10:Y185,"TC1_H_12_TR1")</f>
        <v>0</v>
      </c>
    </row>
    <row r="106" spans="2:58" x14ac:dyDescent="0.55000000000000004">
      <c r="B106" s="67"/>
      <c r="C106" s="52"/>
    </row>
    <row r="107" spans="2:58" ht="10" customHeight="1" x14ac:dyDescent="0.55000000000000004"/>
    <row r="108" spans="2:58" x14ac:dyDescent="0.55000000000000004">
      <c r="B108" s="184" t="s">
        <v>387</v>
      </c>
      <c r="C108" s="185"/>
      <c r="D108" s="48" t="s">
        <v>388</v>
      </c>
      <c r="E108" s="48" t="s">
        <v>389</v>
      </c>
      <c r="F108" s="48" t="s">
        <v>390</v>
      </c>
    </row>
    <row r="109" spans="2:58" x14ac:dyDescent="0.55000000000000004">
      <c r="B109" s="191" t="s">
        <v>380</v>
      </c>
      <c r="C109" s="49" t="s">
        <v>463</v>
      </c>
      <c r="D109" s="50">
        <f>COUNTIF('PF176'!Y10:Y185,"ADC[0]_0")</f>
        <v>0</v>
      </c>
      <c r="E109" s="50">
        <f>COUNTIF('PF176'!Y10:Y185,"ADC[1]_0")</f>
        <v>0</v>
      </c>
      <c r="F109" s="50">
        <f>COUNTIF('PF176'!Y10:Y185,"ADC[2]_0")</f>
        <v>0</v>
      </c>
    </row>
    <row r="110" spans="2:58" x14ac:dyDescent="0.55000000000000004">
      <c r="B110" s="192"/>
      <c r="C110" s="49" t="s">
        <v>464</v>
      </c>
      <c r="D110" s="50">
        <f>COUNTIF('PF176'!Y10:Y185,"ADC[0]_1")</f>
        <v>0</v>
      </c>
      <c r="E110" s="50">
        <f>COUNTIF('PF176'!Y10:Y185,"ADC[1]_1")</f>
        <v>0</v>
      </c>
      <c r="F110" s="50">
        <f>COUNTIF('PF176'!Y10:Y185,"ADC[2]_1")</f>
        <v>0</v>
      </c>
    </row>
    <row r="111" spans="2:58" x14ac:dyDescent="0.55000000000000004">
      <c r="B111" s="192"/>
      <c r="C111" s="49" t="s">
        <v>465</v>
      </c>
      <c r="D111" s="50">
        <f>COUNTIF('PF176'!Y10:Y185,"ADC[0]_2")</f>
        <v>0</v>
      </c>
      <c r="E111" s="50">
        <f>COUNTIF('PF176'!Y10:Y185,"ADC[1]_2")</f>
        <v>0</v>
      </c>
      <c r="F111" s="50">
        <f>COUNTIF('PF176'!Y10:Y185,"ADC[2]_2")</f>
        <v>0</v>
      </c>
    </row>
    <row r="112" spans="2:58" x14ac:dyDescent="0.55000000000000004">
      <c r="B112" s="192"/>
      <c r="C112" s="49" t="s">
        <v>466</v>
      </c>
      <c r="D112" s="50">
        <f>COUNTIF('PF176'!Y10:Y185,"ADC[0]_3")</f>
        <v>0</v>
      </c>
      <c r="E112" s="50">
        <f>COUNTIF('PF176'!Y10:Y185,"ADC[1]_3")</f>
        <v>0</v>
      </c>
      <c r="F112" s="50">
        <f>COUNTIF('PF176'!Y10:Y185,"ADC[2]_3")</f>
        <v>0</v>
      </c>
    </row>
    <row r="113" spans="2:6" x14ac:dyDescent="0.55000000000000004">
      <c r="B113" s="192"/>
      <c r="C113" s="49" t="s">
        <v>467</v>
      </c>
      <c r="D113" s="50">
        <f>COUNTIF('PF176'!Y10:Y185,"ADC[0]_4")</f>
        <v>0</v>
      </c>
      <c r="E113" s="50">
        <f>COUNTIF('PF176'!Y10:Y185,"ADC[1]_4")</f>
        <v>0</v>
      </c>
      <c r="F113" s="50">
        <f>COUNTIF('PF176'!Y10:Y185,"ADC[2]_4")</f>
        <v>0</v>
      </c>
    </row>
    <row r="114" spans="2:6" x14ac:dyDescent="0.55000000000000004">
      <c r="B114" s="192"/>
      <c r="C114" s="49" t="s">
        <v>468</v>
      </c>
      <c r="D114" s="50">
        <f>COUNTIF('PF176'!Y10:Y185,"ADC[0]_5")</f>
        <v>0</v>
      </c>
      <c r="E114" s="50">
        <f>COUNTIF('PF176'!Y10:Y185,"ADC[1]_5")</f>
        <v>0</v>
      </c>
      <c r="F114" s="50">
        <f>COUNTIF('PF176'!Y10:Y185,"ADC[2]_5")</f>
        <v>0</v>
      </c>
    </row>
    <row r="115" spans="2:6" x14ac:dyDescent="0.55000000000000004">
      <c r="B115" s="192"/>
      <c r="C115" s="49" t="s">
        <v>469</v>
      </c>
      <c r="D115" s="50">
        <f>COUNTIF('PF176'!Y10:Y185,"ADC[0]_6")</f>
        <v>0</v>
      </c>
      <c r="E115" s="50">
        <f>COUNTIF('PF176'!Y10:Y185,"ADC[1]_6")</f>
        <v>0</v>
      </c>
      <c r="F115" s="50">
        <f>COUNTIF('PF176'!Y10:Y185,"ADC[2]_6")</f>
        <v>0</v>
      </c>
    </row>
    <row r="116" spans="2:6" x14ac:dyDescent="0.55000000000000004">
      <c r="B116" s="192"/>
      <c r="C116" s="49" t="s">
        <v>470</v>
      </c>
      <c r="D116" s="50">
        <f>COUNTIF('PF176'!Y10:Y185,"ADC[0]_7")</f>
        <v>0</v>
      </c>
      <c r="E116" s="50">
        <f>COUNTIF('PF176'!Y10:Y185,"ADC[1]_7")</f>
        <v>0</v>
      </c>
      <c r="F116" s="50">
        <f>COUNTIF('PF176'!Y10:Y185,"ADC[2]_7")</f>
        <v>0</v>
      </c>
    </row>
    <row r="117" spans="2:6" x14ac:dyDescent="0.55000000000000004">
      <c r="B117" s="192"/>
      <c r="C117" s="49" t="s">
        <v>471</v>
      </c>
      <c r="D117" s="50">
        <f>COUNTIF('PF176'!Y10:Y185,"ADC[0]_8")</f>
        <v>0</v>
      </c>
      <c r="E117" s="50">
        <f>COUNTIF('PF176'!Y10:Y185,"ADC[1]_8")</f>
        <v>0</v>
      </c>
      <c r="F117" s="50">
        <f>COUNTIF('PF176'!Y10:Y185,"ADC[2]_8")</f>
        <v>0</v>
      </c>
    </row>
    <row r="118" spans="2:6" x14ac:dyDescent="0.55000000000000004">
      <c r="B118" s="192"/>
      <c r="C118" s="49" t="s">
        <v>472</v>
      </c>
      <c r="D118" s="50">
        <f>COUNTIF('PF176'!Y10:Y185,"ADC[0]_9")</f>
        <v>0</v>
      </c>
      <c r="E118" s="50">
        <f>COUNTIF('PF176'!Y10:Y185,"ADC[1]_9")</f>
        <v>0</v>
      </c>
      <c r="F118" s="50">
        <f>COUNTIF('PF176'!Y10:Y185,"ADC[2]_9")</f>
        <v>0</v>
      </c>
    </row>
    <row r="119" spans="2:6" x14ac:dyDescent="0.55000000000000004">
      <c r="B119" s="192"/>
      <c r="C119" s="49" t="s">
        <v>473</v>
      </c>
      <c r="D119" s="50">
        <f>COUNTIF('PF176'!Y10:Y185,"ADC[0]_10")</f>
        <v>0</v>
      </c>
      <c r="E119" s="50">
        <f>COUNTIF('PF176'!Y10:Y185,"ADC[1]_10")</f>
        <v>0</v>
      </c>
      <c r="F119" s="50">
        <f>COUNTIF('PF176'!Y10:Y185,"ADC[2]_10")</f>
        <v>0</v>
      </c>
    </row>
    <row r="120" spans="2:6" x14ac:dyDescent="0.55000000000000004">
      <c r="B120" s="192"/>
      <c r="C120" s="49" t="s">
        <v>474</v>
      </c>
      <c r="D120" s="50">
        <f>COUNTIF('PF176'!Y10:Y185,"ADC[0]_11")</f>
        <v>0</v>
      </c>
      <c r="E120" s="50">
        <f>COUNTIF('PF176'!Y10:Y185,"ADC[1]_11")</f>
        <v>0</v>
      </c>
      <c r="F120" s="50">
        <f>COUNTIF('PF176'!Y10:Y185,"ADC[2]_11")</f>
        <v>0</v>
      </c>
    </row>
    <row r="121" spans="2:6" x14ac:dyDescent="0.55000000000000004">
      <c r="B121" s="192"/>
      <c r="C121" s="49" t="s">
        <v>475</v>
      </c>
      <c r="D121" s="50">
        <f>COUNTIF('PF176'!Y10:Y185,"ADC[0]_12")</f>
        <v>0</v>
      </c>
      <c r="E121" s="50">
        <f>COUNTIF('PF176'!Y10:Y185,"ADC[1]_12")</f>
        <v>0</v>
      </c>
      <c r="F121" s="50">
        <f>COUNTIF('PF176'!Y10:Y185,"ADC[2]_12")</f>
        <v>0</v>
      </c>
    </row>
    <row r="122" spans="2:6" x14ac:dyDescent="0.55000000000000004">
      <c r="B122" s="192"/>
      <c r="C122" s="49" t="s">
        <v>476</v>
      </c>
      <c r="D122" s="50">
        <f>COUNTIF('PF176'!Y10:Y185,"ADC[0]_13")</f>
        <v>0</v>
      </c>
      <c r="E122" s="50">
        <f>COUNTIF('PF176'!Y10:Y185,"ADC[1]_13")</f>
        <v>0</v>
      </c>
      <c r="F122" s="50">
        <f>COUNTIF('PF176'!Y10:Y185,"ADC[2]_13")</f>
        <v>0</v>
      </c>
    </row>
    <row r="123" spans="2:6" x14ac:dyDescent="0.55000000000000004">
      <c r="B123" s="192"/>
      <c r="C123" s="49" t="s">
        <v>477</v>
      </c>
      <c r="D123" s="50">
        <f>COUNTIF('PF176'!Y10:Y185,"ADC[0]_14")</f>
        <v>0</v>
      </c>
      <c r="E123" s="50">
        <f>COUNTIF('PF176'!Y10:Y185,"ADC[1]_14")</f>
        <v>0</v>
      </c>
      <c r="F123" s="50">
        <f>COUNTIF('PF176'!Y10:Y185,"ADC[2]_14")</f>
        <v>0</v>
      </c>
    </row>
    <row r="124" spans="2:6" x14ac:dyDescent="0.55000000000000004">
      <c r="B124" s="192"/>
      <c r="C124" s="49" t="s">
        <v>478</v>
      </c>
      <c r="D124" s="50">
        <f>COUNTIF('PF176'!Y10:Y185,"ADC[0]_15")</f>
        <v>0</v>
      </c>
      <c r="E124" s="50">
        <f>COUNTIF('PF176'!Y10:Y185,"ADC[1]_15")</f>
        <v>0</v>
      </c>
      <c r="F124" s="50">
        <f>COUNTIF('PF176'!Y10:Y185,"ADC[2]_15")</f>
        <v>0</v>
      </c>
    </row>
    <row r="125" spans="2:6" x14ac:dyDescent="0.55000000000000004">
      <c r="B125" s="192"/>
      <c r="C125" s="49" t="s">
        <v>479</v>
      </c>
      <c r="D125" s="50">
        <f>COUNTIF('PF176'!Y10:Y185,"ADC[0]_16")</f>
        <v>0</v>
      </c>
      <c r="E125" s="50">
        <f>COUNTIF('PF176'!Y10:Y185,"ADC[1]_16")</f>
        <v>0</v>
      </c>
      <c r="F125" s="50">
        <f>COUNTIF('PF176'!Y10:Y185,"ADC[2]_16")</f>
        <v>0</v>
      </c>
    </row>
    <row r="126" spans="2:6" x14ac:dyDescent="0.55000000000000004">
      <c r="B126" s="192"/>
      <c r="C126" s="49" t="s">
        <v>480</v>
      </c>
      <c r="D126" s="50">
        <f>COUNTIF('PF176'!Y10:Y185,"ADC[0]_17")</f>
        <v>0</v>
      </c>
      <c r="E126" s="50">
        <f>COUNTIF('PF176'!Y10:Y185,"ADC[1]_17")</f>
        <v>0</v>
      </c>
      <c r="F126" s="50">
        <f>COUNTIF('PF176'!Y10:Y185,"ADC[2]_17")</f>
        <v>0</v>
      </c>
    </row>
    <row r="127" spans="2:6" x14ac:dyDescent="0.55000000000000004">
      <c r="B127" s="192"/>
      <c r="C127" s="49" t="s">
        <v>481</v>
      </c>
      <c r="D127" s="50">
        <f>COUNTIF('PF176'!Y10:Y185,"ADC[0]_18")</f>
        <v>0</v>
      </c>
      <c r="E127" s="50">
        <f>COUNTIF('PF176'!Y10:Y185,"ADC[1]_18")</f>
        <v>0</v>
      </c>
      <c r="F127" s="50">
        <f>COUNTIF('PF176'!Y10:Y185,"ADC[2]_18")</f>
        <v>0</v>
      </c>
    </row>
    <row r="128" spans="2:6" x14ac:dyDescent="0.55000000000000004">
      <c r="B128" s="192"/>
      <c r="C128" s="49" t="s">
        <v>482</v>
      </c>
      <c r="D128" s="50">
        <f>COUNTIF('PF176'!Y10:Y185,"ADC[0]_19")</f>
        <v>0</v>
      </c>
      <c r="E128" s="50">
        <f>COUNTIF('PF176'!Y10:Y185,"ADC[1]_19")</f>
        <v>0</v>
      </c>
      <c r="F128" s="50">
        <f>COUNTIF('PF176'!Y10:Y185,"ADC[2]_19")</f>
        <v>0</v>
      </c>
    </row>
    <row r="129" spans="2:6" x14ac:dyDescent="0.55000000000000004">
      <c r="B129" s="192"/>
      <c r="C129" s="49" t="s">
        <v>483</v>
      </c>
      <c r="D129" s="50">
        <f>COUNTIF('PF176'!Y10:Y185,"ADC[0]_20")</f>
        <v>0</v>
      </c>
      <c r="E129" s="50">
        <f>COUNTIF('PF176'!Y10:Y185,"ADC[1]_20")</f>
        <v>0</v>
      </c>
      <c r="F129" s="50">
        <f>COUNTIF('PF176'!Y10:Y185,"ADC[2]_20")</f>
        <v>0</v>
      </c>
    </row>
    <row r="130" spans="2:6" x14ac:dyDescent="0.55000000000000004">
      <c r="B130" s="192"/>
      <c r="C130" s="49" t="s">
        <v>484</v>
      </c>
      <c r="D130" s="50">
        <f>COUNTIF('PF176'!Y10:Y185,"ADC[0]_21")</f>
        <v>0</v>
      </c>
      <c r="E130" s="50">
        <f>COUNTIF('PF176'!Y10:Y185,"ADC[1]_21")</f>
        <v>0</v>
      </c>
      <c r="F130" s="50">
        <f>COUNTIF('PF176'!Y10:Y185,"ADC[2]_21")</f>
        <v>0</v>
      </c>
    </row>
    <row r="131" spans="2:6" x14ac:dyDescent="0.55000000000000004">
      <c r="B131" s="192"/>
      <c r="C131" s="49" t="s">
        <v>485</v>
      </c>
      <c r="D131" s="50">
        <f>COUNTIF('PF176'!Y10:Y185,"ADC[0]_22")</f>
        <v>0</v>
      </c>
      <c r="E131" s="50">
        <f>COUNTIF('PF176'!Y10:Y185,"ADC[1]_22")</f>
        <v>0</v>
      </c>
      <c r="F131" s="50">
        <f>COUNTIF('PF176'!Y10:Y185,"ADC[2]_22")</f>
        <v>0</v>
      </c>
    </row>
    <row r="132" spans="2:6" x14ac:dyDescent="0.55000000000000004">
      <c r="B132" s="192"/>
      <c r="C132" s="49" t="s">
        <v>486</v>
      </c>
      <c r="D132" s="50">
        <f>COUNTIF('PF176'!Y10:Y185,"ADC[0]_23")</f>
        <v>0</v>
      </c>
      <c r="E132" s="50">
        <f>COUNTIF('PF176'!Y10:Y185,"ADC[1]_23")</f>
        <v>0</v>
      </c>
      <c r="F132" s="50">
        <f>COUNTIF('PF176'!Y10:Y185,"ADC[2]_23")</f>
        <v>0</v>
      </c>
    </row>
    <row r="133" spans="2:6" x14ac:dyDescent="0.55000000000000004">
      <c r="B133" s="192"/>
      <c r="C133" s="49" t="s">
        <v>487</v>
      </c>
      <c r="D133" s="50">
        <f>COUNTIF('PF176'!Y10:Y185,"ADC[0]_24")</f>
        <v>0</v>
      </c>
      <c r="E133" s="50">
        <f>COUNTIF('PF176'!Y10:Y185,"ADC[1]_24")</f>
        <v>0</v>
      </c>
      <c r="F133" s="50">
        <f>COUNTIF('PF176'!Y10:Y185,"ADC[2]_24")</f>
        <v>0</v>
      </c>
    </row>
    <row r="134" spans="2:6" x14ac:dyDescent="0.55000000000000004">
      <c r="B134" s="192"/>
      <c r="C134" s="49" t="s">
        <v>488</v>
      </c>
      <c r="D134" s="50">
        <f>COUNTIF('PF176'!Y10:Y185,"ADC[0]_25")</f>
        <v>0</v>
      </c>
      <c r="E134" s="50">
        <f>COUNTIF('PF176'!Y10:Y185,"ADC[1]_25")</f>
        <v>0</v>
      </c>
      <c r="F134" s="50">
        <f>COUNTIF('PF176'!Y10:Y185,"ADC[2]_25")</f>
        <v>0</v>
      </c>
    </row>
    <row r="135" spans="2:6" x14ac:dyDescent="0.55000000000000004">
      <c r="B135" s="192"/>
      <c r="C135" s="49" t="s">
        <v>489</v>
      </c>
      <c r="D135" s="50">
        <f>COUNTIF('PF176'!Y10:Y185,"ADC[0]_26")</f>
        <v>0</v>
      </c>
      <c r="E135" s="50">
        <f>COUNTIF('PF176'!Y10:Y185,"ADC[1]_26")</f>
        <v>0</v>
      </c>
      <c r="F135" s="50">
        <f>COUNTIF('PF176'!Y10:Y185,"ADC[2]_26")</f>
        <v>0</v>
      </c>
    </row>
    <row r="136" spans="2:6" x14ac:dyDescent="0.55000000000000004">
      <c r="B136" s="192"/>
      <c r="C136" s="49" t="s">
        <v>490</v>
      </c>
      <c r="D136" s="50">
        <f>COUNTIF('PF176'!Y10:Y185,"ADC[0]_27")</f>
        <v>0</v>
      </c>
      <c r="E136" s="50">
        <f>COUNTIF('PF176'!Y10:Y185,"ADC[1]_27")</f>
        <v>0</v>
      </c>
      <c r="F136" s="50">
        <f>COUNTIF('PF176'!Y10:Y185,"ADC[2]_27")</f>
        <v>0</v>
      </c>
    </row>
    <row r="137" spans="2:6" x14ac:dyDescent="0.55000000000000004">
      <c r="B137" s="192"/>
      <c r="C137" s="49" t="s">
        <v>491</v>
      </c>
      <c r="D137" s="50">
        <f>COUNTIF('PF176'!Y10:Y185,"ADC[0]_28")</f>
        <v>0</v>
      </c>
      <c r="E137" s="50">
        <f>COUNTIF('PF176'!Y10:Y185,"ADC[1]_28")</f>
        <v>0</v>
      </c>
      <c r="F137" s="50">
        <f>COUNTIF('PF176'!Y10:Y185,"ADC[2]_28")</f>
        <v>0</v>
      </c>
    </row>
    <row r="138" spans="2:6" x14ac:dyDescent="0.55000000000000004">
      <c r="B138" s="192"/>
      <c r="C138" s="49" t="s">
        <v>492</v>
      </c>
      <c r="D138" s="50">
        <f>COUNTIF('PF176'!Y10:Y185,"ADC[0]_29")</f>
        <v>0</v>
      </c>
      <c r="E138" s="50">
        <f>COUNTIF('PF176'!Y10:Y185,"ADC[1]_29")</f>
        <v>0</v>
      </c>
      <c r="F138" s="50">
        <f>COUNTIF('PF176'!Y10:Y185,"ADC[2]_29")</f>
        <v>0</v>
      </c>
    </row>
    <row r="139" spans="2:6" x14ac:dyDescent="0.55000000000000004">
      <c r="B139" s="192"/>
      <c r="C139" s="49" t="s">
        <v>493</v>
      </c>
      <c r="D139" s="50">
        <f>COUNTIF('PF176'!Y10:Y185,"ADC[0]_30")</f>
        <v>0</v>
      </c>
      <c r="E139" s="50">
        <f>COUNTIF('PF176'!Y10:Y185,"ADC[1]_30")</f>
        <v>0</v>
      </c>
      <c r="F139" s="50">
        <f>COUNTIF('PF176'!Y10:Y185,"ADC[2]_30")</f>
        <v>0</v>
      </c>
    </row>
    <row r="140" spans="2:6" x14ac:dyDescent="0.55000000000000004">
      <c r="B140" s="192"/>
      <c r="C140" s="49" t="s">
        <v>494</v>
      </c>
      <c r="D140" s="50">
        <f>COUNTIF('PF176'!Y10:Y185,"ADC[0]_31")</f>
        <v>0</v>
      </c>
      <c r="E140" s="50">
        <f>COUNTIF('PF176'!Y10:Y185,"ADC[1]_31")</f>
        <v>0</v>
      </c>
      <c r="F140" s="50">
        <f>COUNTIF('PF176'!Y10:Y185,"ADC[2]_31")</f>
        <v>0</v>
      </c>
    </row>
    <row r="141" spans="2:6" x14ac:dyDescent="0.55000000000000004">
      <c r="B141" s="193"/>
      <c r="C141" s="69" t="s">
        <v>2438</v>
      </c>
      <c r="D141" s="50">
        <f>COUNTIF('PF176'!Y10:Y185,"ADC[0]_M")</f>
        <v>0</v>
      </c>
      <c r="E141" s="50">
        <f>COUNTIF('PF176'!Y10:Y185,"ADC[1]_M")</f>
        <v>0</v>
      </c>
      <c r="F141" s="50">
        <f>COUNTIF('PF176'!Y10:Y185,"ADC[2]_M")</f>
        <v>0</v>
      </c>
    </row>
    <row r="142" spans="2:6" x14ac:dyDescent="0.55000000000000004">
      <c r="B142" s="67"/>
      <c r="C142" s="70"/>
    </row>
    <row r="143" spans="2:6" x14ac:dyDescent="0.55000000000000004">
      <c r="B143" s="67"/>
      <c r="C143" s="70"/>
    </row>
    <row r="144" spans="2:6" x14ac:dyDescent="0.55000000000000004">
      <c r="B144" s="179" t="s">
        <v>2566</v>
      </c>
      <c r="C144" s="179"/>
      <c r="D144" s="48" t="s">
        <v>2643</v>
      </c>
    </row>
    <row r="145" spans="2:4" x14ac:dyDescent="0.55000000000000004">
      <c r="B145" s="194" t="s">
        <v>380</v>
      </c>
      <c r="C145" s="27" t="s">
        <v>2337</v>
      </c>
      <c r="D145" s="50">
        <f>COUNTIF('PF176'!Y10:Y185,"SPIHB_CLK (0)")</f>
        <v>0</v>
      </c>
    </row>
    <row r="146" spans="2:4" x14ac:dyDescent="0.55000000000000004">
      <c r="B146" s="182"/>
      <c r="C146" s="27" t="s">
        <v>2597</v>
      </c>
      <c r="D146" s="50">
        <f>COUNTIF('PF176'!Y10:Y185,"SPIHB_RWDS (0)")</f>
        <v>0</v>
      </c>
    </row>
    <row r="147" spans="2:4" x14ac:dyDescent="0.55000000000000004">
      <c r="B147" s="182"/>
      <c r="C147" s="27" t="s">
        <v>2346</v>
      </c>
      <c r="D147" s="50">
        <f>COUNTIF('PF176'!Y10:Y185,"SPIHB_SEL0 (0)")</f>
        <v>0</v>
      </c>
    </row>
    <row r="148" spans="2:4" x14ac:dyDescent="0.55000000000000004">
      <c r="B148" s="182"/>
      <c r="C148" s="27" t="s">
        <v>2349</v>
      </c>
      <c r="D148" s="50">
        <f>COUNTIF('PF176'!Y10:Y185,"SPIHB_SEL1 (0)")</f>
        <v>0</v>
      </c>
    </row>
    <row r="149" spans="2:4" x14ac:dyDescent="0.55000000000000004">
      <c r="B149" s="182"/>
      <c r="C149" s="27" t="s">
        <v>2598</v>
      </c>
      <c r="D149" s="50">
        <f>COUNTIF('PF176'!Y10:Y185,"SPIHB_DATA0 (0)")</f>
        <v>0</v>
      </c>
    </row>
    <row r="150" spans="2:4" x14ac:dyDescent="0.55000000000000004">
      <c r="B150" s="182"/>
      <c r="C150" s="27" t="s">
        <v>2599</v>
      </c>
      <c r="D150" s="50">
        <f>COUNTIF('PF176'!Y10:Y185,"SPIHB_DATA1 (0)")</f>
        <v>0</v>
      </c>
    </row>
    <row r="151" spans="2:4" x14ac:dyDescent="0.55000000000000004">
      <c r="B151" s="182"/>
      <c r="C151" s="27" t="s">
        <v>2600</v>
      </c>
      <c r="D151" s="50">
        <f>COUNTIF('PF176'!Y10:Y185,"SPIHB_DATA2 (0)")</f>
        <v>0</v>
      </c>
    </row>
    <row r="152" spans="2:4" x14ac:dyDescent="0.55000000000000004">
      <c r="B152" s="182"/>
      <c r="C152" s="27" t="s">
        <v>2601</v>
      </c>
      <c r="D152" s="50">
        <f>COUNTIF('PF176'!Y10:Y185,"SPIHB_DATA3 (0)")</f>
        <v>0</v>
      </c>
    </row>
    <row r="153" spans="2:4" x14ac:dyDescent="0.55000000000000004">
      <c r="B153" s="182"/>
      <c r="C153" s="27" t="s">
        <v>2602</v>
      </c>
      <c r="D153" s="50">
        <f>COUNTIF('PF176'!Y10:Y185,"SPIHB_DATA4 (0)")</f>
        <v>0</v>
      </c>
    </row>
    <row r="154" spans="2:4" x14ac:dyDescent="0.55000000000000004">
      <c r="B154" s="182"/>
      <c r="C154" s="27" t="s">
        <v>2603</v>
      </c>
      <c r="D154" s="50">
        <f>COUNTIF('PF176'!Y10:Y185,"SPIHB_DATA5 (0)")</f>
        <v>0</v>
      </c>
    </row>
    <row r="155" spans="2:4" x14ac:dyDescent="0.55000000000000004">
      <c r="B155" s="182"/>
      <c r="C155" s="27" t="s">
        <v>2604</v>
      </c>
      <c r="D155" s="50">
        <f>COUNTIF('PF176'!Y10:Y185,"SPIHB_DATA6 (0)")</f>
        <v>0</v>
      </c>
    </row>
    <row r="156" spans="2:4" x14ac:dyDescent="0.55000000000000004">
      <c r="B156" s="182"/>
      <c r="C156" s="27" t="s">
        <v>2605</v>
      </c>
      <c r="D156" s="50">
        <f>COUNTIF('PF176'!Y10:Y185,"SPIHB_DATA7 (0)")</f>
        <v>0</v>
      </c>
    </row>
    <row r="157" spans="2:4" x14ac:dyDescent="0.55000000000000004">
      <c r="B157" s="182"/>
      <c r="C157" s="27" t="s">
        <v>2338</v>
      </c>
      <c r="D157" s="50">
        <f>COUNTIF('PF176'!Y10:Y185,"SPIHB_CLK (1)")</f>
        <v>0</v>
      </c>
    </row>
    <row r="158" spans="2:4" x14ac:dyDescent="0.55000000000000004">
      <c r="B158" s="182"/>
      <c r="C158" s="27" t="s">
        <v>2606</v>
      </c>
      <c r="D158" s="50">
        <f>COUNTIF('PF176'!Y10:Y185,"SPIHB_RWDS (1)")</f>
        <v>0</v>
      </c>
    </row>
    <row r="159" spans="2:4" x14ac:dyDescent="0.55000000000000004">
      <c r="B159" s="182"/>
      <c r="C159" s="27" t="s">
        <v>2347</v>
      </c>
      <c r="D159" s="50">
        <f>COUNTIF('PF176'!Y10:Y185,"SPIHB_SEL0 (1)")</f>
        <v>0</v>
      </c>
    </row>
    <row r="160" spans="2:4" x14ac:dyDescent="0.55000000000000004">
      <c r="B160" s="182"/>
      <c r="C160" s="27" t="s">
        <v>2350</v>
      </c>
      <c r="D160" s="50">
        <f>COUNTIF('PF176'!Y10:Y185,"SPIHB_SEL1 (1)")</f>
        <v>0</v>
      </c>
    </row>
    <row r="161" spans="2:5" x14ac:dyDescent="0.55000000000000004">
      <c r="B161" s="182"/>
      <c r="C161" s="27" t="s">
        <v>2607</v>
      </c>
      <c r="D161" s="50">
        <f>COUNTIF('PF176'!Y10:Y185,"SPIHB_DATA0 (1)")</f>
        <v>0</v>
      </c>
    </row>
    <row r="162" spans="2:5" x14ac:dyDescent="0.55000000000000004">
      <c r="B162" s="182"/>
      <c r="C162" s="27" t="s">
        <v>2608</v>
      </c>
      <c r="D162" s="50">
        <f>COUNTIF('PF176'!Y10:Y185,"SPIHB_DATA1 (1)")</f>
        <v>0</v>
      </c>
    </row>
    <row r="163" spans="2:5" x14ac:dyDescent="0.55000000000000004">
      <c r="B163" s="182"/>
      <c r="C163" s="27" t="s">
        <v>2609</v>
      </c>
      <c r="D163" s="50">
        <f>COUNTIF('PF176'!Y10:Y185,"SPIHB_DATA2 (1)")</f>
        <v>0</v>
      </c>
    </row>
    <row r="164" spans="2:5" x14ac:dyDescent="0.55000000000000004">
      <c r="B164" s="182"/>
      <c r="C164" s="27" t="s">
        <v>2610</v>
      </c>
      <c r="D164" s="50">
        <f>COUNTIF('PF176'!Y10:Y185,"SPIHB_DATA3 (1)")</f>
        <v>0</v>
      </c>
    </row>
    <row r="165" spans="2:5" x14ac:dyDescent="0.55000000000000004">
      <c r="B165" s="182"/>
      <c r="C165" s="27" t="s">
        <v>2611</v>
      </c>
      <c r="D165" s="50">
        <f>COUNTIF('PF176'!Y10:Y185,"SPIHB_DATA4 (1)")</f>
        <v>0</v>
      </c>
    </row>
    <row r="166" spans="2:5" x14ac:dyDescent="0.55000000000000004">
      <c r="B166" s="182"/>
      <c r="C166" s="27" t="s">
        <v>2612</v>
      </c>
      <c r="D166" s="50">
        <f>COUNTIF('PF176'!Y10:Y185,"SPIHB_DATA5 (1)")</f>
        <v>0</v>
      </c>
    </row>
    <row r="167" spans="2:5" x14ac:dyDescent="0.55000000000000004">
      <c r="B167" s="182"/>
      <c r="C167" s="27" t="s">
        <v>2613</v>
      </c>
      <c r="D167" s="50">
        <f>COUNTIF('PF176'!Y10:Y185,"SPIHB_DATA6 (1)")</f>
        <v>0</v>
      </c>
    </row>
    <row r="168" spans="2:5" x14ac:dyDescent="0.55000000000000004">
      <c r="B168" s="183"/>
      <c r="C168" s="27" t="s">
        <v>2614</v>
      </c>
      <c r="D168" s="50">
        <f>COUNTIF('PF176'!Y10:Y185,"SPIHB_DATA7 (1)")</f>
        <v>0</v>
      </c>
    </row>
    <row r="169" spans="2:5" x14ac:dyDescent="0.55000000000000004">
      <c r="B169" s="67"/>
      <c r="C169" s="71"/>
    </row>
    <row r="170" spans="2:5" hidden="1" x14ac:dyDescent="0.55000000000000004">
      <c r="B170" s="59" t="s">
        <v>2393</v>
      </c>
      <c r="C170" s="59" t="s">
        <v>2560</v>
      </c>
      <c r="D170" s="48" t="s">
        <v>2643</v>
      </c>
    </row>
    <row r="171" spans="2:5" hidden="1" x14ac:dyDescent="0.55000000000000004">
      <c r="B171" s="61"/>
      <c r="C171" s="62">
        <v>0</v>
      </c>
      <c r="D171" s="62">
        <f>SUM(D145:D156)</f>
        <v>0</v>
      </c>
    </row>
    <row r="172" spans="2:5" hidden="1" x14ac:dyDescent="0.55000000000000004">
      <c r="B172" s="63"/>
      <c r="C172" s="62">
        <v>1</v>
      </c>
      <c r="D172" s="62">
        <f>SUM(D157:D168)</f>
        <v>0</v>
      </c>
    </row>
    <row r="173" spans="2:5" hidden="1" x14ac:dyDescent="0.55000000000000004">
      <c r="B173" s="65" t="s">
        <v>2564</v>
      </c>
      <c r="C173" s="66"/>
      <c r="D173" s="59">
        <f>COUNTIF(D171:D172, "&lt;&gt;0")</f>
        <v>0</v>
      </c>
    </row>
    <row r="174" spans="2:5" hidden="1" x14ac:dyDescent="0.55000000000000004">
      <c r="B174" s="67"/>
      <c r="C174" s="70"/>
    </row>
    <row r="176" spans="2:5" x14ac:dyDescent="0.55000000000000004">
      <c r="B176" s="184" t="s">
        <v>2393</v>
      </c>
      <c r="C176" s="185"/>
      <c r="D176" s="48" t="s">
        <v>2396</v>
      </c>
      <c r="E176" s="48" t="s">
        <v>2397</v>
      </c>
    </row>
    <row r="177" spans="2:5" x14ac:dyDescent="0.55000000000000004">
      <c r="B177" s="188" t="s">
        <v>380</v>
      </c>
      <c r="C177" s="72" t="s">
        <v>2398</v>
      </c>
      <c r="D177" s="50">
        <f>COUNTIF('PF176'!Y10:Y185,"ETH0_REF_CLK (0)")</f>
        <v>0</v>
      </c>
      <c r="E177" s="50">
        <f>COUNTIF('PF176'!Y10:Y185,"ETH1_REF_CLK (0)")</f>
        <v>0</v>
      </c>
    </row>
    <row r="178" spans="2:5" x14ac:dyDescent="0.55000000000000004">
      <c r="B178" s="189"/>
      <c r="C178" s="72" t="s">
        <v>2437</v>
      </c>
      <c r="D178" s="50">
        <f>COUNTIF('PF176'!Y10:Y185,"ETH0_REF_CLK (1)")</f>
        <v>0</v>
      </c>
      <c r="E178" s="50">
        <f>COUNTIF('PF176'!Y10:Y185,"ETH1_REF_CLK (1)")</f>
        <v>0</v>
      </c>
    </row>
    <row r="179" spans="2:5" x14ac:dyDescent="0.55000000000000004">
      <c r="B179" s="189"/>
      <c r="C179" s="72" t="s">
        <v>2399</v>
      </c>
      <c r="D179" s="50">
        <f>COUNTIF('PF176'!Y10:Y185,"ETH0_TX_CTL (0)")</f>
        <v>0</v>
      </c>
      <c r="E179" s="50">
        <f>COUNTIF('PF176'!Y10:Y185,"ETH1_TX_CTL (0)")</f>
        <v>0</v>
      </c>
    </row>
    <row r="180" spans="2:5" x14ac:dyDescent="0.55000000000000004">
      <c r="B180" s="189"/>
      <c r="C180" s="72" t="s">
        <v>2436</v>
      </c>
      <c r="D180" s="50">
        <f>COUNTIF('PF176'!Y10:Y185,"ETH0_TX_CTL (1)")</f>
        <v>0</v>
      </c>
      <c r="E180" s="50">
        <f>COUNTIF('PF176'!Y10:Y185,"ETH1_TX_CTL (1)")</f>
        <v>0</v>
      </c>
    </row>
    <row r="181" spans="2:5" x14ac:dyDescent="0.55000000000000004">
      <c r="B181" s="189"/>
      <c r="C181" s="72" t="s">
        <v>2400</v>
      </c>
      <c r="D181" s="50">
        <f>COUNTIF('PF176'!Y10:Y185,"ETH0_TX_CLK (0)")</f>
        <v>0</v>
      </c>
      <c r="E181" s="50">
        <f>COUNTIF('PF176'!Y10:Y185,"ETH1_TX_CLK (0)")</f>
        <v>0</v>
      </c>
    </row>
    <row r="182" spans="2:5" x14ac:dyDescent="0.55000000000000004">
      <c r="B182" s="189"/>
      <c r="C182" s="72" t="s">
        <v>2435</v>
      </c>
      <c r="D182" s="50">
        <f>COUNTIF('PF176'!Y10:Y185,"ETH0_TX_CLK (1)")</f>
        <v>0</v>
      </c>
      <c r="E182" s="50">
        <f>COUNTIF('PF176'!Y10:Y185,"ETH1_TX_CLK (1)")</f>
        <v>0</v>
      </c>
    </row>
    <row r="183" spans="2:5" x14ac:dyDescent="0.55000000000000004">
      <c r="B183" s="189"/>
      <c r="C183" s="72" t="s">
        <v>2401</v>
      </c>
      <c r="D183" s="50">
        <f>COUNTIF('PF176'!Y10:Y185,"ETH0_TX_ER (0)")</f>
        <v>0</v>
      </c>
      <c r="E183" s="50">
        <f>COUNTIF('PF176'!Y10:Y185,"ETH1_TX_ER (0)")</f>
        <v>0</v>
      </c>
    </row>
    <row r="184" spans="2:5" x14ac:dyDescent="0.55000000000000004">
      <c r="B184" s="189"/>
      <c r="C184" s="72" t="s">
        <v>2402</v>
      </c>
      <c r="D184" s="50">
        <f>COUNTIF('PF176'!Y10:Y185,"ETH0_TXD_0 (0)")</f>
        <v>0</v>
      </c>
      <c r="E184" s="50">
        <f>COUNTIF('PF176'!Y10:Y185,"ETH1_TXD_0 (0)")</f>
        <v>0</v>
      </c>
    </row>
    <row r="185" spans="2:5" x14ac:dyDescent="0.55000000000000004">
      <c r="B185" s="189"/>
      <c r="C185" s="72" t="s">
        <v>2434</v>
      </c>
      <c r="D185" s="50">
        <f>COUNTIF('PF176'!Y10:Y185,"ETH0_TXD_0 (1)")</f>
        <v>0</v>
      </c>
      <c r="E185" s="50">
        <f>COUNTIF('PF176'!Y10:Y185,"ETH1_TXD_0 (1)")</f>
        <v>0</v>
      </c>
    </row>
    <row r="186" spans="2:5" x14ac:dyDescent="0.55000000000000004">
      <c r="B186" s="189"/>
      <c r="C186" s="72" t="s">
        <v>2403</v>
      </c>
      <c r="D186" s="50">
        <f>COUNTIF('PF176'!Y10:Y185,"ETH0_TXD_1 (0)")</f>
        <v>0</v>
      </c>
      <c r="E186" s="50">
        <f>COUNTIF('PF176'!Y10:Y185,"ETH1_TXD_1 (0)")</f>
        <v>0</v>
      </c>
    </row>
    <row r="187" spans="2:5" x14ac:dyDescent="0.55000000000000004">
      <c r="B187" s="189"/>
      <c r="C187" s="72" t="s">
        <v>2433</v>
      </c>
      <c r="D187" s="50">
        <f>COUNTIF('PF176'!Y10:Y185,"ETH0_TXD_1 (1)")</f>
        <v>0</v>
      </c>
      <c r="E187" s="50">
        <f>COUNTIF('PF176'!Y10:Y185,"ETH1_TXD_1 (1)")</f>
        <v>0</v>
      </c>
    </row>
    <row r="188" spans="2:5" x14ac:dyDescent="0.55000000000000004">
      <c r="B188" s="189"/>
      <c r="C188" s="72" t="s">
        <v>2404</v>
      </c>
      <c r="D188" s="50">
        <f>COUNTIF('PF176'!Y10:Y185,"ETH0_TXD_2 (0)")</f>
        <v>0</v>
      </c>
      <c r="E188" s="50">
        <f>COUNTIF('PF176'!Y10:Y185,"ETH1_TXD_2 (0)")</f>
        <v>0</v>
      </c>
    </row>
    <row r="189" spans="2:5" x14ac:dyDescent="0.55000000000000004">
      <c r="B189" s="189"/>
      <c r="C189" s="72" t="s">
        <v>2432</v>
      </c>
      <c r="D189" s="50">
        <f>COUNTIF('PF176'!Y10:Y185,"ETH0_TXD_2 (1)")</f>
        <v>0</v>
      </c>
      <c r="E189" s="50">
        <f>COUNTIF('PF176'!Y10:Y185,"ETH1_TXD_2 (1)")</f>
        <v>0</v>
      </c>
    </row>
    <row r="190" spans="2:5" x14ac:dyDescent="0.55000000000000004">
      <c r="B190" s="189"/>
      <c r="C190" s="72" t="s">
        <v>2405</v>
      </c>
      <c r="D190" s="50">
        <f>COUNTIF('PF176'!Y10:Y185,"ETH0_TXD_3 (0)")</f>
        <v>0</v>
      </c>
      <c r="E190" s="50">
        <f>COUNTIF('PF176'!Y10:Y185,"ETH1_TXD_3 (0)")</f>
        <v>0</v>
      </c>
    </row>
    <row r="191" spans="2:5" x14ac:dyDescent="0.55000000000000004">
      <c r="B191" s="189"/>
      <c r="C191" s="72" t="s">
        <v>2431</v>
      </c>
      <c r="D191" s="50">
        <f>COUNTIF('PF176'!Y10:Y185,"ETH0_TXD_3 (1)")</f>
        <v>0</v>
      </c>
      <c r="E191" s="50">
        <f>COUNTIF('PF176'!Y10:Y185,"ETH1_TXD_3 (1)")</f>
        <v>0</v>
      </c>
    </row>
    <row r="192" spans="2:5" x14ac:dyDescent="0.55000000000000004">
      <c r="B192" s="189"/>
      <c r="C192" s="72" t="s">
        <v>2413</v>
      </c>
      <c r="D192" s="50">
        <f>COUNTIF('PF176'!Y10:Y185,"ETH0_TXD_4 (0)")</f>
        <v>0</v>
      </c>
      <c r="E192" s="50">
        <f>COUNTIF('PF176'!Y10:Y185,"ETH1_TXD_4 (0)")</f>
        <v>0</v>
      </c>
    </row>
    <row r="193" spans="2:5" x14ac:dyDescent="0.55000000000000004">
      <c r="B193" s="189"/>
      <c r="C193" s="72" t="s">
        <v>2414</v>
      </c>
      <c r="D193" s="50">
        <f>COUNTIF('PF176'!Y10:Y185,"ETH0_TXD_5 (0)")</f>
        <v>0</v>
      </c>
      <c r="E193" s="50">
        <f>COUNTIF('PF176'!Y10:Y185,"ETH1_TXD_5 (0)")</f>
        <v>0</v>
      </c>
    </row>
    <row r="194" spans="2:5" x14ac:dyDescent="0.55000000000000004">
      <c r="B194" s="189"/>
      <c r="C194" s="72" t="s">
        <v>2415</v>
      </c>
      <c r="D194" s="50">
        <f>COUNTIF('PF176'!Y10:Y185,"ETH0_TXD_6 (0)")</f>
        <v>0</v>
      </c>
      <c r="E194" s="50">
        <f>COUNTIF('PF176'!Y10:Y185,"ETH1_TXD_6 (0)")</f>
        <v>0</v>
      </c>
    </row>
    <row r="195" spans="2:5" x14ac:dyDescent="0.55000000000000004">
      <c r="B195" s="189"/>
      <c r="C195" s="72" t="s">
        <v>2416</v>
      </c>
      <c r="D195" s="50">
        <f>COUNTIF('PF176'!Y10:Y185,"ETH0_TXD_7 (0)")</f>
        <v>0</v>
      </c>
      <c r="E195" s="50">
        <f>COUNTIF('PF176'!Y10:Y185,"ETH1_TXD_7 (0)")</f>
        <v>0</v>
      </c>
    </row>
    <row r="196" spans="2:5" x14ac:dyDescent="0.55000000000000004">
      <c r="B196" s="189"/>
      <c r="C196" s="11" t="s">
        <v>2406</v>
      </c>
      <c r="D196" s="50">
        <f>COUNTIF('PF176'!Y10:Y185,"ETH0_RX_CTL (0)")</f>
        <v>0</v>
      </c>
      <c r="E196" s="50">
        <f>COUNTIF('PF176'!Y10:Y185,"ETH1_RX_CTL (0)")</f>
        <v>0</v>
      </c>
    </row>
    <row r="197" spans="2:5" x14ac:dyDescent="0.55000000000000004">
      <c r="B197" s="189"/>
      <c r="C197" s="11" t="s">
        <v>2426</v>
      </c>
      <c r="D197" s="50">
        <f>COUNTIF('PF176'!Y10:Y185,"ETH0_RX_CTL (1)")</f>
        <v>0</v>
      </c>
      <c r="E197" s="50">
        <f>COUNTIF('PF176'!Y10:Y185,"ETH1_RX_CTL (1)")</f>
        <v>0</v>
      </c>
    </row>
    <row r="198" spans="2:5" x14ac:dyDescent="0.55000000000000004">
      <c r="B198" s="189"/>
      <c r="C198" s="11" t="s">
        <v>2407</v>
      </c>
      <c r="D198" s="50">
        <f>COUNTIF('PF176'!Y10:Y185,"ETH0_RX_CLK (0)")</f>
        <v>0</v>
      </c>
      <c r="E198" s="50">
        <f>COUNTIF('PF176'!Y10:Y185,"ETH1_RX_CLK (0)")</f>
        <v>0</v>
      </c>
    </row>
    <row r="199" spans="2:5" x14ac:dyDescent="0.55000000000000004">
      <c r="B199" s="189"/>
      <c r="C199" s="11" t="s">
        <v>2425</v>
      </c>
      <c r="D199" s="50">
        <f>COUNTIF('PF176'!Y10:Y185,"ETH0_RX_CLK (1)")</f>
        <v>0</v>
      </c>
      <c r="E199" s="50">
        <f>COUNTIF('PF176'!Y10:Y185,"ETH1_RX_CLK (1)")</f>
        <v>0</v>
      </c>
    </row>
    <row r="200" spans="2:5" x14ac:dyDescent="0.55000000000000004">
      <c r="B200" s="189"/>
      <c r="C200" s="11" t="s">
        <v>2408</v>
      </c>
      <c r="D200" s="50">
        <f>COUNTIF('PF176'!Y10:Y185,"ETH0_RX_ER (0)")</f>
        <v>0</v>
      </c>
      <c r="E200" s="50">
        <f>COUNTIF('PF176'!Y10:Y185,"ETH1_RX_ER (0)")</f>
        <v>0</v>
      </c>
    </row>
    <row r="201" spans="2:5" x14ac:dyDescent="0.55000000000000004">
      <c r="B201" s="189"/>
      <c r="C201" s="11" t="s">
        <v>2409</v>
      </c>
      <c r="D201" s="50">
        <f>COUNTIF('PF176'!Y10:Y185,"ETH0_RXD_0 (0)")</f>
        <v>0</v>
      </c>
      <c r="E201" s="50">
        <f>COUNTIF('PF176'!Y10:Y185,"ETH1_RXD_0 (0)")</f>
        <v>0</v>
      </c>
    </row>
    <row r="202" spans="2:5" x14ac:dyDescent="0.55000000000000004">
      <c r="B202" s="189"/>
      <c r="C202" s="11" t="s">
        <v>2424</v>
      </c>
      <c r="D202" s="50">
        <f>COUNTIF('PF176'!Y10:Y185,"ETH0_RXD_0 (1)")</f>
        <v>0</v>
      </c>
      <c r="E202" s="50">
        <f>COUNTIF('PF176'!Y10:Y185,"ETH1_RXD_0 (1)")</f>
        <v>0</v>
      </c>
    </row>
    <row r="203" spans="2:5" x14ac:dyDescent="0.55000000000000004">
      <c r="B203" s="189"/>
      <c r="C203" s="11" t="s">
        <v>2410</v>
      </c>
      <c r="D203" s="50">
        <f>COUNTIF('PF176'!Y10:Y185,"ETH0_RXD_1 (0)")</f>
        <v>0</v>
      </c>
      <c r="E203" s="50">
        <f>COUNTIF('PF176'!Y10:Y185,"ETH1_RXD_1 (0)")</f>
        <v>0</v>
      </c>
    </row>
    <row r="204" spans="2:5" x14ac:dyDescent="0.55000000000000004">
      <c r="B204" s="189"/>
      <c r="C204" s="11" t="s">
        <v>2423</v>
      </c>
      <c r="D204" s="50">
        <f>COUNTIF('PF176'!Y10:Y185,"ETH0_RXD_1 (1)")</f>
        <v>0</v>
      </c>
      <c r="E204" s="50">
        <f>COUNTIF('PF176'!Y10:Y185,"ETH1_RXD_1 (1)")</f>
        <v>0</v>
      </c>
    </row>
    <row r="205" spans="2:5" x14ac:dyDescent="0.55000000000000004">
      <c r="B205" s="189"/>
      <c r="C205" s="11" t="s">
        <v>2411</v>
      </c>
      <c r="D205" s="50">
        <f>COUNTIF('PF176'!Y10:Y185,"ETH0_RXD_2 (0)")</f>
        <v>0</v>
      </c>
      <c r="E205" s="50">
        <f>COUNTIF('PF176'!Y10:Y185,"ETH1_RXD_2 (0)")</f>
        <v>0</v>
      </c>
    </row>
    <row r="206" spans="2:5" x14ac:dyDescent="0.55000000000000004">
      <c r="B206" s="189"/>
      <c r="C206" s="11" t="s">
        <v>2422</v>
      </c>
      <c r="D206" s="50">
        <f>COUNTIF('PF176'!Y10:Y185,"ETH0_RXD_2 (1)")</f>
        <v>0</v>
      </c>
      <c r="E206" s="50">
        <f>COUNTIF('PF176'!Y10:Y185,"ETH1_RXD_2 (1)")</f>
        <v>0</v>
      </c>
    </row>
    <row r="207" spans="2:5" x14ac:dyDescent="0.55000000000000004">
      <c r="B207" s="189"/>
      <c r="C207" s="11" t="s">
        <v>2412</v>
      </c>
      <c r="D207" s="50">
        <f>COUNTIF('PF176'!Y10:Y185,"ETH0_RXD_3 (0)")</f>
        <v>0</v>
      </c>
      <c r="E207" s="50">
        <f>COUNTIF('PF176'!Y10:Y185,"ETH1_RXD_3 (0)")</f>
        <v>0</v>
      </c>
    </row>
    <row r="208" spans="2:5" x14ac:dyDescent="0.55000000000000004">
      <c r="B208" s="189"/>
      <c r="C208" s="11" t="s">
        <v>2421</v>
      </c>
      <c r="D208" s="50">
        <f>COUNTIF('PF176'!Y10:Y185,"ETH0_RXD_3 (1)")</f>
        <v>0</v>
      </c>
      <c r="E208" s="50">
        <f>COUNTIF('PF176'!Y10:Y185,"ETH1_RXD_3 (1)")</f>
        <v>0</v>
      </c>
    </row>
    <row r="209" spans="2:5" x14ac:dyDescent="0.55000000000000004">
      <c r="B209" s="189"/>
      <c r="C209" s="11" t="s">
        <v>2427</v>
      </c>
      <c r="D209" s="50">
        <f>COUNTIF('PF176'!Y10:Y185,"ETH0_RXD_4 (0)")</f>
        <v>0</v>
      </c>
      <c r="E209" s="50">
        <f>COUNTIF('PF176'!Y10:Y185,"ETH1_RXD_4 (0)")</f>
        <v>0</v>
      </c>
    </row>
    <row r="210" spans="2:5" x14ac:dyDescent="0.55000000000000004">
      <c r="B210" s="189"/>
      <c r="C210" s="11" t="s">
        <v>2428</v>
      </c>
      <c r="D210" s="50">
        <f>COUNTIF('PF176'!Y10:Y185,"ETH0_RXD_5 (0)")</f>
        <v>0</v>
      </c>
      <c r="E210" s="50">
        <f>COUNTIF('PF176'!Y10:Y185,"ETH1_RXD_5 (0)")</f>
        <v>0</v>
      </c>
    </row>
    <row r="211" spans="2:5" x14ac:dyDescent="0.55000000000000004">
      <c r="B211" s="189"/>
      <c r="C211" s="11" t="s">
        <v>2429</v>
      </c>
      <c r="D211" s="50">
        <f>COUNTIF('PF176'!Y10:Y185,"ETH0_RXD_6 (0)")</f>
        <v>0</v>
      </c>
      <c r="E211" s="50">
        <f>COUNTIF('PF176'!Y10:Y185,"ETH1_RXD_6 (0)")</f>
        <v>0</v>
      </c>
    </row>
    <row r="212" spans="2:5" x14ac:dyDescent="0.55000000000000004">
      <c r="B212" s="189"/>
      <c r="C212" s="11" t="s">
        <v>2430</v>
      </c>
      <c r="D212" s="50">
        <f>COUNTIF('PF176'!Y10:Y185,"ETH0_RXD_7 (0)")</f>
        <v>0</v>
      </c>
      <c r="E212" s="50">
        <f>COUNTIF('PF176'!Y10:Y185,"ETH1_RXD_7 (0)")</f>
        <v>0</v>
      </c>
    </row>
    <row r="213" spans="2:5" x14ac:dyDescent="0.55000000000000004">
      <c r="B213" s="189"/>
      <c r="C213" s="11" t="s">
        <v>2615</v>
      </c>
      <c r="D213" s="50">
        <f>COUNTIF('PF176'!Y10:Y185,"ETH0_ETH_TSU_TIMER_CMP_VAL (0)")</f>
        <v>0</v>
      </c>
      <c r="E213" s="50">
        <f>COUNTIF('PF176'!Y10:Y185,"ETH1_ETH_TSU_TIMER_CMP_VAL (0)")</f>
        <v>0</v>
      </c>
    </row>
    <row r="214" spans="2:5" x14ac:dyDescent="0.55000000000000004">
      <c r="B214" s="189"/>
      <c r="C214" s="11" t="s">
        <v>2616</v>
      </c>
      <c r="D214" s="50">
        <f>COUNTIF('PF176'!Y10:Y185,"ETH0_ETH_TSU_TIMER_CMP_VAL (1)")</f>
        <v>0</v>
      </c>
      <c r="E214" s="50">
        <f>COUNTIF('PF176'!Y10:Y185,"ETH1_ETH_TSU_TIMER_CMP_VAL (1)")</f>
        <v>0</v>
      </c>
    </row>
    <row r="215" spans="2:5" x14ac:dyDescent="0.55000000000000004">
      <c r="B215" s="189"/>
      <c r="C215" s="11" t="s">
        <v>2417</v>
      </c>
      <c r="D215" s="50">
        <f>COUNTIF('PF176'!Y10:Y185,"ETH0_MDIO (0)")</f>
        <v>0</v>
      </c>
      <c r="E215" s="50">
        <f>COUNTIF('PF176'!Y10:Y185,"ETH1_MDIO (0)")</f>
        <v>0</v>
      </c>
    </row>
    <row r="216" spans="2:5" x14ac:dyDescent="0.55000000000000004">
      <c r="B216" s="189"/>
      <c r="C216" s="11" t="s">
        <v>2420</v>
      </c>
      <c r="D216" s="50">
        <f>COUNTIF('PF176'!Y10:Y185,"ETH0_MDIO (1)")</f>
        <v>0</v>
      </c>
      <c r="E216" s="50">
        <f>COUNTIF('PF176'!Y10:Y185,"ETH1_MDIO (1)")</f>
        <v>0</v>
      </c>
    </row>
    <row r="217" spans="2:5" x14ac:dyDescent="0.55000000000000004">
      <c r="B217" s="189"/>
      <c r="C217" s="11" t="s">
        <v>2418</v>
      </c>
      <c r="D217" s="50">
        <f>COUNTIF('PF176'!Y10:Y185,"ETH0_MDC (0)")</f>
        <v>0</v>
      </c>
      <c r="E217" s="50">
        <f>COUNTIF('PF176'!Y10:Y185,"ETH1_MDC (0)")</f>
        <v>0</v>
      </c>
    </row>
    <row r="218" spans="2:5" x14ac:dyDescent="0.55000000000000004">
      <c r="B218" s="190"/>
      <c r="C218" s="11" t="s">
        <v>2419</v>
      </c>
      <c r="D218" s="50">
        <f>COUNTIF('PF176'!Y10:Y185,"ETH0_MDC (1)")</f>
        <v>0</v>
      </c>
      <c r="E218" s="50">
        <f>COUNTIF('PF176'!Y10:Y185,"ETH1_MDC (1)")</f>
        <v>0</v>
      </c>
    </row>
    <row r="220" spans="2:5" hidden="1" x14ac:dyDescent="0.55000000000000004">
      <c r="B220" s="59" t="s">
        <v>2393</v>
      </c>
      <c r="C220" s="59" t="s">
        <v>2560</v>
      </c>
      <c r="D220" s="48" t="s">
        <v>2396</v>
      </c>
      <c r="E220" s="48" t="s">
        <v>2397</v>
      </c>
    </row>
    <row r="221" spans="2:5" hidden="1" x14ac:dyDescent="0.55000000000000004">
      <c r="B221" s="61"/>
      <c r="C221" s="62">
        <v>0</v>
      </c>
      <c r="D221" s="62">
        <f>SUM(D177+D179+D181+D183+D184+D186+D188+D190+D192+D193+D194+D195+D196+D198+D200+D201+D203+D205+D207+D209+D210+D211+D212+D213+D215+D217)</f>
        <v>0</v>
      </c>
      <c r="E221" s="62">
        <f>SUM(E177+E179+E181+E183+E184+E186+E188+E190+E192+E193+E194+E195+E196+E198+E200+E201+E203+E205+E207+E209+E210+E211+E212+E213+E215+E217)</f>
        <v>0</v>
      </c>
    </row>
    <row r="222" spans="2:5" hidden="1" x14ac:dyDescent="0.55000000000000004">
      <c r="B222" s="63"/>
      <c r="C222" s="62">
        <v>1</v>
      </c>
      <c r="D222" s="62">
        <f>SUM(D178+D180+D182+D185+D187+D189+D191+D197+D199+D202+D204+D206+D208+D214+D216+D218)</f>
        <v>0</v>
      </c>
      <c r="E222" s="62">
        <f>SUM(E178+E180+E182+E185+E187+E189+E191+E197+E199+E202+E204+E206+E208+E214+E216+E218)</f>
        <v>0</v>
      </c>
    </row>
    <row r="223" spans="2:5" hidden="1" x14ac:dyDescent="0.55000000000000004">
      <c r="B223" s="65" t="s">
        <v>2564</v>
      </c>
      <c r="C223" s="66"/>
      <c r="D223" s="59">
        <f>COUNTIF(D221:D222, "&lt;&gt;0")</f>
        <v>0</v>
      </c>
      <c r="E223" s="59">
        <f>COUNTIF(E221:E222, "&lt;&gt;0")</f>
        <v>0</v>
      </c>
    </row>
    <row r="224" spans="2:5" hidden="1" x14ac:dyDescent="0.55000000000000004"/>
    <row r="226" spans="2:4" x14ac:dyDescent="0.55000000000000004">
      <c r="B226" s="179" t="s">
        <v>2570</v>
      </c>
      <c r="C226" s="179"/>
      <c r="D226" s="48" t="s">
        <v>2642</v>
      </c>
    </row>
    <row r="227" spans="2:4" x14ac:dyDescent="0.55000000000000004">
      <c r="B227" s="182" t="s">
        <v>380</v>
      </c>
      <c r="C227" s="73" t="s">
        <v>2579</v>
      </c>
      <c r="D227" s="74">
        <f>COUNTIF('PF176'!Y10:Y185,"SDHC_CARD_MECH_WRITE_PROT (0)")</f>
        <v>0</v>
      </c>
    </row>
    <row r="228" spans="2:4" x14ac:dyDescent="0.55000000000000004">
      <c r="B228" s="182"/>
      <c r="C228" s="11" t="s">
        <v>2580</v>
      </c>
      <c r="D228" s="50">
        <f>COUNTIF('PF176'!Y10:Y185,"SDHC_CARD_CMD (0)")</f>
        <v>0</v>
      </c>
    </row>
    <row r="229" spans="2:4" x14ac:dyDescent="0.55000000000000004">
      <c r="B229" s="182"/>
      <c r="C229" s="11" t="s">
        <v>2581</v>
      </c>
      <c r="D229" s="50">
        <f>COUNTIF('PF176'!Y10:Y185,"SDHC_CLK_CARD (0)")</f>
        <v>0</v>
      </c>
    </row>
    <row r="230" spans="2:4" x14ac:dyDescent="0.55000000000000004">
      <c r="B230" s="182"/>
      <c r="C230" s="11" t="s">
        <v>2582</v>
      </c>
      <c r="D230" s="50">
        <f>COUNTIF('PF176'!Y10:Y185,"SDHC_CARD_DETECT_N (0)")</f>
        <v>0</v>
      </c>
    </row>
    <row r="231" spans="2:4" x14ac:dyDescent="0.55000000000000004">
      <c r="B231" s="182"/>
      <c r="C231" s="11" t="s">
        <v>2583</v>
      </c>
      <c r="D231" s="50">
        <f>COUNTIF('PF176'!Y10:Y185,"SDHC_CARD_IF_PWR_EN (0)")</f>
        <v>0</v>
      </c>
    </row>
    <row r="232" spans="2:4" x14ac:dyDescent="0.55000000000000004">
      <c r="B232" s="182"/>
      <c r="C232" s="11" t="s">
        <v>2584</v>
      </c>
      <c r="D232" s="50">
        <f>COUNTIF('PF176'!Y10:Y185,"SDHC_CARD_DAT_3TO0_0 (0)")</f>
        <v>0</v>
      </c>
    </row>
    <row r="233" spans="2:4" x14ac:dyDescent="0.55000000000000004">
      <c r="B233" s="182"/>
      <c r="C233" s="11" t="s">
        <v>2585</v>
      </c>
      <c r="D233" s="50">
        <f>COUNTIF('PF176'!Y10:Y185,"SDHC_CARD_DAT_3TO0_1 (0)")</f>
        <v>0</v>
      </c>
    </row>
    <row r="234" spans="2:4" x14ac:dyDescent="0.55000000000000004">
      <c r="B234" s="182"/>
      <c r="C234" s="16" t="s">
        <v>2586</v>
      </c>
      <c r="D234" s="50">
        <f>COUNTIF('PF176'!Y10:Y185,"SDHC_CARD_DAT_3TO0_2 (0)")</f>
        <v>0</v>
      </c>
    </row>
    <row r="235" spans="2:4" x14ac:dyDescent="0.55000000000000004">
      <c r="B235" s="182"/>
      <c r="C235" s="11" t="s">
        <v>2587</v>
      </c>
      <c r="D235" s="50">
        <f>COUNTIF('PF176'!Y10:Y185,"SDHC_CARD_DAT_3TO0_3 (0)")</f>
        <v>0</v>
      </c>
    </row>
    <row r="236" spans="2:4" x14ac:dyDescent="0.55000000000000004">
      <c r="B236" s="182"/>
      <c r="C236" s="11" t="s">
        <v>2588</v>
      </c>
      <c r="D236" s="50">
        <f>COUNTIF('PF176'!Y10:Y185,"SDHC_CARD_DAT_7TO4_0 (0)")</f>
        <v>0</v>
      </c>
    </row>
    <row r="237" spans="2:4" x14ac:dyDescent="0.55000000000000004">
      <c r="B237" s="182"/>
      <c r="C237" s="11" t="s">
        <v>2589</v>
      </c>
      <c r="D237" s="50">
        <f>COUNTIF('PF176'!Y10:Y185,"SDHC_CARD_DAT_7TO4_1 (0)")</f>
        <v>0</v>
      </c>
    </row>
    <row r="238" spans="2:4" x14ac:dyDescent="0.55000000000000004">
      <c r="B238" s="182"/>
      <c r="C238" s="11" t="s">
        <v>2590</v>
      </c>
      <c r="D238" s="50">
        <f>COUNTIF('PF176'!Y10:Y185,"SDHC_CARD_DAT_7TO4_2 (0)")</f>
        <v>0</v>
      </c>
    </row>
    <row r="239" spans="2:4" x14ac:dyDescent="0.55000000000000004">
      <c r="B239" s="182"/>
      <c r="C239" s="11" t="s">
        <v>2591</v>
      </c>
      <c r="D239" s="50">
        <f>COUNTIF('PF176'!Y10:Y185,"SDHC_CARD_DAT_7TO4_3 (0)")</f>
        <v>0</v>
      </c>
    </row>
    <row r="240" spans="2:4" x14ac:dyDescent="0.55000000000000004">
      <c r="B240" s="182"/>
      <c r="C240" s="11" t="s">
        <v>2592</v>
      </c>
      <c r="D240" s="50">
        <f>COUNTIF('PF176'!Y10:Y185,"SDHC_CARD_DETECT_N (1)")</f>
        <v>0</v>
      </c>
    </row>
    <row r="241" spans="2:4" x14ac:dyDescent="0.55000000000000004">
      <c r="B241" s="182"/>
      <c r="C241" s="11" t="s">
        <v>2593</v>
      </c>
      <c r="D241" s="50">
        <f>COUNTIF('PF176'!Y10:Y185,"SDHC_CARD_MECH_WRITE_PROT (1)")</f>
        <v>0</v>
      </c>
    </row>
    <row r="242" spans="2:4" x14ac:dyDescent="0.55000000000000004">
      <c r="B242" s="182"/>
      <c r="C242" s="11" t="s">
        <v>2594</v>
      </c>
      <c r="D242" s="50">
        <f>COUNTIF('PF176'!Y10:Y185,"SDHC_CLK_CARD (1)")</f>
        <v>0</v>
      </c>
    </row>
    <row r="243" spans="2:4" x14ac:dyDescent="0.55000000000000004">
      <c r="B243" s="182"/>
      <c r="C243" s="11" t="s">
        <v>2595</v>
      </c>
      <c r="D243" s="50">
        <f>COUNTIF('PF176'!Y10:Y185,"SDHC_CARD_CMD (1)")</f>
        <v>0</v>
      </c>
    </row>
    <row r="244" spans="2:4" x14ac:dyDescent="0.55000000000000004">
      <c r="B244" s="182"/>
      <c r="C244" s="11" t="s">
        <v>2596</v>
      </c>
      <c r="D244" s="50">
        <f>COUNTIF('PF176'!Y10:Y185,"SDHC_CARD_IF_PWR_EN (1)")</f>
        <v>0</v>
      </c>
    </row>
    <row r="245" spans="2:4" x14ac:dyDescent="0.55000000000000004">
      <c r="B245" s="182"/>
      <c r="C245" s="11" t="s">
        <v>2578</v>
      </c>
      <c r="D245" s="50">
        <f>COUNTIF('PF176'!Y10:Y185,"SDHC_CARD_DAT_3TO0_0 (1)")</f>
        <v>0</v>
      </c>
    </row>
    <row r="246" spans="2:4" x14ac:dyDescent="0.55000000000000004">
      <c r="B246" s="182"/>
      <c r="C246" s="11" t="s">
        <v>2577</v>
      </c>
      <c r="D246" s="50">
        <f>COUNTIF('PF176'!Y10:Y185,"SDHC_CARD_DAT_3TO0_1 (1)")</f>
        <v>0</v>
      </c>
    </row>
    <row r="247" spans="2:4" x14ac:dyDescent="0.55000000000000004">
      <c r="B247" s="182"/>
      <c r="C247" s="11" t="s">
        <v>2576</v>
      </c>
      <c r="D247" s="50">
        <f>COUNTIF('PF176'!Y10:Y185,"SDHC_CARD_DAT_3TO0_2 (1)")</f>
        <v>0</v>
      </c>
    </row>
    <row r="248" spans="2:4" x14ac:dyDescent="0.55000000000000004">
      <c r="B248" s="182"/>
      <c r="C248" s="11" t="s">
        <v>2575</v>
      </c>
      <c r="D248" s="50">
        <f>COUNTIF('PF176'!Y10:Y185,"SDHC_CARD_DAT_3TO0_3 (1)")</f>
        <v>0</v>
      </c>
    </row>
    <row r="249" spans="2:4" x14ac:dyDescent="0.55000000000000004">
      <c r="B249" s="182"/>
      <c r="C249" s="11" t="s">
        <v>2574</v>
      </c>
      <c r="D249" s="50">
        <f>COUNTIF('PF176'!Y10:Y185,"SDHC_CARD_DAT_7TO4_0 (1)")</f>
        <v>0</v>
      </c>
    </row>
    <row r="250" spans="2:4" x14ac:dyDescent="0.55000000000000004">
      <c r="B250" s="182"/>
      <c r="C250" s="11" t="s">
        <v>2573</v>
      </c>
      <c r="D250" s="50">
        <f>COUNTIF('PF176'!Y10:Y185,"SDHC_CARD_DAT_7TO4_1 (1)")</f>
        <v>0</v>
      </c>
    </row>
    <row r="251" spans="2:4" x14ac:dyDescent="0.55000000000000004">
      <c r="B251" s="182"/>
      <c r="C251" s="11" t="s">
        <v>2572</v>
      </c>
      <c r="D251" s="50">
        <f>COUNTIF('PF176'!Y10:Y185,"SDHC_CARD_DAT_7TO4_2 (1)")</f>
        <v>0</v>
      </c>
    </row>
    <row r="252" spans="2:4" x14ac:dyDescent="0.55000000000000004">
      <c r="B252" s="183"/>
      <c r="C252" s="11" t="s">
        <v>2571</v>
      </c>
      <c r="D252" s="50">
        <f>COUNTIF('PF176'!Y10:Y185,"SDHC_CARD_DAT_7TO4_3 (1)")</f>
        <v>0</v>
      </c>
    </row>
    <row r="253" spans="2:4" x14ac:dyDescent="0.55000000000000004">
      <c r="B253" s="67"/>
      <c r="C253" s="71"/>
    </row>
    <row r="254" spans="2:4" hidden="1" x14ac:dyDescent="0.55000000000000004">
      <c r="B254" s="59" t="s">
        <v>2570</v>
      </c>
      <c r="C254" s="59" t="s">
        <v>2560</v>
      </c>
      <c r="D254" s="48" t="s">
        <v>2642</v>
      </c>
    </row>
    <row r="255" spans="2:4" hidden="1" x14ac:dyDescent="0.55000000000000004">
      <c r="B255" s="61"/>
      <c r="C255" s="62">
        <v>0</v>
      </c>
      <c r="D255" s="62">
        <f>SUM(D227:D239)</f>
        <v>0</v>
      </c>
    </row>
    <row r="256" spans="2:4" hidden="1" x14ac:dyDescent="0.55000000000000004">
      <c r="B256" s="63"/>
      <c r="C256" s="62">
        <v>1</v>
      </c>
      <c r="D256" s="62">
        <f>SUM(D240:D252)</f>
        <v>0</v>
      </c>
    </row>
    <row r="257" spans="2:9" hidden="1" x14ac:dyDescent="0.55000000000000004">
      <c r="B257" s="65" t="s">
        <v>2564</v>
      </c>
      <c r="C257" s="66"/>
      <c r="D257" s="59">
        <f>COUNTIF(D255:D256, "&lt;&gt;0")</f>
        <v>0</v>
      </c>
    </row>
    <row r="258" spans="2:9" hidden="1" x14ac:dyDescent="0.55000000000000004"/>
    <row r="260" spans="2:9" x14ac:dyDescent="0.55000000000000004">
      <c r="B260" s="179" t="s">
        <v>2629</v>
      </c>
      <c r="C260" s="179"/>
      <c r="D260" s="179" t="s">
        <v>2645</v>
      </c>
      <c r="E260" s="179"/>
    </row>
    <row r="261" spans="2:9" x14ac:dyDescent="0.55000000000000004">
      <c r="B261" s="180" t="s">
        <v>380</v>
      </c>
      <c r="C261" s="27" t="s">
        <v>2636</v>
      </c>
      <c r="D261" s="181">
        <f>COUNTIF('PF176'!Y10:Y185,"FLEXRAY_RXDA")</f>
        <v>0</v>
      </c>
      <c r="E261" s="181"/>
    </row>
    <row r="262" spans="2:9" x14ac:dyDescent="0.55000000000000004">
      <c r="B262" s="180"/>
      <c r="C262" s="27" t="s">
        <v>2637</v>
      </c>
      <c r="D262" s="181">
        <f>COUNTIF('PF176'!Y10:Y185,"FLEXRAY_TXDA")</f>
        <v>0</v>
      </c>
      <c r="E262" s="181"/>
    </row>
    <row r="263" spans="2:9" x14ac:dyDescent="0.55000000000000004">
      <c r="B263" s="180"/>
      <c r="C263" s="27" t="s">
        <v>2638</v>
      </c>
      <c r="D263" s="181">
        <f>COUNTIF('PF176'!Y10:Y185,"FLEXRAY_TXENA_N")</f>
        <v>0</v>
      </c>
      <c r="E263" s="181"/>
    </row>
    <row r="264" spans="2:9" x14ac:dyDescent="0.55000000000000004">
      <c r="B264" s="180"/>
      <c r="C264" s="27" t="s">
        <v>2639</v>
      </c>
      <c r="D264" s="181">
        <f>COUNTIF('PF176'!Y10:Y185,"FLEXRAY_RXDB")</f>
        <v>0</v>
      </c>
      <c r="E264" s="181"/>
    </row>
    <row r="265" spans="2:9" x14ac:dyDescent="0.55000000000000004">
      <c r="B265" s="180"/>
      <c r="C265" s="27" t="s">
        <v>2640</v>
      </c>
      <c r="D265" s="181">
        <f>COUNTIF('PF176'!Y10:Y185,"FLEXRAY_TXDB")</f>
        <v>0</v>
      </c>
      <c r="E265" s="181"/>
    </row>
    <row r="266" spans="2:9" x14ac:dyDescent="0.55000000000000004">
      <c r="B266" s="180"/>
      <c r="C266" s="27" t="s">
        <v>2641</v>
      </c>
      <c r="D266" s="181">
        <f>COUNTIF('PF176'!Y10:Y185,"FLEXRAY_TXENB_N")</f>
        <v>0</v>
      </c>
      <c r="E266" s="181"/>
    </row>
    <row r="269" spans="2:9" x14ac:dyDescent="0.55000000000000004">
      <c r="B269" s="179" t="s">
        <v>2617</v>
      </c>
      <c r="C269" s="179"/>
      <c r="D269" s="184" t="s">
        <v>2618</v>
      </c>
      <c r="E269" s="185"/>
      <c r="F269" s="184" t="s">
        <v>2619</v>
      </c>
      <c r="G269" s="185"/>
      <c r="H269" s="184" t="s">
        <v>2620</v>
      </c>
      <c r="I269" s="185"/>
    </row>
    <row r="270" spans="2:9" x14ac:dyDescent="0.55000000000000004">
      <c r="B270" s="180" t="s">
        <v>380</v>
      </c>
      <c r="C270" s="27" t="s">
        <v>2621</v>
      </c>
      <c r="D270" s="186">
        <f>COUNTIF('PF176'!Y10:Y185,"AUDIOSS0_MCLK")</f>
        <v>0</v>
      </c>
      <c r="E270" s="187"/>
      <c r="F270" s="186">
        <f>COUNTIF('PF176'!Y10:Y185,"AUDIOSS1_MCLK")</f>
        <v>0</v>
      </c>
      <c r="G270" s="187"/>
      <c r="H270" s="186">
        <f>COUNTIF('PF176'!Y10:Y185,"AUDIOSS2_MCLK")</f>
        <v>0</v>
      </c>
      <c r="I270" s="187"/>
    </row>
    <row r="271" spans="2:9" x14ac:dyDescent="0.55000000000000004">
      <c r="B271" s="180"/>
      <c r="C271" s="27" t="s">
        <v>2622</v>
      </c>
      <c r="D271" s="186">
        <f>COUNTIF('PF176'!Y10:Y185,"AUDIOSS0_TX_SCK")</f>
        <v>0</v>
      </c>
      <c r="E271" s="187"/>
      <c r="F271" s="186">
        <f>COUNTIF('PF176'!Y10:Y185,"AUDIOSS1_TX_SCK")</f>
        <v>0</v>
      </c>
      <c r="G271" s="187"/>
      <c r="H271" s="186">
        <f>COUNTIF('PF176'!Y10:Y185,"AUDIOSS2_TX_SCK")</f>
        <v>0</v>
      </c>
      <c r="I271" s="187"/>
    </row>
    <row r="272" spans="2:9" x14ac:dyDescent="0.55000000000000004">
      <c r="B272" s="180"/>
      <c r="C272" s="27" t="s">
        <v>2623</v>
      </c>
      <c r="D272" s="186">
        <f>COUNTIF('PF176'!Y10:Y185,"AUDIOSS0_TX_WS")</f>
        <v>0</v>
      </c>
      <c r="E272" s="187"/>
      <c r="F272" s="186">
        <f>COUNTIF('PF176'!Y10:Y185,"AUDIOSS1_TX_WS")</f>
        <v>0</v>
      </c>
      <c r="G272" s="187"/>
      <c r="H272" s="186">
        <f>COUNTIF('PF176'!Y10:Y185,"AUDIOSS2_TX_WS")</f>
        <v>0</v>
      </c>
      <c r="I272" s="187"/>
    </row>
    <row r="273" spans="2:9" x14ac:dyDescent="0.55000000000000004">
      <c r="B273" s="180"/>
      <c r="C273" s="27" t="s">
        <v>2624</v>
      </c>
      <c r="D273" s="186">
        <f>COUNTIF('PF176'!Y10:Y185,"AUDIOSS0_TX_SDO")</f>
        <v>0</v>
      </c>
      <c r="E273" s="187"/>
      <c r="F273" s="186">
        <f>COUNTIF('PF176'!Y10:Y185,"AUDIOSS1_TX_SDO")</f>
        <v>0</v>
      </c>
      <c r="G273" s="187"/>
      <c r="H273" s="186">
        <f>COUNTIF('PF176'!Y10:Y185,"AUDIOSS2_TX_SDO")</f>
        <v>0</v>
      </c>
      <c r="I273" s="187"/>
    </row>
    <row r="274" spans="2:9" x14ac:dyDescent="0.55000000000000004">
      <c r="B274" s="180"/>
      <c r="C274" s="27" t="s">
        <v>2625</v>
      </c>
      <c r="D274" s="186">
        <f>COUNTIF('PF176'!Y10:Y185,"AUDIOSS0_CLK_I2S_IF")</f>
        <v>0</v>
      </c>
      <c r="E274" s="187"/>
      <c r="F274" s="186">
        <f>COUNTIF('PF176'!Y10:Y185,"AUDIOSS1_CLK_I2S_IF")</f>
        <v>0</v>
      </c>
      <c r="G274" s="187"/>
      <c r="H274" s="186">
        <f>COUNTIF('PF176'!Y10:Y185,"AUDIOSS2_CLK_I2S_IF")</f>
        <v>0</v>
      </c>
      <c r="I274" s="187"/>
    </row>
    <row r="275" spans="2:9" x14ac:dyDescent="0.55000000000000004">
      <c r="B275" s="180"/>
      <c r="C275" s="27" t="s">
        <v>2626</v>
      </c>
      <c r="D275" s="186">
        <f>COUNTIF('PF176'!Y10:Y185,"AUDIOSS0_RX_SCK")</f>
        <v>0</v>
      </c>
      <c r="E275" s="187"/>
      <c r="F275" s="186">
        <f>COUNTIF('PF176'!Y10:Y185,"AUDIOSS1_RX_SCK")</f>
        <v>0</v>
      </c>
      <c r="G275" s="187"/>
      <c r="H275" s="186">
        <f>COUNTIF('PF176'!Y10:Y185,"AUDIOSS2_RX_SCK")</f>
        <v>0</v>
      </c>
      <c r="I275" s="187"/>
    </row>
    <row r="276" spans="2:9" x14ac:dyDescent="0.55000000000000004">
      <c r="B276" s="180"/>
      <c r="C276" s="27" t="s">
        <v>2627</v>
      </c>
      <c r="D276" s="186">
        <f>COUNTIF('PF176'!Y10:Y185,"AUDIOSS0_RX_WS")</f>
        <v>0</v>
      </c>
      <c r="E276" s="187"/>
      <c r="F276" s="186">
        <f>COUNTIF('PF176'!Y10:Y185,"AUDIOSS1_RX_WS")</f>
        <v>0</v>
      </c>
      <c r="G276" s="187"/>
      <c r="H276" s="186">
        <f>COUNTIF('PF176'!Y10:Y185,"AUDIOSS2_RX_WS")</f>
        <v>0</v>
      </c>
      <c r="I276" s="187"/>
    </row>
    <row r="277" spans="2:9" x14ac:dyDescent="0.55000000000000004">
      <c r="B277" s="180"/>
      <c r="C277" s="27" t="s">
        <v>2628</v>
      </c>
      <c r="D277" s="186">
        <f>COUNTIF('PF176'!Y10:Y185,"AUDIOSS0_RX_SDI")</f>
        <v>0</v>
      </c>
      <c r="E277" s="187"/>
      <c r="F277" s="186">
        <f>COUNTIF('PF176'!Y10:Y185,"AUDIOSS1_RX_SDI")</f>
        <v>0</v>
      </c>
      <c r="G277" s="187"/>
      <c r="H277" s="186">
        <f>COUNTIF('PF176'!Y10:Y185,"AUDIOSS2_RX_SDI")</f>
        <v>0</v>
      </c>
      <c r="I277" s="187"/>
    </row>
  </sheetData>
  <sheetProtection algorithmName="SHA-512" hashValue="2pOBs7+/i4NUxrJcjAKU+PsfZFEurnCw28j5nVn3BfdMh2kOWIlb6dWl/Lqr9cn8npv528lE153FBeFgI69AMA==" saltValue="5HQ7sNsn7nyY2R3bQ1ja1w==" spinCount="100000" sheet="1" objects="1" scenarios="1" formatCells="0" formatColumns="0" formatRows="0" insertColumns="0" insertRows="0" insertHyperlinks="0" deleteColumns="0" deleteRows="0" selectLockedCells="1" sort="0" autoFilter="0" pivotTables="0"/>
  <mergeCells count="74">
    <mergeCell ref="D276:E276"/>
    <mergeCell ref="F276:G276"/>
    <mergeCell ref="H276:I276"/>
    <mergeCell ref="D277:E277"/>
    <mergeCell ref="F277:G277"/>
    <mergeCell ref="H277:I277"/>
    <mergeCell ref="H273:I273"/>
    <mergeCell ref="D274:E274"/>
    <mergeCell ref="F274:G274"/>
    <mergeCell ref="H274:I274"/>
    <mergeCell ref="D275:E275"/>
    <mergeCell ref="F275:G275"/>
    <mergeCell ref="H275:I275"/>
    <mergeCell ref="B269:C269"/>
    <mergeCell ref="D269:E269"/>
    <mergeCell ref="F269:G269"/>
    <mergeCell ref="H269:I269"/>
    <mergeCell ref="B270:B277"/>
    <mergeCell ref="D270:E270"/>
    <mergeCell ref="F270:G270"/>
    <mergeCell ref="H270:I270"/>
    <mergeCell ref="D271:E271"/>
    <mergeCell ref="F271:G271"/>
    <mergeCell ref="H271:I271"/>
    <mergeCell ref="D272:E272"/>
    <mergeCell ref="F272:G272"/>
    <mergeCell ref="H272:I272"/>
    <mergeCell ref="D273:E273"/>
    <mergeCell ref="F273:G273"/>
    <mergeCell ref="B226:C226"/>
    <mergeCell ref="B227:B252"/>
    <mergeCell ref="B260:C260"/>
    <mergeCell ref="D260:E260"/>
    <mergeCell ref="B261:B266"/>
    <mergeCell ref="D261:E261"/>
    <mergeCell ref="D262:E262"/>
    <mergeCell ref="D263:E263"/>
    <mergeCell ref="D264:E264"/>
    <mergeCell ref="D265:E265"/>
    <mergeCell ref="D266:E266"/>
    <mergeCell ref="B176:C176"/>
    <mergeCell ref="B177:B218"/>
    <mergeCell ref="B98:B99"/>
    <mergeCell ref="B101:C101"/>
    <mergeCell ref="B102:B103"/>
    <mergeCell ref="B104:B105"/>
    <mergeCell ref="B108:C108"/>
    <mergeCell ref="B109:B141"/>
    <mergeCell ref="B144:C144"/>
    <mergeCell ref="B145:B168"/>
    <mergeCell ref="B96:B97"/>
    <mergeCell ref="B74:B75"/>
    <mergeCell ref="B77:C77"/>
    <mergeCell ref="B78:B79"/>
    <mergeCell ref="B80:B81"/>
    <mergeCell ref="B83:C83"/>
    <mergeCell ref="B84:B85"/>
    <mergeCell ref="B86:B87"/>
    <mergeCell ref="B89:C89"/>
    <mergeCell ref="B90:B91"/>
    <mergeCell ref="B92:B93"/>
    <mergeCell ref="B95:C95"/>
    <mergeCell ref="B72:B73"/>
    <mergeCell ref="B7:C7"/>
    <mergeCell ref="B8:B9"/>
    <mergeCell ref="B11:C11"/>
    <mergeCell ref="B12:B13"/>
    <mergeCell ref="B16:C16"/>
    <mergeCell ref="B17:B19"/>
    <mergeCell ref="B22:C22"/>
    <mergeCell ref="B23:B43"/>
    <mergeCell ref="B44:B51"/>
    <mergeCell ref="B52:B57"/>
    <mergeCell ref="B71:C71"/>
  </mergeCells>
  <phoneticPr fontId="3"/>
  <conditionalFormatting sqref="D261:D266 F261:I266 D270:D277 F270:I277">
    <cfRule type="cellIs" dxfId="5" priority="6" operator="notEqual">
      <formula>0</formula>
    </cfRule>
  </conditionalFormatting>
  <conditionalFormatting sqref="D261:D266 F261:I266 D270:I277">
    <cfRule type="cellIs" dxfId="4" priority="4" operator="greaterThanOrEqual">
      <formula>2</formula>
    </cfRule>
  </conditionalFormatting>
  <conditionalFormatting sqref="D72:F75 D78:CI82 D84:F87">
    <cfRule type="cellIs" dxfId="3" priority="31" operator="notEqual">
      <formula>0</formula>
    </cfRule>
    <cfRule type="cellIs" dxfId="2" priority="32" operator="greaterThanOrEqual">
      <formula>2</formula>
    </cfRule>
  </conditionalFormatting>
  <conditionalFormatting sqref="D8:H9 G12:H14 D12:F15 L17:W20 D17:K21 D23:N58 D69:N69 D90:O94 D96:G99 D100:O100 D102:P106 D109:F143 D145:E169 D174:F174 D177:E218 D227:E253">
    <cfRule type="cellIs" dxfId="1" priority="55" operator="greaterThanOrEqual">
      <formula>2</formula>
    </cfRule>
    <cfRule type="cellIs" dxfId="0" priority="62" operator="notEqual">
      <formula>0</formula>
    </cfRule>
  </conditionalFormatting>
  <pageMargins left="0.7" right="0.7" top="0.75" bottom="0.75" header="0.3" footer="0.3"/>
  <pageSetup paperSize="9" orientation="portrait" r:id="rId1"/>
  <ignoredErrors>
    <ignoredError sqref="D8:H9 D12:H13 D17:W19 D23:N57 D60:N68 D72:F75 D78:CI81 D84:F87 D90:O93 D96:F99 D104:P105 D109:F141 D145:D168 D177:E218 D221:E223 D227:D252 D255:D257 D261:E266 D270:I277 D102:F102 G102:P102 D103:E103 F103:P103" unlockedFormula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4E2B1-0299-4F35-9213-AA4CE5C59988}">
  <dimension ref="A1:BC56"/>
  <sheetViews>
    <sheetView topLeftCell="B1" zoomScale="70" zoomScaleNormal="70" workbookViewId="0">
      <selection activeCell="AQ7" sqref="AQ7"/>
    </sheetView>
  </sheetViews>
  <sheetFormatPr defaultRowHeight="10" x14ac:dyDescent="0.55000000000000004"/>
  <cols>
    <col min="1" max="2" width="8.6640625" style="46"/>
    <col min="3" max="3" width="25.9140625" style="46" bestFit="1" customWidth="1"/>
    <col min="4" max="5" width="3.33203125" style="46" customWidth="1"/>
    <col min="6" max="49" width="2.4140625" style="46" customWidth="1"/>
    <col min="50" max="51" width="3.33203125" style="46" customWidth="1"/>
    <col min="52" max="52" width="25.9140625" style="46" customWidth="1"/>
    <col min="53" max="55" width="8.58203125" style="46" customWidth="1"/>
    <col min="56" max="277" width="8.6640625" style="46"/>
    <col min="278" max="278" width="14.33203125" style="46" customWidth="1"/>
    <col min="279" max="280" width="3.33203125" style="46" customWidth="1"/>
    <col min="281" max="305" width="2.4140625" style="46" customWidth="1"/>
    <col min="306" max="307" width="3.33203125" style="46" customWidth="1"/>
    <col min="308" max="308" width="14.33203125" style="46" customWidth="1"/>
    <col min="309" max="533" width="8.6640625" style="46"/>
    <col min="534" max="534" width="14.33203125" style="46" customWidth="1"/>
    <col min="535" max="536" width="3.33203125" style="46" customWidth="1"/>
    <col min="537" max="561" width="2.4140625" style="46" customWidth="1"/>
    <col min="562" max="563" width="3.33203125" style="46" customWidth="1"/>
    <col min="564" max="564" width="14.33203125" style="46" customWidth="1"/>
    <col min="565" max="789" width="8.6640625" style="46"/>
    <col min="790" max="790" width="14.33203125" style="46" customWidth="1"/>
    <col min="791" max="792" width="3.33203125" style="46" customWidth="1"/>
    <col min="793" max="817" width="2.4140625" style="46" customWidth="1"/>
    <col min="818" max="819" width="3.33203125" style="46" customWidth="1"/>
    <col min="820" max="820" width="14.33203125" style="46" customWidth="1"/>
    <col min="821" max="1045" width="8.6640625" style="46"/>
    <col min="1046" max="1046" width="14.33203125" style="46" customWidth="1"/>
    <col min="1047" max="1048" width="3.33203125" style="46" customWidth="1"/>
    <col min="1049" max="1073" width="2.4140625" style="46" customWidth="1"/>
    <col min="1074" max="1075" width="3.33203125" style="46" customWidth="1"/>
    <col min="1076" max="1076" width="14.33203125" style="46" customWidth="1"/>
    <col min="1077" max="1301" width="8.6640625" style="46"/>
    <col min="1302" max="1302" width="14.33203125" style="46" customWidth="1"/>
    <col min="1303" max="1304" width="3.33203125" style="46" customWidth="1"/>
    <col min="1305" max="1329" width="2.4140625" style="46" customWidth="1"/>
    <col min="1330" max="1331" width="3.33203125" style="46" customWidth="1"/>
    <col min="1332" max="1332" width="14.33203125" style="46" customWidth="1"/>
    <col min="1333" max="1557" width="8.6640625" style="46"/>
    <col min="1558" max="1558" width="14.33203125" style="46" customWidth="1"/>
    <col min="1559" max="1560" width="3.33203125" style="46" customWidth="1"/>
    <col min="1561" max="1585" width="2.4140625" style="46" customWidth="1"/>
    <col min="1586" max="1587" width="3.33203125" style="46" customWidth="1"/>
    <col min="1588" max="1588" width="14.33203125" style="46" customWidth="1"/>
    <col min="1589" max="1813" width="8.6640625" style="46"/>
    <col min="1814" max="1814" width="14.33203125" style="46" customWidth="1"/>
    <col min="1815" max="1816" width="3.33203125" style="46" customWidth="1"/>
    <col min="1817" max="1841" width="2.4140625" style="46" customWidth="1"/>
    <col min="1842" max="1843" width="3.33203125" style="46" customWidth="1"/>
    <col min="1844" max="1844" width="14.33203125" style="46" customWidth="1"/>
    <col min="1845" max="2069" width="8.6640625" style="46"/>
    <col min="2070" max="2070" width="14.33203125" style="46" customWidth="1"/>
    <col min="2071" max="2072" width="3.33203125" style="46" customWidth="1"/>
    <col min="2073" max="2097" width="2.4140625" style="46" customWidth="1"/>
    <col min="2098" max="2099" width="3.33203125" style="46" customWidth="1"/>
    <col min="2100" max="2100" width="14.33203125" style="46" customWidth="1"/>
    <col min="2101" max="2325" width="8.6640625" style="46"/>
    <col min="2326" max="2326" width="14.33203125" style="46" customWidth="1"/>
    <col min="2327" max="2328" width="3.33203125" style="46" customWidth="1"/>
    <col min="2329" max="2353" width="2.4140625" style="46" customWidth="1"/>
    <col min="2354" max="2355" width="3.33203125" style="46" customWidth="1"/>
    <col min="2356" max="2356" width="14.33203125" style="46" customWidth="1"/>
    <col min="2357" max="2581" width="8.6640625" style="46"/>
    <col min="2582" max="2582" width="14.33203125" style="46" customWidth="1"/>
    <col min="2583" max="2584" width="3.33203125" style="46" customWidth="1"/>
    <col min="2585" max="2609" width="2.4140625" style="46" customWidth="1"/>
    <col min="2610" max="2611" width="3.33203125" style="46" customWidth="1"/>
    <col min="2612" max="2612" width="14.33203125" style="46" customWidth="1"/>
    <col min="2613" max="2837" width="8.6640625" style="46"/>
    <col min="2838" max="2838" width="14.33203125" style="46" customWidth="1"/>
    <col min="2839" max="2840" width="3.33203125" style="46" customWidth="1"/>
    <col min="2841" max="2865" width="2.4140625" style="46" customWidth="1"/>
    <col min="2866" max="2867" width="3.33203125" style="46" customWidth="1"/>
    <col min="2868" max="2868" width="14.33203125" style="46" customWidth="1"/>
    <col min="2869" max="3093" width="8.6640625" style="46"/>
    <col min="3094" max="3094" width="14.33203125" style="46" customWidth="1"/>
    <col min="3095" max="3096" width="3.33203125" style="46" customWidth="1"/>
    <col min="3097" max="3121" width="2.4140625" style="46" customWidth="1"/>
    <col min="3122" max="3123" width="3.33203125" style="46" customWidth="1"/>
    <col min="3124" max="3124" width="14.33203125" style="46" customWidth="1"/>
    <col min="3125" max="3349" width="8.6640625" style="46"/>
    <col min="3350" max="3350" width="14.33203125" style="46" customWidth="1"/>
    <col min="3351" max="3352" width="3.33203125" style="46" customWidth="1"/>
    <col min="3353" max="3377" width="2.4140625" style="46" customWidth="1"/>
    <col min="3378" max="3379" width="3.33203125" style="46" customWidth="1"/>
    <col min="3380" max="3380" width="14.33203125" style="46" customWidth="1"/>
    <col min="3381" max="3605" width="8.6640625" style="46"/>
    <col min="3606" max="3606" width="14.33203125" style="46" customWidth="1"/>
    <col min="3607" max="3608" width="3.33203125" style="46" customWidth="1"/>
    <col min="3609" max="3633" width="2.4140625" style="46" customWidth="1"/>
    <col min="3634" max="3635" width="3.33203125" style="46" customWidth="1"/>
    <col min="3636" max="3636" width="14.33203125" style="46" customWidth="1"/>
    <col min="3637" max="3861" width="8.6640625" style="46"/>
    <col min="3862" max="3862" width="14.33203125" style="46" customWidth="1"/>
    <col min="3863" max="3864" width="3.33203125" style="46" customWidth="1"/>
    <col min="3865" max="3889" width="2.4140625" style="46" customWidth="1"/>
    <col min="3890" max="3891" width="3.33203125" style="46" customWidth="1"/>
    <col min="3892" max="3892" width="14.33203125" style="46" customWidth="1"/>
    <col min="3893" max="4117" width="8.6640625" style="46"/>
    <col min="4118" max="4118" width="14.33203125" style="46" customWidth="1"/>
    <col min="4119" max="4120" width="3.33203125" style="46" customWidth="1"/>
    <col min="4121" max="4145" width="2.4140625" style="46" customWidth="1"/>
    <col min="4146" max="4147" width="3.33203125" style="46" customWidth="1"/>
    <col min="4148" max="4148" width="14.33203125" style="46" customWidth="1"/>
    <col min="4149" max="4373" width="8.6640625" style="46"/>
    <col min="4374" max="4374" width="14.33203125" style="46" customWidth="1"/>
    <col min="4375" max="4376" width="3.33203125" style="46" customWidth="1"/>
    <col min="4377" max="4401" width="2.4140625" style="46" customWidth="1"/>
    <col min="4402" max="4403" width="3.33203125" style="46" customWidth="1"/>
    <col min="4404" max="4404" width="14.33203125" style="46" customWidth="1"/>
    <col min="4405" max="4629" width="8.6640625" style="46"/>
    <col min="4630" max="4630" width="14.33203125" style="46" customWidth="1"/>
    <col min="4631" max="4632" width="3.33203125" style="46" customWidth="1"/>
    <col min="4633" max="4657" width="2.4140625" style="46" customWidth="1"/>
    <col min="4658" max="4659" width="3.33203125" style="46" customWidth="1"/>
    <col min="4660" max="4660" width="14.33203125" style="46" customWidth="1"/>
    <col min="4661" max="4885" width="8.6640625" style="46"/>
    <col min="4886" max="4886" width="14.33203125" style="46" customWidth="1"/>
    <col min="4887" max="4888" width="3.33203125" style="46" customWidth="1"/>
    <col min="4889" max="4913" width="2.4140625" style="46" customWidth="1"/>
    <col min="4914" max="4915" width="3.33203125" style="46" customWidth="1"/>
    <col min="4916" max="4916" width="14.33203125" style="46" customWidth="1"/>
    <col min="4917" max="5141" width="8.6640625" style="46"/>
    <col min="5142" max="5142" width="14.33203125" style="46" customWidth="1"/>
    <col min="5143" max="5144" width="3.33203125" style="46" customWidth="1"/>
    <col min="5145" max="5169" width="2.4140625" style="46" customWidth="1"/>
    <col min="5170" max="5171" width="3.33203125" style="46" customWidth="1"/>
    <col min="5172" max="5172" width="14.33203125" style="46" customWidth="1"/>
    <col min="5173" max="5397" width="8.6640625" style="46"/>
    <col min="5398" max="5398" width="14.33203125" style="46" customWidth="1"/>
    <col min="5399" max="5400" width="3.33203125" style="46" customWidth="1"/>
    <col min="5401" max="5425" width="2.4140625" style="46" customWidth="1"/>
    <col min="5426" max="5427" width="3.33203125" style="46" customWidth="1"/>
    <col min="5428" max="5428" width="14.33203125" style="46" customWidth="1"/>
    <col min="5429" max="5653" width="8.6640625" style="46"/>
    <col min="5654" max="5654" width="14.33203125" style="46" customWidth="1"/>
    <col min="5655" max="5656" width="3.33203125" style="46" customWidth="1"/>
    <col min="5657" max="5681" width="2.4140625" style="46" customWidth="1"/>
    <col min="5682" max="5683" width="3.33203125" style="46" customWidth="1"/>
    <col min="5684" max="5684" width="14.33203125" style="46" customWidth="1"/>
    <col min="5685" max="5909" width="8.6640625" style="46"/>
    <col min="5910" max="5910" width="14.33203125" style="46" customWidth="1"/>
    <col min="5911" max="5912" width="3.33203125" style="46" customWidth="1"/>
    <col min="5913" max="5937" width="2.4140625" style="46" customWidth="1"/>
    <col min="5938" max="5939" width="3.33203125" style="46" customWidth="1"/>
    <col min="5940" max="5940" width="14.33203125" style="46" customWidth="1"/>
    <col min="5941" max="6165" width="8.6640625" style="46"/>
    <col min="6166" max="6166" width="14.33203125" style="46" customWidth="1"/>
    <col min="6167" max="6168" width="3.33203125" style="46" customWidth="1"/>
    <col min="6169" max="6193" width="2.4140625" style="46" customWidth="1"/>
    <col min="6194" max="6195" width="3.33203125" style="46" customWidth="1"/>
    <col min="6196" max="6196" width="14.33203125" style="46" customWidth="1"/>
    <col min="6197" max="6421" width="8.6640625" style="46"/>
    <col min="6422" max="6422" width="14.33203125" style="46" customWidth="1"/>
    <col min="6423" max="6424" width="3.33203125" style="46" customWidth="1"/>
    <col min="6425" max="6449" width="2.4140625" style="46" customWidth="1"/>
    <col min="6450" max="6451" width="3.33203125" style="46" customWidth="1"/>
    <col min="6452" max="6452" width="14.33203125" style="46" customWidth="1"/>
    <col min="6453" max="6677" width="8.6640625" style="46"/>
    <col min="6678" max="6678" width="14.33203125" style="46" customWidth="1"/>
    <col min="6679" max="6680" width="3.33203125" style="46" customWidth="1"/>
    <col min="6681" max="6705" width="2.4140625" style="46" customWidth="1"/>
    <col min="6706" max="6707" width="3.33203125" style="46" customWidth="1"/>
    <col min="6708" max="6708" width="14.33203125" style="46" customWidth="1"/>
    <col min="6709" max="6933" width="8.6640625" style="46"/>
    <col min="6934" max="6934" width="14.33203125" style="46" customWidth="1"/>
    <col min="6935" max="6936" width="3.33203125" style="46" customWidth="1"/>
    <col min="6937" max="6961" width="2.4140625" style="46" customWidth="1"/>
    <col min="6962" max="6963" width="3.33203125" style="46" customWidth="1"/>
    <col min="6964" max="6964" width="14.33203125" style="46" customWidth="1"/>
    <col min="6965" max="7189" width="8.6640625" style="46"/>
    <col min="7190" max="7190" width="14.33203125" style="46" customWidth="1"/>
    <col min="7191" max="7192" width="3.33203125" style="46" customWidth="1"/>
    <col min="7193" max="7217" width="2.4140625" style="46" customWidth="1"/>
    <col min="7218" max="7219" width="3.33203125" style="46" customWidth="1"/>
    <col min="7220" max="7220" width="14.33203125" style="46" customWidth="1"/>
    <col min="7221" max="7445" width="8.6640625" style="46"/>
    <col min="7446" max="7446" width="14.33203125" style="46" customWidth="1"/>
    <col min="7447" max="7448" width="3.33203125" style="46" customWidth="1"/>
    <col min="7449" max="7473" width="2.4140625" style="46" customWidth="1"/>
    <col min="7474" max="7475" width="3.33203125" style="46" customWidth="1"/>
    <col min="7476" max="7476" width="14.33203125" style="46" customWidth="1"/>
    <col min="7477" max="7701" width="8.6640625" style="46"/>
    <col min="7702" max="7702" width="14.33203125" style="46" customWidth="1"/>
    <col min="7703" max="7704" width="3.33203125" style="46" customWidth="1"/>
    <col min="7705" max="7729" width="2.4140625" style="46" customWidth="1"/>
    <col min="7730" max="7731" width="3.33203125" style="46" customWidth="1"/>
    <col min="7732" max="7732" width="14.33203125" style="46" customWidth="1"/>
    <col min="7733" max="7957" width="8.6640625" style="46"/>
    <col min="7958" max="7958" width="14.33203125" style="46" customWidth="1"/>
    <col min="7959" max="7960" width="3.33203125" style="46" customWidth="1"/>
    <col min="7961" max="7985" width="2.4140625" style="46" customWidth="1"/>
    <col min="7986" max="7987" width="3.33203125" style="46" customWidth="1"/>
    <col min="7988" max="7988" width="14.33203125" style="46" customWidth="1"/>
    <col min="7989" max="8213" width="8.6640625" style="46"/>
    <col min="8214" max="8214" width="14.33203125" style="46" customWidth="1"/>
    <col min="8215" max="8216" width="3.33203125" style="46" customWidth="1"/>
    <col min="8217" max="8241" width="2.4140625" style="46" customWidth="1"/>
    <col min="8242" max="8243" width="3.33203125" style="46" customWidth="1"/>
    <col min="8244" max="8244" width="14.33203125" style="46" customWidth="1"/>
    <col min="8245" max="8469" width="8.6640625" style="46"/>
    <col min="8470" max="8470" width="14.33203125" style="46" customWidth="1"/>
    <col min="8471" max="8472" width="3.33203125" style="46" customWidth="1"/>
    <col min="8473" max="8497" width="2.4140625" style="46" customWidth="1"/>
    <col min="8498" max="8499" width="3.33203125" style="46" customWidth="1"/>
    <col min="8500" max="8500" width="14.33203125" style="46" customWidth="1"/>
    <col min="8501" max="8725" width="8.6640625" style="46"/>
    <col min="8726" max="8726" width="14.33203125" style="46" customWidth="1"/>
    <col min="8727" max="8728" width="3.33203125" style="46" customWidth="1"/>
    <col min="8729" max="8753" width="2.4140625" style="46" customWidth="1"/>
    <col min="8754" max="8755" width="3.33203125" style="46" customWidth="1"/>
    <col min="8756" max="8756" width="14.33203125" style="46" customWidth="1"/>
    <col min="8757" max="8981" width="8.6640625" style="46"/>
    <col min="8982" max="8982" width="14.33203125" style="46" customWidth="1"/>
    <col min="8983" max="8984" width="3.33203125" style="46" customWidth="1"/>
    <col min="8985" max="9009" width="2.4140625" style="46" customWidth="1"/>
    <col min="9010" max="9011" width="3.33203125" style="46" customWidth="1"/>
    <col min="9012" max="9012" width="14.33203125" style="46" customWidth="1"/>
    <col min="9013" max="9237" width="8.6640625" style="46"/>
    <col min="9238" max="9238" width="14.33203125" style="46" customWidth="1"/>
    <col min="9239" max="9240" width="3.33203125" style="46" customWidth="1"/>
    <col min="9241" max="9265" width="2.4140625" style="46" customWidth="1"/>
    <col min="9266" max="9267" width="3.33203125" style="46" customWidth="1"/>
    <col min="9268" max="9268" width="14.33203125" style="46" customWidth="1"/>
    <col min="9269" max="9493" width="8.6640625" style="46"/>
    <col min="9494" max="9494" width="14.33203125" style="46" customWidth="1"/>
    <col min="9495" max="9496" width="3.33203125" style="46" customWidth="1"/>
    <col min="9497" max="9521" width="2.4140625" style="46" customWidth="1"/>
    <col min="9522" max="9523" width="3.33203125" style="46" customWidth="1"/>
    <col min="9524" max="9524" width="14.33203125" style="46" customWidth="1"/>
    <col min="9525" max="9749" width="8.6640625" style="46"/>
    <col min="9750" max="9750" width="14.33203125" style="46" customWidth="1"/>
    <col min="9751" max="9752" width="3.33203125" style="46" customWidth="1"/>
    <col min="9753" max="9777" width="2.4140625" style="46" customWidth="1"/>
    <col min="9778" max="9779" width="3.33203125" style="46" customWidth="1"/>
    <col min="9780" max="9780" width="14.33203125" style="46" customWidth="1"/>
    <col min="9781" max="10005" width="8.6640625" style="46"/>
    <col min="10006" max="10006" width="14.33203125" style="46" customWidth="1"/>
    <col min="10007" max="10008" width="3.33203125" style="46" customWidth="1"/>
    <col min="10009" max="10033" width="2.4140625" style="46" customWidth="1"/>
    <col min="10034" max="10035" width="3.33203125" style="46" customWidth="1"/>
    <col min="10036" max="10036" width="14.33203125" style="46" customWidth="1"/>
    <col min="10037" max="10261" width="8.6640625" style="46"/>
    <col min="10262" max="10262" width="14.33203125" style="46" customWidth="1"/>
    <col min="10263" max="10264" width="3.33203125" style="46" customWidth="1"/>
    <col min="10265" max="10289" width="2.4140625" style="46" customWidth="1"/>
    <col min="10290" max="10291" width="3.33203125" style="46" customWidth="1"/>
    <col min="10292" max="10292" width="14.33203125" style="46" customWidth="1"/>
    <col min="10293" max="10517" width="8.6640625" style="46"/>
    <col min="10518" max="10518" width="14.33203125" style="46" customWidth="1"/>
    <col min="10519" max="10520" width="3.33203125" style="46" customWidth="1"/>
    <col min="10521" max="10545" width="2.4140625" style="46" customWidth="1"/>
    <col min="10546" max="10547" width="3.33203125" style="46" customWidth="1"/>
    <col min="10548" max="10548" width="14.33203125" style="46" customWidth="1"/>
    <col min="10549" max="10773" width="8.6640625" style="46"/>
    <col min="10774" max="10774" width="14.33203125" style="46" customWidth="1"/>
    <col min="10775" max="10776" width="3.33203125" style="46" customWidth="1"/>
    <col min="10777" max="10801" width="2.4140625" style="46" customWidth="1"/>
    <col min="10802" max="10803" width="3.33203125" style="46" customWidth="1"/>
    <col min="10804" max="10804" width="14.33203125" style="46" customWidth="1"/>
    <col min="10805" max="11029" width="8.6640625" style="46"/>
    <col min="11030" max="11030" width="14.33203125" style="46" customWidth="1"/>
    <col min="11031" max="11032" width="3.33203125" style="46" customWidth="1"/>
    <col min="11033" max="11057" width="2.4140625" style="46" customWidth="1"/>
    <col min="11058" max="11059" width="3.33203125" style="46" customWidth="1"/>
    <col min="11060" max="11060" width="14.33203125" style="46" customWidth="1"/>
    <col min="11061" max="11285" width="8.6640625" style="46"/>
    <col min="11286" max="11286" width="14.33203125" style="46" customWidth="1"/>
    <col min="11287" max="11288" width="3.33203125" style="46" customWidth="1"/>
    <col min="11289" max="11313" width="2.4140625" style="46" customWidth="1"/>
    <col min="11314" max="11315" width="3.33203125" style="46" customWidth="1"/>
    <col min="11316" max="11316" width="14.33203125" style="46" customWidth="1"/>
    <col min="11317" max="11541" width="8.6640625" style="46"/>
    <col min="11542" max="11542" width="14.33203125" style="46" customWidth="1"/>
    <col min="11543" max="11544" width="3.33203125" style="46" customWidth="1"/>
    <col min="11545" max="11569" width="2.4140625" style="46" customWidth="1"/>
    <col min="11570" max="11571" width="3.33203125" style="46" customWidth="1"/>
    <col min="11572" max="11572" width="14.33203125" style="46" customWidth="1"/>
    <col min="11573" max="11797" width="8.6640625" style="46"/>
    <col min="11798" max="11798" width="14.33203125" style="46" customWidth="1"/>
    <col min="11799" max="11800" width="3.33203125" style="46" customWidth="1"/>
    <col min="11801" max="11825" width="2.4140625" style="46" customWidth="1"/>
    <col min="11826" max="11827" width="3.33203125" style="46" customWidth="1"/>
    <col min="11828" max="11828" width="14.33203125" style="46" customWidth="1"/>
    <col min="11829" max="12053" width="8.6640625" style="46"/>
    <col min="12054" max="12054" width="14.33203125" style="46" customWidth="1"/>
    <col min="12055" max="12056" width="3.33203125" style="46" customWidth="1"/>
    <col min="12057" max="12081" width="2.4140625" style="46" customWidth="1"/>
    <col min="12082" max="12083" width="3.33203125" style="46" customWidth="1"/>
    <col min="12084" max="12084" width="14.33203125" style="46" customWidth="1"/>
    <col min="12085" max="12309" width="8.6640625" style="46"/>
    <col min="12310" max="12310" width="14.33203125" style="46" customWidth="1"/>
    <col min="12311" max="12312" width="3.33203125" style="46" customWidth="1"/>
    <col min="12313" max="12337" width="2.4140625" style="46" customWidth="1"/>
    <col min="12338" max="12339" width="3.33203125" style="46" customWidth="1"/>
    <col min="12340" max="12340" width="14.33203125" style="46" customWidth="1"/>
    <col min="12341" max="12565" width="8.6640625" style="46"/>
    <col min="12566" max="12566" width="14.33203125" style="46" customWidth="1"/>
    <col min="12567" max="12568" width="3.33203125" style="46" customWidth="1"/>
    <col min="12569" max="12593" width="2.4140625" style="46" customWidth="1"/>
    <col min="12594" max="12595" width="3.33203125" style="46" customWidth="1"/>
    <col min="12596" max="12596" width="14.33203125" style="46" customWidth="1"/>
    <col min="12597" max="12821" width="8.6640625" style="46"/>
    <col min="12822" max="12822" width="14.33203125" style="46" customWidth="1"/>
    <col min="12823" max="12824" width="3.33203125" style="46" customWidth="1"/>
    <col min="12825" max="12849" width="2.4140625" style="46" customWidth="1"/>
    <col min="12850" max="12851" width="3.33203125" style="46" customWidth="1"/>
    <col min="12852" max="12852" width="14.33203125" style="46" customWidth="1"/>
    <col min="12853" max="13077" width="8.6640625" style="46"/>
    <col min="13078" max="13078" width="14.33203125" style="46" customWidth="1"/>
    <col min="13079" max="13080" width="3.33203125" style="46" customWidth="1"/>
    <col min="13081" max="13105" width="2.4140625" style="46" customWidth="1"/>
    <col min="13106" max="13107" width="3.33203125" style="46" customWidth="1"/>
    <col min="13108" max="13108" width="14.33203125" style="46" customWidth="1"/>
    <col min="13109" max="13333" width="8.6640625" style="46"/>
    <col min="13334" max="13334" width="14.33203125" style="46" customWidth="1"/>
    <col min="13335" max="13336" width="3.33203125" style="46" customWidth="1"/>
    <col min="13337" max="13361" width="2.4140625" style="46" customWidth="1"/>
    <col min="13362" max="13363" width="3.33203125" style="46" customWidth="1"/>
    <col min="13364" max="13364" width="14.33203125" style="46" customWidth="1"/>
    <col min="13365" max="13589" width="8.6640625" style="46"/>
    <col min="13590" max="13590" width="14.33203125" style="46" customWidth="1"/>
    <col min="13591" max="13592" width="3.33203125" style="46" customWidth="1"/>
    <col min="13593" max="13617" width="2.4140625" style="46" customWidth="1"/>
    <col min="13618" max="13619" width="3.33203125" style="46" customWidth="1"/>
    <col min="13620" max="13620" width="14.33203125" style="46" customWidth="1"/>
    <col min="13621" max="13845" width="8.6640625" style="46"/>
    <col min="13846" max="13846" width="14.33203125" style="46" customWidth="1"/>
    <col min="13847" max="13848" width="3.33203125" style="46" customWidth="1"/>
    <col min="13849" max="13873" width="2.4140625" style="46" customWidth="1"/>
    <col min="13874" max="13875" width="3.33203125" style="46" customWidth="1"/>
    <col min="13876" max="13876" width="14.33203125" style="46" customWidth="1"/>
    <col min="13877" max="14101" width="8.6640625" style="46"/>
    <col min="14102" max="14102" width="14.33203125" style="46" customWidth="1"/>
    <col min="14103" max="14104" width="3.33203125" style="46" customWidth="1"/>
    <col min="14105" max="14129" width="2.4140625" style="46" customWidth="1"/>
    <col min="14130" max="14131" width="3.33203125" style="46" customWidth="1"/>
    <col min="14132" max="14132" width="14.33203125" style="46" customWidth="1"/>
    <col min="14133" max="14357" width="8.6640625" style="46"/>
    <col min="14358" max="14358" width="14.33203125" style="46" customWidth="1"/>
    <col min="14359" max="14360" width="3.33203125" style="46" customWidth="1"/>
    <col min="14361" max="14385" width="2.4140625" style="46" customWidth="1"/>
    <col min="14386" max="14387" width="3.33203125" style="46" customWidth="1"/>
    <col min="14388" max="14388" width="14.33203125" style="46" customWidth="1"/>
    <col min="14389" max="14613" width="8.6640625" style="46"/>
    <col min="14614" max="14614" width="14.33203125" style="46" customWidth="1"/>
    <col min="14615" max="14616" width="3.33203125" style="46" customWidth="1"/>
    <col min="14617" max="14641" width="2.4140625" style="46" customWidth="1"/>
    <col min="14642" max="14643" width="3.33203125" style="46" customWidth="1"/>
    <col min="14644" max="14644" width="14.33203125" style="46" customWidth="1"/>
    <col min="14645" max="14869" width="8.6640625" style="46"/>
    <col min="14870" max="14870" width="14.33203125" style="46" customWidth="1"/>
    <col min="14871" max="14872" width="3.33203125" style="46" customWidth="1"/>
    <col min="14873" max="14897" width="2.4140625" style="46" customWidth="1"/>
    <col min="14898" max="14899" width="3.33203125" style="46" customWidth="1"/>
    <col min="14900" max="14900" width="14.33203125" style="46" customWidth="1"/>
    <col min="14901" max="15125" width="8.6640625" style="46"/>
    <col min="15126" max="15126" width="14.33203125" style="46" customWidth="1"/>
    <col min="15127" max="15128" width="3.33203125" style="46" customWidth="1"/>
    <col min="15129" max="15153" width="2.4140625" style="46" customWidth="1"/>
    <col min="15154" max="15155" width="3.33203125" style="46" customWidth="1"/>
    <col min="15156" max="15156" width="14.33203125" style="46" customWidth="1"/>
    <col min="15157" max="15381" width="8.6640625" style="46"/>
    <col min="15382" max="15382" width="14.33203125" style="46" customWidth="1"/>
    <col min="15383" max="15384" width="3.33203125" style="46" customWidth="1"/>
    <col min="15385" max="15409" width="2.4140625" style="46" customWidth="1"/>
    <col min="15410" max="15411" width="3.33203125" style="46" customWidth="1"/>
    <col min="15412" max="15412" width="14.33203125" style="46" customWidth="1"/>
    <col min="15413" max="15637" width="8.6640625" style="46"/>
    <col min="15638" max="15638" width="14.33203125" style="46" customWidth="1"/>
    <col min="15639" max="15640" width="3.33203125" style="46" customWidth="1"/>
    <col min="15641" max="15665" width="2.4140625" style="46" customWidth="1"/>
    <col min="15666" max="15667" width="3.33203125" style="46" customWidth="1"/>
    <col min="15668" max="15668" width="14.33203125" style="46" customWidth="1"/>
    <col min="15669" max="15893" width="8.6640625" style="46"/>
    <col min="15894" max="15894" width="14.33203125" style="46" customWidth="1"/>
    <col min="15895" max="15896" width="3.33203125" style="46" customWidth="1"/>
    <col min="15897" max="15921" width="2.4140625" style="46" customWidth="1"/>
    <col min="15922" max="15923" width="3.33203125" style="46" customWidth="1"/>
    <col min="15924" max="15924" width="14.33203125" style="46" customWidth="1"/>
    <col min="15925" max="16149" width="8.6640625" style="46"/>
    <col min="16150" max="16150" width="14.33203125" style="46" customWidth="1"/>
    <col min="16151" max="16152" width="3.33203125" style="46" customWidth="1"/>
    <col min="16153" max="16177" width="2.4140625" style="46" customWidth="1"/>
    <col min="16178" max="16179" width="3.33203125" style="46" customWidth="1"/>
    <col min="16180" max="16180" width="14.33203125" style="46" customWidth="1"/>
    <col min="16181" max="16384" width="8.6640625" style="46"/>
  </cols>
  <sheetData>
    <row r="1" spans="1:55" ht="25" customHeight="1" x14ac:dyDescent="0.55000000000000004">
      <c r="A1" s="45" t="s">
        <v>2545</v>
      </c>
      <c r="BA1" s="1"/>
      <c r="BB1" s="1"/>
      <c r="BC1" s="1"/>
    </row>
    <row r="2" spans="1:55" ht="25" customHeight="1" x14ac:dyDescent="0.55000000000000004">
      <c r="A2" s="45"/>
      <c r="BA2" s="1"/>
      <c r="BB2" s="1"/>
      <c r="BC2" s="1"/>
    </row>
    <row r="3" spans="1:55" ht="25" customHeight="1" x14ac:dyDescent="0.55000000000000004">
      <c r="A3" s="45"/>
      <c r="BA3" s="1"/>
      <c r="BB3" s="1"/>
      <c r="BC3" s="1"/>
    </row>
    <row r="4" spans="1:55" ht="25" customHeight="1" x14ac:dyDescent="0.55000000000000004">
      <c r="A4" s="45"/>
      <c r="BA4" s="1"/>
      <c r="BB4" s="1"/>
      <c r="BC4" s="1"/>
    </row>
    <row r="5" spans="1:55" ht="25" customHeight="1" x14ac:dyDescent="0.55000000000000004">
      <c r="A5" s="45"/>
      <c r="BA5" s="1"/>
      <c r="BB5" s="1"/>
      <c r="BC5" s="4" t="s">
        <v>2549</v>
      </c>
    </row>
    <row r="7" spans="1:55" ht="160" customHeight="1" x14ac:dyDescent="0.55000000000000004">
      <c r="F7" s="87" t="str">
        <f>'PF176'!Y185</f>
        <v>VDDD</v>
      </c>
      <c r="G7" s="88">
        <f>'PF176'!Y184</f>
        <v>0</v>
      </c>
      <c r="H7" s="88">
        <f>'PF176'!Y183</f>
        <v>0</v>
      </c>
      <c r="I7" s="88">
        <f>'PF176'!Y182</f>
        <v>0</v>
      </c>
      <c r="J7" s="88">
        <f>'PF176'!Y181</f>
        <v>0</v>
      </c>
      <c r="K7" s="88">
        <f>'PF176'!Y180</f>
        <v>0</v>
      </c>
      <c r="L7" s="88">
        <f>'PF176'!Y179</f>
        <v>0</v>
      </c>
      <c r="M7" s="88">
        <f>'PF176'!Y178</f>
        <v>0</v>
      </c>
      <c r="N7" s="88">
        <f>'PF176'!Y177</f>
        <v>0</v>
      </c>
      <c r="O7" s="88">
        <f>'PF176'!Y176</f>
        <v>0</v>
      </c>
      <c r="P7" s="88">
        <f>'PF176'!Y175</f>
        <v>0</v>
      </c>
      <c r="Q7" s="88">
        <f>'PF176'!Y174</f>
        <v>0</v>
      </c>
      <c r="R7" s="88">
        <f>'PF176'!Y173</f>
        <v>0</v>
      </c>
      <c r="S7" s="88">
        <f>'PF176'!Y172</f>
        <v>0</v>
      </c>
      <c r="T7" s="88">
        <f>'PF176'!Y171</f>
        <v>0</v>
      </c>
      <c r="U7" s="88">
        <f>'PF176'!Y170</f>
        <v>0</v>
      </c>
      <c r="V7" s="89" t="str">
        <f>'PF176'!Y169</f>
        <v>DRV_VOUT</v>
      </c>
      <c r="W7" s="88">
        <f>'PF176'!Y168</f>
        <v>0</v>
      </c>
      <c r="X7" s="88">
        <f>'PF176'!Y167</f>
        <v>0</v>
      </c>
      <c r="Y7" s="88">
        <f>'PF176'!Y166</f>
        <v>0</v>
      </c>
      <c r="Z7" s="87" t="str">
        <f>'PF176'!Y165</f>
        <v>VCCD</v>
      </c>
      <c r="AA7" s="90" t="str">
        <f>'PF176'!Y164</f>
        <v>VSSD</v>
      </c>
      <c r="AB7" s="90" t="str">
        <f>'PF176'!Y163</f>
        <v>VSSD</v>
      </c>
      <c r="AC7" s="87" t="str">
        <f>'PF176'!Y162</f>
        <v>VDDD</v>
      </c>
      <c r="AD7" s="91" t="str">
        <f>'PF176'!Y161</f>
        <v>XRES_L</v>
      </c>
      <c r="AE7" s="88">
        <f>'PF176'!Y160</f>
        <v>0</v>
      </c>
      <c r="AF7" s="88">
        <f>'PF176'!Y159</f>
        <v>0</v>
      </c>
      <c r="AG7" s="88">
        <f>'PF176'!Y158</f>
        <v>0</v>
      </c>
      <c r="AH7" s="88">
        <f>'PF176'!Y157</f>
        <v>0</v>
      </c>
      <c r="AI7" s="88">
        <f>'PF176'!Y156</f>
        <v>0</v>
      </c>
      <c r="AJ7" s="88">
        <f>'PF176'!Y155</f>
        <v>0</v>
      </c>
      <c r="AK7" s="88">
        <f>'PF176'!Y154</f>
        <v>0</v>
      </c>
      <c r="AL7" s="88">
        <f>'PF176'!Y153</f>
        <v>0</v>
      </c>
      <c r="AM7" s="88">
        <f>'PF176'!Y152</f>
        <v>0</v>
      </c>
      <c r="AN7" s="88">
        <f>'PF176'!Y151</f>
        <v>0</v>
      </c>
      <c r="AO7" s="88">
        <f>'PF176'!Y150</f>
        <v>0</v>
      </c>
      <c r="AP7" s="88">
        <f>'PF176'!Y149</f>
        <v>0</v>
      </c>
      <c r="AQ7" s="88">
        <f>'PF176'!Y148</f>
        <v>0</v>
      </c>
      <c r="AR7" s="88">
        <f>'PF176'!Y147</f>
        <v>0</v>
      </c>
      <c r="AS7" s="88">
        <f>'PF176'!Y146</f>
        <v>0</v>
      </c>
      <c r="AT7" s="88">
        <f>'PF176'!Y145</f>
        <v>0</v>
      </c>
      <c r="AU7" s="88">
        <f>'PF176'!Y144</f>
        <v>0</v>
      </c>
      <c r="AV7" s="88">
        <f>'PF176'!Y143</f>
        <v>0</v>
      </c>
      <c r="AW7" s="90" t="str">
        <f>'PF176'!Y142</f>
        <v>VSSD</v>
      </c>
    </row>
    <row r="8" spans="1:55" ht="15" customHeight="1" x14ac:dyDescent="0.55000000000000004">
      <c r="D8" s="92"/>
      <c r="E8" s="93"/>
      <c r="F8" s="93">
        <v>176</v>
      </c>
      <c r="G8" s="93">
        <v>175</v>
      </c>
      <c r="H8" s="93">
        <v>174</v>
      </c>
      <c r="I8" s="93">
        <v>173</v>
      </c>
      <c r="J8" s="93">
        <v>172</v>
      </c>
      <c r="K8" s="93">
        <v>171</v>
      </c>
      <c r="L8" s="93">
        <v>170</v>
      </c>
      <c r="M8" s="93">
        <v>169</v>
      </c>
      <c r="N8" s="93">
        <v>168</v>
      </c>
      <c r="O8" s="93">
        <v>167</v>
      </c>
      <c r="P8" s="93">
        <v>166</v>
      </c>
      <c r="Q8" s="93">
        <v>165</v>
      </c>
      <c r="R8" s="93">
        <v>164</v>
      </c>
      <c r="S8" s="93">
        <v>163</v>
      </c>
      <c r="T8" s="93">
        <v>162</v>
      </c>
      <c r="U8" s="93">
        <v>161</v>
      </c>
      <c r="V8" s="93">
        <v>160</v>
      </c>
      <c r="W8" s="93">
        <v>159</v>
      </c>
      <c r="X8" s="93">
        <v>158</v>
      </c>
      <c r="Y8" s="93">
        <v>157</v>
      </c>
      <c r="Z8" s="93">
        <v>156</v>
      </c>
      <c r="AA8" s="93">
        <v>155</v>
      </c>
      <c r="AB8" s="93">
        <v>154</v>
      </c>
      <c r="AC8" s="93">
        <v>153</v>
      </c>
      <c r="AD8" s="93">
        <v>152</v>
      </c>
      <c r="AE8" s="93">
        <v>151</v>
      </c>
      <c r="AF8" s="93">
        <v>150</v>
      </c>
      <c r="AG8" s="93">
        <v>149</v>
      </c>
      <c r="AH8" s="93">
        <v>148</v>
      </c>
      <c r="AI8" s="93">
        <v>147</v>
      </c>
      <c r="AJ8" s="93">
        <v>146</v>
      </c>
      <c r="AK8" s="93">
        <v>145</v>
      </c>
      <c r="AL8" s="93">
        <v>144</v>
      </c>
      <c r="AM8" s="93">
        <v>143</v>
      </c>
      <c r="AN8" s="93">
        <v>142</v>
      </c>
      <c r="AO8" s="93">
        <v>141</v>
      </c>
      <c r="AP8" s="93">
        <v>140</v>
      </c>
      <c r="AQ8" s="93">
        <v>139</v>
      </c>
      <c r="AR8" s="93">
        <v>138</v>
      </c>
      <c r="AS8" s="93">
        <v>137</v>
      </c>
      <c r="AT8" s="93">
        <v>136</v>
      </c>
      <c r="AU8" s="93">
        <v>135</v>
      </c>
      <c r="AV8" s="93">
        <v>134</v>
      </c>
      <c r="AW8" s="93">
        <v>133</v>
      </c>
      <c r="AX8" s="93"/>
      <c r="AY8" s="94"/>
    </row>
    <row r="9" spans="1:55" ht="15" customHeight="1" x14ac:dyDescent="0.55000000000000004">
      <c r="D9" s="95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6"/>
      <c r="AA9" s="96"/>
      <c r="AB9" s="96"/>
      <c r="AC9" s="96"/>
      <c r="AD9" s="96"/>
      <c r="AE9" s="96"/>
      <c r="AF9" s="96"/>
      <c r="AG9" s="96"/>
      <c r="AH9" s="96"/>
      <c r="AI9" s="96"/>
      <c r="AJ9" s="96"/>
      <c r="AK9" s="96"/>
      <c r="AL9" s="96"/>
      <c r="AM9" s="96"/>
      <c r="AN9" s="96"/>
      <c r="AO9" s="96"/>
      <c r="AP9" s="96"/>
      <c r="AQ9" s="96"/>
      <c r="AR9" s="96"/>
      <c r="AS9" s="96"/>
      <c r="AT9" s="96"/>
      <c r="AU9" s="96"/>
      <c r="AV9" s="96"/>
      <c r="AW9" s="96"/>
      <c r="AX9" s="96"/>
      <c r="AY9" s="97"/>
    </row>
    <row r="10" spans="1:55" ht="15" customHeight="1" x14ac:dyDescent="0.55000000000000004">
      <c r="B10" s="51"/>
      <c r="C10" s="98" t="str">
        <f>'PF176'!Y10</f>
        <v>VSSD</v>
      </c>
      <c r="D10" s="95">
        <v>1</v>
      </c>
      <c r="E10" s="96"/>
      <c r="F10" s="205" t="s">
        <v>352</v>
      </c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X10" s="205"/>
      <c r="Y10" s="205"/>
      <c r="Z10" s="205"/>
      <c r="AA10" s="205"/>
      <c r="AB10" s="205"/>
      <c r="AC10" s="205"/>
      <c r="AD10" s="205"/>
      <c r="AE10" s="205"/>
      <c r="AF10" s="205"/>
      <c r="AG10" s="205"/>
      <c r="AH10" s="205"/>
      <c r="AI10" s="205"/>
      <c r="AJ10" s="205"/>
      <c r="AK10" s="205"/>
      <c r="AL10" s="205"/>
      <c r="AM10" s="205"/>
      <c r="AN10" s="205"/>
      <c r="AO10" s="205"/>
      <c r="AP10" s="205"/>
      <c r="AQ10" s="205"/>
      <c r="AR10" s="205"/>
      <c r="AS10" s="205"/>
      <c r="AT10" s="205"/>
      <c r="AU10" s="205"/>
      <c r="AV10" s="205"/>
      <c r="AW10" s="205"/>
      <c r="AX10" s="96"/>
      <c r="AY10" s="97">
        <v>132</v>
      </c>
      <c r="AZ10" s="99" t="str">
        <f>'PF176'!Y141</f>
        <v>VDDD</v>
      </c>
    </row>
    <row r="11" spans="1:55" ht="15" customHeight="1" x14ac:dyDescent="0.55000000000000004">
      <c r="B11" s="51"/>
      <c r="C11" s="100">
        <f>'PF176'!Y11</f>
        <v>0</v>
      </c>
      <c r="D11" s="95">
        <v>2</v>
      </c>
      <c r="E11" s="96"/>
      <c r="F11" s="205"/>
      <c r="G11" s="205"/>
      <c r="H11" s="205"/>
      <c r="I11" s="205"/>
      <c r="J11" s="205"/>
      <c r="K11" s="205"/>
      <c r="L11" s="205"/>
      <c r="M11" s="205"/>
      <c r="N11" s="205"/>
      <c r="O11" s="205"/>
      <c r="P11" s="205"/>
      <c r="Q11" s="205"/>
      <c r="R11" s="205"/>
      <c r="S11" s="205"/>
      <c r="T11" s="205"/>
      <c r="U11" s="205"/>
      <c r="V11" s="205"/>
      <c r="W11" s="205"/>
      <c r="X11" s="205"/>
      <c r="Y11" s="205"/>
      <c r="Z11" s="205"/>
      <c r="AA11" s="205"/>
      <c r="AB11" s="205"/>
      <c r="AC11" s="205"/>
      <c r="AD11" s="205"/>
      <c r="AE11" s="205"/>
      <c r="AF11" s="205"/>
      <c r="AG11" s="205"/>
      <c r="AH11" s="205"/>
      <c r="AI11" s="205"/>
      <c r="AJ11" s="205"/>
      <c r="AK11" s="205"/>
      <c r="AL11" s="205"/>
      <c r="AM11" s="205"/>
      <c r="AN11" s="205"/>
      <c r="AO11" s="205"/>
      <c r="AP11" s="205"/>
      <c r="AQ11" s="205"/>
      <c r="AR11" s="205"/>
      <c r="AS11" s="205"/>
      <c r="AT11" s="205"/>
      <c r="AU11" s="205"/>
      <c r="AV11" s="205"/>
      <c r="AW11" s="205"/>
      <c r="AX11" s="96"/>
      <c r="AY11" s="97">
        <v>131</v>
      </c>
      <c r="AZ11" s="101">
        <f>'PF176'!Y140</f>
        <v>0</v>
      </c>
    </row>
    <row r="12" spans="1:55" ht="15" customHeight="1" x14ac:dyDescent="0.55000000000000004">
      <c r="B12" s="51"/>
      <c r="C12" s="100">
        <f>'PF176'!Y12</f>
        <v>0</v>
      </c>
      <c r="D12" s="95">
        <v>3</v>
      </c>
      <c r="E12" s="96"/>
      <c r="F12" s="205"/>
      <c r="G12" s="205"/>
      <c r="H12" s="205"/>
      <c r="I12" s="205"/>
      <c r="J12" s="205"/>
      <c r="K12" s="205"/>
      <c r="L12" s="205"/>
      <c r="M12" s="205"/>
      <c r="N12" s="205"/>
      <c r="O12" s="205"/>
      <c r="P12" s="205"/>
      <c r="Q12" s="205"/>
      <c r="R12" s="205"/>
      <c r="S12" s="205"/>
      <c r="T12" s="205"/>
      <c r="U12" s="205"/>
      <c r="V12" s="205"/>
      <c r="W12" s="205"/>
      <c r="X12" s="205"/>
      <c r="Y12" s="205"/>
      <c r="Z12" s="205"/>
      <c r="AA12" s="205"/>
      <c r="AB12" s="205"/>
      <c r="AC12" s="205"/>
      <c r="AD12" s="205"/>
      <c r="AE12" s="205"/>
      <c r="AF12" s="205"/>
      <c r="AG12" s="205"/>
      <c r="AH12" s="205"/>
      <c r="AI12" s="205"/>
      <c r="AJ12" s="205"/>
      <c r="AK12" s="205"/>
      <c r="AL12" s="205"/>
      <c r="AM12" s="205"/>
      <c r="AN12" s="205"/>
      <c r="AO12" s="205"/>
      <c r="AP12" s="205"/>
      <c r="AQ12" s="205"/>
      <c r="AR12" s="205"/>
      <c r="AS12" s="205"/>
      <c r="AT12" s="205"/>
      <c r="AU12" s="205"/>
      <c r="AV12" s="205"/>
      <c r="AW12" s="205"/>
      <c r="AX12" s="96"/>
      <c r="AY12" s="97">
        <v>130</v>
      </c>
      <c r="AZ12" s="101">
        <f>'PF176'!Y139</f>
        <v>0</v>
      </c>
    </row>
    <row r="13" spans="1:55" ht="15" customHeight="1" x14ac:dyDescent="0.55000000000000004">
      <c r="B13" s="51"/>
      <c r="C13" s="100">
        <f>'PF176'!Y13</f>
        <v>0</v>
      </c>
      <c r="D13" s="95">
        <v>4</v>
      </c>
      <c r="E13" s="96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X13" s="205"/>
      <c r="Y13" s="205"/>
      <c r="Z13" s="205"/>
      <c r="AA13" s="205"/>
      <c r="AB13" s="205"/>
      <c r="AC13" s="205"/>
      <c r="AD13" s="205"/>
      <c r="AE13" s="205"/>
      <c r="AF13" s="205"/>
      <c r="AG13" s="205"/>
      <c r="AH13" s="205"/>
      <c r="AI13" s="205"/>
      <c r="AJ13" s="205"/>
      <c r="AK13" s="205"/>
      <c r="AL13" s="205"/>
      <c r="AM13" s="205"/>
      <c r="AN13" s="205"/>
      <c r="AO13" s="205"/>
      <c r="AP13" s="205"/>
      <c r="AQ13" s="205"/>
      <c r="AR13" s="205"/>
      <c r="AS13" s="205"/>
      <c r="AT13" s="205"/>
      <c r="AU13" s="205"/>
      <c r="AV13" s="205"/>
      <c r="AW13" s="205"/>
      <c r="AX13" s="96"/>
      <c r="AY13" s="97">
        <v>129</v>
      </c>
      <c r="AZ13" s="101">
        <f>'PF176'!Y138</f>
        <v>0</v>
      </c>
    </row>
    <row r="14" spans="1:55" ht="15" customHeight="1" x14ac:dyDescent="0.55000000000000004">
      <c r="B14" s="51"/>
      <c r="C14" s="100">
        <f>'PF176'!Y14</f>
        <v>0</v>
      </c>
      <c r="D14" s="95">
        <v>5</v>
      </c>
      <c r="E14" s="96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X14" s="205"/>
      <c r="Y14" s="205"/>
      <c r="Z14" s="205"/>
      <c r="AA14" s="205"/>
      <c r="AB14" s="205"/>
      <c r="AC14" s="205"/>
      <c r="AD14" s="205"/>
      <c r="AE14" s="205"/>
      <c r="AF14" s="205"/>
      <c r="AG14" s="205"/>
      <c r="AH14" s="205"/>
      <c r="AI14" s="205"/>
      <c r="AJ14" s="205"/>
      <c r="AK14" s="205"/>
      <c r="AL14" s="205"/>
      <c r="AM14" s="205"/>
      <c r="AN14" s="205"/>
      <c r="AO14" s="205"/>
      <c r="AP14" s="205"/>
      <c r="AQ14" s="205"/>
      <c r="AR14" s="205"/>
      <c r="AS14" s="205"/>
      <c r="AT14" s="205"/>
      <c r="AU14" s="205"/>
      <c r="AV14" s="205"/>
      <c r="AW14" s="205"/>
      <c r="AX14" s="96"/>
      <c r="AY14" s="97">
        <v>128</v>
      </c>
      <c r="AZ14" s="101">
        <f>'PF176'!Y137</f>
        <v>0</v>
      </c>
    </row>
    <row r="15" spans="1:55" ht="15" customHeight="1" x14ac:dyDescent="0.55000000000000004">
      <c r="B15" s="51"/>
      <c r="C15" s="100">
        <f>'PF176'!Y15</f>
        <v>0</v>
      </c>
      <c r="D15" s="95">
        <v>6</v>
      </c>
      <c r="E15" s="96"/>
      <c r="F15" s="205"/>
      <c r="G15" s="205"/>
      <c r="H15" s="205"/>
      <c r="I15" s="205"/>
      <c r="J15" s="205"/>
      <c r="K15" s="205"/>
      <c r="L15" s="205"/>
      <c r="M15" s="205"/>
      <c r="N15" s="205"/>
      <c r="O15" s="205"/>
      <c r="P15" s="205"/>
      <c r="Q15" s="205"/>
      <c r="R15" s="205"/>
      <c r="S15" s="205"/>
      <c r="T15" s="205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5"/>
      <c r="AI15" s="205"/>
      <c r="AJ15" s="205"/>
      <c r="AK15" s="205"/>
      <c r="AL15" s="205"/>
      <c r="AM15" s="205"/>
      <c r="AN15" s="205"/>
      <c r="AO15" s="205"/>
      <c r="AP15" s="205"/>
      <c r="AQ15" s="205"/>
      <c r="AR15" s="205"/>
      <c r="AS15" s="205"/>
      <c r="AT15" s="205"/>
      <c r="AU15" s="205"/>
      <c r="AV15" s="205"/>
      <c r="AW15" s="205"/>
      <c r="AX15" s="96"/>
      <c r="AY15" s="97">
        <v>127</v>
      </c>
      <c r="AZ15" s="101">
        <f>'PF176'!Y136</f>
        <v>0</v>
      </c>
    </row>
    <row r="16" spans="1:55" ht="15" customHeight="1" x14ac:dyDescent="0.55000000000000004">
      <c r="B16" s="51"/>
      <c r="C16" s="100">
        <f>'PF176'!Y16</f>
        <v>0</v>
      </c>
      <c r="D16" s="95">
        <v>7</v>
      </c>
      <c r="E16" s="96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05"/>
      <c r="R16" s="205"/>
      <c r="S16" s="205"/>
      <c r="T16" s="205"/>
      <c r="U16" s="205"/>
      <c r="V16" s="205"/>
      <c r="W16" s="205"/>
      <c r="X16" s="205"/>
      <c r="Y16" s="205"/>
      <c r="Z16" s="205"/>
      <c r="AA16" s="205"/>
      <c r="AB16" s="205"/>
      <c r="AC16" s="205"/>
      <c r="AD16" s="205"/>
      <c r="AE16" s="205"/>
      <c r="AF16" s="205"/>
      <c r="AG16" s="205"/>
      <c r="AH16" s="205"/>
      <c r="AI16" s="205"/>
      <c r="AJ16" s="205"/>
      <c r="AK16" s="205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96"/>
      <c r="AY16" s="97">
        <v>126</v>
      </c>
      <c r="AZ16" s="101">
        <f>'PF176'!Y135</f>
        <v>0</v>
      </c>
    </row>
    <row r="17" spans="2:52" ht="15" customHeight="1" x14ac:dyDescent="0.55000000000000004">
      <c r="B17" s="51"/>
      <c r="C17" s="100">
        <f>'PF176'!Y17</f>
        <v>0</v>
      </c>
      <c r="D17" s="95">
        <v>8</v>
      </c>
      <c r="E17" s="96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X17" s="205"/>
      <c r="Y17" s="205"/>
      <c r="Z17" s="205"/>
      <c r="AA17" s="205"/>
      <c r="AB17" s="205"/>
      <c r="AC17" s="205"/>
      <c r="AD17" s="205"/>
      <c r="AE17" s="205"/>
      <c r="AF17" s="205"/>
      <c r="AG17" s="205"/>
      <c r="AH17" s="205"/>
      <c r="AI17" s="205"/>
      <c r="AJ17" s="205"/>
      <c r="AK17" s="205"/>
      <c r="AL17" s="205"/>
      <c r="AM17" s="205"/>
      <c r="AN17" s="205"/>
      <c r="AO17" s="205"/>
      <c r="AP17" s="205"/>
      <c r="AQ17" s="205"/>
      <c r="AR17" s="205"/>
      <c r="AS17" s="205"/>
      <c r="AT17" s="205"/>
      <c r="AU17" s="205"/>
      <c r="AV17" s="205"/>
      <c r="AW17" s="205"/>
      <c r="AX17" s="96"/>
      <c r="AY17" s="97">
        <v>125</v>
      </c>
      <c r="AZ17" s="101">
        <f>'PF176'!Y134</f>
        <v>0</v>
      </c>
    </row>
    <row r="18" spans="2:52" ht="15" customHeight="1" x14ac:dyDescent="0.55000000000000004">
      <c r="B18" s="51"/>
      <c r="C18" s="100">
        <f>'PF176'!Y18</f>
        <v>0</v>
      </c>
      <c r="D18" s="95">
        <v>9</v>
      </c>
      <c r="E18" s="96"/>
      <c r="F18" s="205"/>
      <c r="G18" s="205"/>
      <c r="H18" s="205"/>
      <c r="I18" s="205"/>
      <c r="J18" s="205"/>
      <c r="K18" s="205"/>
      <c r="L18" s="205"/>
      <c r="M18" s="205"/>
      <c r="N18" s="205"/>
      <c r="O18" s="205"/>
      <c r="P18" s="205"/>
      <c r="Q18" s="205"/>
      <c r="R18" s="205"/>
      <c r="S18" s="205"/>
      <c r="T18" s="205"/>
      <c r="U18" s="205"/>
      <c r="V18" s="205"/>
      <c r="W18" s="205"/>
      <c r="X18" s="205"/>
      <c r="Y18" s="205"/>
      <c r="Z18" s="205"/>
      <c r="AA18" s="205"/>
      <c r="AB18" s="205"/>
      <c r="AC18" s="205"/>
      <c r="AD18" s="205"/>
      <c r="AE18" s="205"/>
      <c r="AF18" s="205"/>
      <c r="AG18" s="205"/>
      <c r="AH18" s="205"/>
      <c r="AI18" s="205"/>
      <c r="AJ18" s="205"/>
      <c r="AK18" s="205"/>
      <c r="AL18" s="205"/>
      <c r="AM18" s="205"/>
      <c r="AN18" s="205"/>
      <c r="AO18" s="205"/>
      <c r="AP18" s="205"/>
      <c r="AQ18" s="205"/>
      <c r="AR18" s="205"/>
      <c r="AS18" s="205"/>
      <c r="AT18" s="205"/>
      <c r="AU18" s="205"/>
      <c r="AV18" s="205"/>
      <c r="AW18" s="205"/>
      <c r="AX18" s="96"/>
      <c r="AY18" s="97">
        <v>124</v>
      </c>
      <c r="AZ18" s="101">
        <f>'PF176'!Y133</f>
        <v>0</v>
      </c>
    </row>
    <row r="19" spans="2:52" ht="15" customHeight="1" x14ac:dyDescent="0.55000000000000004">
      <c r="B19" s="51"/>
      <c r="C19" s="100">
        <f>'PF176'!Y19</f>
        <v>0</v>
      </c>
      <c r="D19" s="95">
        <v>10</v>
      </c>
      <c r="E19" s="96"/>
      <c r="F19" s="205"/>
      <c r="G19" s="205"/>
      <c r="H19" s="205"/>
      <c r="I19" s="205"/>
      <c r="J19" s="205"/>
      <c r="K19" s="205"/>
      <c r="L19" s="205"/>
      <c r="M19" s="205"/>
      <c r="N19" s="205"/>
      <c r="O19" s="205"/>
      <c r="P19" s="205"/>
      <c r="Q19" s="205"/>
      <c r="R19" s="205"/>
      <c r="S19" s="205"/>
      <c r="T19" s="205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5"/>
      <c r="AI19" s="205"/>
      <c r="AJ19" s="205"/>
      <c r="AK19" s="205"/>
      <c r="AL19" s="205"/>
      <c r="AM19" s="205"/>
      <c r="AN19" s="205"/>
      <c r="AO19" s="205"/>
      <c r="AP19" s="205"/>
      <c r="AQ19" s="205"/>
      <c r="AR19" s="205"/>
      <c r="AS19" s="205"/>
      <c r="AT19" s="205"/>
      <c r="AU19" s="205"/>
      <c r="AV19" s="205"/>
      <c r="AW19" s="205"/>
      <c r="AX19" s="96"/>
      <c r="AY19" s="97">
        <v>123</v>
      </c>
      <c r="AZ19" s="101">
        <f>'PF176'!Y132</f>
        <v>0</v>
      </c>
    </row>
    <row r="20" spans="2:52" ht="15" customHeight="1" x14ac:dyDescent="0.55000000000000004">
      <c r="B20" s="51"/>
      <c r="C20" s="100">
        <f>'PF176'!Y20</f>
        <v>0</v>
      </c>
      <c r="D20" s="95">
        <v>11</v>
      </c>
      <c r="E20" s="96"/>
      <c r="F20" s="205"/>
      <c r="G20" s="205"/>
      <c r="H20" s="205"/>
      <c r="I20" s="205"/>
      <c r="J20" s="205"/>
      <c r="K20" s="205"/>
      <c r="L20" s="205"/>
      <c r="M20" s="205"/>
      <c r="N20" s="205"/>
      <c r="O20" s="205"/>
      <c r="P20" s="205"/>
      <c r="Q20" s="205"/>
      <c r="R20" s="205"/>
      <c r="S20" s="205"/>
      <c r="T20" s="205"/>
      <c r="U20" s="205"/>
      <c r="V20" s="205"/>
      <c r="W20" s="205"/>
      <c r="X20" s="205"/>
      <c r="Y20" s="205"/>
      <c r="Z20" s="205"/>
      <c r="AA20" s="205"/>
      <c r="AB20" s="205"/>
      <c r="AC20" s="205"/>
      <c r="AD20" s="205"/>
      <c r="AE20" s="205"/>
      <c r="AF20" s="205"/>
      <c r="AG20" s="205"/>
      <c r="AH20" s="205"/>
      <c r="AI20" s="205"/>
      <c r="AJ20" s="205"/>
      <c r="AK20" s="205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96"/>
      <c r="AY20" s="97">
        <v>122</v>
      </c>
      <c r="AZ20" s="101">
        <f>'PF176'!Y131</f>
        <v>0</v>
      </c>
    </row>
    <row r="21" spans="2:52" ht="15" customHeight="1" x14ac:dyDescent="0.55000000000000004">
      <c r="B21" s="51"/>
      <c r="C21" s="100">
        <f>'PF176'!Y21</f>
        <v>0</v>
      </c>
      <c r="D21" s="95">
        <v>12</v>
      </c>
      <c r="E21" s="96"/>
      <c r="F21" s="205"/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  <c r="AA21" s="205"/>
      <c r="AB21" s="205"/>
      <c r="AC21" s="205"/>
      <c r="AD21" s="205"/>
      <c r="AE21" s="205"/>
      <c r="AF21" s="205"/>
      <c r="AG21" s="205"/>
      <c r="AH21" s="205"/>
      <c r="AI21" s="205"/>
      <c r="AJ21" s="205"/>
      <c r="AK21" s="205"/>
      <c r="AL21" s="205"/>
      <c r="AM21" s="205"/>
      <c r="AN21" s="205"/>
      <c r="AO21" s="205"/>
      <c r="AP21" s="205"/>
      <c r="AQ21" s="205"/>
      <c r="AR21" s="205"/>
      <c r="AS21" s="205"/>
      <c r="AT21" s="205"/>
      <c r="AU21" s="205"/>
      <c r="AV21" s="205"/>
      <c r="AW21" s="205"/>
      <c r="AX21" s="96"/>
      <c r="AY21" s="97">
        <v>121</v>
      </c>
      <c r="AZ21" s="101">
        <f>'PF176'!Y130</f>
        <v>0</v>
      </c>
    </row>
    <row r="22" spans="2:52" ht="15" customHeight="1" x14ac:dyDescent="0.55000000000000004">
      <c r="B22" s="51"/>
      <c r="C22" s="100">
        <f>'PF176'!Y22</f>
        <v>0</v>
      </c>
      <c r="D22" s="95">
        <v>13</v>
      </c>
      <c r="E22" s="96"/>
      <c r="F22" s="205"/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  <c r="AA22" s="205"/>
      <c r="AB22" s="205"/>
      <c r="AC22" s="205"/>
      <c r="AD22" s="205"/>
      <c r="AE22" s="205"/>
      <c r="AF22" s="205"/>
      <c r="AG22" s="205"/>
      <c r="AH22" s="205"/>
      <c r="AI22" s="205"/>
      <c r="AJ22" s="205"/>
      <c r="AK22" s="205"/>
      <c r="AL22" s="205"/>
      <c r="AM22" s="205"/>
      <c r="AN22" s="205"/>
      <c r="AO22" s="205"/>
      <c r="AP22" s="205"/>
      <c r="AQ22" s="205"/>
      <c r="AR22" s="205"/>
      <c r="AS22" s="205"/>
      <c r="AT22" s="205"/>
      <c r="AU22" s="205"/>
      <c r="AV22" s="205"/>
      <c r="AW22" s="205"/>
      <c r="AX22" s="96"/>
      <c r="AY22" s="97">
        <v>120</v>
      </c>
      <c r="AZ22" s="101">
        <f>'PF176'!Y129</f>
        <v>0</v>
      </c>
    </row>
    <row r="23" spans="2:52" ht="15" customHeight="1" x14ac:dyDescent="0.55000000000000004">
      <c r="B23" s="51"/>
      <c r="C23" s="100">
        <f>'PF176'!Y23</f>
        <v>0</v>
      </c>
      <c r="D23" s="95">
        <v>14</v>
      </c>
      <c r="E23" s="96"/>
      <c r="F23" s="205"/>
      <c r="G23" s="205"/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5"/>
      <c r="AI23" s="205"/>
      <c r="AJ23" s="205"/>
      <c r="AK23" s="205"/>
      <c r="AL23" s="205"/>
      <c r="AM23" s="205"/>
      <c r="AN23" s="205"/>
      <c r="AO23" s="205"/>
      <c r="AP23" s="205"/>
      <c r="AQ23" s="205"/>
      <c r="AR23" s="205"/>
      <c r="AS23" s="205"/>
      <c r="AT23" s="205"/>
      <c r="AU23" s="205"/>
      <c r="AV23" s="205"/>
      <c r="AW23" s="205"/>
      <c r="AX23" s="96"/>
      <c r="AY23" s="97">
        <v>119</v>
      </c>
      <c r="AZ23" s="101">
        <f>'PF176'!Y128</f>
        <v>0</v>
      </c>
    </row>
    <row r="24" spans="2:52" ht="15" customHeight="1" x14ac:dyDescent="0.55000000000000004">
      <c r="B24" s="51"/>
      <c r="C24" s="100">
        <f>'PF176'!Y24</f>
        <v>0</v>
      </c>
      <c r="D24" s="95">
        <v>15</v>
      </c>
      <c r="E24" s="96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X24" s="205"/>
      <c r="Y24" s="205"/>
      <c r="Z24" s="205"/>
      <c r="AA24" s="205"/>
      <c r="AB24" s="205"/>
      <c r="AC24" s="205"/>
      <c r="AD24" s="205"/>
      <c r="AE24" s="205"/>
      <c r="AF24" s="205"/>
      <c r="AG24" s="205"/>
      <c r="AH24" s="205"/>
      <c r="AI24" s="205"/>
      <c r="AJ24" s="205"/>
      <c r="AK24" s="205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96"/>
      <c r="AY24" s="97">
        <v>118</v>
      </c>
      <c r="AZ24" s="101">
        <f>'PF176'!Y127</f>
        <v>0</v>
      </c>
    </row>
    <row r="25" spans="2:52" ht="15" customHeight="1" x14ac:dyDescent="0.55000000000000004">
      <c r="B25" s="51"/>
      <c r="C25" s="100">
        <f>'PF176'!Y25</f>
        <v>0</v>
      </c>
      <c r="D25" s="95">
        <v>16</v>
      </c>
      <c r="E25" s="96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X25" s="205"/>
      <c r="Y25" s="205"/>
      <c r="Z25" s="205"/>
      <c r="AA25" s="205"/>
      <c r="AB25" s="205"/>
      <c r="AC25" s="205"/>
      <c r="AD25" s="205"/>
      <c r="AE25" s="205"/>
      <c r="AF25" s="205"/>
      <c r="AG25" s="205"/>
      <c r="AH25" s="205"/>
      <c r="AI25" s="205"/>
      <c r="AJ25" s="205"/>
      <c r="AK25" s="205"/>
      <c r="AL25" s="205"/>
      <c r="AM25" s="205"/>
      <c r="AN25" s="205"/>
      <c r="AO25" s="205"/>
      <c r="AP25" s="205"/>
      <c r="AQ25" s="205"/>
      <c r="AR25" s="205"/>
      <c r="AS25" s="205"/>
      <c r="AT25" s="205"/>
      <c r="AU25" s="205"/>
      <c r="AV25" s="205"/>
      <c r="AW25" s="205"/>
      <c r="AX25" s="96"/>
      <c r="AY25" s="97">
        <v>117</v>
      </c>
      <c r="AZ25" s="101">
        <f>'PF176'!Y126</f>
        <v>0</v>
      </c>
    </row>
    <row r="26" spans="2:52" ht="15" customHeight="1" x14ac:dyDescent="0.55000000000000004">
      <c r="B26" s="51"/>
      <c r="C26" s="100">
        <f>'PF176'!Y26</f>
        <v>0</v>
      </c>
      <c r="D26" s="95">
        <v>17</v>
      </c>
      <c r="E26" s="96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X26" s="205"/>
      <c r="Y26" s="205"/>
      <c r="Z26" s="205"/>
      <c r="AA26" s="205"/>
      <c r="AB26" s="205"/>
      <c r="AC26" s="205"/>
      <c r="AD26" s="205"/>
      <c r="AE26" s="205"/>
      <c r="AF26" s="205"/>
      <c r="AG26" s="205"/>
      <c r="AH26" s="205"/>
      <c r="AI26" s="205"/>
      <c r="AJ26" s="205"/>
      <c r="AK26" s="205"/>
      <c r="AL26" s="205"/>
      <c r="AM26" s="205"/>
      <c r="AN26" s="205"/>
      <c r="AO26" s="205"/>
      <c r="AP26" s="205"/>
      <c r="AQ26" s="205"/>
      <c r="AR26" s="205"/>
      <c r="AS26" s="205"/>
      <c r="AT26" s="205"/>
      <c r="AU26" s="205"/>
      <c r="AV26" s="205"/>
      <c r="AW26" s="205"/>
      <c r="AX26" s="96"/>
      <c r="AY26" s="97">
        <v>116</v>
      </c>
      <c r="AZ26" s="101">
        <f>'PF176'!Y125</f>
        <v>0</v>
      </c>
    </row>
    <row r="27" spans="2:52" ht="15" customHeight="1" x14ac:dyDescent="0.55000000000000004">
      <c r="B27" s="51"/>
      <c r="C27" s="100">
        <f>'PF176'!Y27</f>
        <v>0</v>
      </c>
      <c r="D27" s="95">
        <v>18</v>
      </c>
      <c r="E27" s="96"/>
      <c r="F27" s="205"/>
      <c r="G27" s="205"/>
      <c r="H27" s="205"/>
      <c r="I27" s="205"/>
      <c r="J27" s="205"/>
      <c r="K27" s="205"/>
      <c r="L27" s="205"/>
      <c r="M27" s="205"/>
      <c r="N27" s="205"/>
      <c r="O27" s="205"/>
      <c r="P27" s="205"/>
      <c r="Q27" s="205"/>
      <c r="R27" s="205"/>
      <c r="S27" s="205"/>
      <c r="T27" s="205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5"/>
      <c r="AI27" s="205"/>
      <c r="AJ27" s="205"/>
      <c r="AK27" s="205"/>
      <c r="AL27" s="205"/>
      <c r="AM27" s="205"/>
      <c r="AN27" s="205"/>
      <c r="AO27" s="205"/>
      <c r="AP27" s="205"/>
      <c r="AQ27" s="205"/>
      <c r="AR27" s="205"/>
      <c r="AS27" s="205"/>
      <c r="AT27" s="205"/>
      <c r="AU27" s="205"/>
      <c r="AV27" s="205"/>
      <c r="AW27" s="205"/>
      <c r="AX27" s="96"/>
      <c r="AY27" s="97">
        <v>115</v>
      </c>
      <c r="AZ27" s="101">
        <f>'PF176'!Y124</f>
        <v>0</v>
      </c>
    </row>
    <row r="28" spans="2:52" ht="15" customHeight="1" x14ac:dyDescent="0.55000000000000004">
      <c r="B28" s="51"/>
      <c r="C28" s="100">
        <f>'PF176'!Y28</f>
        <v>0</v>
      </c>
      <c r="D28" s="95">
        <v>19</v>
      </c>
      <c r="E28" s="96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  <c r="X28" s="205"/>
      <c r="Y28" s="205"/>
      <c r="Z28" s="205"/>
      <c r="AA28" s="205"/>
      <c r="AB28" s="205"/>
      <c r="AC28" s="205"/>
      <c r="AD28" s="205"/>
      <c r="AE28" s="205"/>
      <c r="AF28" s="205"/>
      <c r="AG28" s="205"/>
      <c r="AH28" s="205"/>
      <c r="AI28" s="205"/>
      <c r="AJ28" s="205"/>
      <c r="AK28" s="205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96"/>
      <c r="AY28" s="97">
        <v>114</v>
      </c>
      <c r="AZ28" s="102" t="str">
        <f>'PF176'!Y123</f>
        <v>VSSD</v>
      </c>
    </row>
    <row r="29" spans="2:52" ht="15" customHeight="1" x14ac:dyDescent="0.55000000000000004">
      <c r="B29" s="51"/>
      <c r="C29" s="100">
        <f>'PF176'!Y29</f>
        <v>0</v>
      </c>
      <c r="D29" s="95">
        <v>20</v>
      </c>
      <c r="E29" s="96"/>
      <c r="F29" s="205"/>
      <c r="G29" s="205"/>
      <c r="H29" s="205"/>
      <c r="I29" s="205"/>
      <c r="J29" s="205"/>
      <c r="K29" s="205"/>
      <c r="L29" s="205"/>
      <c r="M29" s="205"/>
      <c r="N29" s="205"/>
      <c r="O29" s="205"/>
      <c r="P29" s="205"/>
      <c r="Q29" s="205"/>
      <c r="R29" s="205"/>
      <c r="S29" s="205"/>
      <c r="T29" s="205"/>
      <c r="U29" s="205"/>
      <c r="V29" s="205"/>
      <c r="W29" s="205"/>
      <c r="X29" s="205"/>
      <c r="Y29" s="205"/>
      <c r="Z29" s="205"/>
      <c r="AA29" s="205"/>
      <c r="AB29" s="205"/>
      <c r="AC29" s="205"/>
      <c r="AD29" s="205"/>
      <c r="AE29" s="205"/>
      <c r="AF29" s="205"/>
      <c r="AG29" s="205"/>
      <c r="AH29" s="205"/>
      <c r="AI29" s="205"/>
      <c r="AJ29" s="205"/>
      <c r="AK29" s="205"/>
      <c r="AL29" s="205"/>
      <c r="AM29" s="205"/>
      <c r="AN29" s="205"/>
      <c r="AO29" s="205"/>
      <c r="AP29" s="205"/>
      <c r="AQ29" s="205"/>
      <c r="AR29" s="205"/>
      <c r="AS29" s="205"/>
      <c r="AT29" s="205"/>
      <c r="AU29" s="205"/>
      <c r="AV29" s="205"/>
      <c r="AW29" s="205"/>
      <c r="AX29" s="96"/>
      <c r="AY29" s="97">
        <v>113</v>
      </c>
      <c r="AZ29" s="99" t="str">
        <f>'PF176'!Y122</f>
        <v>VCCD</v>
      </c>
    </row>
    <row r="30" spans="2:52" ht="15" customHeight="1" x14ac:dyDescent="0.55000000000000004">
      <c r="B30" s="51"/>
      <c r="C30" s="100">
        <f>'PF176'!Y30</f>
        <v>0</v>
      </c>
      <c r="D30" s="95">
        <v>21</v>
      </c>
      <c r="E30" s="96"/>
      <c r="F30" s="205"/>
      <c r="G30" s="205"/>
      <c r="H30" s="205"/>
      <c r="I30" s="205"/>
      <c r="J30" s="205"/>
      <c r="K30" s="205"/>
      <c r="L30" s="205"/>
      <c r="M30" s="205"/>
      <c r="N30" s="205"/>
      <c r="O30" s="205"/>
      <c r="P30" s="205"/>
      <c r="Q30" s="205"/>
      <c r="R30" s="205"/>
      <c r="S30" s="205"/>
      <c r="T30" s="205"/>
      <c r="U30" s="205"/>
      <c r="V30" s="205"/>
      <c r="W30" s="205"/>
      <c r="X30" s="205"/>
      <c r="Y30" s="205"/>
      <c r="Z30" s="205"/>
      <c r="AA30" s="205"/>
      <c r="AB30" s="205"/>
      <c r="AC30" s="205"/>
      <c r="AD30" s="205"/>
      <c r="AE30" s="205"/>
      <c r="AF30" s="205"/>
      <c r="AG30" s="205"/>
      <c r="AH30" s="205"/>
      <c r="AI30" s="205"/>
      <c r="AJ30" s="205"/>
      <c r="AK30" s="205"/>
      <c r="AL30" s="205"/>
      <c r="AM30" s="205"/>
      <c r="AN30" s="205"/>
      <c r="AO30" s="205"/>
      <c r="AP30" s="205"/>
      <c r="AQ30" s="205"/>
      <c r="AR30" s="205"/>
      <c r="AS30" s="205"/>
      <c r="AT30" s="205"/>
      <c r="AU30" s="205"/>
      <c r="AV30" s="205"/>
      <c r="AW30" s="205"/>
      <c r="AX30" s="96"/>
      <c r="AY30" s="97">
        <v>112</v>
      </c>
      <c r="AZ30" s="99" t="str">
        <f>'PF176'!Y121</f>
        <v>VCCD</v>
      </c>
    </row>
    <row r="31" spans="2:52" ht="15" customHeight="1" x14ac:dyDescent="0.55000000000000004">
      <c r="B31" s="51"/>
      <c r="C31" s="103" t="str">
        <f>'PF176'!Y31</f>
        <v>VDDD</v>
      </c>
      <c r="D31" s="95">
        <v>22</v>
      </c>
      <c r="E31" s="96"/>
      <c r="F31" s="205"/>
      <c r="G31" s="205"/>
      <c r="H31" s="205"/>
      <c r="I31" s="205"/>
      <c r="J31" s="205"/>
      <c r="K31" s="205"/>
      <c r="L31" s="205"/>
      <c r="M31" s="205"/>
      <c r="N31" s="205"/>
      <c r="O31" s="205"/>
      <c r="P31" s="205"/>
      <c r="Q31" s="205"/>
      <c r="R31" s="205"/>
      <c r="S31" s="205"/>
      <c r="T31" s="205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5"/>
      <c r="AI31" s="205"/>
      <c r="AJ31" s="205"/>
      <c r="AK31" s="205"/>
      <c r="AL31" s="205"/>
      <c r="AM31" s="205"/>
      <c r="AN31" s="205"/>
      <c r="AO31" s="205"/>
      <c r="AP31" s="205"/>
      <c r="AQ31" s="205"/>
      <c r="AR31" s="205"/>
      <c r="AS31" s="205"/>
      <c r="AT31" s="205"/>
      <c r="AU31" s="205"/>
      <c r="AV31" s="205"/>
      <c r="AW31" s="205"/>
      <c r="AX31" s="96"/>
      <c r="AY31" s="97">
        <v>111</v>
      </c>
      <c r="AZ31" s="99" t="str">
        <f>'PF176'!Y120</f>
        <v>VCCD</v>
      </c>
    </row>
    <row r="32" spans="2:52" ht="15" customHeight="1" x14ac:dyDescent="0.55000000000000004">
      <c r="B32" s="51"/>
      <c r="C32" s="98" t="str">
        <f>'PF176'!Y32</f>
        <v>VSSD</v>
      </c>
      <c r="D32" s="95">
        <v>23</v>
      </c>
      <c r="E32" s="96"/>
      <c r="F32" s="205"/>
      <c r="G32" s="205"/>
      <c r="H32" s="205"/>
      <c r="I32" s="205"/>
      <c r="J32" s="205"/>
      <c r="K32" s="205"/>
      <c r="L32" s="205"/>
      <c r="M32" s="205"/>
      <c r="N32" s="205"/>
      <c r="O32" s="205"/>
      <c r="P32" s="205"/>
      <c r="Q32" s="205"/>
      <c r="R32" s="205"/>
      <c r="S32" s="205"/>
      <c r="T32" s="205"/>
      <c r="U32" s="205"/>
      <c r="V32" s="205"/>
      <c r="W32" s="205"/>
      <c r="X32" s="205"/>
      <c r="Y32" s="205"/>
      <c r="Z32" s="205"/>
      <c r="AA32" s="205"/>
      <c r="AB32" s="205"/>
      <c r="AC32" s="205"/>
      <c r="AD32" s="205"/>
      <c r="AE32" s="205"/>
      <c r="AF32" s="205"/>
      <c r="AG32" s="205"/>
      <c r="AH32" s="205"/>
      <c r="AI32" s="205"/>
      <c r="AJ32" s="205"/>
      <c r="AK32" s="205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96"/>
      <c r="AY32" s="97">
        <v>110</v>
      </c>
      <c r="AZ32" s="99" t="str">
        <f>'PF176'!Y119</f>
        <v>VDDD</v>
      </c>
    </row>
    <row r="33" spans="2:52" ht="15" customHeight="1" x14ac:dyDescent="0.55000000000000004">
      <c r="B33" s="51"/>
      <c r="C33" s="100">
        <f>'PF176'!Y33</f>
        <v>0</v>
      </c>
      <c r="D33" s="95">
        <v>24</v>
      </c>
      <c r="E33" s="96"/>
      <c r="F33" s="205"/>
      <c r="G33" s="205"/>
      <c r="H33" s="205"/>
      <c r="I33" s="205"/>
      <c r="J33" s="205"/>
      <c r="K33" s="205"/>
      <c r="L33" s="205"/>
      <c r="M33" s="205"/>
      <c r="N33" s="205"/>
      <c r="O33" s="205"/>
      <c r="P33" s="205"/>
      <c r="Q33" s="205"/>
      <c r="R33" s="205"/>
      <c r="S33" s="205"/>
      <c r="T33" s="205"/>
      <c r="U33" s="205"/>
      <c r="V33" s="205"/>
      <c r="W33" s="205"/>
      <c r="X33" s="205"/>
      <c r="Y33" s="205"/>
      <c r="Z33" s="205"/>
      <c r="AA33" s="205"/>
      <c r="AB33" s="205"/>
      <c r="AC33" s="205"/>
      <c r="AD33" s="205"/>
      <c r="AE33" s="205"/>
      <c r="AF33" s="205"/>
      <c r="AG33" s="205"/>
      <c r="AH33" s="205"/>
      <c r="AI33" s="205"/>
      <c r="AJ33" s="205"/>
      <c r="AK33" s="205"/>
      <c r="AL33" s="205"/>
      <c r="AM33" s="205"/>
      <c r="AN33" s="205"/>
      <c r="AO33" s="205"/>
      <c r="AP33" s="205"/>
      <c r="AQ33" s="205"/>
      <c r="AR33" s="205"/>
      <c r="AS33" s="205"/>
      <c r="AT33" s="205"/>
      <c r="AU33" s="205"/>
      <c r="AV33" s="205"/>
      <c r="AW33" s="205"/>
      <c r="AX33" s="96"/>
      <c r="AY33" s="97">
        <v>109</v>
      </c>
      <c r="AZ33" s="101">
        <f>'PF176'!Y118</f>
        <v>0</v>
      </c>
    </row>
    <row r="34" spans="2:52" ht="15" customHeight="1" x14ac:dyDescent="0.55000000000000004">
      <c r="B34" s="51"/>
      <c r="C34" s="100">
        <f>'PF176'!Y34</f>
        <v>0</v>
      </c>
      <c r="D34" s="95">
        <v>25</v>
      </c>
      <c r="E34" s="96"/>
      <c r="F34" s="205"/>
      <c r="G34" s="205"/>
      <c r="H34" s="205"/>
      <c r="I34" s="205"/>
      <c r="J34" s="205"/>
      <c r="K34" s="205"/>
      <c r="L34" s="205"/>
      <c r="M34" s="205"/>
      <c r="N34" s="205"/>
      <c r="O34" s="205"/>
      <c r="P34" s="205"/>
      <c r="Q34" s="205"/>
      <c r="R34" s="205"/>
      <c r="S34" s="205"/>
      <c r="T34" s="205"/>
      <c r="U34" s="205"/>
      <c r="V34" s="205"/>
      <c r="W34" s="205"/>
      <c r="X34" s="205"/>
      <c r="Y34" s="205"/>
      <c r="Z34" s="205"/>
      <c r="AA34" s="205"/>
      <c r="AB34" s="205"/>
      <c r="AC34" s="205"/>
      <c r="AD34" s="205"/>
      <c r="AE34" s="205"/>
      <c r="AF34" s="205"/>
      <c r="AG34" s="205"/>
      <c r="AH34" s="205"/>
      <c r="AI34" s="205"/>
      <c r="AJ34" s="205"/>
      <c r="AK34" s="205"/>
      <c r="AL34" s="205"/>
      <c r="AM34" s="205"/>
      <c r="AN34" s="205"/>
      <c r="AO34" s="205"/>
      <c r="AP34" s="205"/>
      <c r="AQ34" s="205"/>
      <c r="AR34" s="205"/>
      <c r="AS34" s="205"/>
      <c r="AT34" s="205"/>
      <c r="AU34" s="205"/>
      <c r="AV34" s="205"/>
      <c r="AW34" s="205"/>
      <c r="AX34" s="96"/>
      <c r="AY34" s="97">
        <v>108</v>
      </c>
      <c r="AZ34" s="101">
        <f>'PF176'!Y117</f>
        <v>0</v>
      </c>
    </row>
    <row r="35" spans="2:52" ht="15" customHeight="1" x14ac:dyDescent="0.55000000000000004">
      <c r="B35" s="51"/>
      <c r="C35" s="100">
        <f>'PF176'!Y35</f>
        <v>0</v>
      </c>
      <c r="D35" s="95">
        <v>26</v>
      </c>
      <c r="E35" s="96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X35" s="205"/>
      <c r="Y35" s="205"/>
      <c r="Z35" s="205"/>
      <c r="AA35" s="205"/>
      <c r="AB35" s="205"/>
      <c r="AC35" s="205"/>
      <c r="AD35" s="205"/>
      <c r="AE35" s="205"/>
      <c r="AF35" s="205"/>
      <c r="AG35" s="205"/>
      <c r="AH35" s="205"/>
      <c r="AI35" s="205"/>
      <c r="AJ35" s="205"/>
      <c r="AK35" s="205"/>
      <c r="AL35" s="205"/>
      <c r="AM35" s="205"/>
      <c r="AN35" s="205"/>
      <c r="AO35" s="205"/>
      <c r="AP35" s="205"/>
      <c r="AQ35" s="205"/>
      <c r="AR35" s="205"/>
      <c r="AS35" s="205"/>
      <c r="AT35" s="205"/>
      <c r="AU35" s="205"/>
      <c r="AV35" s="205"/>
      <c r="AW35" s="205"/>
      <c r="AX35" s="96"/>
      <c r="AY35" s="97">
        <v>107</v>
      </c>
      <c r="AZ35" s="101">
        <f>'PF176'!Y116</f>
        <v>0</v>
      </c>
    </row>
    <row r="36" spans="2:52" ht="15" customHeight="1" x14ac:dyDescent="0.55000000000000004">
      <c r="B36" s="51"/>
      <c r="C36" s="100">
        <f>'PF176'!Y36</f>
        <v>0</v>
      </c>
      <c r="D36" s="95">
        <v>27</v>
      </c>
      <c r="E36" s="96"/>
      <c r="F36" s="205"/>
      <c r="G36" s="205"/>
      <c r="H36" s="205"/>
      <c r="I36" s="205"/>
      <c r="J36" s="205"/>
      <c r="K36" s="205"/>
      <c r="L36" s="205"/>
      <c r="M36" s="205"/>
      <c r="N36" s="205"/>
      <c r="O36" s="205"/>
      <c r="P36" s="205"/>
      <c r="Q36" s="205"/>
      <c r="R36" s="205"/>
      <c r="S36" s="205"/>
      <c r="T36" s="205"/>
      <c r="U36" s="205"/>
      <c r="V36" s="205"/>
      <c r="W36" s="205"/>
      <c r="X36" s="205"/>
      <c r="Y36" s="205"/>
      <c r="Z36" s="205"/>
      <c r="AA36" s="205"/>
      <c r="AB36" s="205"/>
      <c r="AC36" s="205"/>
      <c r="AD36" s="205"/>
      <c r="AE36" s="205"/>
      <c r="AF36" s="205"/>
      <c r="AG36" s="205"/>
      <c r="AH36" s="205"/>
      <c r="AI36" s="205"/>
      <c r="AJ36" s="205"/>
      <c r="AK36" s="205"/>
      <c r="AL36" s="205"/>
      <c r="AM36" s="205"/>
      <c r="AN36" s="205"/>
      <c r="AO36" s="205"/>
      <c r="AP36" s="205"/>
      <c r="AQ36" s="205"/>
      <c r="AR36" s="205"/>
      <c r="AS36" s="205"/>
      <c r="AT36" s="205"/>
      <c r="AU36" s="205"/>
      <c r="AV36" s="205"/>
      <c r="AW36" s="205"/>
      <c r="AX36" s="96"/>
      <c r="AY36" s="97">
        <v>106</v>
      </c>
      <c r="AZ36" s="101">
        <f>'PF176'!Y115</f>
        <v>0</v>
      </c>
    </row>
    <row r="37" spans="2:52" ht="15" customHeight="1" x14ac:dyDescent="0.55000000000000004">
      <c r="B37" s="51"/>
      <c r="C37" s="100">
        <f>'PF176'!Y37</f>
        <v>0</v>
      </c>
      <c r="D37" s="95">
        <v>28</v>
      </c>
      <c r="E37" s="96"/>
      <c r="F37" s="205"/>
      <c r="G37" s="205"/>
      <c r="H37" s="205"/>
      <c r="I37" s="205"/>
      <c r="J37" s="205"/>
      <c r="K37" s="205"/>
      <c r="L37" s="205"/>
      <c r="M37" s="205"/>
      <c r="N37" s="205"/>
      <c r="O37" s="205"/>
      <c r="P37" s="205"/>
      <c r="Q37" s="205"/>
      <c r="R37" s="205"/>
      <c r="S37" s="205"/>
      <c r="T37" s="205"/>
      <c r="U37" s="205"/>
      <c r="V37" s="205"/>
      <c r="W37" s="205"/>
      <c r="X37" s="205"/>
      <c r="Y37" s="205"/>
      <c r="Z37" s="205"/>
      <c r="AA37" s="205"/>
      <c r="AB37" s="205"/>
      <c r="AC37" s="205"/>
      <c r="AD37" s="205"/>
      <c r="AE37" s="205"/>
      <c r="AF37" s="205"/>
      <c r="AG37" s="205"/>
      <c r="AH37" s="205"/>
      <c r="AI37" s="205"/>
      <c r="AJ37" s="205"/>
      <c r="AK37" s="205"/>
      <c r="AL37" s="205"/>
      <c r="AM37" s="205"/>
      <c r="AN37" s="205"/>
      <c r="AO37" s="205"/>
      <c r="AP37" s="205"/>
      <c r="AQ37" s="205"/>
      <c r="AR37" s="205"/>
      <c r="AS37" s="205"/>
      <c r="AT37" s="205"/>
      <c r="AU37" s="205"/>
      <c r="AV37" s="205"/>
      <c r="AW37" s="205"/>
      <c r="AX37" s="96"/>
      <c r="AY37" s="97">
        <v>105</v>
      </c>
      <c r="AZ37" s="101">
        <f>'PF176'!Y114</f>
        <v>0</v>
      </c>
    </row>
    <row r="38" spans="2:52" ht="15" customHeight="1" x14ac:dyDescent="0.55000000000000004">
      <c r="B38" s="51"/>
      <c r="C38" s="100">
        <f>'PF176'!Y38</f>
        <v>0</v>
      </c>
      <c r="D38" s="95">
        <v>29</v>
      </c>
      <c r="E38" s="96"/>
      <c r="F38" s="205"/>
      <c r="G38" s="205"/>
      <c r="H38" s="205"/>
      <c r="I38" s="205"/>
      <c r="J38" s="205"/>
      <c r="K38" s="205"/>
      <c r="L38" s="205"/>
      <c r="M38" s="205"/>
      <c r="N38" s="205"/>
      <c r="O38" s="205"/>
      <c r="P38" s="205"/>
      <c r="Q38" s="205"/>
      <c r="R38" s="205"/>
      <c r="S38" s="205"/>
      <c r="T38" s="205"/>
      <c r="U38" s="205"/>
      <c r="V38" s="205"/>
      <c r="W38" s="205"/>
      <c r="X38" s="205"/>
      <c r="Y38" s="205"/>
      <c r="Z38" s="205"/>
      <c r="AA38" s="205"/>
      <c r="AB38" s="205"/>
      <c r="AC38" s="205"/>
      <c r="AD38" s="205"/>
      <c r="AE38" s="205"/>
      <c r="AF38" s="205"/>
      <c r="AG38" s="205"/>
      <c r="AH38" s="205"/>
      <c r="AI38" s="205"/>
      <c r="AJ38" s="205"/>
      <c r="AK38" s="205"/>
      <c r="AL38" s="205"/>
      <c r="AM38" s="205"/>
      <c r="AN38" s="205"/>
      <c r="AO38" s="205"/>
      <c r="AP38" s="205"/>
      <c r="AQ38" s="205"/>
      <c r="AR38" s="205"/>
      <c r="AS38" s="205"/>
      <c r="AT38" s="205"/>
      <c r="AU38" s="205"/>
      <c r="AV38" s="205"/>
      <c r="AW38" s="205"/>
      <c r="AX38" s="96"/>
      <c r="AY38" s="97">
        <v>104</v>
      </c>
      <c r="AZ38" s="101">
        <f>'PF176'!Y113</f>
        <v>0</v>
      </c>
    </row>
    <row r="39" spans="2:52" ht="15" customHeight="1" x14ac:dyDescent="0.55000000000000004">
      <c r="B39" s="51"/>
      <c r="C39" s="100">
        <f>'PF176'!Y39</f>
        <v>0</v>
      </c>
      <c r="D39" s="95">
        <v>30</v>
      </c>
      <c r="E39" s="96"/>
      <c r="F39" s="205"/>
      <c r="G39" s="205"/>
      <c r="H39" s="205"/>
      <c r="I39" s="205"/>
      <c r="J39" s="205"/>
      <c r="K39" s="205"/>
      <c r="L39" s="205"/>
      <c r="M39" s="205"/>
      <c r="N39" s="205"/>
      <c r="O39" s="205"/>
      <c r="P39" s="205"/>
      <c r="Q39" s="205"/>
      <c r="R39" s="205"/>
      <c r="S39" s="205"/>
      <c r="T39" s="205"/>
      <c r="U39" s="205"/>
      <c r="V39" s="205"/>
      <c r="W39" s="205"/>
      <c r="X39" s="205"/>
      <c r="Y39" s="205"/>
      <c r="Z39" s="205"/>
      <c r="AA39" s="205"/>
      <c r="AB39" s="205"/>
      <c r="AC39" s="205"/>
      <c r="AD39" s="205"/>
      <c r="AE39" s="205"/>
      <c r="AF39" s="205"/>
      <c r="AG39" s="205"/>
      <c r="AH39" s="205"/>
      <c r="AI39" s="205"/>
      <c r="AJ39" s="205"/>
      <c r="AK39" s="205"/>
      <c r="AL39" s="205"/>
      <c r="AM39" s="205"/>
      <c r="AN39" s="205"/>
      <c r="AO39" s="205"/>
      <c r="AP39" s="205"/>
      <c r="AQ39" s="205"/>
      <c r="AR39" s="205"/>
      <c r="AS39" s="205"/>
      <c r="AT39" s="205"/>
      <c r="AU39" s="205"/>
      <c r="AV39" s="205"/>
      <c r="AW39" s="205"/>
      <c r="AX39" s="96"/>
      <c r="AY39" s="97">
        <v>103</v>
      </c>
      <c r="AZ39" s="101">
        <f>'PF176'!Y112</f>
        <v>0</v>
      </c>
    </row>
    <row r="40" spans="2:52" ht="15" customHeight="1" x14ac:dyDescent="0.55000000000000004">
      <c r="B40" s="51"/>
      <c r="C40" s="100">
        <f>'PF176'!Y40</f>
        <v>0</v>
      </c>
      <c r="D40" s="95">
        <v>31</v>
      </c>
      <c r="E40" s="96"/>
      <c r="F40" s="205"/>
      <c r="G40" s="205"/>
      <c r="H40" s="205"/>
      <c r="I40" s="205"/>
      <c r="J40" s="205"/>
      <c r="K40" s="205"/>
      <c r="L40" s="205"/>
      <c r="M40" s="205"/>
      <c r="N40" s="205"/>
      <c r="O40" s="205"/>
      <c r="P40" s="205"/>
      <c r="Q40" s="205"/>
      <c r="R40" s="205"/>
      <c r="S40" s="205"/>
      <c r="T40" s="205"/>
      <c r="U40" s="205"/>
      <c r="V40" s="205"/>
      <c r="W40" s="205"/>
      <c r="X40" s="205"/>
      <c r="Y40" s="205"/>
      <c r="Z40" s="205"/>
      <c r="AA40" s="205"/>
      <c r="AB40" s="205"/>
      <c r="AC40" s="205"/>
      <c r="AD40" s="205"/>
      <c r="AE40" s="205"/>
      <c r="AF40" s="205"/>
      <c r="AG40" s="205"/>
      <c r="AH40" s="205"/>
      <c r="AI40" s="205"/>
      <c r="AJ40" s="205"/>
      <c r="AK40" s="205"/>
      <c r="AL40" s="205"/>
      <c r="AM40" s="205"/>
      <c r="AN40" s="205"/>
      <c r="AO40" s="205"/>
      <c r="AP40" s="205"/>
      <c r="AQ40" s="205"/>
      <c r="AR40" s="205"/>
      <c r="AS40" s="205"/>
      <c r="AT40" s="205"/>
      <c r="AU40" s="205"/>
      <c r="AV40" s="205"/>
      <c r="AW40" s="205"/>
      <c r="AX40" s="96"/>
      <c r="AY40" s="97">
        <v>102</v>
      </c>
      <c r="AZ40" s="101">
        <f>'PF176'!Y111</f>
        <v>0</v>
      </c>
    </row>
    <row r="41" spans="2:52" ht="15" customHeight="1" x14ac:dyDescent="0.55000000000000004">
      <c r="B41" s="51"/>
      <c r="C41" s="100">
        <f>'PF176'!Y41</f>
        <v>0</v>
      </c>
      <c r="D41" s="95">
        <v>32</v>
      </c>
      <c r="E41" s="96"/>
      <c r="F41" s="205"/>
      <c r="G41" s="205"/>
      <c r="H41" s="205"/>
      <c r="I41" s="205"/>
      <c r="J41" s="205"/>
      <c r="K41" s="205"/>
      <c r="L41" s="205"/>
      <c r="M41" s="205"/>
      <c r="N41" s="205"/>
      <c r="O41" s="205"/>
      <c r="P41" s="205"/>
      <c r="Q41" s="205"/>
      <c r="R41" s="205"/>
      <c r="S41" s="205"/>
      <c r="T41" s="205"/>
      <c r="U41" s="205"/>
      <c r="V41" s="205"/>
      <c r="W41" s="205"/>
      <c r="X41" s="205"/>
      <c r="Y41" s="205"/>
      <c r="Z41" s="205"/>
      <c r="AA41" s="205"/>
      <c r="AB41" s="205"/>
      <c r="AC41" s="205"/>
      <c r="AD41" s="205"/>
      <c r="AE41" s="205"/>
      <c r="AF41" s="205"/>
      <c r="AG41" s="205"/>
      <c r="AH41" s="205"/>
      <c r="AI41" s="205"/>
      <c r="AJ41" s="205"/>
      <c r="AK41" s="205"/>
      <c r="AL41" s="205"/>
      <c r="AM41" s="205"/>
      <c r="AN41" s="205"/>
      <c r="AO41" s="205"/>
      <c r="AP41" s="205"/>
      <c r="AQ41" s="205"/>
      <c r="AR41" s="205"/>
      <c r="AS41" s="205"/>
      <c r="AT41" s="205"/>
      <c r="AU41" s="205"/>
      <c r="AV41" s="205"/>
      <c r="AW41" s="205"/>
      <c r="AX41" s="96"/>
      <c r="AY41" s="97">
        <v>101</v>
      </c>
      <c r="AZ41" s="101">
        <f>'PF176'!Y110</f>
        <v>0</v>
      </c>
    </row>
    <row r="42" spans="2:52" ht="15" customHeight="1" x14ac:dyDescent="0.55000000000000004">
      <c r="B42" s="51"/>
      <c r="C42" s="100">
        <f>'PF176'!Y42</f>
        <v>0</v>
      </c>
      <c r="D42" s="95">
        <v>33</v>
      </c>
      <c r="E42" s="96"/>
      <c r="F42" s="205"/>
      <c r="G42" s="205"/>
      <c r="H42" s="205"/>
      <c r="I42" s="205"/>
      <c r="J42" s="205"/>
      <c r="K42" s="205"/>
      <c r="L42" s="205"/>
      <c r="M42" s="205"/>
      <c r="N42" s="205"/>
      <c r="O42" s="205"/>
      <c r="P42" s="205"/>
      <c r="Q42" s="205"/>
      <c r="R42" s="205"/>
      <c r="S42" s="205"/>
      <c r="T42" s="205"/>
      <c r="U42" s="205"/>
      <c r="V42" s="205"/>
      <c r="W42" s="205"/>
      <c r="X42" s="205"/>
      <c r="Y42" s="205"/>
      <c r="Z42" s="205"/>
      <c r="AA42" s="205"/>
      <c r="AB42" s="205"/>
      <c r="AC42" s="205"/>
      <c r="AD42" s="205"/>
      <c r="AE42" s="205"/>
      <c r="AF42" s="205"/>
      <c r="AG42" s="205"/>
      <c r="AH42" s="205"/>
      <c r="AI42" s="205"/>
      <c r="AJ42" s="205"/>
      <c r="AK42" s="205"/>
      <c r="AL42" s="205"/>
      <c r="AM42" s="205"/>
      <c r="AN42" s="205"/>
      <c r="AO42" s="205"/>
      <c r="AP42" s="205"/>
      <c r="AQ42" s="205"/>
      <c r="AR42" s="205"/>
      <c r="AS42" s="205"/>
      <c r="AT42" s="205"/>
      <c r="AU42" s="205"/>
      <c r="AV42" s="205"/>
      <c r="AW42" s="205"/>
      <c r="AX42" s="96"/>
      <c r="AY42" s="97">
        <v>100</v>
      </c>
      <c r="AZ42" s="101">
        <f>'PF176'!Y109</f>
        <v>0</v>
      </c>
    </row>
    <row r="43" spans="2:52" ht="15" customHeight="1" x14ac:dyDescent="0.55000000000000004">
      <c r="B43" s="51"/>
      <c r="C43" s="100">
        <f>'PF176'!Y43</f>
        <v>0</v>
      </c>
      <c r="D43" s="95">
        <v>34</v>
      </c>
      <c r="E43" s="96"/>
      <c r="F43" s="205"/>
      <c r="G43" s="205"/>
      <c r="H43" s="205"/>
      <c r="I43" s="205"/>
      <c r="J43" s="205"/>
      <c r="K43" s="205"/>
      <c r="L43" s="205"/>
      <c r="M43" s="205"/>
      <c r="N43" s="205"/>
      <c r="O43" s="205"/>
      <c r="P43" s="205"/>
      <c r="Q43" s="205"/>
      <c r="R43" s="205"/>
      <c r="S43" s="205"/>
      <c r="T43" s="205"/>
      <c r="U43" s="205"/>
      <c r="V43" s="205"/>
      <c r="W43" s="205"/>
      <c r="X43" s="205"/>
      <c r="Y43" s="205"/>
      <c r="Z43" s="205"/>
      <c r="AA43" s="205"/>
      <c r="AB43" s="205"/>
      <c r="AC43" s="205"/>
      <c r="AD43" s="205"/>
      <c r="AE43" s="205"/>
      <c r="AF43" s="205"/>
      <c r="AG43" s="205"/>
      <c r="AH43" s="205"/>
      <c r="AI43" s="205"/>
      <c r="AJ43" s="205"/>
      <c r="AK43" s="205"/>
      <c r="AL43" s="205"/>
      <c r="AM43" s="205"/>
      <c r="AN43" s="205"/>
      <c r="AO43" s="205"/>
      <c r="AP43" s="205"/>
      <c r="AQ43" s="205"/>
      <c r="AR43" s="205"/>
      <c r="AS43" s="205"/>
      <c r="AT43" s="205"/>
      <c r="AU43" s="205"/>
      <c r="AV43" s="205"/>
      <c r="AW43" s="205"/>
      <c r="AX43" s="96"/>
      <c r="AY43" s="97">
        <v>99</v>
      </c>
      <c r="AZ43" s="101">
        <f>'PF176'!Y108</f>
        <v>0</v>
      </c>
    </row>
    <row r="44" spans="2:52" ht="15" customHeight="1" x14ac:dyDescent="0.55000000000000004">
      <c r="B44" s="51"/>
      <c r="C44" s="100">
        <f>'PF176'!Y44</f>
        <v>0</v>
      </c>
      <c r="D44" s="95">
        <v>35</v>
      </c>
      <c r="E44" s="96"/>
      <c r="F44" s="205"/>
      <c r="G44" s="205"/>
      <c r="H44" s="205"/>
      <c r="I44" s="205"/>
      <c r="J44" s="205"/>
      <c r="K44" s="205"/>
      <c r="L44" s="205"/>
      <c r="M44" s="205"/>
      <c r="N44" s="205"/>
      <c r="O44" s="205"/>
      <c r="P44" s="205"/>
      <c r="Q44" s="205"/>
      <c r="R44" s="205"/>
      <c r="S44" s="205"/>
      <c r="T44" s="205"/>
      <c r="U44" s="205"/>
      <c r="V44" s="205"/>
      <c r="W44" s="205"/>
      <c r="X44" s="205"/>
      <c r="Y44" s="205"/>
      <c r="Z44" s="205"/>
      <c r="AA44" s="205"/>
      <c r="AB44" s="205"/>
      <c r="AC44" s="205"/>
      <c r="AD44" s="205"/>
      <c r="AE44" s="205"/>
      <c r="AF44" s="205"/>
      <c r="AG44" s="205"/>
      <c r="AH44" s="205"/>
      <c r="AI44" s="205"/>
      <c r="AJ44" s="205"/>
      <c r="AK44" s="205"/>
      <c r="AL44" s="205"/>
      <c r="AM44" s="205"/>
      <c r="AN44" s="205"/>
      <c r="AO44" s="205"/>
      <c r="AP44" s="205"/>
      <c r="AQ44" s="205"/>
      <c r="AR44" s="205"/>
      <c r="AS44" s="205"/>
      <c r="AT44" s="205"/>
      <c r="AU44" s="205"/>
      <c r="AV44" s="205"/>
      <c r="AW44" s="205"/>
      <c r="AX44" s="96"/>
      <c r="AY44" s="97">
        <v>98</v>
      </c>
      <c r="AZ44" s="101">
        <f>'PF176'!Y107</f>
        <v>0</v>
      </c>
    </row>
    <row r="45" spans="2:52" ht="15" customHeight="1" x14ac:dyDescent="0.55000000000000004">
      <c r="B45" s="51"/>
      <c r="C45" s="100">
        <f>'PF176'!Y45</f>
        <v>0</v>
      </c>
      <c r="D45" s="95">
        <v>36</v>
      </c>
      <c r="E45" s="96"/>
      <c r="F45" s="205"/>
      <c r="G45" s="205"/>
      <c r="H45" s="205"/>
      <c r="I45" s="205"/>
      <c r="J45" s="205"/>
      <c r="K45" s="205"/>
      <c r="L45" s="205"/>
      <c r="M45" s="205"/>
      <c r="N45" s="205"/>
      <c r="O45" s="205"/>
      <c r="P45" s="205"/>
      <c r="Q45" s="205"/>
      <c r="R45" s="205"/>
      <c r="S45" s="205"/>
      <c r="T45" s="205"/>
      <c r="U45" s="205"/>
      <c r="V45" s="205"/>
      <c r="W45" s="205"/>
      <c r="X45" s="205"/>
      <c r="Y45" s="205"/>
      <c r="Z45" s="205"/>
      <c r="AA45" s="205"/>
      <c r="AB45" s="205"/>
      <c r="AC45" s="205"/>
      <c r="AD45" s="205"/>
      <c r="AE45" s="205"/>
      <c r="AF45" s="205"/>
      <c r="AG45" s="205"/>
      <c r="AH45" s="205"/>
      <c r="AI45" s="205"/>
      <c r="AJ45" s="205"/>
      <c r="AK45" s="205"/>
      <c r="AL45" s="205"/>
      <c r="AM45" s="205"/>
      <c r="AN45" s="205"/>
      <c r="AO45" s="205"/>
      <c r="AP45" s="205"/>
      <c r="AQ45" s="205"/>
      <c r="AR45" s="205"/>
      <c r="AS45" s="205"/>
      <c r="AT45" s="205"/>
      <c r="AU45" s="205"/>
      <c r="AV45" s="205"/>
      <c r="AW45" s="205"/>
      <c r="AX45" s="96"/>
      <c r="AY45" s="97">
        <v>97</v>
      </c>
      <c r="AZ45" s="101">
        <f>'PF176'!Y106</f>
        <v>0</v>
      </c>
    </row>
    <row r="46" spans="2:52" ht="15" customHeight="1" x14ac:dyDescent="0.55000000000000004">
      <c r="B46" s="51"/>
      <c r="C46" s="100">
        <f>'PF176'!Y46</f>
        <v>0</v>
      </c>
      <c r="D46" s="95">
        <v>37</v>
      </c>
      <c r="E46" s="96"/>
      <c r="F46" s="205"/>
      <c r="G46" s="205"/>
      <c r="H46" s="205"/>
      <c r="I46" s="205"/>
      <c r="J46" s="205"/>
      <c r="K46" s="205"/>
      <c r="L46" s="205"/>
      <c r="M46" s="205"/>
      <c r="N46" s="205"/>
      <c r="O46" s="205"/>
      <c r="P46" s="205"/>
      <c r="Q46" s="205"/>
      <c r="R46" s="205"/>
      <c r="S46" s="205"/>
      <c r="T46" s="205"/>
      <c r="U46" s="205"/>
      <c r="V46" s="205"/>
      <c r="W46" s="205"/>
      <c r="X46" s="205"/>
      <c r="Y46" s="205"/>
      <c r="Z46" s="205"/>
      <c r="AA46" s="205"/>
      <c r="AB46" s="205"/>
      <c r="AC46" s="205"/>
      <c r="AD46" s="205"/>
      <c r="AE46" s="205"/>
      <c r="AF46" s="205"/>
      <c r="AG46" s="205"/>
      <c r="AH46" s="205"/>
      <c r="AI46" s="205"/>
      <c r="AJ46" s="205"/>
      <c r="AK46" s="205"/>
      <c r="AL46" s="205"/>
      <c r="AM46" s="205"/>
      <c r="AN46" s="205"/>
      <c r="AO46" s="205"/>
      <c r="AP46" s="205"/>
      <c r="AQ46" s="205"/>
      <c r="AR46" s="205"/>
      <c r="AS46" s="205"/>
      <c r="AT46" s="205"/>
      <c r="AU46" s="205"/>
      <c r="AV46" s="205"/>
      <c r="AW46" s="205"/>
      <c r="AX46" s="96"/>
      <c r="AY46" s="97">
        <v>96</v>
      </c>
      <c r="AZ46" s="101">
        <f>'PF176'!Y105</f>
        <v>0</v>
      </c>
    </row>
    <row r="47" spans="2:52" ht="15" customHeight="1" x14ac:dyDescent="0.55000000000000004">
      <c r="B47" s="51"/>
      <c r="C47" s="100">
        <f>'PF176'!Y47</f>
        <v>0</v>
      </c>
      <c r="D47" s="95">
        <v>38</v>
      </c>
      <c r="E47" s="96"/>
      <c r="F47" s="205"/>
      <c r="G47" s="205"/>
      <c r="H47" s="205"/>
      <c r="I47" s="205"/>
      <c r="J47" s="205"/>
      <c r="K47" s="205"/>
      <c r="L47" s="205"/>
      <c r="M47" s="205"/>
      <c r="N47" s="205"/>
      <c r="O47" s="205"/>
      <c r="P47" s="205"/>
      <c r="Q47" s="205"/>
      <c r="R47" s="205"/>
      <c r="S47" s="205"/>
      <c r="T47" s="205"/>
      <c r="U47" s="205"/>
      <c r="V47" s="205"/>
      <c r="W47" s="205"/>
      <c r="X47" s="205"/>
      <c r="Y47" s="205"/>
      <c r="Z47" s="205"/>
      <c r="AA47" s="205"/>
      <c r="AB47" s="205"/>
      <c r="AC47" s="205"/>
      <c r="AD47" s="205"/>
      <c r="AE47" s="205"/>
      <c r="AF47" s="205"/>
      <c r="AG47" s="205"/>
      <c r="AH47" s="205"/>
      <c r="AI47" s="205"/>
      <c r="AJ47" s="205"/>
      <c r="AK47" s="205"/>
      <c r="AL47" s="205"/>
      <c r="AM47" s="205"/>
      <c r="AN47" s="205"/>
      <c r="AO47" s="205"/>
      <c r="AP47" s="205"/>
      <c r="AQ47" s="205"/>
      <c r="AR47" s="205"/>
      <c r="AS47" s="205"/>
      <c r="AT47" s="205"/>
      <c r="AU47" s="205"/>
      <c r="AV47" s="205"/>
      <c r="AW47" s="205"/>
      <c r="AX47" s="96"/>
      <c r="AY47" s="97">
        <v>95</v>
      </c>
      <c r="AZ47" s="101">
        <f>'PF176'!Y104</f>
        <v>0</v>
      </c>
    </row>
    <row r="48" spans="2:52" ht="15" customHeight="1" x14ac:dyDescent="0.55000000000000004">
      <c r="B48" s="51"/>
      <c r="C48" s="100">
        <f>'PF176'!Y48</f>
        <v>0</v>
      </c>
      <c r="D48" s="95">
        <v>39</v>
      </c>
      <c r="E48" s="96"/>
      <c r="F48" s="205"/>
      <c r="G48" s="205"/>
      <c r="H48" s="205"/>
      <c r="I48" s="205"/>
      <c r="J48" s="205"/>
      <c r="K48" s="205"/>
      <c r="L48" s="205"/>
      <c r="M48" s="205"/>
      <c r="N48" s="205"/>
      <c r="O48" s="205"/>
      <c r="P48" s="205"/>
      <c r="Q48" s="205"/>
      <c r="R48" s="205"/>
      <c r="S48" s="205"/>
      <c r="T48" s="205"/>
      <c r="U48" s="205"/>
      <c r="V48" s="205"/>
      <c r="W48" s="205"/>
      <c r="X48" s="205"/>
      <c r="Y48" s="205"/>
      <c r="Z48" s="205"/>
      <c r="AA48" s="205"/>
      <c r="AB48" s="205"/>
      <c r="AC48" s="205"/>
      <c r="AD48" s="205"/>
      <c r="AE48" s="205"/>
      <c r="AF48" s="205"/>
      <c r="AG48" s="205"/>
      <c r="AH48" s="205"/>
      <c r="AI48" s="205"/>
      <c r="AJ48" s="205"/>
      <c r="AK48" s="205"/>
      <c r="AL48" s="205"/>
      <c r="AM48" s="205"/>
      <c r="AN48" s="205"/>
      <c r="AO48" s="205"/>
      <c r="AP48" s="205"/>
      <c r="AQ48" s="205"/>
      <c r="AR48" s="205"/>
      <c r="AS48" s="205"/>
      <c r="AT48" s="205"/>
      <c r="AU48" s="205"/>
      <c r="AV48" s="205"/>
      <c r="AW48" s="205"/>
      <c r="AX48" s="96"/>
      <c r="AY48" s="97">
        <v>94</v>
      </c>
      <c r="AZ48" s="101">
        <f>'PF176'!Y103</f>
        <v>0</v>
      </c>
    </row>
    <row r="49" spans="2:52" ht="15" customHeight="1" x14ac:dyDescent="0.55000000000000004">
      <c r="B49" s="51"/>
      <c r="C49" s="100">
        <f>'PF176'!Y49</f>
        <v>0</v>
      </c>
      <c r="D49" s="95">
        <v>40</v>
      </c>
      <c r="E49" s="96"/>
      <c r="F49" s="205"/>
      <c r="G49" s="205"/>
      <c r="H49" s="205"/>
      <c r="I49" s="205"/>
      <c r="J49" s="205"/>
      <c r="K49" s="205"/>
      <c r="L49" s="205"/>
      <c r="M49" s="205"/>
      <c r="N49" s="205"/>
      <c r="O49" s="205"/>
      <c r="P49" s="205"/>
      <c r="Q49" s="205"/>
      <c r="R49" s="205"/>
      <c r="S49" s="205"/>
      <c r="T49" s="205"/>
      <c r="U49" s="205"/>
      <c r="V49" s="205"/>
      <c r="W49" s="205"/>
      <c r="X49" s="205"/>
      <c r="Y49" s="205"/>
      <c r="Z49" s="205"/>
      <c r="AA49" s="205"/>
      <c r="AB49" s="205"/>
      <c r="AC49" s="205"/>
      <c r="AD49" s="205"/>
      <c r="AE49" s="205"/>
      <c r="AF49" s="205"/>
      <c r="AG49" s="205"/>
      <c r="AH49" s="205"/>
      <c r="AI49" s="205"/>
      <c r="AJ49" s="205"/>
      <c r="AK49" s="205"/>
      <c r="AL49" s="205"/>
      <c r="AM49" s="205"/>
      <c r="AN49" s="205"/>
      <c r="AO49" s="205"/>
      <c r="AP49" s="205"/>
      <c r="AQ49" s="205"/>
      <c r="AR49" s="205"/>
      <c r="AS49" s="205"/>
      <c r="AT49" s="205"/>
      <c r="AU49" s="205"/>
      <c r="AV49" s="205"/>
      <c r="AW49" s="205"/>
      <c r="AX49" s="96"/>
      <c r="AY49" s="97">
        <v>93</v>
      </c>
      <c r="AZ49" s="101">
        <f>'PF176'!Y102</f>
        <v>0</v>
      </c>
    </row>
    <row r="50" spans="2:52" ht="15" customHeight="1" x14ac:dyDescent="0.55000000000000004">
      <c r="B50" s="51"/>
      <c r="C50" s="100">
        <f>'PF176'!Y50</f>
        <v>0</v>
      </c>
      <c r="D50" s="95">
        <v>41</v>
      </c>
      <c r="E50" s="96"/>
      <c r="F50" s="205"/>
      <c r="G50" s="205"/>
      <c r="H50" s="205"/>
      <c r="I50" s="205"/>
      <c r="J50" s="205"/>
      <c r="K50" s="205"/>
      <c r="L50" s="205"/>
      <c r="M50" s="205"/>
      <c r="N50" s="205"/>
      <c r="O50" s="205"/>
      <c r="P50" s="205"/>
      <c r="Q50" s="205"/>
      <c r="R50" s="205"/>
      <c r="S50" s="205"/>
      <c r="T50" s="205"/>
      <c r="U50" s="205"/>
      <c r="V50" s="205"/>
      <c r="W50" s="205"/>
      <c r="X50" s="205"/>
      <c r="Y50" s="205"/>
      <c r="Z50" s="205"/>
      <c r="AA50" s="205"/>
      <c r="AB50" s="205"/>
      <c r="AC50" s="205"/>
      <c r="AD50" s="205"/>
      <c r="AE50" s="205"/>
      <c r="AF50" s="205"/>
      <c r="AG50" s="205"/>
      <c r="AH50" s="205"/>
      <c r="AI50" s="205"/>
      <c r="AJ50" s="205"/>
      <c r="AK50" s="205"/>
      <c r="AL50" s="205"/>
      <c r="AM50" s="205"/>
      <c r="AN50" s="205"/>
      <c r="AO50" s="205"/>
      <c r="AP50" s="205"/>
      <c r="AQ50" s="205"/>
      <c r="AR50" s="205"/>
      <c r="AS50" s="205"/>
      <c r="AT50" s="205"/>
      <c r="AU50" s="205"/>
      <c r="AV50" s="205"/>
      <c r="AW50" s="205"/>
      <c r="AX50" s="96"/>
      <c r="AY50" s="97">
        <v>92</v>
      </c>
      <c r="AZ50" s="101">
        <f>'PF176'!Y101</f>
        <v>0</v>
      </c>
    </row>
    <row r="51" spans="2:52" ht="15" customHeight="1" x14ac:dyDescent="0.55000000000000004">
      <c r="B51" s="51"/>
      <c r="C51" s="100">
        <f>'PF176'!Y51</f>
        <v>0</v>
      </c>
      <c r="D51" s="95">
        <v>42</v>
      </c>
      <c r="E51" s="96"/>
      <c r="F51" s="205"/>
      <c r="G51" s="205"/>
      <c r="H51" s="205"/>
      <c r="I51" s="205"/>
      <c r="J51" s="205"/>
      <c r="K51" s="205"/>
      <c r="L51" s="205"/>
      <c r="M51" s="205"/>
      <c r="N51" s="205"/>
      <c r="O51" s="205"/>
      <c r="P51" s="205"/>
      <c r="Q51" s="205"/>
      <c r="R51" s="205"/>
      <c r="S51" s="205"/>
      <c r="T51" s="205"/>
      <c r="U51" s="205"/>
      <c r="V51" s="205"/>
      <c r="W51" s="205"/>
      <c r="X51" s="205"/>
      <c r="Y51" s="205"/>
      <c r="Z51" s="205"/>
      <c r="AA51" s="205"/>
      <c r="AB51" s="205"/>
      <c r="AC51" s="205"/>
      <c r="AD51" s="205"/>
      <c r="AE51" s="205"/>
      <c r="AF51" s="205"/>
      <c r="AG51" s="205"/>
      <c r="AH51" s="205"/>
      <c r="AI51" s="205"/>
      <c r="AJ51" s="205"/>
      <c r="AK51" s="205"/>
      <c r="AL51" s="205"/>
      <c r="AM51" s="205"/>
      <c r="AN51" s="205"/>
      <c r="AO51" s="205"/>
      <c r="AP51" s="205"/>
      <c r="AQ51" s="205"/>
      <c r="AR51" s="205"/>
      <c r="AS51" s="205"/>
      <c r="AT51" s="205"/>
      <c r="AU51" s="205"/>
      <c r="AV51" s="205"/>
      <c r="AW51" s="205"/>
      <c r="AX51" s="96"/>
      <c r="AY51" s="97">
        <v>91</v>
      </c>
      <c r="AZ51" s="101">
        <f>'PF176'!Y100</f>
        <v>0</v>
      </c>
    </row>
    <row r="52" spans="2:52" ht="15" customHeight="1" x14ac:dyDescent="0.55000000000000004">
      <c r="B52" s="51"/>
      <c r="C52" s="103" t="str">
        <f>'PF176'!Y52</f>
        <v>VDDD</v>
      </c>
      <c r="D52" s="95">
        <v>43</v>
      </c>
      <c r="E52" s="96"/>
      <c r="F52" s="205"/>
      <c r="G52" s="205"/>
      <c r="H52" s="205"/>
      <c r="I52" s="205"/>
      <c r="J52" s="205"/>
      <c r="K52" s="205"/>
      <c r="L52" s="205"/>
      <c r="M52" s="205"/>
      <c r="N52" s="205"/>
      <c r="O52" s="205"/>
      <c r="P52" s="205"/>
      <c r="Q52" s="205"/>
      <c r="R52" s="205"/>
      <c r="S52" s="205"/>
      <c r="T52" s="205"/>
      <c r="U52" s="205"/>
      <c r="V52" s="205"/>
      <c r="W52" s="205"/>
      <c r="X52" s="205"/>
      <c r="Y52" s="205"/>
      <c r="Z52" s="205"/>
      <c r="AA52" s="205"/>
      <c r="AB52" s="205"/>
      <c r="AC52" s="205"/>
      <c r="AD52" s="205"/>
      <c r="AE52" s="205"/>
      <c r="AF52" s="205"/>
      <c r="AG52" s="205"/>
      <c r="AH52" s="205"/>
      <c r="AI52" s="205"/>
      <c r="AJ52" s="205"/>
      <c r="AK52" s="205"/>
      <c r="AL52" s="205"/>
      <c r="AM52" s="205"/>
      <c r="AN52" s="205"/>
      <c r="AO52" s="205"/>
      <c r="AP52" s="205"/>
      <c r="AQ52" s="205"/>
      <c r="AR52" s="205"/>
      <c r="AS52" s="205"/>
      <c r="AT52" s="205"/>
      <c r="AU52" s="205"/>
      <c r="AV52" s="205"/>
      <c r="AW52" s="205"/>
      <c r="AX52" s="96"/>
      <c r="AY52" s="97">
        <v>90</v>
      </c>
      <c r="AZ52" s="101">
        <f>'PF176'!Y99</f>
        <v>0</v>
      </c>
    </row>
    <row r="53" spans="2:52" ht="15" customHeight="1" x14ac:dyDescent="0.55000000000000004">
      <c r="B53" s="51"/>
      <c r="C53" s="103" t="str">
        <f>'PF176'!Y53</f>
        <v>VDDIO_1</v>
      </c>
      <c r="D53" s="95">
        <v>44</v>
      </c>
      <c r="E53" s="96"/>
      <c r="F53" s="205"/>
      <c r="G53" s="205"/>
      <c r="H53" s="205"/>
      <c r="I53" s="205"/>
      <c r="J53" s="205"/>
      <c r="K53" s="205"/>
      <c r="L53" s="205"/>
      <c r="M53" s="205"/>
      <c r="N53" s="205"/>
      <c r="O53" s="205"/>
      <c r="P53" s="205"/>
      <c r="Q53" s="205"/>
      <c r="R53" s="205"/>
      <c r="S53" s="205"/>
      <c r="T53" s="205"/>
      <c r="U53" s="205"/>
      <c r="V53" s="205"/>
      <c r="W53" s="205"/>
      <c r="X53" s="205"/>
      <c r="Y53" s="205"/>
      <c r="Z53" s="205"/>
      <c r="AA53" s="205"/>
      <c r="AB53" s="205"/>
      <c r="AC53" s="205"/>
      <c r="AD53" s="205"/>
      <c r="AE53" s="205"/>
      <c r="AF53" s="205"/>
      <c r="AG53" s="205"/>
      <c r="AH53" s="205"/>
      <c r="AI53" s="205"/>
      <c r="AJ53" s="205"/>
      <c r="AK53" s="205"/>
      <c r="AL53" s="205"/>
      <c r="AM53" s="205"/>
      <c r="AN53" s="205"/>
      <c r="AO53" s="205"/>
      <c r="AP53" s="205"/>
      <c r="AQ53" s="205"/>
      <c r="AR53" s="205"/>
      <c r="AS53" s="205"/>
      <c r="AT53" s="205"/>
      <c r="AU53" s="205"/>
      <c r="AV53" s="205"/>
      <c r="AW53" s="205"/>
      <c r="AX53" s="96"/>
      <c r="AY53" s="97">
        <v>89</v>
      </c>
      <c r="AZ53" s="102" t="str">
        <f>'PF176'!Y98</f>
        <v>VSSD</v>
      </c>
    </row>
    <row r="54" spans="2:52" ht="15" customHeight="1" x14ac:dyDescent="0.55000000000000004">
      <c r="D54" s="95"/>
      <c r="E54" s="96"/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  <c r="AJ54" s="96"/>
      <c r="AK54" s="96"/>
      <c r="AL54" s="96"/>
      <c r="AM54" s="96"/>
      <c r="AN54" s="96"/>
      <c r="AO54" s="96"/>
      <c r="AP54" s="96"/>
      <c r="AQ54" s="96"/>
      <c r="AR54" s="96"/>
      <c r="AS54" s="96"/>
      <c r="AT54" s="96"/>
      <c r="AU54" s="96"/>
      <c r="AV54" s="96"/>
      <c r="AW54" s="96"/>
      <c r="AX54" s="96"/>
      <c r="AY54" s="97"/>
    </row>
    <row r="55" spans="2:52" ht="15" customHeight="1" x14ac:dyDescent="0.55000000000000004">
      <c r="D55" s="94"/>
      <c r="E55" s="104"/>
      <c r="F55" s="104">
        <v>45</v>
      </c>
      <c r="G55" s="104">
        <v>46</v>
      </c>
      <c r="H55" s="104">
        <v>47</v>
      </c>
      <c r="I55" s="104">
        <v>48</v>
      </c>
      <c r="J55" s="104">
        <v>49</v>
      </c>
      <c r="K55" s="104">
        <v>50</v>
      </c>
      <c r="L55" s="104">
        <v>51</v>
      </c>
      <c r="M55" s="104">
        <v>52</v>
      </c>
      <c r="N55" s="104">
        <v>53</v>
      </c>
      <c r="O55" s="104">
        <v>54</v>
      </c>
      <c r="P55" s="104">
        <v>55</v>
      </c>
      <c r="Q55" s="104">
        <v>56</v>
      </c>
      <c r="R55" s="104">
        <v>57</v>
      </c>
      <c r="S55" s="104">
        <v>58</v>
      </c>
      <c r="T55" s="104">
        <v>59</v>
      </c>
      <c r="U55" s="104">
        <v>60</v>
      </c>
      <c r="V55" s="104">
        <v>61</v>
      </c>
      <c r="W55" s="104">
        <v>62</v>
      </c>
      <c r="X55" s="104">
        <v>63</v>
      </c>
      <c r="Y55" s="104">
        <v>64</v>
      </c>
      <c r="Z55" s="104">
        <v>65</v>
      </c>
      <c r="AA55" s="104">
        <v>66</v>
      </c>
      <c r="AB55" s="104">
        <v>67</v>
      </c>
      <c r="AC55" s="104">
        <v>68</v>
      </c>
      <c r="AD55" s="104">
        <v>69</v>
      </c>
      <c r="AE55" s="104">
        <v>70</v>
      </c>
      <c r="AF55" s="104">
        <v>71</v>
      </c>
      <c r="AG55" s="104">
        <v>72</v>
      </c>
      <c r="AH55" s="104">
        <v>73</v>
      </c>
      <c r="AI55" s="104">
        <v>74</v>
      </c>
      <c r="AJ55" s="104">
        <v>75</v>
      </c>
      <c r="AK55" s="104">
        <v>76</v>
      </c>
      <c r="AL55" s="104">
        <v>77</v>
      </c>
      <c r="AM55" s="104">
        <v>78</v>
      </c>
      <c r="AN55" s="104">
        <v>79</v>
      </c>
      <c r="AO55" s="104">
        <v>80</v>
      </c>
      <c r="AP55" s="104">
        <v>81</v>
      </c>
      <c r="AQ55" s="104">
        <v>82</v>
      </c>
      <c r="AR55" s="104">
        <v>83</v>
      </c>
      <c r="AS55" s="104">
        <v>84</v>
      </c>
      <c r="AT55" s="104">
        <v>85</v>
      </c>
      <c r="AU55" s="104">
        <v>86</v>
      </c>
      <c r="AV55" s="104">
        <v>87</v>
      </c>
      <c r="AW55" s="104">
        <v>88</v>
      </c>
      <c r="AX55" s="104"/>
      <c r="AY55" s="92"/>
    </row>
    <row r="56" spans="2:52" ht="160" customHeight="1" x14ac:dyDescent="0.55000000000000004">
      <c r="F56" s="105" t="str">
        <f>'PF176'!Y54</f>
        <v>VSSD</v>
      </c>
      <c r="G56" s="106" t="str">
        <f>'PF176'!Y55</f>
        <v>VCCD</v>
      </c>
      <c r="H56" s="106" t="str">
        <f>'PF176'!Y56</f>
        <v>VCCD</v>
      </c>
      <c r="I56" s="107">
        <f>'PF176'!Y57</f>
        <v>0</v>
      </c>
      <c r="J56" s="107">
        <f>'PF176'!Y58</f>
        <v>0</v>
      </c>
      <c r="K56" s="107">
        <f>'PF176'!Y59</f>
        <v>0</v>
      </c>
      <c r="L56" s="107">
        <f>'PF176'!Y60</f>
        <v>0</v>
      </c>
      <c r="M56" s="107">
        <f>'PF176'!Y61</f>
        <v>0</v>
      </c>
      <c r="N56" s="107">
        <f>'PF176'!Y62</f>
        <v>0</v>
      </c>
      <c r="O56" s="107">
        <f>'PF176'!Y63</f>
        <v>0</v>
      </c>
      <c r="P56" s="107">
        <f>'PF176'!Y64</f>
        <v>0</v>
      </c>
      <c r="Q56" s="107">
        <f>'PF176'!Y65</f>
        <v>0</v>
      </c>
      <c r="R56" s="107">
        <f>'PF176'!Y66</f>
        <v>0</v>
      </c>
      <c r="S56" s="107">
        <f>'PF176'!Y67</f>
        <v>0</v>
      </c>
      <c r="T56" s="107">
        <f>'PF176'!Y68</f>
        <v>0</v>
      </c>
      <c r="U56" s="107">
        <f>'PF176'!Y69</f>
        <v>0</v>
      </c>
      <c r="V56" s="107">
        <f>'PF176'!Y70</f>
        <v>0</v>
      </c>
      <c r="W56" s="107">
        <f>'PF176'!Y71</f>
        <v>0</v>
      </c>
      <c r="X56" s="107">
        <f>'PF176'!Y72</f>
        <v>0</v>
      </c>
      <c r="Y56" s="107">
        <f>'PF176'!Y73</f>
        <v>0</v>
      </c>
      <c r="Z56" s="107">
        <f>'PF176'!Y74</f>
        <v>0</v>
      </c>
      <c r="AA56" s="107">
        <f>'PF176'!Y75</f>
        <v>0</v>
      </c>
      <c r="AB56" s="107">
        <f>'PF176'!Y76</f>
        <v>0</v>
      </c>
      <c r="AC56" s="107">
        <f>'PF176'!Y77</f>
        <v>0</v>
      </c>
      <c r="AD56" s="107">
        <f>'PF176'!Y78</f>
        <v>0</v>
      </c>
      <c r="AE56" s="107">
        <f>'PF176'!Y79</f>
        <v>0</v>
      </c>
      <c r="AF56" s="107">
        <f>'PF176'!Y80</f>
        <v>0</v>
      </c>
      <c r="AG56" s="107">
        <f>'PF176'!Y81</f>
        <v>0</v>
      </c>
      <c r="AH56" s="107">
        <f>'PF176'!Y82</f>
        <v>0</v>
      </c>
      <c r="AI56" s="107">
        <f>'PF176'!Y83</f>
        <v>0</v>
      </c>
      <c r="AJ56" s="107">
        <f>'PF176'!Y84</f>
        <v>0</v>
      </c>
      <c r="AK56" s="108" t="str">
        <f>'PF176'!Y85</f>
        <v>VREFL</v>
      </c>
      <c r="AL56" s="105" t="str">
        <f>'PF176'!Y86</f>
        <v>VSSA</v>
      </c>
      <c r="AM56" s="106" t="str">
        <f>'PF176'!Y87</f>
        <v>VDDA</v>
      </c>
      <c r="AN56" s="108" t="str">
        <f>'PF176'!Y88</f>
        <v>VREFH</v>
      </c>
      <c r="AO56" s="107">
        <f>'PF176'!Y89</f>
        <v>0</v>
      </c>
      <c r="AP56" s="107">
        <f>'PF176'!Y90</f>
        <v>0</v>
      </c>
      <c r="AQ56" s="107">
        <f>'PF176'!Y91</f>
        <v>0</v>
      </c>
      <c r="AR56" s="107">
        <f>'PF176'!Y92</f>
        <v>0</v>
      </c>
      <c r="AS56" s="107">
        <f>'PF176'!Y93</f>
        <v>0</v>
      </c>
      <c r="AT56" s="107">
        <f>'PF176'!Y94</f>
        <v>0</v>
      </c>
      <c r="AU56" s="107">
        <f>'PF176'!Y95</f>
        <v>0</v>
      </c>
      <c r="AV56" s="107">
        <f>'PF176'!Y96</f>
        <v>0</v>
      </c>
      <c r="AW56" s="106" t="str">
        <f>'PF176'!Y97</f>
        <v>VDDIO_2</v>
      </c>
    </row>
  </sheetData>
  <sheetProtection algorithmName="SHA-512" hashValue="VVrZkCTPH6u8dVAswGxWnFBSAZ6HMqI+XrWrNLNEeU1mKUaOXfbJnrW9b8QEoU6tV1D01KrdrEZQWL2aJoPvzw==" saltValue="sVh7Tm5QcxC+83hFw2dqGA==" spinCount="100000" sheet="1" objects="1" scenarios="1" formatCells="0" formatColumns="0" formatRows="0" insertColumns="0" insertRows="0" insertHyperlinks="0" deleteColumns="0" deleteRows="0" selectLockedCells="1" sort="0" autoFilter="0" pivotTables="0"/>
  <mergeCells count="1">
    <mergeCell ref="F10:AW53"/>
  </mergeCells>
  <phoneticPr fontId="3"/>
  <pageMargins left="0.7" right="0.7" top="0.75" bottom="0.75" header="0.3" footer="0.3"/>
  <pageSetup paperSize="9" orientation="portrait" r:id="rId1"/>
  <ignoredErrors>
    <ignoredError sqref="F7:AW7 C10:C53 F56:AW56 AZ10:AZ53" unlockedFormula="1"/>
  </ignoredError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1D45F-CF20-476D-91A4-7708FBC7EEB9}">
  <dimension ref="B2:F27"/>
  <sheetViews>
    <sheetView tabSelected="1" topLeftCell="A7" workbookViewId="0">
      <selection activeCell="B8" sqref="B8"/>
    </sheetView>
  </sheetViews>
  <sheetFormatPr defaultColWidth="8.83203125" defaultRowHeight="14" x14ac:dyDescent="0.3"/>
  <cols>
    <col min="1" max="1" width="4.6640625" style="41" customWidth="1"/>
    <col min="2" max="2" width="10.6640625" style="41" customWidth="1"/>
    <col min="3" max="3" width="12.6640625" style="41" customWidth="1"/>
    <col min="4" max="4" width="30.58203125" style="41" customWidth="1"/>
    <col min="5" max="5" width="20.58203125" style="41" customWidth="1"/>
    <col min="6" max="6" width="30.58203125" style="41" customWidth="1"/>
    <col min="7" max="16384" width="8.83203125" style="41"/>
  </cols>
  <sheetData>
    <row r="2" spans="2:6" x14ac:dyDescent="0.3">
      <c r="B2" s="42" t="s">
        <v>2647</v>
      </c>
    </row>
    <row r="4" spans="2:6" x14ac:dyDescent="0.3">
      <c r="B4" s="144" t="s">
        <v>2648</v>
      </c>
      <c r="C4" s="43" t="s">
        <v>2649</v>
      </c>
      <c r="D4" s="209" t="s">
        <v>2650</v>
      </c>
      <c r="E4" s="209"/>
      <c r="F4" s="209"/>
    </row>
    <row r="5" spans="2:6" x14ac:dyDescent="0.3">
      <c r="B5" s="145" t="s">
        <v>2651</v>
      </c>
      <c r="C5" s="44" t="s">
        <v>2653</v>
      </c>
      <c r="D5" s="210" t="s">
        <v>2652</v>
      </c>
      <c r="E5" s="210"/>
      <c r="F5" s="210"/>
    </row>
    <row r="6" spans="2:6" x14ac:dyDescent="0.3">
      <c r="B6" s="138" t="s">
        <v>2654</v>
      </c>
      <c r="C6" s="44" t="s">
        <v>2656</v>
      </c>
      <c r="D6" s="211" t="s">
        <v>2655</v>
      </c>
      <c r="E6" s="211"/>
      <c r="F6" s="211"/>
    </row>
    <row r="7" spans="2:6" x14ac:dyDescent="0.3">
      <c r="B7" s="138" t="s">
        <v>2657</v>
      </c>
      <c r="C7" s="44" t="s">
        <v>2658</v>
      </c>
      <c r="D7" s="211" t="s">
        <v>2659</v>
      </c>
      <c r="E7" s="211"/>
      <c r="F7" s="211"/>
    </row>
    <row r="8" spans="2:6" x14ac:dyDescent="0.3">
      <c r="B8" s="140" t="s">
        <v>2660</v>
      </c>
      <c r="C8" s="147" t="s">
        <v>2729</v>
      </c>
      <c r="D8" s="212" t="s">
        <v>2676</v>
      </c>
      <c r="E8" s="213"/>
      <c r="F8" s="214"/>
    </row>
    <row r="9" spans="2:6" ht="28" x14ac:dyDescent="0.3">
      <c r="B9" s="141"/>
      <c r="C9" s="148"/>
      <c r="D9" s="152" t="s">
        <v>2714</v>
      </c>
      <c r="E9" s="152" t="s">
        <v>2698</v>
      </c>
      <c r="F9" s="153" t="s">
        <v>2697</v>
      </c>
    </row>
    <row r="10" spans="2:6" x14ac:dyDescent="0.3">
      <c r="B10" s="141"/>
      <c r="C10" s="148"/>
      <c r="D10" s="152" t="s">
        <v>2716</v>
      </c>
      <c r="E10" s="152" t="s">
        <v>2670</v>
      </c>
      <c r="F10" s="154" t="s">
        <v>2662</v>
      </c>
    </row>
    <row r="11" spans="2:6" x14ac:dyDescent="0.3">
      <c r="B11" s="141"/>
      <c r="C11" s="148"/>
      <c r="D11" s="152" t="s">
        <v>2717</v>
      </c>
      <c r="E11" s="152" t="s">
        <v>2671</v>
      </c>
      <c r="F11" s="154" t="s">
        <v>2665</v>
      </c>
    </row>
    <row r="12" spans="2:6" x14ac:dyDescent="0.3">
      <c r="B12" s="141"/>
      <c r="C12" s="148"/>
      <c r="D12" s="152" t="s">
        <v>2718</v>
      </c>
      <c r="E12" s="152" t="s">
        <v>2672</v>
      </c>
      <c r="F12" s="154" t="s">
        <v>2666</v>
      </c>
    </row>
    <row r="13" spans="2:6" x14ac:dyDescent="0.3">
      <c r="B13" s="141"/>
      <c r="C13" s="148"/>
      <c r="D13" s="152" t="s">
        <v>2719</v>
      </c>
      <c r="E13" s="152" t="s">
        <v>2674</v>
      </c>
      <c r="F13" s="154" t="s">
        <v>2663</v>
      </c>
    </row>
    <row r="14" spans="2:6" x14ac:dyDescent="0.3">
      <c r="B14" s="141"/>
      <c r="C14" s="148"/>
      <c r="D14" s="151" t="s">
        <v>2720</v>
      </c>
      <c r="E14" s="152" t="s">
        <v>2673</v>
      </c>
      <c r="F14" s="154" t="s">
        <v>2664</v>
      </c>
    </row>
    <row r="15" spans="2:6" ht="15" customHeight="1" x14ac:dyDescent="0.3">
      <c r="B15" s="141"/>
      <c r="C15" s="148"/>
      <c r="D15" s="151" t="s">
        <v>2721</v>
      </c>
      <c r="E15" s="152" t="s">
        <v>2675</v>
      </c>
      <c r="F15" s="154" t="s">
        <v>2667</v>
      </c>
    </row>
    <row r="16" spans="2:6" x14ac:dyDescent="0.3">
      <c r="B16" s="141"/>
      <c r="C16" s="148"/>
      <c r="D16" s="152" t="s">
        <v>2722</v>
      </c>
      <c r="E16" s="152" t="s">
        <v>2683</v>
      </c>
      <c r="F16" s="153" t="s">
        <v>2684</v>
      </c>
    </row>
    <row r="17" spans="2:6" x14ac:dyDescent="0.3">
      <c r="B17" s="141"/>
      <c r="C17" s="148"/>
      <c r="D17" s="152" t="s">
        <v>2723</v>
      </c>
      <c r="E17" s="152" t="s">
        <v>2690</v>
      </c>
      <c r="F17" s="153" t="s">
        <v>2678</v>
      </c>
    </row>
    <row r="18" spans="2:6" x14ac:dyDescent="0.3">
      <c r="B18" s="141"/>
      <c r="C18" s="148"/>
      <c r="D18" s="152" t="s">
        <v>2724</v>
      </c>
      <c r="E18" s="152" t="s">
        <v>2691</v>
      </c>
      <c r="F18" s="153" t="s">
        <v>2689</v>
      </c>
    </row>
    <row r="19" spans="2:6" x14ac:dyDescent="0.3">
      <c r="B19" s="141"/>
      <c r="C19" s="148"/>
      <c r="D19" s="152" t="s">
        <v>2725</v>
      </c>
      <c r="E19" s="152" t="s">
        <v>2692</v>
      </c>
      <c r="F19" s="153" t="s">
        <v>2681</v>
      </c>
    </row>
    <row r="20" spans="2:6" x14ac:dyDescent="0.3">
      <c r="B20" s="141"/>
      <c r="C20" s="148"/>
      <c r="D20" s="206" t="s">
        <v>2713</v>
      </c>
      <c r="E20" s="207"/>
      <c r="F20" s="208"/>
    </row>
    <row r="21" spans="2:6" x14ac:dyDescent="0.3">
      <c r="B21" s="141"/>
      <c r="C21" s="148"/>
      <c r="D21" s="152" t="s">
        <v>2728</v>
      </c>
      <c r="E21" s="152" t="s">
        <v>2334</v>
      </c>
      <c r="F21" s="154" t="s">
        <v>2686</v>
      </c>
    </row>
    <row r="22" spans="2:6" ht="15" customHeight="1" x14ac:dyDescent="0.3">
      <c r="B22" s="141"/>
      <c r="C22" s="148"/>
      <c r="D22" s="156" t="s">
        <v>2715</v>
      </c>
      <c r="E22" s="156" t="s">
        <v>353</v>
      </c>
      <c r="F22" s="154" t="s">
        <v>2688</v>
      </c>
    </row>
    <row r="23" spans="2:6" ht="15" customHeight="1" x14ac:dyDescent="0.3">
      <c r="B23" s="141"/>
      <c r="C23" s="148"/>
      <c r="D23" s="157" t="s">
        <v>2726</v>
      </c>
      <c r="E23" s="156"/>
      <c r="F23" s="154"/>
    </row>
    <row r="24" spans="2:6" ht="15" customHeight="1" x14ac:dyDescent="0.3">
      <c r="B24" s="142"/>
      <c r="C24" s="149"/>
      <c r="D24" s="143" t="s">
        <v>2727</v>
      </c>
      <c r="E24" s="143"/>
      <c r="F24" s="155"/>
    </row>
    <row r="25" spans="2:6" x14ac:dyDescent="0.3">
      <c r="B25" s="138"/>
      <c r="C25" s="44"/>
      <c r="D25" s="150"/>
      <c r="E25" s="139"/>
      <c r="F25" s="146"/>
    </row>
    <row r="26" spans="2:6" x14ac:dyDescent="0.3">
      <c r="B26" s="138"/>
      <c r="C26" s="44"/>
      <c r="D26" s="150"/>
      <c r="E26" s="139"/>
      <c r="F26" s="146"/>
    </row>
    <row r="27" spans="2:6" x14ac:dyDescent="0.3">
      <c r="B27" s="138"/>
      <c r="C27" s="44"/>
      <c r="D27" s="150"/>
      <c r="E27" s="139"/>
      <c r="F27" s="146"/>
    </row>
  </sheetData>
  <sheetProtection algorithmName="SHA-512" hashValue="24gq1t08RwZwh2iNK6ZxDpd/rnmiKxe+J3y8n5vY4yPe6WdKYam282LPDzPYi5a17ubnrg8JIFQ5VWooAPidCg==" saltValue="J5djdw2jahR8QADJ2DMZWA==" spinCount="100000" sheet="1" objects="1" scenarios="1"/>
  <mergeCells count="6">
    <mergeCell ref="D20:F20"/>
    <mergeCell ref="D4:F4"/>
    <mergeCell ref="D5:F5"/>
    <mergeCell ref="D6:F6"/>
    <mergeCell ref="D7:F7"/>
    <mergeCell ref="D8:F8"/>
  </mergeCells>
  <phoneticPr fontId="3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PF320</vt:lpstr>
      <vt:lpstr>PCH320</vt:lpstr>
      <vt:lpstr>PA320</vt:lpstr>
      <vt:lpstr>PF272</vt:lpstr>
      <vt:lpstr>PCH272</vt:lpstr>
      <vt:lpstr>PA272</vt:lpstr>
      <vt:lpstr>PF176</vt:lpstr>
      <vt:lpstr>PCH176</vt:lpstr>
      <vt:lpstr>PA176</vt:lpstr>
      <vt:lpstr>History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2024-03-01T07:21:01Z</dcterms:modified>
</cp:coreProperties>
</file>